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0545" tabRatio="768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AVAILABILITY'!$A$17:$J$1124</definedName>
    <definedName name="_xlnm.Print_Area" localSheetId="2">'RAP-HEAVY &amp; LIGHT OIL &amp; WTI'!$A$17:$I$1123</definedName>
    <definedName name="_xlnm.Print_Area" localSheetId="0">'RAP-NATURAL GAS PRICES'!$A$17:$S$1123</definedName>
    <definedName name="_xlnm.Print_Area" localSheetId="3">'RAP-SOLID FUEL PRICES'!$A$17:$K$1123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C1117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9" i="3"/>
  <c r="D1039" i="3"/>
  <c r="E1039" i="3"/>
  <c r="C1040" i="3"/>
  <c r="B1041" i="3"/>
  <c r="E1041" i="3"/>
  <c r="E1042" i="3"/>
  <c r="B1043" i="3"/>
  <c r="C1044" i="3"/>
  <c r="E1044" i="3"/>
  <c r="B1045" i="3"/>
  <c r="C1045" i="3"/>
  <c r="B1046" i="3"/>
  <c r="E1046" i="3"/>
  <c r="B1047" i="3"/>
  <c r="B1048" i="3"/>
  <c r="C1048" i="3"/>
  <c r="D1048" i="3"/>
  <c r="E1048" i="3"/>
  <c r="B1049" i="3"/>
  <c r="B1050" i="3"/>
  <c r="C1050" i="3"/>
  <c r="E1050" i="3"/>
  <c r="B1051" i="3"/>
  <c r="B1052" i="3"/>
  <c r="E1052" i="3"/>
  <c r="B1053" i="3"/>
  <c r="C1053" i="3"/>
  <c r="B1054" i="3"/>
  <c r="E1054" i="3"/>
  <c r="B1055" i="3"/>
  <c r="C1055" i="3"/>
  <c r="B1056" i="3"/>
  <c r="E1056" i="3"/>
  <c r="B1057" i="3"/>
  <c r="C1057" i="3"/>
  <c r="B1058" i="3"/>
  <c r="E1058" i="3"/>
  <c r="B1059" i="3"/>
  <c r="A1060" i="3"/>
  <c r="B1060" i="3"/>
  <c r="D1060" i="3"/>
  <c r="E1060" i="3"/>
  <c r="A1061" i="3"/>
  <c r="A1062" i="3" s="1"/>
  <c r="A1063" i="3" s="1"/>
  <c r="A1064" i="3" s="1"/>
  <c r="A1065" i="3" s="1"/>
  <c r="A1066" i="3" s="1"/>
  <c r="A1067" i="3" s="1"/>
  <c r="A1068" i="3" s="1"/>
  <c r="B1061" i="3"/>
  <c r="B1062" i="3"/>
  <c r="C1062" i="3"/>
  <c r="B1063" i="3"/>
  <c r="C1063" i="3"/>
  <c r="B1064" i="3"/>
  <c r="E1064" i="3"/>
  <c r="B1065" i="3"/>
  <c r="C1065" i="3"/>
  <c r="B1066" i="3"/>
  <c r="E1066" i="3"/>
  <c r="B1067" i="3"/>
  <c r="B1068" i="3"/>
  <c r="E1068" i="3"/>
  <c r="A1069" i="3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B1069" i="3"/>
  <c r="B1070" i="3"/>
  <c r="C1070" i="3"/>
  <c r="B1071" i="3"/>
  <c r="D1071" i="3"/>
  <c r="B1072" i="3"/>
  <c r="E1072" i="3"/>
  <c r="B1073" i="3"/>
  <c r="C1073" i="3"/>
  <c r="B1074" i="3"/>
  <c r="E1074" i="3"/>
  <c r="B1075" i="3"/>
  <c r="C1075" i="3"/>
  <c r="B1076" i="3"/>
  <c r="D1076" i="3"/>
  <c r="E1076" i="3"/>
  <c r="B1077" i="3"/>
  <c r="B1078" i="3"/>
  <c r="C1078" i="3"/>
  <c r="B1079" i="3"/>
  <c r="B1080" i="3"/>
  <c r="E1080" i="3"/>
  <c r="B1081" i="3"/>
  <c r="C1081" i="3"/>
  <c r="B1082" i="3"/>
  <c r="E1082" i="3"/>
  <c r="B1083" i="3"/>
  <c r="C1083" i="3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8" i="2"/>
  <c r="C1038" i="2"/>
  <c r="D1038" i="2"/>
  <c r="E1038" i="2"/>
  <c r="F1038" i="2"/>
  <c r="G1038" i="2"/>
  <c r="I1038" i="2"/>
  <c r="J1038" i="2"/>
  <c r="B1039" i="2"/>
  <c r="C1039" i="2"/>
  <c r="D1039" i="2"/>
  <c r="E1039" i="2"/>
  <c r="F1039" i="2"/>
  <c r="G1039" i="2"/>
  <c r="H1039" i="2"/>
  <c r="I1039" i="2"/>
  <c r="J1039" i="2"/>
  <c r="B1040" i="2"/>
  <c r="C1040" i="2"/>
  <c r="D1040" i="2"/>
  <c r="E1040" i="2"/>
  <c r="F1040" i="2"/>
  <c r="G1040" i="2"/>
  <c r="H1040" i="2"/>
  <c r="I1040" i="2"/>
  <c r="J1040" i="2"/>
  <c r="B1041" i="2"/>
  <c r="C1041" i="2"/>
  <c r="D1041" i="2"/>
  <c r="E1041" i="2"/>
  <c r="F1041" i="2"/>
  <c r="G1041" i="2"/>
  <c r="H1041" i="2"/>
  <c r="I1041" i="2"/>
  <c r="J1041" i="2"/>
  <c r="B1042" i="2"/>
  <c r="C1042" i="2"/>
  <c r="D1042" i="2"/>
  <c r="E1042" i="2"/>
  <c r="F1042" i="2"/>
  <c r="G1042" i="2"/>
  <c r="H1042" i="2"/>
  <c r="I1042" i="2"/>
  <c r="J1042" i="2"/>
  <c r="B1043" i="2"/>
  <c r="C1043" i="2"/>
  <c r="D1043" i="2"/>
  <c r="E1043" i="2"/>
  <c r="F1043" i="2"/>
  <c r="G1043" i="2"/>
  <c r="H1043" i="2"/>
  <c r="I1043" i="2"/>
  <c r="J1043" i="2"/>
  <c r="B1044" i="2"/>
  <c r="C1044" i="2"/>
  <c r="D1044" i="2"/>
  <c r="E1044" i="2"/>
  <c r="F1044" i="2"/>
  <c r="G1044" i="2"/>
  <c r="H1044" i="2"/>
  <c r="I1044" i="2"/>
  <c r="J1044" i="2"/>
  <c r="B1045" i="2"/>
  <c r="C1045" i="2"/>
  <c r="D1045" i="2"/>
  <c r="E1045" i="2"/>
  <c r="F1045" i="2"/>
  <c r="G1045" i="2"/>
  <c r="H1045" i="2"/>
  <c r="I1045" i="2"/>
  <c r="J1045" i="2"/>
  <c r="B1046" i="2"/>
  <c r="C1046" i="2"/>
  <c r="D1046" i="2"/>
  <c r="E1046" i="2"/>
  <c r="F1046" i="2"/>
  <c r="G1046" i="2"/>
  <c r="H1046" i="2"/>
  <c r="I1046" i="2"/>
  <c r="J1046" i="2"/>
  <c r="B1047" i="2"/>
  <c r="C1047" i="2"/>
  <c r="D1047" i="2"/>
  <c r="E1047" i="2"/>
  <c r="F1047" i="2"/>
  <c r="G1047" i="2"/>
  <c r="H1047" i="2"/>
  <c r="I1047" i="2"/>
  <c r="J1047" i="2"/>
  <c r="B1048" i="2"/>
  <c r="C1048" i="2"/>
  <c r="D1048" i="2"/>
  <c r="E1048" i="2"/>
  <c r="F1048" i="2"/>
  <c r="G1048" i="2"/>
  <c r="H1048" i="2"/>
  <c r="I1048" i="2"/>
  <c r="J1048" i="2"/>
  <c r="B1049" i="2"/>
  <c r="C1049" i="2"/>
  <c r="D1049" i="2"/>
  <c r="E1049" i="2"/>
  <c r="F1049" i="2"/>
  <c r="G1049" i="2"/>
  <c r="H1049" i="2"/>
  <c r="I1049" i="2"/>
  <c r="J1049" i="2"/>
  <c r="B1050" i="2"/>
  <c r="C1050" i="2"/>
  <c r="D1050" i="2"/>
  <c r="E1050" i="2"/>
  <c r="F1050" i="2"/>
  <c r="G1050" i="2"/>
  <c r="H1050" i="2"/>
  <c r="I1050" i="2"/>
  <c r="J1050" i="2"/>
  <c r="B1051" i="2"/>
  <c r="C1051" i="2"/>
  <c r="D1051" i="2"/>
  <c r="E1051" i="2"/>
  <c r="F1051" i="2"/>
  <c r="G1051" i="2"/>
  <c r="H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A1060" i="2"/>
  <c r="B1060" i="2"/>
  <c r="C1060" i="2"/>
  <c r="D1060" i="2"/>
  <c r="E1060" i="2"/>
  <c r="F1060" i="2"/>
  <c r="G1060" i="2"/>
  <c r="H1060" i="2"/>
  <c r="I1060" i="2"/>
  <c r="J1060" i="2"/>
  <c r="A1061" i="2"/>
  <c r="B1061" i="2"/>
  <c r="C1061" i="2"/>
  <c r="D1061" i="2"/>
  <c r="E1061" i="2"/>
  <c r="F1061" i="2"/>
  <c r="G1061" i="2"/>
  <c r="H1061" i="2"/>
  <c r="I1061" i="2"/>
  <c r="J1061" i="2"/>
  <c r="A1062" i="2"/>
  <c r="A1063" i="2" s="1"/>
  <c r="B1062" i="2"/>
  <c r="C1062" i="2"/>
  <c r="D1062" i="2"/>
  <c r="E1062" i="2"/>
  <c r="F1062" i="2"/>
  <c r="G1062" i="2"/>
  <c r="H1062" i="2"/>
  <c r="I1062" i="2"/>
  <c r="J1062" i="2"/>
  <c r="C1063" i="2"/>
  <c r="D1063" i="2"/>
  <c r="E1063" i="2"/>
  <c r="F1063" i="2"/>
  <c r="G1063" i="2"/>
  <c r="H1063" i="2"/>
  <c r="I1063" i="2"/>
  <c r="J1063" i="2"/>
  <c r="C1064" i="2"/>
  <c r="D1064" i="2"/>
  <c r="E1064" i="2"/>
  <c r="F1064" i="2"/>
  <c r="G1064" i="2"/>
  <c r="H1064" i="2"/>
  <c r="I1064" i="2"/>
  <c r="J1064" i="2"/>
  <c r="C1065" i="2"/>
  <c r="D1065" i="2"/>
  <c r="E1065" i="2"/>
  <c r="F1065" i="2"/>
  <c r="G1065" i="2"/>
  <c r="H1065" i="2"/>
  <c r="I1065" i="2"/>
  <c r="J1065" i="2"/>
  <c r="C1066" i="2"/>
  <c r="D1066" i="2"/>
  <c r="E1066" i="2"/>
  <c r="F1066" i="2"/>
  <c r="G1066" i="2"/>
  <c r="H1066" i="2"/>
  <c r="I1066" i="2"/>
  <c r="J1066" i="2"/>
  <c r="C1067" i="2"/>
  <c r="D1067" i="2"/>
  <c r="E1067" i="2"/>
  <c r="F1067" i="2"/>
  <c r="G1067" i="2"/>
  <c r="H1067" i="2"/>
  <c r="I1067" i="2"/>
  <c r="J1067" i="2"/>
  <c r="C1068" i="2"/>
  <c r="D1068" i="2"/>
  <c r="E1068" i="2"/>
  <c r="F1068" i="2"/>
  <c r="G1068" i="2"/>
  <c r="H1068" i="2"/>
  <c r="I1068" i="2"/>
  <c r="J1068" i="2"/>
  <c r="C1069" i="2"/>
  <c r="D1069" i="2"/>
  <c r="E1069" i="2"/>
  <c r="F1069" i="2"/>
  <c r="G1069" i="2"/>
  <c r="H1069" i="2"/>
  <c r="I1069" i="2"/>
  <c r="J1069" i="2"/>
  <c r="C1070" i="2"/>
  <c r="D1070" i="2"/>
  <c r="E1070" i="2"/>
  <c r="F1070" i="2"/>
  <c r="G1070" i="2"/>
  <c r="H1070" i="2"/>
  <c r="I1070" i="2"/>
  <c r="J1070" i="2"/>
  <c r="C1071" i="2"/>
  <c r="D1071" i="2"/>
  <c r="E1071" i="2"/>
  <c r="F1071" i="2"/>
  <c r="G1071" i="2"/>
  <c r="H1071" i="2"/>
  <c r="I1071" i="2"/>
  <c r="J1071" i="2"/>
  <c r="C1072" i="2"/>
  <c r="D1072" i="2"/>
  <c r="E1072" i="2"/>
  <c r="F1072" i="2"/>
  <c r="G1072" i="2"/>
  <c r="H1072" i="2"/>
  <c r="I1072" i="2"/>
  <c r="J1072" i="2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D11" i="1"/>
  <c r="F11" i="1"/>
  <c r="B17" i="1"/>
  <c r="C17" i="1"/>
  <c r="D17" i="1"/>
  <c r="E17" i="1"/>
  <c r="F17" i="1"/>
  <c r="G17" i="1"/>
  <c r="H17" i="1"/>
  <c r="J17" i="1"/>
  <c r="R17" i="1"/>
  <c r="B18" i="1"/>
  <c r="C18" i="1"/>
  <c r="D18" i="1"/>
  <c r="E18" i="1"/>
  <c r="F18" i="1"/>
  <c r="G18" i="1"/>
  <c r="H18" i="1"/>
  <c r="J18" i="1"/>
  <c r="R18" i="1"/>
  <c r="B19" i="1"/>
  <c r="C19" i="1"/>
  <c r="D19" i="1"/>
  <c r="E19" i="1"/>
  <c r="F19" i="1"/>
  <c r="G19" i="1"/>
  <c r="H19" i="1"/>
  <c r="J19" i="1"/>
  <c r="R19" i="1"/>
  <c r="B20" i="1"/>
  <c r="C20" i="1"/>
  <c r="D20" i="1"/>
  <c r="E20" i="1"/>
  <c r="F20" i="1"/>
  <c r="G20" i="1"/>
  <c r="H20" i="1"/>
  <c r="J20" i="1"/>
  <c r="R20" i="1"/>
  <c r="B21" i="1"/>
  <c r="C21" i="1"/>
  <c r="D21" i="1"/>
  <c r="E21" i="1"/>
  <c r="F21" i="1"/>
  <c r="G21" i="1"/>
  <c r="H21" i="1"/>
  <c r="J21" i="1"/>
  <c r="R21" i="1"/>
  <c r="B22" i="1"/>
  <c r="C22" i="1"/>
  <c r="D22" i="1"/>
  <c r="E22" i="1"/>
  <c r="F22" i="1"/>
  <c r="G22" i="1"/>
  <c r="H22" i="1"/>
  <c r="J22" i="1"/>
  <c r="R22" i="1"/>
  <c r="B23" i="1"/>
  <c r="C23" i="1"/>
  <c r="D23" i="1"/>
  <c r="E23" i="1"/>
  <c r="F23" i="1"/>
  <c r="G23" i="1"/>
  <c r="H23" i="1"/>
  <c r="J23" i="1"/>
  <c r="R23" i="1"/>
  <c r="R1038" i="1" s="1"/>
  <c r="B24" i="1"/>
  <c r="C24" i="1"/>
  <c r="D24" i="1"/>
  <c r="E24" i="1"/>
  <c r="F24" i="1"/>
  <c r="G24" i="1"/>
  <c r="H24" i="1"/>
  <c r="J24" i="1"/>
  <c r="R24" i="1"/>
  <c r="B25" i="1"/>
  <c r="C25" i="1"/>
  <c r="D25" i="1"/>
  <c r="E25" i="1"/>
  <c r="F25" i="1"/>
  <c r="G25" i="1"/>
  <c r="H25" i="1"/>
  <c r="J25" i="1"/>
  <c r="R25" i="1"/>
  <c r="B26" i="1"/>
  <c r="C26" i="1"/>
  <c r="D26" i="1"/>
  <c r="E26" i="1"/>
  <c r="F26" i="1"/>
  <c r="G26" i="1"/>
  <c r="H26" i="1"/>
  <c r="J26" i="1"/>
  <c r="R26" i="1"/>
  <c r="B27" i="1"/>
  <c r="C27" i="1"/>
  <c r="D27" i="1"/>
  <c r="E27" i="1"/>
  <c r="F27" i="1"/>
  <c r="G27" i="1"/>
  <c r="H27" i="1"/>
  <c r="J27" i="1"/>
  <c r="R27" i="1"/>
  <c r="B28" i="1"/>
  <c r="C28" i="1"/>
  <c r="D28" i="1"/>
  <c r="E28" i="1"/>
  <c r="F28" i="1"/>
  <c r="G28" i="1"/>
  <c r="H28" i="1"/>
  <c r="J28" i="1"/>
  <c r="R28" i="1"/>
  <c r="B29" i="1"/>
  <c r="C29" i="1"/>
  <c r="D29" i="1"/>
  <c r="E29" i="1"/>
  <c r="F29" i="1"/>
  <c r="G29" i="1"/>
  <c r="H29" i="1"/>
  <c r="J29" i="1"/>
  <c r="R29" i="1"/>
  <c r="B30" i="1"/>
  <c r="C30" i="1"/>
  <c r="D30" i="1"/>
  <c r="E30" i="1"/>
  <c r="F30" i="1"/>
  <c r="G30" i="1"/>
  <c r="H30" i="1"/>
  <c r="J30" i="1"/>
  <c r="R30" i="1"/>
  <c r="B31" i="1"/>
  <c r="C31" i="1"/>
  <c r="D31" i="1"/>
  <c r="E31" i="1"/>
  <c r="F31" i="1"/>
  <c r="G31" i="1"/>
  <c r="H31" i="1"/>
  <c r="J31" i="1"/>
  <c r="R31" i="1"/>
  <c r="B32" i="1"/>
  <c r="C32" i="1"/>
  <c r="D32" i="1"/>
  <c r="E32" i="1"/>
  <c r="F32" i="1"/>
  <c r="G32" i="1"/>
  <c r="H32" i="1"/>
  <c r="J32" i="1"/>
  <c r="R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B38" i="1"/>
  <c r="C38" i="1"/>
  <c r="D38" i="1"/>
  <c r="E38" i="1"/>
  <c r="F38" i="1"/>
  <c r="G38" i="1"/>
  <c r="H38" i="1"/>
  <c r="I38" i="1"/>
  <c r="J38" i="1"/>
  <c r="B39" i="1"/>
  <c r="C39" i="1"/>
  <c r="D39" i="1"/>
  <c r="E39" i="1"/>
  <c r="F39" i="1"/>
  <c r="G39" i="1"/>
  <c r="H39" i="1"/>
  <c r="I39" i="1"/>
  <c r="J39" i="1"/>
  <c r="B40" i="1"/>
  <c r="C40" i="1"/>
  <c r="D40" i="1"/>
  <c r="E40" i="1"/>
  <c r="F40" i="1"/>
  <c r="G40" i="1"/>
  <c r="H40" i="1"/>
  <c r="I40" i="1"/>
  <c r="J40" i="1"/>
  <c r="B41" i="1"/>
  <c r="C41" i="1"/>
  <c r="D41" i="1"/>
  <c r="E41" i="1"/>
  <c r="F41" i="1"/>
  <c r="G41" i="1"/>
  <c r="H41" i="1"/>
  <c r="I41" i="1"/>
  <c r="J41" i="1"/>
  <c r="B42" i="1"/>
  <c r="C42" i="1"/>
  <c r="D42" i="1"/>
  <c r="E42" i="1"/>
  <c r="F42" i="1"/>
  <c r="G42" i="1"/>
  <c r="H42" i="1"/>
  <c r="I42" i="1"/>
  <c r="J42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L1038" i="1"/>
  <c r="M1038" i="1"/>
  <c r="N1038" i="1"/>
  <c r="O1038" i="1"/>
  <c r="P1038" i="1"/>
  <c r="E1039" i="1"/>
  <c r="G1039" i="1"/>
  <c r="L1039" i="1"/>
  <c r="M1039" i="1"/>
  <c r="N1039" i="1"/>
  <c r="O1039" i="1"/>
  <c r="P1039" i="1"/>
  <c r="Q1039" i="1"/>
  <c r="E1040" i="1"/>
  <c r="F1040" i="1"/>
  <c r="L1040" i="1"/>
  <c r="M1040" i="1"/>
  <c r="N1040" i="1"/>
  <c r="O1040" i="1"/>
  <c r="P1040" i="1"/>
  <c r="Q1040" i="1"/>
  <c r="G1041" i="1"/>
  <c r="L1041" i="1"/>
  <c r="M1041" i="1"/>
  <c r="N1041" i="1"/>
  <c r="O1041" i="1"/>
  <c r="P1041" i="1"/>
  <c r="Q1041" i="1"/>
  <c r="H1042" i="1"/>
  <c r="J1042" i="1"/>
  <c r="L1042" i="1"/>
  <c r="M1042" i="1"/>
  <c r="N1042" i="1"/>
  <c r="O1042" i="1"/>
  <c r="P1042" i="1"/>
  <c r="Q1042" i="1"/>
  <c r="C1043" i="1"/>
  <c r="E1043" i="1"/>
  <c r="H1043" i="1"/>
  <c r="I1043" i="1"/>
  <c r="L1043" i="1"/>
  <c r="M1043" i="1"/>
  <c r="N1043" i="1"/>
  <c r="O1043" i="1"/>
  <c r="P1043" i="1"/>
  <c r="Q1043" i="1"/>
  <c r="B1044" i="1"/>
  <c r="D1044" i="1"/>
  <c r="L1044" i="1"/>
  <c r="M1044" i="1"/>
  <c r="N1044" i="1"/>
  <c r="O1044" i="1"/>
  <c r="P1044" i="1"/>
  <c r="Q1044" i="1"/>
  <c r="I1045" i="1"/>
  <c r="L1045" i="1"/>
  <c r="M1045" i="1"/>
  <c r="N1045" i="1"/>
  <c r="O1045" i="1"/>
  <c r="P1045" i="1"/>
  <c r="Q1045" i="1"/>
  <c r="D1046" i="1"/>
  <c r="E1046" i="1"/>
  <c r="J1046" i="1"/>
  <c r="L1046" i="1"/>
  <c r="M1046" i="1"/>
  <c r="N1046" i="1"/>
  <c r="O1046" i="1"/>
  <c r="P1046" i="1"/>
  <c r="Q1046" i="1"/>
  <c r="D1047" i="1"/>
  <c r="E1047" i="1"/>
  <c r="L1047" i="1"/>
  <c r="M1047" i="1"/>
  <c r="N1047" i="1"/>
  <c r="O1047" i="1"/>
  <c r="P1047" i="1"/>
  <c r="Q1047" i="1"/>
  <c r="L1048" i="1"/>
  <c r="M1048" i="1"/>
  <c r="N1048" i="1"/>
  <c r="O1048" i="1"/>
  <c r="P1048" i="1"/>
  <c r="Q1048" i="1"/>
  <c r="L1049" i="1"/>
  <c r="M1049" i="1"/>
  <c r="N1049" i="1"/>
  <c r="O1049" i="1"/>
  <c r="P1049" i="1"/>
  <c r="Q1049" i="1"/>
  <c r="G1050" i="1"/>
  <c r="L1050" i="1"/>
  <c r="M1050" i="1"/>
  <c r="N1050" i="1"/>
  <c r="O1050" i="1"/>
  <c r="P1050" i="1"/>
  <c r="Q1050" i="1"/>
  <c r="L1051" i="1"/>
  <c r="M1051" i="1"/>
  <c r="N1051" i="1"/>
  <c r="O1051" i="1"/>
  <c r="P1051" i="1"/>
  <c r="Q1051" i="1"/>
  <c r="L1052" i="1"/>
  <c r="M1052" i="1"/>
  <c r="N1052" i="1"/>
  <c r="O1052" i="1"/>
  <c r="P1052" i="1"/>
  <c r="Q1052" i="1"/>
  <c r="L1053" i="1"/>
  <c r="M1053" i="1"/>
  <c r="N1053" i="1"/>
  <c r="O1053" i="1"/>
  <c r="P1053" i="1"/>
  <c r="Q1053" i="1"/>
  <c r="L1054" i="1"/>
  <c r="M1054" i="1"/>
  <c r="N1054" i="1"/>
  <c r="O1054" i="1"/>
  <c r="P1054" i="1"/>
  <c r="Q1054" i="1"/>
  <c r="G1055" i="1"/>
  <c r="I1055" i="1"/>
  <c r="L1055" i="1"/>
  <c r="M1055" i="1"/>
  <c r="N1055" i="1"/>
  <c r="O1055" i="1"/>
  <c r="P1055" i="1"/>
  <c r="Q1055" i="1"/>
  <c r="B1056" i="1"/>
  <c r="D1056" i="1"/>
  <c r="L1056" i="1"/>
  <c r="M1056" i="1"/>
  <c r="N1056" i="1"/>
  <c r="O1056" i="1"/>
  <c r="P1056" i="1"/>
  <c r="Q1056" i="1"/>
  <c r="I1057" i="1"/>
  <c r="L1057" i="1"/>
  <c r="M1057" i="1"/>
  <c r="N1057" i="1"/>
  <c r="O1057" i="1"/>
  <c r="P1057" i="1"/>
  <c r="Q1057" i="1"/>
  <c r="F1058" i="1"/>
  <c r="I1058" i="1"/>
  <c r="J1058" i="1"/>
  <c r="L1058" i="1"/>
  <c r="M1058" i="1"/>
  <c r="N1058" i="1"/>
  <c r="O1058" i="1"/>
  <c r="P1058" i="1"/>
  <c r="Q1058" i="1"/>
  <c r="B1059" i="1"/>
  <c r="C1059" i="1"/>
  <c r="G1059" i="1"/>
  <c r="L1059" i="1"/>
  <c r="M1059" i="1"/>
  <c r="N1059" i="1"/>
  <c r="O1059" i="1"/>
  <c r="P1059" i="1"/>
  <c r="Q1059" i="1"/>
  <c r="A1060" i="1"/>
  <c r="A1061" i="1" s="1"/>
  <c r="A1062" i="1" s="1"/>
  <c r="A1063" i="1" s="1"/>
  <c r="G1060" i="1"/>
  <c r="L1060" i="1"/>
  <c r="M1060" i="1"/>
  <c r="N1060" i="1"/>
  <c r="O1060" i="1"/>
  <c r="P1060" i="1"/>
  <c r="Q1060" i="1"/>
  <c r="L1061" i="1"/>
  <c r="M1061" i="1"/>
  <c r="N1061" i="1"/>
  <c r="O1061" i="1"/>
  <c r="P1061" i="1"/>
  <c r="Q1061" i="1"/>
  <c r="L1062" i="1"/>
  <c r="M1062" i="1"/>
  <c r="N1062" i="1"/>
  <c r="O1062" i="1"/>
  <c r="P1062" i="1"/>
  <c r="Q1062" i="1"/>
  <c r="H1063" i="1"/>
  <c r="I1063" i="1"/>
  <c r="L1063" i="1"/>
  <c r="M1063" i="1"/>
  <c r="N1063" i="1"/>
  <c r="O1063" i="1"/>
  <c r="P1063" i="1"/>
  <c r="Q1063" i="1"/>
  <c r="A1064" i="1"/>
  <c r="A1065" i="1" s="1"/>
  <c r="E1064" i="1"/>
  <c r="G1064" i="1"/>
  <c r="L1064" i="1"/>
  <c r="M1064" i="1"/>
  <c r="N1064" i="1"/>
  <c r="O1064" i="1"/>
  <c r="P1064" i="1"/>
  <c r="Q1064" i="1"/>
  <c r="I1065" i="1"/>
  <c r="J1065" i="1"/>
  <c r="L1065" i="1"/>
  <c r="M1065" i="1"/>
  <c r="N1065" i="1"/>
  <c r="O1065" i="1"/>
  <c r="P1065" i="1"/>
  <c r="Q1065" i="1"/>
  <c r="A1066" i="1"/>
  <c r="A1067" i="1" s="1"/>
  <c r="A1068" i="1" s="1"/>
  <c r="A1069" i="1" s="1"/>
  <c r="A1070" i="1" s="1"/>
  <c r="A1071" i="1" s="1"/>
  <c r="B1066" i="1"/>
  <c r="C1066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H1068" i="1"/>
  <c r="J1068" i="1"/>
  <c r="L1068" i="1"/>
  <c r="M1068" i="1"/>
  <c r="N1068" i="1"/>
  <c r="O1068" i="1"/>
  <c r="P1068" i="1"/>
  <c r="Q1068" i="1"/>
  <c r="B1069" i="1"/>
  <c r="C1069" i="1"/>
  <c r="L1069" i="1"/>
  <c r="M1069" i="1"/>
  <c r="N1069" i="1"/>
  <c r="O1069" i="1"/>
  <c r="P1069" i="1"/>
  <c r="Q1069" i="1"/>
  <c r="G1070" i="1"/>
  <c r="H1070" i="1"/>
  <c r="J1070" i="1"/>
  <c r="L1070" i="1"/>
  <c r="M1070" i="1"/>
  <c r="N1070" i="1"/>
  <c r="O1070" i="1"/>
  <c r="P1070" i="1"/>
  <c r="Q1070" i="1"/>
  <c r="B1071" i="1"/>
  <c r="C1071" i="1"/>
  <c r="E1071" i="1"/>
  <c r="L1071" i="1"/>
  <c r="M1071" i="1"/>
  <c r="N1071" i="1"/>
  <c r="O1071" i="1"/>
  <c r="P1071" i="1"/>
  <c r="Q1071" i="1"/>
  <c r="A1072" i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L1072" i="1"/>
  <c r="M1072" i="1"/>
  <c r="N1072" i="1"/>
  <c r="O1072" i="1"/>
  <c r="P1072" i="1"/>
  <c r="Q1072" i="1"/>
  <c r="C1073" i="1"/>
  <c r="L1073" i="1"/>
  <c r="M1073" i="1"/>
  <c r="N1073" i="1"/>
  <c r="O1073" i="1"/>
  <c r="P1073" i="1"/>
  <c r="Q1073" i="1"/>
  <c r="L1074" i="1"/>
  <c r="M1074" i="1"/>
  <c r="N1074" i="1"/>
  <c r="O1074" i="1"/>
  <c r="P1074" i="1"/>
  <c r="Q1074" i="1"/>
  <c r="I1075" i="1"/>
  <c r="J1075" i="1"/>
  <c r="L1075" i="1"/>
  <c r="M1075" i="1"/>
  <c r="N1075" i="1"/>
  <c r="O1075" i="1"/>
  <c r="P1075" i="1"/>
  <c r="Q1075" i="1"/>
  <c r="B1076" i="1"/>
  <c r="G1076" i="1"/>
  <c r="L1076" i="1"/>
  <c r="M1076" i="1"/>
  <c r="N1076" i="1"/>
  <c r="O1076" i="1"/>
  <c r="P1076" i="1"/>
  <c r="Q1076" i="1"/>
  <c r="H1077" i="1"/>
  <c r="J1077" i="1"/>
  <c r="L1077" i="1"/>
  <c r="M1077" i="1"/>
  <c r="N1077" i="1"/>
  <c r="O1077" i="1"/>
  <c r="P1077" i="1"/>
  <c r="Q1077" i="1"/>
  <c r="B1078" i="1"/>
  <c r="C1078" i="1"/>
  <c r="G1078" i="1"/>
  <c r="L1078" i="1"/>
  <c r="M1078" i="1"/>
  <c r="N1078" i="1"/>
  <c r="O1078" i="1"/>
  <c r="P1078" i="1"/>
  <c r="Q1078" i="1"/>
  <c r="L1079" i="1"/>
  <c r="M1079" i="1"/>
  <c r="N1079" i="1"/>
  <c r="O1079" i="1"/>
  <c r="P1079" i="1"/>
  <c r="Q1079" i="1"/>
  <c r="L1080" i="1"/>
  <c r="M1080" i="1"/>
  <c r="N1080" i="1"/>
  <c r="O1080" i="1"/>
  <c r="P1080" i="1"/>
  <c r="Q1080" i="1"/>
  <c r="I1081" i="1"/>
  <c r="L1081" i="1"/>
  <c r="M1081" i="1"/>
  <c r="N1081" i="1"/>
  <c r="O1081" i="1"/>
  <c r="P1081" i="1"/>
  <c r="Q1081" i="1"/>
  <c r="H1082" i="1"/>
  <c r="J1082" i="1"/>
  <c r="L1082" i="1"/>
  <c r="M1082" i="1"/>
  <c r="N1082" i="1"/>
  <c r="O1082" i="1"/>
  <c r="P1082" i="1"/>
  <c r="Q1082" i="1"/>
  <c r="B1083" i="1"/>
  <c r="C1083" i="1"/>
  <c r="G1083" i="1"/>
  <c r="H1083" i="1"/>
  <c r="L1083" i="1"/>
  <c r="M1083" i="1"/>
  <c r="N1083" i="1"/>
  <c r="O1083" i="1"/>
  <c r="P1083" i="1"/>
  <c r="Q1083" i="1"/>
  <c r="I1083" i="1" l="1"/>
  <c r="C1081" i="1"/>
  <c r="G1080" i="1"/>
  <c r="H1080" i="1"/>
  <c r="B1079" i="1"/>
  <c r="C1079" i="1"/>
  <c r="J1078" i="1"/>
  <c r="H1078" i="1"/>
  <c r="G1075" i="1"/>
  <c r="B1074" i="1"/>
  <c r="I1073" i="1"/>
  <c r="J1073" i="1"/>
  <c r="H1071" i="1"/>
  <c r="B1068" i="1"/>
  <c r="I1067" i="1"/>
  <c r="J1067" i="1"/>
  <c r="B1067" i="1"/>
  <c r="E1066" i="1"/>
  <c r="H1066" i="1"/>
  <c r="C1063" i="1"/>
  <c r="B1062" i="1"/>
  <c r="B1061" i="1"/>
  <c r="C1061" i="1"/>
  <c r="J1060" i="1"/>
  <c r="H1060" i="1"/>
  <c r="D1054" i="1"/>
  <c r="E1054" i="1"/>
  <c r="I1053" i="1"/>
  <c r="C1052" i="1"/>
  <c r="G1051" i="1"/>
  <c r="C1051" i="1"/>
  <c r="J1050" i="1"/>
  <c r="H1050" i="1"/>
  <c r="H1049" i="1"/>
  <c r="B1048" i="1"/>
  <c r="E1048" i="1"/>
  <c r="F1047" i="1"/>
  <c r="G1047" i="1"/>
  <c r="C1039" i="1"/>
  <c r="E1038" i="1"/>
  <c r="G1038" i="1"/>
  <c r="I1116" i="4"/>
  <c r="G1099" i="4"/>
  <c r="C1071" i="3"/>
  <c r="C1058" i="3"/>
  <c r="C1047" i="3"/>
  <c r="H1095" i="4"/>
  <c r="J1095" i="4"/>
  <c r="F1085" i="4"/>
  <c r="D1065" i="4"/>
  <c r="D1059" i="4"/>
  <c r="E1081" i="1"/>
  <c r="I1080" i="1"/>
  <c r="H1075" i="1"/>
  <c r="C1074" i="1"/>
  <c r="E1073" i="1"/>
  <c r="I1072" i="1"/>
  <c r="G1068" i="1"/>
  <c r="E1063" i="1"/>
  <c r="J1062" i="1"/>
  <c r="H1061" i="1"/>
  <c r="E1061" i="1"/>
  <c r="D1058" i="1"/>
  <c r="F1055" i="1"/>
  <c r="E1055" i="1"/>
  <c r="H1054" i="1"/>
  <c r="F1052" i="1"/>
  <c r="H1051" i="1"/>
  <c r="E1051" i="1"/>
  <c r="G1042" i="1"/>
  <c r="I1039" i="1"/>
  <c r="D1039" i="1"/>
  <c r="J1038" i="1"/>
  <c r="E1083" i="3"/>
  <c r="E1081" i="3"/>
  <c r="E1079" i="3"/>
  <c r="E1077" i="3"/>
  <c r="E1073" i="3"/>
  <c r="E1071" i="3"/>
  <c r="E1069" i="3"/>
  <c r="E1065" i="3"/>
  <c r="E1063" i="3"/>
  <c r="E1061" i="3"/>
  <c r="E1043" i="3"/>
  <c r="E1040" i="3"/>
  <c r="B1084" i="3"/>
  <c r="C1084" i="3"/>
  <c r="D1084" i="3"/>
  <c r="E1084" i="3"/>
  <c r="A1085" i="3"/>
  <c r="D1084" i="1"/>
  <c r="M1084" i="1"/>
  <c r="F1084" i="1"/>
  <c r="O1084" i="1"/>
  <c r="C1084" i="1"/>
  <c r="P1084" i="1"/>
  <c r="E1084" i="1"/>
  <c r="A1085" i="1"/>
  <c r="I1084" i="1"/>
  <c r="B1084" i="1"/>
  <c r="G1084" i="1"/>
  <c r="H1084" i="1"/>
  <c r="J1084" i="1"/>
  <c r="N1084" i="1"/>
  <c r="Q1084" i="1"/>
  <c r="L1084" i="1"/>
  <c r="G1122" i="4"/>
  <c r="G1118" i="4"/>
  <c r="G1115" i="4"/>
  <c r="G1113" i="4"/>
  <c r="G1110" i="4"/>
  <c r="G1109" i="4"/>
  <c r="G1108" i="4"/>
  <c r="G1106" i="4"/>
  <c r="G1105" i="4"/>
  <c r="G1103" i="4"/>
  <c r="G1100" i="4"/>
  <c r="G1098" i="4"/>
  <c r="G1095" i="4"/>
  <c r="G1094" i="4"/>
  <c r="G1093" i="4"/>
  <c r="G1092" i="4"/>
  <c r="G1089" i="4"/>
  <c r="G1088" i="4"/>
  <c r="G1087" i="4"/>
  <c r="G1079" i="4"/>
  <c r="G1078" i="4"/>
  <c r="G1075" i="4"/>
  <c r="G1073" i="4"/>
  <c r="G1069" i="4"/>
  <c r="G1067" i="4"/>
  <c r="G1066" i="4"/>
  <c r="G1060" i="4"/>
  <c r="G1056" i="4"/>
  <c r="G1053" i="4"/>
  <c r="G1051" i="4"/>
  <c r="G1049" i="4"/>
  <c r="G1047" i="4"/>
  <c r="G1046" i="4"/>
  <c r="G1040" i="4"/>
  <c r="G1039" i="4"/>
  <c r="G1077" i="4"/>
  <c r="G1038" i="4"/>
  <c r="F1122" i="4"/>
  <c r="F1120" i="4"/>
  <c r="F1119" i="4"/>
  <c r="F1118" i="4"/>
  <c r="F1115" i="4"/>
  <c r="F1112" i="4"/>
  <c r="D1109" i="4"/>
  <c r="F1107" i="4"/>
  <c r="F1106" i="4"/>
  <c r="F1103" i="4"/>
  <c r="F1100" i="4"/>
  <c r="F1093" i="4"/>
  <c r="F1087" i="4"/>
  <c r="F1086" i="4"/>
  <c r="F1081" i="4"/>
  <c r="F1080" i="4"/>
  <c r="F1078" i="4"/>
  <c r="F1071" i="4"/>
  <c r="F1069" i="4"/>
  <c r="F1066" i="4"/>
  <c r="H1065" i="4"/>
  <c r="F1063" i="4"/>
  <c r="F1062" i="4"/>
  <c r="F1060" i="4"/>
  <c r="F1058" i="4"/>
  <c r="J1054" i="4"/>
  <c r="F1052" i="4"/>
  <c r="F1050" i="4"/>
  <c r="F1040" i="4"/>
  <c r="F1039" i="4"/>
  <c r="F1077" i="4"/>
  <c r="F1038" i="4"/>
  <c r="K1044" i="4"/>
  <c r="D1120" i="4"/>
  <c r="B1106" i="4"/>
  <c r="B1078" i="4"/>
  <c r="G1121" i="4"/>
  <c r="G1119" i="4"/>
  <c r="G1116" i="4"/>
  <c r="G1114" i="4"/>
  <c r="G1101" i="4"/>
  <c r="G1097" i="4"/>
  <c r="G1096" i="4"/>
  <c r="G1091" i="4"/>
  <c r="G1090" i="4"/>
  <c r="G1086" i="4"/>
  <c r="G1085" i="4"/>
  <c r="G1084" i="4"/>
  <c r="G1083" i="4"/>
  <c r="G1082" i="4"/>
  <c r="G1081" i="4"/>
  <c r="G1080" i="4"/>
  <c r="G1076" i="4"/>
  <c r="G1074" i="4"/>
  <c r="G1072" i="4"/>
  <c r="G1071" i="4"/>
  <c r="G1070" i="4"/>
  <c r="G1068" i="4"/>
  <c r="G1065" i="4"/>
  <c r="G1064" i="4"/>
  <c r="G1063" i="4"/>
  <c r="G1062" i="4"/>
  <c r="G1061" i="4"/>
  <c r="G1059" i="4"/>
  <c r="G1058" i="4"/>
  <c r="G1057" i="4"/>
  <c r="G1055" i="4"/>
  <c r="G1054" i="4"/>
  <c r="G1052" i="4"/>
  <c r="G1050" i="4"/>
  <c r="K1048" i="4"/>
  <c r="G1048" i="4"/>
  <c r="G1045" i="4"/>
  <c r="G1044" i="4"/>
  <c r="G1043" i="4"/>
  <c r="G1042" i="4"/>
  <c r="G1041" i="4"/>
  <c r="F1121" i="4"/>
  <c r="F1117" i="4"/>
  <c r="F1116" i="4"/>
  <c r="F1114" i="4"/>
  <c r="F1113" i="4"/>
  <c r="F1111" i="4"/>
  <c r="F1110" i="4"/>
  <c r="F1109" i="4"/>
  <c r="F1108" i="4"/>
  <c r="F1105" i="4"/>
  <c r="F1104" i="4"/>
  <c r="F1102" i="4"/>
  <c r="F1101" i="4"/>
  <c r="F1098" i="4"/>
  <c r="F1096" i="4"/>
  <c r="F1091" i="4"/>
  <c r="F1090" i="4"/>
  <c r="F1089" i="4"/>
  <c r="F1084" i="4"/>
  <c r="B1082" i="4"/>
  <c r="F1068" i="4"/>
  <c r="F1065" i="4"/>
  <c r="F1059" i="4"/>
  <c r="F1057" i="4"/>
  <c r="F1055" i="4"/>
  <c r="F1054" i="4"/>
  <c r="F1051" i="4"/>
  <c r="F1049" i="4"/>
  <c r="J1048" i="4"/>
  <c r="F1043" i="4"/>
  <c r="F1041" i="4"/>
  <c r="B1040" i="4"/>
  <c r="J1038" i="4"/>
  <c r="K1095" i="4"/>
  <c r="K1040" i="4"/>
  <c r="J1075" i="4"/>
  <c r="G1120" i="4"/>
  <c r="G1117" i="4"/>
  <c r="G1112" i="4"/>
  <c r="G1111" i="4"/>
  <c r="C1110" i="4"/>
  <c r="G1107" i="4"/>
  <c r="G1104" i="4"/>
  <c r="G1102" i="4"/>
  <c r="F1099" i="4"/>
  <c r="F1097" i="4"/>
  <c r="F1095" i="4"/>
  <c r="F1094" i="4"/>
  <c r="F1092" i="4"/>
  <c r="F1088" i="4"/>
  <c r="F1083" i="4"/>
  <c r="F1082" i="4"/>
  <c r="F1079" i="4"/>
  <c r="F1076" i="4"/>
  <c r="F1075" i="4"/>
  <c r="F1074" i="4"/>
  <c r="F1073" i="4"/>
  <c r="F1072" i="4"/>
  <c r="F1070" i="4"/>
  <c r="F1067" i="4"/>
  <c r="F1064" i="4"/>
  <c r="F1061" i="4"/>
  <c r="F1056" i="4"/>
  <c r="D1055" i="4"/>
  <c r="F1053" i="4"/>
  <c r="F1048" i="4"/>
  <c r="F1047" i="4"/>
  <c r="F1046" i="4"/>
  <c r="F1045" i="4"/>
  <c r="F1044" i="4"/>
  <c r="D1043" i="4"/>
  <c r="F1042" i="4"/>
  <c r="K1122" i="4"/>
  <c r="I1121" i="4"/>
  <c r="E1121" i="4"/>
  <c r="K1120" i="4"/>
  <c r="C1119" i="4"/>
  <c r="K1118" i="4"/>
  <c r="K1117" i="4"/>
  <c r="K1116" i="4"/>
  <c r="K1115" i="4"/>
  <c r="C1114" i="4"/>
  <c r="C1113" i="4"/>
  <c r="K1112" i="4"/>
  <c r="I1111" i="4"/>
  <c r="E1111" i="4"/>
  <c r="E1110" i="4"/>
  <c r="C1109" i="4"/>
  <c r="C1108" i="4"/>
  <c r="I1107" i="4"/>
  <c r="E1107" i="4"/>
  <c r="I1106" i="4"/>
  <c r="E1106" i="4"/>
  <c r="I1105" i="4"/>
  <c r="E1105" i="4"/>
  <c r="C1104" i="4"/>
  <c r="I1103" i="4"/>
  <c r="E1103" i="4"/>
  <c r="I1102" i="4"/>
  <c r="E1102" i="4"/>
  <c r="K1101" i="4"/>
  <c r="I1100" i="4"/>
  <c r="E1100" i="4"/>
  <c r="C1099" i="4"/>
  <c r="I1098" i="4"/>
  <c r="E1098" i="4"/>
  <c r="I1097" i="4"/>
  <c r="E1097" i="4"/>
  <c r="K1096" i="4"/>
  <c r="C1095" i="4"/>
  <c r="I1094" i="4"/>
  <c r="E1094" i="4"/>
  <c r="K1093" i="4"/>
  <c r="I1092" i="4"/>
  <c r="E1092" i="4"/>
  <c r="I1091" i="4"/>
  <c r="C1091" i="4"/>
  <c r="K1090" i="4"/>
  <c r="I1089" i="4"/>
  <c r="E1089" i="4"/>
  <c r="K1088" i="4"/>
  <c r="K1087" i="4"/>
  <c r="I1086" i="4"/>
  <c r="E1086" i="4"/>
  <c r="K1085" i="4"/>
  <c r="I1084" i="4"/>
  <c r="E1084" i="4"/>
  <c r="I1083" i="4"/>
  <c r="E1083" i="4"/>
  <c r="K1082" i="4"/>
  <c r="I1081" i="4"/>
  <c r="E1081" i="4"/>
  <c r="I1080" i="4"/>
  <c r="E1080" i="4"/>
  <c r="C1079" i="4"/>
  <c r="I1078" i="4"/>
  <c r="E1078" i="4"/>
  <c r="K1076" i="4"/>
  <c r="K1075" i="4"/>
  <c r="K1074" i="4"/>
  <c r="I1073" i="4"/>
  <c r="C1073" i="4"/>
  <c r="K1072" i="4"/>
  <c r="I1071" i="4"/>
  <c r="E1071" i="4"/>
  <c r="I1070" i="4"/>
  <c r="E1070" i="4"/>
  <c r="C1069" i="4"/>
  <c r="C1068" i="4"/>
  <c r="K1067" i="4"/>
  <c r="K1066" i="4"/>
  <c r="K1065" i="4"/>
  <c r="C1064" i="4"/>
  <c r="I1063" i="4"/>
  <c r="E1063" i="4"/>
  <c r="C1062" i="4"/>
  <c r="I1061" i="4"/>
  <c r="E1061" i="4"/>
  <c r="C1060" i="4"/>
  <c r="C1059" i="4"/>
  <c r="I1058" i="4"/>
  <c r="E1058" i="4"/>
  <c r="C1057" i="4"/>
  <c r="I1056" i="4"/>
  <c r="K1056" i="4"/>
  <c r="K1055" i="4"/>
  <c r="K1054" i="4"/>
  <c r="C1053" i="4"/>
  <c r="K1052" i="4"/>
  <c r="I1051" i="4"/>
  <c r="C1051" i="4"/>
  <c r="K1050" i="4"/>
  <c r="I1049" i="4"/>
  <c r="E1049" i="4"/>
  <c r="E1048" i="4"/>
  <c r="C1047" i="4"/>
  <c r="I1046" i="4"/>
  <c r="E1046" i="4"/>
  <c r="C1045" i="4"/>
  <c r="C1044" i="4"/>
  <c r="C1043" i="4"/>
  <c r="I1042" i="4"/>
  <c r="E1042" i="4"/>
  <c r="C1041" i="4"/>
  <c r="I1040" i="4"/>
  <c r="I1039" i="4"/>
  <c r="E1039" i="4"/>
  <c r="I1038" i="4"/>
  <c r="I1077" i="4"/>
  <c r="C1077" i="4"/>
  <c r="C1038" i="4"/>
  <c r="I1082" i="1"/>
  <c r="E1079" i="1"/>
  <c r="I1076" i="1"/>
  <c r="I1070" i="1"/>
  <c r="E1067" i="1"/>
  <c r="I1060" i="1"/>
  <c r="I1054" i="1"/>
  <c r="I1050" i="1"/>
  <c r="I1048" i="1"/>
  <c r="I1046" i="1"/>
  <c r="I1044" i="1"/>
  <c r="I1042" i="1"/>
  <c r="I1040" i="1"/>
  <c r="J1122" i="4"/>
  <c r="D1121" i="4"/>
  <c r="H1119" i="4"/>
  <c r="D1119" i="4"/>
  <c r="H1118" i="4"/>
  <c r="D1118" i="4"/>
  <c r="D1117" i="4"/>
  <c r="D1116" i="4"/>
  <c r="J1115" i="4"/>
  <c r="J1114" i="4"/>
  <c r="J1113" i="4"/>
  <c r="H1112" i="4"/>
  <c r="B1111" i="4"/>
  <c r="B1110" i="4"/>
  <c r="B1109" i="4"/>
  <c r="H1108" i="4"/>
  <c r="B1107" i="4"/>
  <c r="D1106" i="4"/>
  <c r="J1105" i="4"/>
  <c r="B1104" i="4"/>
  <c r="D1102" i="4"/>
  <c r="J1100" i="4"/>
  <c r="J1099" i="4"/>
  <c r="D1098" i="4"/>
  <c r="J1096" i="4"/>
  <c r="D1095" i="4"/>
  <c r="H1093" i="4"/>
  <c r="D1092" i="4"/>
  <c r="D1091" i="4"/>
  <c r="B1090" i="4"/>
  <c r="D1089" i="4"/>
  <c r="B1088" i="4"/>
  <c r="D1087" i="4"/>
  <c r="J1086" i="4"/>
  <c r="D1085" i="4"/>
  <c r="H1084" i="4"/>
  <c r="J1084" i="4"/>
  <c r="D1083" i="4"/>
  <c r="D1081" i="4"/>
  <c r="J1080" i="4"/>
  <c r="H1079" i="4"/>
  <c r="D1079" i="4"/>
  <c r="D1076" i="4"/>
  <c r="D1074" i="4"/>
  <c r="H1073" i="4"/>
  <c r="J1072" i="4"/>
  <c r="J1071" i="4"/>
  <c r="D1070" i="4"/>
  <c r="D1069" i="4"/>
  <c r="H1067" i="4"/>
  <c r="H1056" i="4"/>
  <c r="G1082" i="1"/>
  <c r="I1079" i="1"/>
  <c r="D1079" i="1"/>
  <c r="C1077" i="1"/>
  <c r="J1074" i="1"/>
  <c r="H1074" i="1"/>
  <c r="H1072" i="1"/>
  <c r="D1069" i="1"/>
  <c r="D1067" i="1"/>
  <c r="G1066" i="1"/>
  <c r="H1064" i="1"/>
  <c r="B1063" i="1"/>
  <c r="G1058" i="1"/>
  <c r="C1057" i="1"/>
  <c r="G1056" i="1"/>
  <c r="D1055" i="1"/>
  <c r="G1053" i="1"/>
  <c r="C1053" i="1"/>
  <c r="D1051" i="1"/>
  <c r="B1050" i="1"/>
  <c r="G1049" i="1"/>
  <c r="C1049" i="1"/>
  <c r="G1048" i="1"/>
  <c r="C1045" i="1"/>
  <c r="H1044" i="1"/>
  <c r="C1041" i="1"/>
  <c r="H1038" i="1"/>
  <c r="D1083" i="3"/>
  <c r="D1082" i="3"/>
  <c r="D1081" i="3"/>
  <c r="D1080" i="3"/>
  <c r="D1079" i="3"/>
  <c r="D1078" i="3"/>
  <c r="D1077" i="3"/>
  <c r="D1075" i="3"/>
  <c r="D1074" i="3"/>
  <c r="D1073" i="3"/>
  <c r="D1072" i="3"/>
  <c r="D1070" i="3"/>
  <c r="D1069" i="3"/>
  <c r="D1068" i="3"/>
  <c r="D1067" i="3"/>
  <c r="C1122" i="4"/>
  <c r="K1121" i="4"/>
  <c r="C1120" i="4"/>
  <c r="I1119" i="4"/>
  <c r="E1119" i="4"/>
  <c r="I1118" i="4"/>
  <c r="C1118" i="4"/>
  <c r="E1117" i="4"/>
  <c r="C1116" i="4"/>
  <c r="I1115" i="4"/>
  <c r="E1115" i="4"/>
  <c r="E1114" i="4"/>
  <c r="K1113" i="4"/>
  <c r="I1112" i="4"/>
  <c r="E1112" i="4"/>
  <c r="K1111" i="4"/>
  <c r="K1110" i="4"/>
  <c r="I1109" i="4"/>
  <c r="E1109" i="4"/>
  <c r="K1108" i="4"/>
  <c r="K1107" i="4"/>
  <c r="C1106" i="4"/>
  <c r="C1105" i="4"/>
  <c r="I1104" i="4"/>
  <c r="E1104" i="4"/>
  <c r="C1103" i="4"/>
  <c r="K1102" i="4"/>
  <c r="E1101" i="4"/>
  <c r="C1100" i="4"/>
  <c r="K1099" i="4"/>
  <c r="C1098" i="4"/>
  <c r="C1097" i="4"/>
  <c r="C1096" i="4"/>
  <c r="I1095" i="4"/>
  <c r="K1094" i="4"/>
  <c r="I1093" i="4"/>
  <c r="E1093" i="4"/>
  <c r="K1092" i="4"/>
  <c r="E1091" i="4"/>
  <c r="C1090" i="4"/>
  <c r="C1089" i="4"/>
  <c r="E1088" i="4"/>
  <c r="E1087" i="4"/>
  <c r="K1086" i="4"/>
  <c r="C1085" i="4"/>
  <c r="K1084" i="4"/>
  <c r="K1083" i="4"/>
  <c r="I1082" i="4"/>
  <c r="E1082" i="4"/>
  <c r="C1081" i="4"/>
  <c r="K1080" i="4"/>
  <c r="I1079" i="4"/>
  <c r="E1079" i="4"/>
  <c r="C1078" i="4"/>
  <c r="I1076" i="4"/>
  <c r="E1076" i="4"/>
  <c r="I1075" i="4"/>
  <c r="E1075" i="4"/>
  <c r="C1074" i="4"/>
  <c r="E1073" i="4"/>
  <c r="E1072" i="4"/>
  <c r="K1071" i="4"/>
  <c r="K1070" i="4"/>
  <c r="I1069" i="4"/>
  <c r="E1069" i="4"/>
  <c r="I1068" i="4"/>
  <c r="E1068" i="4"/>
  <c r="I1067" i="4"/>
  <c r="E1067" i="4"/>
  <c r="C1066" i="4"/>
  <c r="C1065" i="4"/>
  <c r="K1064" i="4"/>
  <c r="C1063" i="4"/>
  <c r="K1062" i="4"/>
  <c r="C1061" i="4"/>
  <c r="K1060" i="4"/>
  <c r="I1059" i="4"/>
  <c r="E1059" i="4"/>
  <c r="K1058" i="4"/>
  <c r="K1057" i="4"/>
  <c r="E1056" i="4"/>
  <c r="C1055" i="4"/>
  <c r="C1054" i="4"/>
  <c r="I1053" i="4"/>
  <c r="E1053" i="4"/>
  <c r="C1052" i="4"/>
  <c r="E1051" i="4"/>
  <c r="I1050" i="4"/>
  <c r="E1050" i="4"/>
  <c r="C1049" i="4"/>
  <c r="C1048" i="4"/>
  <c r="I1047" i="4"/>
  <c r="E1047" i="4"/>
  <c r="C1046" i="4"/>
  <c r="I1045" i="4"/>
  <c r="E1045" i="4"/>
  <c r="E1044" i="4"/>
  <c r="K1043" i="4"/>
  <c r="K1042" i="4"/>
  <c r="K1041" i="4"/>
  <c r="C1040" i="4"/>
  <c r="C1039" i="4"/>
  <c r="K1077" i="4"/>
  <c r="K1038" i="4"/>
  <c r="E1083" i="1"/>
  <c r="I1078" i="1"/>
  <c r="E1075" i="1"/>
  <c r="E1069" i="1"/>
  <c r="E1065" i="1"/>
  <c r="E1059" i="1"/>
  <c r="I1056" i="1"/>
  <c r="E1053" i="1"/>
  <c r="B1122" i="4"/>
  <c r="B1121" i="4"/>
  <c r="B1119" i="4"/>
  <c r="B1118" i="4"/>
  <c r="B1117" i="4"/>
  <c r="H1116" i="4"/>
  <c r="H1115" i="4"/>
  <c r="D1115" i="4"/>
  <c r="H1114" i="4"/>
  <c r="B1114" i="4"/>
  <c r="B1113" i="4"/>
  <c r="D1112" i="4"/>
  <c r="H1111" i="4"/>
  <c r="D1111" i="4"/>
  <c r="H1110" i="4"/>
  <c r="D1110" i="4"/>
  <c r="D1108" i="4"/>
  <c r="H1107" i="4"/>
  <c r="D1107" i="4"/>
  <c r="J1106" i="4"/>
  <c r="B1105" i="4"/>
  <c r="D1104" i="4"/>
  <c r="D1103" i="4"/>
  <c r="D1101" i="4"/>
  <c r="D1100" i="4"/>
  <c r="B1099" i="4"/>
  <c r="J1098" i="4"/>
  <c r="D1097" i="4"/>
  <c r="D1096" i="4"/>
  <c r="J1094" i="4"/>
  <c r="D1093" i="4"/>
  <c r="H1092" i="4"/>
  <c r="J1091" i="4"/>
  <c r="J1090" i="4"/>
  <c r="D1088" i="4"/>
  <c r="B1087" i="4"/>
  <c r="B1086" i="4"/>
  <c r="D1084" i="4"/>
  <c r="B1083" i="4"/>
  <c r="D1082" i="4"/>
  <c r="H1081" i="4"/>
  <c r="D1080" i="4"/>
  <c r="B1079" i="4"/>
  <c r="J1078" i="4"/>
  <c r="J1076" i="4"/>
  <c r="H1075" i="4"/>
  <c r="D1075" i="4"/>
  <c r="B1074" i="4"/>
  <c r="D1073" i="4"/>
  <c r="H1072" i="4"/>
  <c r="D1072" i="4"/>
  <c r="H1071" i="4"/>
  <c r="B1070" i="4"/>
  <c r="H1049" i="4"/>
  <c r="D1083" i="1"/>
  <c r="E1082" i="1"/>
  <c r="E1080" i="1"/>
  <c r="D1077" i="1"/>
  <c r="C1075" i="1"/>
  <c r="G1074" i="1"/>
  <c r="G1072" i="1"/>
  <c r="D1071" i="1"/>
  <c r="C1070" i="1"/>
  <c r="J1069" i="1"/>
  <c r="D1065" i="1"/>
  <c r="G1062" i="1"/>
  <c r="B1060" i="1"/>
  <c r="J1059" i="1"/>
  <c r="B1058" i="1"/>
  <c r="H1058" i="1"/>
  <c r="D1057" i="1"/>
  <c r="D1053" i="1"/>
  <c r="H1052" i="1"/>
  <c r="D1049" i="1"/>
  <c r="H1048" i="1"/>
  <c r="C1047" i="1"/>
  <c r="H1046" i="1"/>
  <c r="G1045" i="1"/>
  <c r="D1042" i="1"/>
  <c r="F1041" i="1"/>
  <c r="D1041" i="1"/>
  <c r="G1040" i="1"/>
  <c r="J1083" i="1"/>
  <c r="B1082" i="1"/>
  <c r="C1082" i="1"/>
  <c r="J1081" i="1"/>
  <c r="H1079" i="1"/>
  <c r="B1077" i="1"/>
  <c r="J1076" i="1"/>
  <c r="B1075" i="1"/>
  <c r="E1074" i="1"/>
  <c r="E1072" i="1"/>
  <c r="I1071" i="1"/>
  <c r="B1070" i="1"/>
  <c r="H1069" i="1"/>
  <c r="G1067" i="1"/>
  <c r="J1066" i="1"/>
  <c r="C1062" i="1"/>
  <c r="J1061" i="1"/>
  <c r="H1059" i="1"/>
  <c r="I1059" i="1"/>
  <c r="G1057" i="1"/>
  <c r="F1056" i="1"/>
  <c r="J1052" i="1"/>
  <c r="F1049" i="1"/>
  <c r="J1048" i="1"/>
  <c r="F1044" i="1"/>
  <c r="J1040" i="1"/>
  <c r="I1122" i="4"/>
  <c r="E1122" i="4"/>
  <c r="C1121" i="4"/>
  <c r="I1120" i="4"/>
  <c r="E1120" i="4"/>
  <c r="K1119" i="4"/>
  <c r="E1118" i="4"/>
  <c r="I1117" i="4"/>
  <c r="E1116" i="4"/>
  <c r="C1115" i="4"/>
  <c r="I1114" i="4"/>
  <c r="K1114" i="4"/>
  <c r="I1113" i="4"/>
  <c r="E1113" i="4"/>
  <c r="C1112" i="4"/>
  <c r="C1111" i="4"/>
  <c r="I1110" i="4"/>
  <c r="K1109" i="4"/>
  <c r="I1108" i="4"/>
  <c r="E1108" i="4"/>
  <c r="C1107" i="4"/>
  <c r="K1106" i="4"/>
  <c r="K1105" i="4"/>
  <c r="K1104" i="4"/>
  <c r="K1103" i="4"/>
  <c r="C1102" i="4"/>
  <c r="I1101" i="4"/>
  <c r="C1101" i="4"/>
  <c r="K1100" i="4"/>
  <c r="I1099" i="4"/>
  <c r="E1099" i="4"/>
  <c r="K1098" i="4"/>
  <c r="K1097" i="4"/>
  <c r="I1096" i="4"/>
  <c r="E1096" i="4"/>
  <c r="E1095" i="4"/>
  <c r="C1094" i="4"/>
  <c r="C1093" i="4"/>
  <c r="C1092" i="4"/>
  <c r="K1091" i="4"/>
  <c r="I1090" i="4"/>
  <c r="E1090" i="4"/>
  <c r="K1089" i="4"/>
  <c r="I1088" i="4"/>
  <c r="C1088" i="4"/>
  <c r="I1087" i="4"/>
  <c r="C1087" i="4"/>
  <c r="C1086" i="4"/>
  <c r="I1085" i="4"/>
  <c r="E1085" i="4"/>
  <c r="C1084" i="4"/>
  <c r="C1083" i="4"/>
  <c r="C1082" i="4"/>
  <c r="K1081" i="4"/>
  <c r="C1080" i="4"/>
  <c r="K1079" i="4"/>
  <c r="K1078" i="4"/>
  <c r="C1076" i="4"/>
  <c r="C1075" i="4"/>
  <c r="I1074" i="4"/>
  <c r="E1074" i="4"/>
  <c r="K1073" i="4"/>
  <c r="I1072" i="4"/>
  <c r="C1072" i="4"/>
  <c r="C1071" i="4"/>
  <c r="C1070" i="4"/>
  <c r="K1069" i="4"/>
  <c r="K1068" i="4"/>
  <c r="C1067" i="4"/>
  <c r="I1066" i="4"/>
  <c r="E1066" i="4"/>
  <c r="I1065" i="4"/>
  <c r="E1065" i="4"/>
  <c r="I1064" i="4"/>
  <c r="E1064" i="4"/>
  <c r="K1063" i="4"/>
  <c r="I1062" i="4"/>
  <c r="E1062" i="4"/>
  <c r="K1061" i="4"/>
  <c r="I1060" i="4"/>
  <c r="E1060" i="4"/>
  <c r="K1059" i="4"/>
  <c r="C1058" i="4"/>
  <c r="I1057" i="4"/>
  <c r="E1057" i="4"/>
  <c r="C1056" i="4"/>
  <c r="I1055" i="4"/>
  <c r="E1055" i="4"/>
  <c r="I1054" i="4"/>
  <c r="E1054" i="4"/>
  <c r="K1053" i="4"/>
  <c r="I1052" i="4"/>
  <c r="E1052" i="4"/>
  <c r="K1051" i="4"/>
  <c r="C1050" i="4"/>
  <c r="K1049" i="4"/>
  <c r="I1048" i="4"/>
  <c r="K1047" i="4"/>
  <c r="K1046" i="4"/>
  <c r="K1045" i="4"/>
  <c r="I1044" i="4"/>
  <c r="I1043" i="4"/>
  <c r="E1043" i="4"/>
  <c r="C1042" i="4"/>
  <c r="I1041" i="4"/>
  <c r="E1041" i="4"/>
  <c r="E1040" i="4"/>
  <c r="K1039" i="4"/>
  <c r="E1077" i="4"/>
  <c r="E1038" i="4"/>
  <c r="E1077" i="1"/>
  <c r="I1074" i="1"/>
  <c r="I1068" i="1"/>
  <c r="I1066" i="1"/>
  <c r="I1064" i="1"/>
  <c r="I1062" i="1"/>
  <c r="E1057" i="1"/>
  <c r="I1052" i="1"/>
  <c r="E1049" i="1"/>
  <c r="E1045" i="1"/>
  <c r="E1041" i="1"/>
  <c r="H1122" i="4"/>
  <c r="D1122" i="4"/>
  <c r="J1121" i="4"/>
  <c r="H1120" i="4"/>
  <c r="J1119" i="4"/>
  <c r="J1118" i="4"/>
  <c r="J1117" i="4"/>
  <c r="B1115" i="4"/>
  <c r="D1114" i="4"/>
  <c r="D1113" i="4"/>
  <c r="J1111" i="4"/>
  <c r="J1110" i="4"/>
  <c r="J1109" i="4"/>
  <c r="J1107" i="4"/>
  <c r="H1106" i="4"/>
  <c r="D1105" i="4"/>
  <c r="H1104" i="4"/>
  <c r="H1103" i="4"/>
  <c r="B1102" i="4"/>
  <c r="B1100" i="4"/>
  <c r="H1099" i="4"/>
  <c r="D1099" i="4"/>
  <c r="H1097" i="4"/>
  <c r="B1096" i="4"/>
  <c r="B1095" i="4"/>
  <c r="D1094" i="4"/>
  <c r="B1092" i="4"/>
  <c r="B1091" i="4"/>
  <c r="D1090" i="4"/>
  <c r="H1089" i="4"/>
  <c r="H1088" i="4"/>
  <c r="D1086" i="4"/>
  <c r="H1085" i="4"/>
  <c r="B1084" i="4"/>
  <c r="H1083" i="4"/>
  <c r="J1082" i="4"/>
  <c r="H1080" i="4"/>
  <c r="J1079" i="4"/>
  <c r="D1078" i="4"/>
  <c r="H1076" i="4"/>
  <c r="B1075" i="4"/>
  <c r="B1072" i="4"/>
  <c r="D1071" i="4"/>
  <c r="J1070" i="4"/>
  <c r="D1081" i="1"/>
  <c r="H1076" i="1"/>
  <c r="D1075" i="1"/>
  <c r="D1073" i="1"/>
  <c r="H1067" i="1"/>
  <c r="C1067" i="1"/>
  <c r="C1065" i="1"/>
  <c r="D1063" i="1"/>
  <c r="H1062" i="1"/>
  <c r="D1061" i="1"/>
  <c r="D1059" i="1"/>
  <c r="H1057" i="1"/>
  <c r="H1056" i="1"/>
  <c r="C1055" i="1"/>
  <c r="B1054" i="1"/>
  <c r="B1046" i="1"/>
  <c r="D1045" i="1"/>
  <c r="D1043" i="1"/>
  <c r="H1040" i="1"/>
  <c r="B1038" i="1"/>
  <c r="A1064" i="2"/>
  <c r="B1063" i="2"/>
  <c r="D1064" i="3"/>
  <c r="D1061" i="3"/>
  <c r="D1058" i="3"/>
  <c r="D1054" i="3"/>
  <c r="D1051" i="3"/>
  <c r="D1043" i="3"/>
  <c r="D1042" i="3"/>
  <c r="G1081" i="1"/>
  <c r="B1081" i="1"/>
  <c r="B1080" i="1"/>
  <c r="F1080" i="1"/>
  <c r="J1079" i="1"/>
  <c r="E1078" i="1"/>
  <c r="F1074" i="1"/>
  <c r="H1073" i="1"/>
  <c r="J1072" i="1"/>
  <c r="F1072" i="1"/>
  <c r="J1071" i="1"/>
  <c r="F1070" i="1"/>
  <c r="I1069" i="1"/>
  <c r="E1068" i="1"/>
  <c r="G1065" i="1"/>
  <c r="J1064" i="1"/>
  <c r="F1064" i="1"/>
  <c r="E1062" i="1"/>
  <c r="G1061" i="1"/>
  <c r="E1060" i="1"/>
  <c r="F1057" i="1"/>
  <c r="J1054" i="1"/>
  <c r="B1053" i="1"/>
  <c r="B1052" i="1"/>
  <c r="B1051" i="1"/>
  <c r="D1050" i="1"/>
  <c r="J1049" i="1"/>
  <c r="J1047" i="1"/>
  <c r="B1045" i="1"/>
  <c r="J1044" i="1"/>
  <c r="G1043" i="1"/>
  <c r="B1043" i="1"/>
  <c r="F1042" i="1"/>
  <c r="H1041" i="1"/>
  <c r="J1041" i="1"/>
  <c r="B1040" i="1"/>
  <c r="D1038" i="1"/>
  <c r="F1038" i="1"/>
  <c r="D1066" i="3"/>
  <c r="D1063" i="3"/>
  <c r="D1056" i="3"/>
  <c r="D1055" i="3"/>
  <c r="D1050" i="3"/>
  <c r="D1047" i="3"/>
  <c r="D1045" i="3"/>
  <c r="D1038" i="3"/>
  <c r="F1082" i="1"/>
  <c r="J1080" i="1"/>
  <c r="F1078" i="1"/>
  <c r="G1077" i="1"/>
  <c r="C1076" i="1"/>
  <c r="F1076" i="1"/>
  <c r="G1073" i="1"/>
  <c r="B1073" i="1"/>
  <c r="C1072" i="1"/>
  <c r="G1071" i="1"/>
  <c r="G1069" i="1"/>
  <c r="F1066" i="1"/>
  <c r="H1065" i="1"/>
  <c r="C1064" i="1"/>
  <c r="J1063" i="1"/>
  <c r="B1057" i="1"/>
  <c r="J1056" i="1"/>
  <c r="J1055" i="1"/>
  <c r="C1054" i="1"/>
  <c r="J1053" i="1"/>
  <c r="D1052" i="1"/>
  <c r="I1051" i="1"/>
  <c r="F1050" i="1"/>
  <c r="B1049" i="1"/>
  <c r="F1048" i="1"/>
  <c r="I1047" i="1"/>
  <c r="I1041" i="1"/>
  <c r="B1041" i="1"/>
  <c r="D1040" i="1"/>
  <c r="F1039" i="1"/>
  <c r="B1039" i="1"/>
  <c r="C1038" i="1"/>
  <c r="D1065" i="3"/>
  <c r="D1062" i="3"/>
  <c r="D1059" i="3"/>
  <c r="D1057" i="3"/>
  <c r="D1053" i="3"/>
  <c r="D1052" i="3"/>
  <c r="D1049" i="3"/>
  <c r="D1046" i="3"/>
  <c r="D1044" i="3"/>
  <c r="D1041" i="3"/>
  <c r="D1040" i="3"/>
  <c r="H1081" i="1"/>
  <c r="C1080" i="1"/>
  <c r="G1079" i="1"/>
  <c r="I1077" i="1"/>
  <c r="E1076" i="1"/>
  <c r="B1072" i="1"/>
  <c r="E1070" i="1"/>
  <c r="C1068" i="1"/>
  <c r="F1068" i="1"/>
  <c r="B1065" i="1"/>
  <c r="B1064" i="1"/>
  <c r="G1063" i="1"/>
  <c r="F1062" i="1"/>
  <c r="I1061" i="1"/>
  <c r="C1060" i="1"/>
  <c r="F1060" i="1"/>
  <c r="J1057" i="1"/>
  <c r="E1056" i="1"/>
  <c r="B1055" i="1"/>
  <c r="F1054" i="1"/>
  <c r="J1051" i="1"/>
  <c r="I1049" i="1"/>
  <c r="D1048" i="1"/>
  <c r="B1047" i="1"/>
  <c r="C1046" i="1"/>
  <c r="F1046" i="1"/>
  <c r="J1045" i="1"/>
  <c r="C1044" i="1"/>
  <c r="J1043" i="1"/>
  <c r="B1042" i="1"/>
  <c r="J1068" i="4"/>
  <c r="D1068" i="4"/>
  <c r="B1067" i="4"/>
  <c r="J1066" i="4"/>
  <c r="D1066" i="4"/>
  <c r="J1064" i="4"/>
  <c r="D1064" i="4"/>
  <c r="J1063" i="4"/>
  <c r="D1063" i="4"/>
  <c r="D1062" i="4"/>
  <c r="H1061" i="4"/>
  <c r="D1061" i="4"/>
  <c r="H1060" i="4"/>
  <c r="B1060" i="4"/>
  <c r="J1059" i="4"/>
  <c r="B1058" i="4"/>
  <c r="B1056" i="4"/>
  <c r="J1055" i="4"/>
  <c r="B1054" i="4"/>
  <c r="H1052" i="4"/>
  <c r="J1052" i="4"/>
  <c r="B1052" i="4"/>
  <c r="D1052" i="4"/>
  <c r="H1051" i="4"/>
  <c r="B1051" i="4"/>
  <c r="D1051" i="4"/>
  <c r="J1050" i="4"/>
  <c r="B1050" i="4"/>
  <c r="D1050" i="4"/>
  <c r="D1049" i="4"/>
  <c r="H1048" i="4"/>
  <c r="B1048" i="4"/>
  <c r="D1048" i="4"/>
  <c r="H1047" i="4"/>
  <c r="J1047" i="4"/>
  <c r="B1047" i="4"/>
  <c r="D1047" i="4"/>
  <c r="J1046" i="4"/>
  <c r="B1046" i="4"/>
  <c r="D1046" i="4"/>
  <c r="H1045" i="4"/>
  <c r="D1045" i="4"/>
  <c r="H1044" i="4"/>
  <c r="J1044" i="4"/>
  <c r="B1044" i="4"/>
  <c r="D1044" i="4"/>
  <c r="H1043" i="4"/>
  <c r="J1043" i="4"/>
  <c r="B1043" i="4"/>
  <c r="J1042" i="4"/>
  <c r="B1042" i="4"/>
  <c r="D1042" i="4"/>
  <c r="H1041" i="4"/>
  <c r="D1041" i="4"/>
  <c r="H1040" i="4"/>
  <c r="J1040" i="4"/>
  <c r="D1040" i="4"/>
  <c r="H1039" i="4"/>
  <c r="J1039" i="4"/>
  <c r="B1039" i="4"/>
  <c r="D1039" i="4"/>
  <c r="H1077" i="4"/>
  <c r="B1038" i="4"/>
  <c r="H1068" i="4"/>
  <c r="B1068" i="4"/>
  <c r="J1067" i="4"/>
  <c r="D1067" i="4"/>
  <c r="B1066" i="4"/>
  <c r="B1064" i="4"/>
  <c r="H1063" i="4"/>
  <c r="B1063" i="4"/>
  <c r="J1062" i="4"/>
  <c r="J1060" i="4"/>
  <c r="D1060" i="4"/>
  <c r="H1059" i="4"/>
  <c r="B1059" i="4"/>
  <c r="J1058" i="4"/>
  <c r="D1058" i="4"/>
  <c r="H1057" i="4"/>
  <c r="D1057" i="4"/>
  <c r="D1056" i="4"/>
  <c r="B1055" i="4"/>
  <c r="D1054" i="4"/>
  <c r="H1053" i="4"/>
  <c r="D1053" i="4"/>
  <c r="D1038" i="4"/>
  <c r="D1077" i="4"/>
  <c r="G1054" i="1"/>
  <c r="G1052" i="1"/>
  <c r="G1046" i="1"/>
  <c r="G1044" i="1"/>
  <c r="F1083" i="1"/>
  <c r="D1082" i="1"/>
  <c r="F1081" i="1"/>
  <c r="D1080" i="1"/>
  <c r="F1079" i="1"/>
  <c r="D1078" i="1"/>
  <c r="F1077" i="1"/>
  <c r="D1076" i="1"/>
  <c r="F1075" i="1"/>
  <c r="D1074" i="1"/>
  <c r="F1073" i="1"/>
  <c r="D1072" i="1"/>
  <c r="F1071" i="1"/>
  <c r="D1070" i="1"/>
  <c r="F1069" i="1"/>
  <c r="D1068" i="1"/>
  <c r="F1067" i="1"/>
  <c r="D1066" i="1"/>
  <c r="F1065" i="1"/>
  <c r="D1064" i="1"/>
  <c r="F1063" i="1"/>
  <c r="D1062" i="1"/>
  <c r="F1061" i="1"/>
  <c r="D1060" i="1"/>
  <c r="F1059" i="1"/>
  <c r="C1058" i="1"/>
  <c r="E1058" i="1"/>
  <c r="C1056" i="1"/>
  <c r="H1055" i="1"/>
  <c r="F1053" i="1"/>
  <c r="H1053" i="1"/>
  <c r="E1052" i="1"/>
  <c r="F1051" i="1"/>
  <c r="C1050" i="1"/>
  <c r="E1050" i="1"/>
  <c r="C1048" i="1"/>
  <c r="H1047" i="1"/>
  <c r="F1045" i="1"/>
  <c r="H1045" i="1"/>
  <c r="E1044" i="1"/>
  <c r="F1043" i="1"/>
  <c r="C1042" i="1"/>
  <c r="E1042" i="1"/>
  <c r="C1040" i="1"/>
  <c r="H1039" i="1"/>
  <c r="J1039" i="1"/>
  <c r="C1082" i="3"/>
  <c r="C1080" i="3"/>
  <c r="C1079" i="3"/>
  <c r="C1077" i="3"/>
  <c r="C1076" i="3"/>
  <c r="C1074" i="3"/>
  <c r="C1072" i="3"/>
  <c r="C1069" i="3"/>
  <c r="C1068" i="3"/>
  <c r="C1067" i="3"/>
  <c r="C1066" i="3"/>
  <c r="C1064" i="3"/>
  <c r="C1061" i="3"/>
  <c r="C1060" i="3"/>
  <c r="C1059" i="3"/>
  <c r="C1056" i="3"/>
  <c r="C1054" i="3"/>
  <c r="C1052" i="3"/>
  <c r="C1051" i="3"/>
  <c r="C1049" i="3"/>
  <c r="C1046" i="3"/>
  <c r="C1043" i="3"/>
  <c r="C1042" i="3"/>
  <c r="C1041" i="3"/>
  <c r="C1039" i="3"/>
  <c r="C1038" i="3"/>
  <c r="E1078" i="3"/>
  <c r="E1075" i="3"/>
  <c r="E1070" i="3"/>
  <c r="E1067" i="3"/>
  <c r="E1062" i="3"/>
  <c r="E1059" i="3"/>
  <c r="E1057" i="3"/>
  <c r="E1055" i="3"/>
  <c r="E1053" i="3"/>
  <c r="E1051" i="3"/>
  <c r="E1049" i="3"/>
  <c r="E1047" i="3"/>
  <c r="E1045" i="3"/>
  <c r="E1038" i="3"/>
  <c r="B1044" i="3"/>
  <c r="B1042" i="3"/>
  <c r="B1040" i="3"/>
  <c r="B1038" i="3"/>
  <c r="H1121" i="4"/>
  <c r="J1120" i="4"/>
  <c r="B1120" i="4"/>
  <c r="H1117" i="4"/>
  <c r="J1116" i="4"/>
  <c r="B1116" i="4"/>
  <c r="H1113" i="4"/>
  <c r="J1112" i="4"/>
  <c r="B1112" i="4"/>
  <c r="H1109" i="4"/>
  <c r="J1108" i="4"/>
  <c r="B1108" i="4"/>
  <c r="H1105" i="4"/>
  <c r="J1104" i="4"/>
  <c r="J1103" i="4"/>
  <c r="B1103" i="4"/>
  <c r="J1102" i="4"/>
  <c r="H1101" i="4"/>
  <c r="H1100" i="4"/>
  <c r="B1098" i="4"/>
  <c r="H1096" i="4"/>
  <c r="B1094" i="4"/>
  <c r="J1092" i="4"/>
  <c r="H1091" i="4"/>
  <c r="J1088" i="4"/>
  <c r="H1087" i="4"/>
  <c r="J1087" i="4"/>
  <c r="J1083" i="4"/>
  <c r="B1080" i="4"/>
  <c r="B1076" i="4"/>
  <c r="J1074" i="4"/>
  <c r="B1071" i="4"/>
  <c r="H1069" i="4"/>
  <c r="H1064" i="4"/>
  <c r="B1062" i="4"/>
  <c r="J1056" i="4"/>
  <c r="H1055" i="4"/>
  <c r="J1051" i="4"/>
  <c r="H1102" i="4"/>
  <c r="J1101" i="4"/>
  <c r="B1101" i="4"/>
  <c r="H1098" i="4"/>
  <c r="J1097" i="4"/>
  <c r="B1097" i="4"/>
  <c r="H1094" i="4"/>
  <c r="J1093" i="4"/>
  <c r="B1093" i="4"/>
  <c r="H1090" i="4"/>
  <c r="J1089" i="4"/>
  <c r="B1089" i="4"/>
  <c r="H1086" i="4"/>
  <c r="J1085" i="4"/>
  <c r="B1085" i="4"/>
  <c r="H1082" i="4"/>
  <c r="J1081" i="4"/>
  <c r="B1081" i="4"/>
  <c r="H1078" i="4"/>
  <c r="H1074" i="4"/>
  <c r="J1073" i="4"/>
  <c r="B1073" i="4"/>
  <c r="H1070" i="4"/>
  <c r="J1069" i="4"/>
  <c r="B1069" i="4"/>
  <c r="H1066" i="4"/>
  <c r="J1065" i="4"/>
  <c r="B1065" i="4"/>
  <c r="H1062" i="4"/>
  <c r="J1061" i="4"/>
  <c r="B1061" i="4"/>
  <c r="H1058" i="4"/>
  <c r="J1057" i="4"/>
  <c r="B1057" i="4"/>
  <c r="H1054" i="4"/>
  <c r="J1053" i="4"/>
  <c r="B1053" i="4"/>
  <c r="H1050" i="4"/>
  <c r="J1049" i="4"/>
  <c r="B1049" i="4"/>
  <c r="H1046" i="4"/>
  <c r="J1045" i="4"/>
  <c r="B1045" i="4"/>
  <c r="H1042" i="4"/>
  <c r="J1041" i="4"/>
  <c r="B1041" i="4"/>
  <c r="H1038" i="4"/>
  <c r="J1077" i="4"/>
  <c r="B1077" i="4"/>
  <c r="B1064" i="2" l="1"/>
  <c r="A1065" i="2"/>
  <c r="D1085" i="1"/>
  <c r="M1085" i="1"/>
  <c r="F1085" i="1"/>
  <c r="O1085" i="1"/>
  <c r="I1085" i="1"/>
  <c r="N1085" i="1"/>
  <c r="E1085" i="1"/>
  <c r="A1086" i="1"/>
  <c r="C1085" i="1"/>
  <c r="H1085" i="1"/>
  <c r="G1085" i="1"/>
  <c r="Q1085" i="1"/>
  <c r="B1085" i="1"/>
  <c r="J1085" i="1"/>
  <c r="L1085" i="1"/>
  <c r="P1085" i="1"/>
  <c r="B1085" i="3"/>
  <c r="D1085" i="3"/>
  <c r="A1086" i="3"/>
  <c r="C1085" i="3"/>
  <c r="E1085" i="3"/>
  <c r="E1086" i="3" l="1"/>
  <c r="D1086" i="3"/>
  <c r="A1087" i="3"/>
  <c r="C1086" i="3"/>
  <c r="B1086" i="3"/>
  <c r="D1086" i="1"/>
  <c r="M1086" i="1"/>
  <c r="F1086" i="1"/>
  <c r="O1086" i="1"/>
  <c r="C1086" i="1"/>
  <c r="P1086" i="1"/>
  <c r="I1086" i="1"/>
  <c r="N1086" i="1"/>
  <c r="E1086" i="1"/>
  <c r="G1086" i="1"/>
  <c r="H1086" i="1"/>
  <c r="B1086" i="1"/>
  <c r="L1086" i="1"/>
  <c r="Q1086" i="1"/>
  <c r="J1086" i="1"/>
  <c r="A1087" i="1"/>
  <c r="A1066" i="2"/>
  <c r="B1065" i="2"/>
  <c r="A1067" i="2" l="1"/>
  <c r="B1066" i="2"/>
  <c r="D1087" i="1"/>
  <c r="M1087" i="1"/>
  <c r="F1087" i="1"/>
  <c r="O1087" i="1"/>
  <c r="I1087" i="1"/>
  <c r="E1087" i="1"/>
  <c r="A1088" i="1"/>
  <c r="J1087" i="1"/>
  <c r="C1087" i="1"/>
  <c r="G1087" i="1"/>
  <c r="H1087" i="1"/>
  <c r="N1087" i="1"/>
  <c r="P1087" i="1"/>
  <c r="Q1087" i="1"/>
  <c r="B1087" i="1"/>
  <c r="L1087" i="1"/>
  <c r="C1087" i="3"/>
  <c r="E1087" i="3"/>
  <c r="B1087" i="3"/>
  <c r="A1088" i="3"/>
  <c r="D1087" i="3"/>
  <c r="A1068" i="2" l="1"/>
  <c r="B1067" i="2"/>
  <c r="D1088" i="1"/>
  <c r="M1088" i="1"/>
  <c r="F1088" i="1"/>
  <c r="O1088" i="1"/>
  <c r="C1088" i="1"/>
  <c r="P1088" i="1"/>
  <c r="N1088" i="1"/>
  <c r="G1088" i="1"/>
  <c r="E1088" i="1"/>
  <c r="H1088" i="1"/>
  <c r="I1088" i="1"/>
  <c r="B1088" i="1"/>
  <c r="J1088" i="1"/>
  <c r="Q1088" i="1"/>
  <c r="A1089" i="1"/>
  <c r="L1088" i="1"/>
  <c r="C1088" i="3"/>
  <c r="A1089" i="3"/>
  <c r="D1088" i="3"/>
  <c r="E1088" i="3"/>
  <c r="B1088" i="3"/>
  <c r="D1089" i="1" l="1"/>
  <c r="M1089" i="1"/>
  <c r="F1089" i="1"/>
  <c r="O1089" i="1"/>
  <c r="I1089" i="1"/>
  <c r="J1089" i="1"/>
  <c r="B1089" i="1"/>
  <c r="P1089" i="1"/>
  <c r="E1089" i="1"/>
  <c r="H1089" i="1"/>
  <c r="G1089" i="1"/>
  <c r="C1089" i="1"/>
  <c r="L1089" i="1"/>
  <c r="N1089" i="1"/>
  <c r="Q1089" i="1"/>
  <c r="A1090" i="1"/>
  <c r="A1090" i="3"/>
  <c r="B1089" i="3"/>
  <c r="D1089" i="3"/>
  <c r="C1089" i="3"/>
  <c r="E1089" i="3"/>
  <c r="A1069" i="2"/>
  <c r="B1068" i="2"/>
  <c r="A1091" i="3" l="1"/>
  <c r="C1090" i="3"/>
  <c r="B1090" i="3"/>
  <c r="D1090" i="3"/>
  <c r="E1090" i="3"/>
  <c r="D1090" i="1"/>
  <c r="M1090" i="1"/>
  <c r="F1090" i="1"/>
  <c r="O1090" i="1"/>
  <c r="C1090" i="1"/>
  <c r="P1090" i="1"/>
  <c r="G1090" i="1"/>
  <c r="J1090" i="1"/>
  <c r="E1090" i="1"/>
  <c r="H1090" i="1"/>
  <c r="I1090" i="1"/>
  <c r="Q1090" i="1"/>
  <c r="A1091" i="1"/>
  <c r="B1090" i="1"/>
  <c r="N1090" i="1"/>
  <c r="L1090" i="1"/>
  <c r="B1069" i="2"/>
  <c r="A1070" i="2"/>
  <c r="A1071" i="2" l="1"/>
  <c r="B1070" i="2"/>
  <c r="D1091" i="1"/>
  <c r="M1091" i="1"/>
  <c r="F1091" i="1"/>
  <c r="O1091" i="1"/>
  <c r="I1091" i="1"/>
  <c r="B1091" i="1"/>
  <c r="P1091" i="1"/>
  <c r="G1091" i="1"/>
  <c r="E1091" i="1"/>
  <c r="H1091" i="1"/>
  <c r="J1091" i="1"/>
  <c r="L1091" i="1"/>
  <c r="N1091" i="1"/>
  <c r="C1091" i="1"/>
  <c r="Q1091" i="1"/>
  <c r="A1092" i="1"/>
  <c r="D1091" i="3"/>
  <c r="C1091" i="3"/>
  <c r="E1091" i="3"/>
  <c r="A1092" i="3"/>
  <c r="B1091" i="3"/>
  <c r="E1092" i="3" l="1"/>
  <c r="B1092" i="3"/>
  <c r="D1092" i="3"/>
  <c r="C1092" i="3"/>
  <c r="A1093" i="3"/>
  <c r="D1092" i="1"/>
  <c r="M1092" i="1"/>
  <c r="F1092" i="1"/>
  <c r="O1092" i="1"/>
  <c r="C1092" i="1"/>
  <c r="P1092" i="1"/>
  <c r="J1092" i="1"/>
  <c r="B1092" i="1"/>
  <c r="Q1092" i="1"/>
  <c r="G1092" i="1"/>
  <c r="H1092" i="1"/>
  <c r="I1092" i="1"/>
  <c r="L1092" i="1"/>
  <c r="N1092" i="1"/>
  <c r="A1093" i="1"/>
  <c r="E1092" i="1"/>
  <c r="A1072" i="2"/>
  <c r="B1071" i="2"/>
  <c r="B1072" i="2" l="1"/>
  <c r="A1073" i="2"/>
  <c r="B1093" i="3"/>
  <c r="C1093" i="3"/>
  <c r="A1094" i="3"/>
  <c r="D1093" i="3"/>
  <c r="E1093" i="3"/>
  <c r="D1093" i="1"/>
  <c r="M1093" i="1"/>
  <c r="F1093" i="1"/>
  <c r="O1093" i="1"/>
  <c r="I1093" i="1"/>
  <c r="G1093" i="1"/>
  <c r="L1093" i="1"/>
  <c r="E1093" i="1"/>
  <c r="J1093" i="1"/>
  <c r="H1093" i="1"/>
  <c r="A1094" i="1"/>
  <c r="B1093" i="1"/>
  <c r="C1093" i="1"/>
  <c r="N1093" i="1"/>
  <c r="P1093" i="1"/>
  <c r="Q1093" i="1"/>
  <c r="E1094" i="3" l="1"/>
  <c r="D1094" i="3"/>
  <c r="B1094" i="3"/>
  <c r="C1094" i="3"/>
  <c r="A1095" i="3"/>
  <c r="D1094" i="1"/>
  <c r="F1094" i="1"/>
  <c r="C1094" i="1"/>
  <c r="N1094" i="1"/>
  <c r="B1094" i="1"/>
  <c r="O1094" i="1"/>
  <c r="H1094" i="1"/>
  <c r="A1095" i="1"/>
  <c r="G1094" i="1"/>
  <c r="I1094" i="1"/>
  <c r="J1094" i="1"/>
  <c r="E1094" i="1"/>
  <c r="M1094" i="1"/>
  <c r="L1094" i="1"/>
  <c r="P1094" i="1"/>
  <c r="Q1094" i="1"/>
  <c r="A1074" i="2"/>
  <c r="B1073" i="2"/>
  <c r="A1075" i="2" l="1"/>
  <c r="B1074" i="2"/>
  <c r="E1095" i="1"/>
  <c r="N1095" i="1"/>
  <c r="G1095" i="1"/>
  <c r="Q1095" i="1"/>
  <c r="J1095" i="1"/>
  <c r="C1095" i="1"/>
  <c r="P1095" i="1"/>
  <c r="D1095" i="1"/>
  <c r="A1096" i="1"/>
  <c r="F1095" i="1"/>
  <c r="I1095" i="1"/>
  <c r="M1095" i="1"/>
  <c r="O1095" i="1"/>
  <c r="L1095" i="1"/>
  <c r="H1095" i="1"/>
  <c r="B1095" i="1"/>
  <c r="B1095" i="3"/>
  <c r="D1095" i="3"/>
  <c r="A1096" i="3"/>
  <c r="C1095" i="3"/>
  <c r="E1095" i="3"/>
  <c r="A1076" i="2" l="1"/>
  <c r="B1075" i="2"/>
  <c r="C1096" i="3"/>
  <c r="D1096" i="3"/>
  <c r="A1097" i="3"/>
  <c r="B1096" i="3"/>
  <c r="E1096" i="3"/>
  <c r="E1096" i="1"/>
  <c r="N1096" i="1"/>
  <c r="I1096" i="1"/>
  <c r="C1096" i="1"/>
  <c r="M1096" i="1"/>
  <c r="L1096" i="1"/>
  <c r="B1096" i="1"/>
  <c r="O1096" i="1"/>
  <c r="P1096" i="1"/>
  <c r="J1096" i="1"/>
  <c r="Q1096" i="1"/>
  <c r="D1096" i="1"/>
  <c r="A1097" i="1"/>
  <c r="H1096" i="1"/>
  <c r="F1096" i="1"/>
  <c r="G1096" i="1"/>
  <c r="B1076" i="2" l="1"/>
  <c r="A1077" i="2"/>
  <c r="A1098" i="3"/>
  <c r="B1097" i="3"/>
  <c r="D1097" i="3"/>
  <c r="E1097" i="3"/>
  <c r="C1097" i="3"/>
  <c r="E1097" i="1"/>
  <c r="N1097" i="1"/>
  <c r="B1097" i="1"/>
  <c r="L1097" i="1"/>
  <c r="F1097" i="1"/>
  <c r="P1097" i="1"/>
  <c r="H1097" i="1"/>
  <c r="I1097" i="1"/>
  <c r="J1097" i="1"/>
  <c r="Q1097" i="1"/>
  <c r="A1098" i="1"/>
  <c r="D1097" i="1"/>
  <c r="C1097" i="1"/>
  <c r="G1097" i="1"/>
  <c r="M1097" i="1"/>
  <c r="O1097" i="1"/>
  <c r="E1098" i="1" l="1"/>
  <c r="N1098" i="1"/>
  <c r="D1098" i="1"/>
  <c r="O1098" i="1"/>
  <c r="H1098" i="1"/>
  <c r="A1099" i="1"/>
  <c r="C1098" i="1"/>
  <c r="Q1098" i="1"/>
  <c r="G1098" i="1"/>
  <c r="F1098" i="1"/>
  <c r="B1098" i="1"/>
  <c r="I1098" i="1"/>
  <c r="J1098" i="1"/>
  <c r="P1098" i="1"/>
  <c r="L1098" i="1"/>
  <c r="M1098" i="1"/>
  <c r="C1098" i="3"/>
  <c r="E1098" i="3"/>
  <c r="A1099" i="3"/>
  <c r="D1098" i="3"/>
  <c r="B1098" i="3"/>
  <c r="B1077" i="2"/>
  <c r="A1078" i="2"/>
  <c r="A1079" i="2" l="1"/>
  <c r="B1078" i="2"/>
  <c r="E1099" i="1"/>
  <c r="N1099" i="1"/>
  <c r="G1099" i="1"/>
  <c r="Q1099" i="1"/>
  <c r="J1099" i="1"/>
  <c r="M1099" i="1"/>
  <c r="B1099" i="1"/>
  <c r="O1099" i="1"/>
  <c r="C1099" i="1"/>
  <c r="P1099" i="1"/>
  <c r="D1099" i="1"/>
  <c r="F1099" i="1"/>
  <c r="I1099" i="1"/>
  <c r="L1099" i="1"/>
  <c r="H1099" i="1"/>
  <c r="A1100" i="1"/>
  <c r="D1099" i="3"/>
  <c r="B1099" i="3"/>
  <c r="C1099" i="3"/>
  <c r="E1099" i="3"/>
  <c r="A1100" i="3"/>
  <c r="B1100" i="3" l="1"/>
  <c r="D1100" i="3"/>
  <c r="C1100" i="3"/>
  <c r="E1100" i="3"/>
  <c r="A1101" i="3"/>
  <c r="E1100" i="1"/>
  <c r="N1100" i="1"/>
  <c r="I1100" i="1"/>
  <c r="C1100" i="1"/>
  <c r="M1100" i="1"/>
  <c r="H1100" i="1"/>
  <c r="L1100" i="1"/>
  <c r="J1100" i="1"/>
  <c r="F1100" i="1"/>
  <c r="G1100" i="1"/>
  <c r="O1100" i="1"/>
  <c r="P1100" i="1"/>
  <c r="Q1100" i="1"/>
  <c r="B1100" i="1"/>
  <c r="D1100" i="1"/>
  <c r="A1101" i="1"/>
  <c r="A1080" i="2"/>
  <c r="B1079" i="2"/>
  <c r="E1101" i="1" l="1"/>
  <c r="N1101" i="1"/>
  <c r="B1101" i="1"/>
  <c r="L1101" i="1"/>
  <c r="F1101" i="1"/>
  <c r="P1101" i="1"/>
  <c r="D1101" i="1"/>
  <c r="A1102" i="1"/>
  <c r="G1101" i="1"/>
  <c r="H1101" i="1"/>
  <c r="J1101" i="1"/>
  <c r="M1101" i="1"/>
  <c r="O1101" i="1"/>
  <c r="Q1101" i="1"/>
  <c r="C1101" i="1"/>
  <c r="I1101" i="1"/>
  <c r="B1080" i="2"/>
  <c r="A1081" i="2"/>
  <c r="B1101" i="3"/>
  <c r="A1102" i="3"/>
  <c r="C1101" i="3"/>
  <c r="D1101" i="3"/>
  <c r="E1101" i="3"/>
  <c r="E1102" i="1" l="1"/>
  <c r="N1102" i="1"/>
  <c r="D1102" i="1"/>
  <c r="O1102" i="1"/>
  <c r="H1102" i="1"/>
  <c r="A1103" i="1"/>
  <c r="M1102" i="1"/>
  <c r="Q1102" i="1"/>
  <c r="B1102" i="1"/>
  <c r="P1102" i="1"/>
  <c r="C1102" i="1"/>
  <c r="L1102" i="1"/>
  <c r="F1102" i="1"/>
  <c r="J1102" i="1"/>
  <c r="G1102" i="1"/>
  <c r="I1102" i="1"/>
  <c r="C1102" i="3"/>
  <c r="A1103" i="3"/>
  <c r="D1102" i="3"/>
  <c r="B1102" i="3"/>
  <c r="E1102" i="3"/>
  <c r="A1082" i="2"/>
  <c r="B1081" i="2"/>
  <c r="A1083" i="2" l="1"/>
  <c r="B1082" i="2"/>
  <c r="D1103" i="3"/>
  <c r="A1104" i="3"/>
  <c r="C1103" i="3"/>
  <c r="E1103" i="3"/>
  <c r="B1103" i="3"/>
  <c r="E1103" i="1"/>
  <c r="N1103" i="1"/>
  <c r="G1103" i="1"/>
  <c r="Q1103" i="1"/>
  <c r="J1103" i="1"/>
  <c r="I1103" i="1"/>
  <c r="L1103" i="1"/>
  <c r="M1103" i="1"/>
  <c r="A1104" i="1"/>
  <c r="F1103" i="1"/>
  <c r="B1103" i="1"/>
  <c r="C1103" i="1"/>
  <c r="D1103" i="1"/>
  <c r="H1103" i="1"/>
  <c r="O1103" i="1"/>
  <c r="P1103" i="1"/>
  <c r="E1104" i="1" l="1"/>
  <c r="N1104" i="1"/>
  <c r="I1104" i="1"/>
  <c r="C1104" i="1"/>
  <c r="M1104" i="1"/>
  <c r="F1104" i="1"/>
  <c r="A1105" i="1"/>
  <c r="H1104" i="1"/>
  <c r="G1104" i="1"/>
  <c r="B1104" i="1"/>
  <c r="J1104" i="1"/>
  <c r="L1104" i="1"/>
  <c r="D1104" i="1"/>
  <c r="O1104" i="1"/>
  <c r="P1104" i="1"/>
  <c r="Q1104" i="1"/>
  <c r="B1104" i="3"/>
  <c r="C1104" i="3"/>
  <c r="A1105" i="3"/>
  <c r="D1104" i="3"/>
  <c r="E1104" i="3"/>
  <c r="A1084" i="2"/>
  <c r="B1083" i="2"/>
  <c r="E1105" i="1" l="1"/>
  <c r="N1105" i="1"/>
  <c r="B1105" i="1"/>
  <c r="L1105" i="1"/>
  <c r="F1105" i="1"/>
  <c r="P1105" i="1"/>
  <c r="O1105" i="1"/>
  <c r="C1105" i="1"/>
  <c r="Q1105" i="1"/>
  <c r="A1106" i="1"/>
  <c r="D1105" i="1"/>
  <c r="G1105" i="1"/>
  <c r="I1105" i="1"/>
  <c r="H1105" i="1"/>
  <c r="J1105" i="1"/>
  <c r="M1105" i="1"/>
  <c r="G1084" i="2"/>
  <c r="I1084" i="2"/>
  <c r="C1084" i="2"/>
  <c r="D1084" i="2"/>
  <c r="E1084" i="2"/>
  <c r="F1084" i="2"/>
  <c r="A1085" i="2"/>
  <c r="B1084" i="2"/>
  <c r="H1084" i="2"/>
  <c r="J1084" i="2"/>
  <c r="B1105" i="3"/>
  <c r="D1105" i="3"/>
  <c r="E1105" i="3"/>
  <c r="A1106" i="3"/>
  <c r="C1105" i="3"/>
  <c r="E1085" i="2" l="1"/>
  <c r="G1085" i="2"/>
  <c r="C1085" i="2"/>
  <c r="D1085" i="2"/>
  <c r="F1085" i="2"/>
  <c r="I1085" i="2"/>
  <c r="A1086" i="2"/>
  <c r="J1085" i="2"/>
  <c r="H1085" i="2"/>
  <c r="B1085" i="2"/>
  <c r="E1106" i="3"/>
  <c r="B1106" i="3"/>
  <c r="D1106" i="3"/>
  <c r="A1107" i="3"/>
  <c r="C1106" i="3"/>
  <c r="E1106" i="1"/>
  <c r="N1106" i="1"/>
  <c r="D1106" i="1"/>
  <c r="O1106" i="1"/>
  <c r="H1106" i="1"/>
  <c r="A1107" i="1"/>
  <c r="J1106" i="1"/>
  <c r="M1106" i="1"/>
  <c r="L1106" i="1"/>
  <c r="G1106" i="1"/>
  <c r="I1106" i="1"/>
  <c r="P1106" i="1"/>
  <c r="Q1106" i="1"/>
  <c r="F1106" i="1"/>
  <c r="C1106" i="1"/>
  <c r="B1106" i="1"/>
  <c r="C1086" i="2" l="1"/>
  <c r="A1087" i="2"/>
  <c r="E1086" i="2"/>
  <c r="D1086" i="2"/>
  <c r="F1086" i="2"/>
  <c r="G1086" i="2"/>
  <c r="I1086" i="2"/>
  <c r="J1086" i="2"/>
  <c r="B1086" i="2"/>
  <c r="H1086" i="2"/>
  <c r="B1107" i="3"/>
  <c r="E1107" i="3"/>
  <c r="A1108" i="3"/>
  <c r="C1107" i="3"/>
  <c r="D1107" i="3"/>
  <c r="E1107" i="1"/>
  <c r="N1107" i="1"/>
  <c r="G1107" i="1"/>
  <c r="Q1107" i="1"/>
  <c r="J1107" i="1"/>
  <c r="F1107" i="1"/>
  <c r="H1107" i="1"/>
  <c r="I1107" i="1"/>
  <c r="M1107" i="1"/>
  <c r="O1107" i="1"/>
  <c r="P1107" i="1"/>
  <c r="A1108" i="1"/>
  <c r="B1107" i="1"/>
  <c r="C1107" i="1"/>
  <c r="D1107" i="1"/>
  <c r="L1107" i="1"/>
  <c r="C1108" i="3" l="1"/>
  <c r="E1108" i="3"/>
  <c r="B1108" i="3"/>
  <c r="A1109" i="3"/>
  <c r="D1108" i="3"/>
  <c r="E1108" i="1"/>
  <c r="N1108" i="1"/>
  <c r="I1108" i="1"/>
  <c r="C1108" i="1"/>
  <c r="M1108" i="1"/>
  <c r="B1108" i="1"/>
  <c r="P1108" i="1"/>
  <c r="D1108" i="1"/>
  <c r="Q1108" i="1"/>
  <c r="A1109" i="1"/>
  <c r="F1108" i="1"/>
  <c r="O1108" i="1"/>
  <c r="G1108" i="1"/>
  <c r="H1108" i="1"/>
  <c r="J1108" i="1"/>
  <c r="L1108" i="1"/>
  <c r="I1087" i="2"/>
  <c r="C1087" i="2"/>
  <c r="A1088" i="2"/>
  <c r="E1087" i="2"/>
  <c r="F1087" i="2"/>
  <c r="G1087" i="2"/>
  <c r="D1087" i="2"/>
  <c r="J1087" i="2"/>
  <c r="B1087" i="2"/>
  <c r="H1087" i="2"/>
  <c r="G1088" i="2" l="1"/>
  <c r="I1088" i="2"/>
  <c r="E1088" i="2"/>
  <c r="F1088" i="2"/>
  <c r="H1088" i="2"/>
  <c r="C1088" i="2"/>
  <c r="D1088" i="2"/>
  <c r="J1088" i="2"/>
  <c r="A1089" i="2"/>
  <c r="B1088" i="2"/>
  <c r="A1110" i="3"/>
  <c r="E1109" i="3"/>
  <c r="D1109" i="3"/>
  <c r="C1109" i="3"/>
  <c r="B1109" i="3"/>
  <c r="E1109" i="1"/>
  <c r="N1109" i="1"/>
  <c r="B1109" i="1"/>
  <c r="L1109" i="1"/>
  <c r="F1109" i="1"/>
  <c r="P1109" i="1"/>
  <c r="J1109" i="1"/>
  <c r="O1109" i="1"/>
  <c r="M1109" i="1"/>
  <c r="C1109" i="1"/>
  <c r="D1109" i="1"/>
  <c r="G1109" i="1"/>
  <c r="H1109" i="1"/>
  <c r="Q1109" i="1"/>
  <c r="A1110" i="1"/>
  <c r="I1109" i="1"/>
  <c r="E1110" i="1" l="1"/>
  <c r="N1110" i="1"/>
  <c r="D1110" i="1"/>
  <c r="O1110" i="1"/>
  <c r="H1110" i="1"/>
  <c r="A1111" i="1"/>
  <c r="G1110" i="1"/>
  <c r="I1110" i="1"/>
  <c r="J1110" i="1"/>
  <c r="B1110" i="1"/>
  <c r="C1110" i="1"/>
  <c r="M1110" i="1"/>
  <c r="F1110" i="1"/>
  <c r="L1110" i="1"/>
  <c r="P1110" i="1"/>
  <c r="Q1110" i="1"/>
  <c r="C1110" i="3"/>
  <c r="B1110" i="3"/>
  <c r="D1110" i="3"/>
  <c r="A1111" i="3"/>
  <c r="E1110" i="3"/>
  <c r="E1089" i="2"/>
  <c r="G1089" i="2"/>
  <c r="F1089" i="2"/>
  <c r="H1089" i="2"/>
  <c r="I1089" i="2"/>
  <c r="B1089" i="2"/>
  <c r="D1089" i="2"/>
  <c r="J1089" i="2"/>
  <c r="A1090" i="2"/>
  <c r="C1089" i="2"/>
  <c r="E1111" i="1" l="1"/>
  <c r="N1111" i="1"/>
  <c r="G1111" i="1"/>
  <c r="Q1111" i="1"/>
  <c r="J1111" i="1"/>
  <c r="C1111" i="1"/>
  <c r="P1111" i="1"/>
  <c r="D1111" i="1"/>
  <c r="A1112" i="1"/>
  <c r="F1111" i="1"/>
  <c r="H1111" i="1"/>
  <c r="L1111" i="1"/>
  <c r="M1111" i="1"/>
  <c r="I1111" i="1"/>
  <c r="O1111" i="1"/>
  <c r="B1111" i="1"/>
  <c r="E1090" i="2"/>
  <c r="F1090" i="2"/>
  <c r="G1090" i="2"/>
  <c r="H1090" i="2"/>
  <c r="J1090" i="2"/>
  <c r="C1090" i="2"/>
  <c r="B1090" i="2"/>
  <c r="D1090" i="2"/>
  <c r="A1091" i="2"/>
  <c r="I1090" i="2"/>
  <c r="D1111" i="3"/>
  <c r="A1112" i="3"/>
  <c r="C1111" i="3"/>
  <c r="E1111" i="3"/>
  <c r="B1111" i="3"/>
  <c r="B1112" i="3" l="1"/>
  <c r="C1112" i="3"/>
  <c r="D1112" i="3"/>
  <c r="E1112" i="3"/>
  <c r="A1113" i="3"/>
  <c r="C1091" i="2"/>
  <c r="A1092" i="2"/>
  <c r="D1091" i="2"/>
  <c r="E1091" i="2"/>
  <c r="I1091" i="2"/>
  <c r="F1091" i="2"/>
  <c r="J1091" i="2"/>
  <c r="H1091" i="2"/>
  <c r="G1091" i="2"/>
  <c r="B1091" i="2"/>
  <c r="E1112" i="1"/>
  <c r="N1112" i="1"/>
  <c r="I1112" i="1"/>
  <c r="C1112" i="1"/>
  <c r="M1112" i="1"/>
  <c r="L1112" i="1"/>
  <c r="B1112" i="1"/>
  <c r="O1112" i="1"/>
  <c r="P1112" i="1"/>
  <c r="H1112" i="1"/>
  <c r="J1112" i="1"/>
  <c r="Q1112" i="1"/>
  <c r="A1113" i="1"/>
  <c r="G1112" i="1"/>
  <c r="F1112" i="1"/>
  <c r="D1112" i="1"/>
  <c r="B1113" i="3" l="1"/>
  <c r="D1113" i="3"/>
  <c r="C1113" i="3"/>
  <c r="A1114" i="3"/>
  <c r="E1113" i="3"/>
  <c r="E1113" i="1"/>
  <c r="N1113" i="1"/>
  <c r="B1113" i="1"/>
  <c r="L1113" i="1"/>
  <c r="F1113" i="1"/>
  <c r="P1113" i="1"/>
  <c r="H1113" i="1"/>
  <c r="I1113" i="1"/>
  <c r="J1113" i="1"/>
  <c r="O1113" i="1"/>
  <c r="Q1113" i="1"/>
  <c r="A1114" i="1"/>
  <c r="C1113" i="1"/>
  <c r="D1113" i="1"/>
  <c r="G1113" i="1"/>
  <c r="M1113" i="1"/>
  <c r="I1092" i="2"/>
  <c r="B1092" i="2"/>
  <c r="J1092" i="2"/>
  <c r="C1092" i="2"/>
  <c r="A1093" i="2"/>
  <c r="D1092" i="2"/>
  <c r="E1092" i="2"/>
  <c r="F1092" i="2"/>
  <c r="G1092" i="2"/>
  <c r="H1092" i="2"/>
  <c r="G1093" i="2" l="1"/>
  <c r="H1093" i="2"/>
  <c r="I1093" i="2"/>
  <c r="C1093" i="2"/>
  <c r="E1093" i="2"/>
  <c r="B1093" i="2"/>
  <c r="J1093" i="2"/>
  <c r="D1093" i="2"/>
  <c r="F1093" i="2"/>
  <c r="A1094" i="2"/>
  <c r="E1114" i="3"/>
  <c r="B1114" i="3"/>
  <c r="C1114" i="3"/>
  <c r="D1114" i="3"/>
  <c r="A1115" i="3"/>
  <c r="E1114" i="1"/>
  <c r="N1114" i="1"/>
  <c r="D1114" i="1"/>
  <c r="O1114" i="1"/>
  <c r="H1114" i="1"/>
  <c r="A1115" i="1"/>
  <c r="C1114" i="1"/>
  <c r="Q1114" i="1"/>
  <c r="G1114" i="1"/>
  <c r="F1114" i="1"/>
  <c r="P1114" i="1"/>
  <c r="I1114" i="1"/>
  <c r="B1114" i="1"/>
  <c r="L1114" i="1"/>
  <c r="M1114" i="1"/>
  <c r="J1114" i="1"/>
  <c r="B1115" i="3" l="1"/>
  <c r="E1115" i="3"/>
  <c r="C1115" i="3"/>
  <c r="D1115" i="3"/>
  <c r="A1116" i="3"/>
  <c r="E1115" i="1"/>
  <c r="N1115" i="1"/>
  <c r="G1115" i="1"/>
  <c r="Q1115" i="1"/>
  <c r="J1115" i="1"/>
  <c r="M1115" i="1"/>
  <c r="B1115" i="1"/>
  <c r="O1115" i="1"/>
  <c r="P1115" i="1"/>
  <c r="C1115" i="1"/>
  <c r="D1115" i="1"/>
  <c r="F1115" i="1"/>
  <c r="H1115" i="1"/>
  <c r="I1115" i="1"/>
  <c r="A1116" i="1"/>
  <c r="L1115" i="1"/>
  <c r="E1094" i="2"/>
  <c r="F1094" i="2"/>
  <c r="G1094" i="2"/>
  <c r="D1094" i="2"/>
  <c r="I1094" i="2"/>
  <c r="J1094" i="2"/>
  <c r="C1094" i="2"/>
  <c r="H1094" i="2"/>
  <c r="A1095" i="2"/>
  <c r="B1094" i="2"/>
  <c r="C1095" i="2" l="1"/>
  <c r="A1096" i="2"/>
  <c r="D1095" i="2"/>
  <c r="E1095" i="2"/>
  <c r="H1095" i="2"/>
  <c r="J1095" i="2"/>
  <c r="F1095" i="2"/>
  <c r="I1095" i="2"/>
  <c r="B1095" i="2"/>
  <c r="G1095" i="2"/>
  <c r="C1116" i="3"/>
  <c r="E1116" i="3"/>
  <c r="B1116" i="3"/>
  <c r="D1116" i="3"/>
  <c r="A1117" i="3"/>
  <c r="E1116" i="1"/>
  <c r="N1116" i="1"/>
  <c r="I1116" i="1"/>
  <c r="C1116" i="1"/>
  <c r="M1116" i="1"/>
  <c r="H1116" i="1"/>
  <c r="L1116" i="1"/>
  <c r="J1116" i="1"/>
  <c r="D1116" i="1"/>
  <c r="F1116" i="1"/>
  <c r="G1116" i="1"/>
  <c r="O1116" i="1"/>
  <c r="P1116" i="1"/>
  <c r="B1116" i="1"/>
  <c r="Q1116" i="1"/>
  <c r="A1117" i="1"/>
  <c r="A1118" i="3" l="1"/>
  <c r="B1117" i="3"/>
  <c r="D1117" i="3"/>
  <c r="E1117" i="3"/>
  <c r="C1117" i="3"/>
  <c r="B1117" i="1"/>
  <c r="J1117" i="1"/>
  <c r="E1117" i="1"/>
  <c r="N1117" i="1"/>
  <c r="D1117" i="1"/>
  <c r="P1117" i="1"/>
  <c r="F1117" i="1"/>
  <c r="Q1117" i="1"/>
  <c r="A1118" i="1"/>
  <c r="G1117" i="1"/>
  <c r="H1117" i="1"/>
  <c r="O1117" i="1"/>
  <c r="I1117" i="1"/>
  <c r="L1117" i="1"/>
  <c r="M1117" i="1"/>
  <c r="C1117" i="1"/>
  <c r="I1096" i="2"/>
  <c r="B1096" i="2"/>
  <c r="J1096" i="2"/>
  <c r="C1096" i="2"/>
  <c r="A1097" i="2"/>
  <c r="F1096" i="2"/>
  <c r="G1096" i="2"/>
  <c r="H1096" i="2"/>
  <c r="D1096" i="2"/>
  <c r="E1096" i="2"/>
  <c r="G1097" i="2" l="1"/>
  <c r="H1097" i="2"/>
  <c r="I1097" i="2"/>
  <c r="B1097" i="2"/>
  <c r="D1097" i="2"/>
  <c r="C1097" i="2"/>
  <c r="E1097" i="2"/>
  <c r="J1097" i="2"/>
  <c r="A1098" i="2"/>
  <c r="F1097" i="2"/>
  <c r="B1118" i="1"/>
  <c r="J1118" i="1"/>
  <c r="E1118" i="1"/>
  <c r="N1118" i="1"/>
  <c r="I1118" i="1"/>
  <c r="M1118" i="1"/>
  <c r="L1118" i="1"/>
  <c r="G1118" i="1"/>
  <c r="H1118" i="1"/>
  <c r="O1118" i="1"/>
  <c r="P1118" i="1"/>
  <c r="Q1118" i="1"/>
  <c r="F1118" i="1"/>
  <c r="C1118" i="1"/>
  <c r="D1118" i="1"/>
  <c r="A1119" i="1"/>
  <c r="C1118" i="3"/>
  <c r="D1118" i="3"/>
  <c r="E1118" i="3"/>
  <c r="A1119" i="3"/>
  <c r="B1118" i="3"/>
  <c r="D1119" i="3" l="1"/>
  <c r="A1120" i="3"/>
  <c r="B1119" i="3"/>
  <c r="C1119" i="3"/>
  <c r="E1119" i="3"/>
  <c r="B1119" i="1"/>
  <c r="J1119" i="1"/>
  <c r="E1119" i="1"/>
  <c r="N1119" i="1"/>
  <c r="D1119" i="1"/>
  <c r="P1119" i="1"/>
  <c r="F1119" i="1"/>
  <c r="Q1119" i="1"/>
  <c r="A1120" i="1"/>
  <c r="G1119" i="1"/>
  <c r="I1119" i="1"/>
  <c r="L1119" i="1"/>
  <c r="M1119" i="1"/>
  <c r="O1119" i="1"/>
  <c r="C1119" i="1"/>
  <c r="H1119" i="1"/>
  <c r="E1098" i="2"/>
  <c r="F1098" i="2"/>
  <c r="G1098" i="2"/>
  <c r="C1098" i="2"/>
  <c r="H1098" i="2"/>
  <c r="B1098" i="2"/>
  <c r="J1098" i="2"/>
  <c r="A1099" i="2"/>
  <c r="D1098" i="2"/>
  <c r="I1098" i="2"/>
  <c r="B1120" i="1" l="1"/>
  <c r="J1120" i="1"/>
  <c r="E1120" i="1"/>
  <c r="N1120" i="1"/>
  <c r="I1120" i="1"/>
  <c r="M1120" i="1"/>
  <c r="L1120" i="1"/>
  <c r="H1120" i="1"/>
  <c r="A1121" i="1"/>
  <c r="O1120" i="1"/>
  <c r="P1120" i="1"/>
  <c r="Q1120" i="1"/>
  <c r="C1120" i="1"/>
  <c r="D1120" i="1"/>
  <c r="G1120" i="1"/>
  <c r="F1120" i="1"/>
  <c r="C1099" i="2"/>
  <c r="A1100" i="2"/>
  <c r="D1099" i="2"/>
  <c r="E1099" i="2"/>
  <c r="G1099" i="2"/>
  <c r="I1099" i="2"/>
  <c r="J1099" i="2"/>
  <c r="B1099" i="2"/>
  <c r="F1099" i="2"/>
  <c r="H1099" i="2"/>
  <c r="D1120" i="3"/>
  <c r="E1120" i="3"/>
  <c r="A1121" i="3"/>
  <c r="B1120" i="3"/>
  <c r="C1120" i="3"/>
  <c r="I1100" i="2" l="1"/>
  <c r="B1100" i="2"/>
  <c r="J1100" i="2"/>
  <c r="C1100" i="2"/>
  <c r="A1101" i="2"/>
  <c r="H1100" i="2"/>
  <c r="F1100" i="2"/>
  <c r="D1100" i="2"/>
  <c r="E1100" i="2"/>
  <c r="G1100" i="2"/>
  <c r="B1121" i="3"/>
  <c r="D1121" i="3"/>
  <c r="C1121" i="3"/>
  <c r="E1121" i="3"/>
  <c r="A1122" i="3"/>
  <c r="B1121" i="1"/>
  <c r="J1121" i="1"/>
  <c r="E1121" i="1"/>
  <c r="N1121" i="1"/>
  <c r="D1121" i="1"/>
  <c r="P1121" i="1"/>
  <c r="F1121" i="1"/>
  <c r="Q1121" i="1"/>
  <c r="A1122" i="1"/>
  <c r="G1121" i="1"/>
  <c r="L1121" i="1"/>
  <c r="M1121" i="1"/>
  <c r="O1121" i="1"/>
  <c r="C1121" i="1"/>
  <c r="I1121" i="1"/>
  <c r="H1121" i="1"/>
  <c r="E1122" i="3" l="1"/>
  <c r="D1122" i="3"/>
  <c r="B1122" i="3"/>
  <c r="C1122" i="3"/>
  <c r="G1101" i="2"/>
  <c r="H1101" i="2"/>
  <c r="I1101" i="2"/>
  <c r="C1101" i="2"/>
  <c r="F1101" i="2"/>
  <c r="D1101" i="2"/>
  <c r="E1101" i="2"/>
  <c r="J1101" i="2"/>
  <c r="A1102" i="2"/>
  <c r="B1101" i="2"/>
  <c r="B1122" i="1"/>
  <c r="J1122" i="1"/>
  <c r="E1122" i="1"/>
  <c r="N1122" i="1"/>
  <c r="I1122" i="1"/>
  <c r="M1122" i="1"/>
  <c r="L1122" i="1"/>
  <c r="O1122" i="1"/>
  <c r="P1122" i="1"/>
  <c r="C1122" i="1"/>
  <c r="Q1122" i="1"/>
  <c r="D1122" i="1"/>
  <c r="F1122" i="1"/>
  <c r="G1122" i="1"/>
  <c r="H1122" i="1"/>
  <c r="E1102" i="2" l="1"/>
  <c r="F1102" i="2"/>
  <c r="G1102" i="2"/>
  <c r="B1102" i="2"/>
  <c r="D1102" i="2"/>
  <c r="C1102" i="2"/>
  <c r="J1102" i="2"/>
  <c r="A1103" i="2"/>
  <c r="H1102" i="2"/>
  <c r="I1102" i="2"/>
  <c r="C1103" i="2" l="1"/>
  <c r="A1104" i="2"/>
  <c r="D1103" i="2"/>
  <c r="E1103" i="2"/>
  <c r="F1103" i="2"/>
  <c r="H1103" i="2"/>
  <c r="B1103" i="2"/>
  <c r="J1103" i="2"/>
  <c r="G1103" i="2"/>
  <c r="I1103" i="2"/>
  <c r="I1104" i="2" l="1"/>
  <c r="B1104" i="2"/>
  <c r="J1104" i="2"/>
  <c r="C1104" i="2"/>
  <c r="A1105" i="2"/>
  <c r="G1104" i="2"/>
  <c r="D1104" i="2"/>
  <c r="E1104" i="2"/>
  <c r="H1104" i="2"/>
  <c r="F1104" i="2"/>
  <c r="G1105" i="2" l="1"/>
  <c r="H1105" i="2"/>
  <c r="I1105" i="2"/>
  <c r="A1106" i="2"/>
  <c r="B1105" i="2"/>
  <c r="C1105" i="2"/>
  <c r="F1105" i="2"/>
  <c r="J1105" i="2"/>
  <c r="D1105" i="2"/>
  <c r="E1105" i="2"/>
  <c r="E1106" i="2" l="1"/>
  <c r="F1106" i="2"/>
  <c r="G1106" i="2"/>
  <c r="C1106" i="2"/>
  <c r="I1106" i="2"/>
  <c r="B1106" i="2"/>
  <c r="D1106" i="2"/>
  <c r="J1106" i="2"/>
  <c r="A1107" i="2"/>
  <c r="H1106" i="2"/>
  <c r="C1107" i="2" l="1"/>
  <c r="A1108" i="2"/>
  <c r="D1107" i="2"/>
  <c r="E1107" i="2"/>
  <c r="B1107" i="2"/>
  <c r="G1107" i="2"/>
  <c r="F1107" i="2"/>
  <c r="J1107" i="2"/>
  <c r="I1107" i="2"/>
  <c r="H1107" i="2"/>
  <c r="I1108" i="2" l="1"/>
  <c r="B1108" i="2"/>
  <c r="J1108" i="2"/>
  <c r="C1108" i="2"/>
  <c r="A1109" i="2"/>
  <c r="F1108" i="2"/>
  <c r="H1108" i="2"/>
  <c r="E1108" i="2"/>
  <c r="D1108" i="2"/>
  <c r="G1108" i="2"/>
  <c r="G1109" i="2" l="1"/>
  <c r="H1109" i="2"/>
  <c r="I1109" i="2"/>
  <c r="J1109" i="2"/>
  <c r="C1109" i="2"/>
  <c r="A1110" i="2"/>
  <c r="D1109" i="2"/>
  <c r="B1109" i="2"/>
  <c r="E1109" i="2"/>
  <c r="F1109" i="2"/>
  <c r="E1110" i="2" l="1"/>
  <c r="F1110" i="2"/>
  <c r="G1110" i="2"/>
  <c r="A1111" i="2"/>
  <c r="B1110" i="2"/>
  <c r="C1110" i="2"/>
  <c r="I1110" i="2"/>
  <c r="D1110" i="2"/>
  <c r="H1110" i="2"/>
  <c r="J1110" i="2"/>
  <c r="C1111" i="2" l="1"/>
  <c r="A1112" i="2"/>
  <c r="D1111" i="2"/>
  <c r="E1111" i="2"/>
  <c r="F1111" i="2"/>
  <c r="I1111" i="2"/>
  <c r="J1111" i="2"/>
  <c r="B1111" i="2"/>
  <c r="G1111" i="2"/>
  <c r="H1111" i="2"/>
  <c r="I1112" i="2" l="1"/>
  <c r="B1112" i="2"/>
  <c r="J1112" i="2"/>
  <c r="C1112" i="2"/>
  <c r="A1113" i="2"/>
  <c r="E1112" i="2"/>
  <c r="G1112" i="2"/>
  <c r="F1112" i="2"/>
  <c r="H1112" i="2"/>
  <c r="D1112" i="2"/>
  <c r="G1113" i="2" l="1"/>
  <c r="H1113" i="2"/>
  <c r="I1113" i="2"/>
  <c r="F1113" i="2"/>
  <c r="A1114" i="2"/>
  <c r="E1113" i="2"/>
  <c r="B1113" i="2"/>
  <c r="C1113" i="2"/>
  <c r="D1113" i="2"/>
  <c r="J1113" i="2"/>
  <c r="E1114" i="2" l="1"/>
  <c r="F1114" i="2"/>
  <c r="G1114" i="2"/>
  <c r="J1114" i="2"/>
  <c r="C1114" i="2"/>
  <c r="I1114" i="2"/>
  <c r="A1115" i="2"/>
  <c r="B1114" i="2"/>
  <c r="H1114" i="2"/>
  <c r="D1114" i="2"/>
  <c r="C1115" i="2" l="1"/>
  <c r="A1116" i="2"/>
  <c r="D1115" i="2"/>
  <c r="E1115" i="2"/>
  <c r="B1115" i="2"/>
  <c r="F1115" i="2"/>
  <c r="I1115" i="2"/>
  <c r="G1115" i="2"/>
  <c r="J1115" i="2"/>
  <c r="H1115" i="2"/>
  <c r="I1116" i="2" l="1"/>
  <c r="B1116" i="2"/>
  <c r="J1116" i="2"/>
  <c r="C1116" i="2"/>
  <c r="A1117" i="2"/>
  <c r="D1116" i="2"/>
  <c r="F1116" i="2"/>
  <c r="E1116" i="2"/>
  <c r="G1116" i="2"/>
  <c r="H1116" i="2"/>
  <c r="G1117" i="2" l="1"/>
  <c r="H1117" i="2"/>
  <c r="I1117" i="2"/>
  <c r="E1117" i="2"/>
  <c r="J1117" i="2"/>
  <c r="B1117" i="2"/>
  <c r="F1117" i="2"/>
  <c r="C1117" i="2"/>
  <c r="D1117" i="2"/>
  <c r="A1118" i="2"/>
  <c r="E1118" i="2" l="1"/>
  <c r="F1118" i="2"/>
  <c r="G1118" i="2"/>
  <c r="I1118" i="2"/>
  <c r="A1119" i="2"/>
  <c r="H1118" i="2"/>
  <c r="B1118" i="2"/>
  <c r="J1118" i="2"/>
  <c r="C1118" i="2"/>
  <c r="D1118" i="2"/>
  <c r="C1119" i="2" l="1"/>
  <c r="A1120" i="2"/>
  <c r="D1119" i="2"/>
  <c r="E1119" i="2"/>
  <c r="J1119" i="2"/>
  <c r="F1119" i="2"/>
  <c r="G1119" i="2"/>
  <c r="H1119" i="2"/>
  <c r="I1119" i="2"/>
  <c r="B1119" i="2"/>
  <c r="I1120" i="2" l="1"/>
  <c r="B1120" i="2"/>
  <c r="J1120" i="2"/>
  <c r="C1120" i="2"/>
  <c r="A1121" i="2"/>
  <c r="E1120" i="2"/>
  <c r="F1120" i="2"/>
  <c r="D1120" i="2"/>
  <c r="G1120" i="2"/>
  <c r="H1120" i="2"/>
  <c r="G1121" i="2" l="1"/>
  <c r="H1121" i="2"/>
  <c r="I1121" i="2"/>
  <c r="D1121" i="2"/>
  <c r="F1121" i="2"/>
  <c r="B1121" i="2"/>
  <c r="J1121" i="2"/>
  <c r="A1122" i="2"/>
  <c r="C1121" i="2"/>
  <c r="E1121" i="2"/>
  <c r="E1122" i="2" l="1"/>
  <c r="F1122" i="2"/>
  <c r="G1122" i="2"/>
  <c r="H1122" i="2"/>
  <c r="J1122" i="2"/>
  <c r="B1122" i="2"/>
  <c r="I1122" i="2"/>
  <c r="C1122" i="2"/>
  <c r="D1122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<sst xmlns="http://schemas.openxmlformats.org/spreadsheetml/2006/main" count="161" uniqueCount="74">
  <si>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</si>
  <si>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</si>
  <si>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</si>
  <si>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</si>
  <si>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</si>
  <si>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</si>
  <si>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</si>
  <si>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</si>
  <si>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</si>
  <si>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</si>
  <si>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</si>
  <si>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</si>
  <si>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</si>
  <si>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</si>
  <si>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</si>
  <si>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</si>
  <si>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</si>
  <si>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</si>
  <si>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</si>
  <si>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</si>
  <si>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</si>
  <si>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</si>
  <si>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</si>
  <si>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</si>
  <si>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</si>
  <si>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May 02, 2016 -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</si>
  <si>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</si>
  <si>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</si>
  <si>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</si>
  <si>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</si>
  <si>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</si>
  <si>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</si>
  <si>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</si>
  <si>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</si>
  <si>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</si>
  <si>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</si>
  <si>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</si>
  <si>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</si>
  <si>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</si>
  <si>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</si>
  <si>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</si>
  <si>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</si>
  <si>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</si>
  <si>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</si>
  <si>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</si>
  <si>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</si>
  <si>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</si>
  <si>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</si>
  <si>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</si>
  <si>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</si>
  <si>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</si>
  <si>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</si>
  <si>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</si>
  <si>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</si>
  <si>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</si>
  <si>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</si>
  <si>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</si>
  <si>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</si>
  <si>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</si>
  <si>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</si>
  <si>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</si>
  <si>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</si>
  <si>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</si>
  <si>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</si>
  <si>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</si>
  <si>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</si>
  <si>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</si>
  <si>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</si>
  <si>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</si>
  <si>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52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</si>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</sst>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164" fontId="0" fillId="0" borderId="0">
      <alignment horizontal="left" wrapText="1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3">
    <xf numFmtId="164" fontId="0" fillId="0" borderId="0" xfId="0">
      <alignment horizontal="left" wrapText="1"/>
    </xf>
    <xf numFmtId="0" fontId="3" fillId="0" borderId="0" xfId="3" applyFont="1"/>
    <xf numFmtId="0" fontId="3" fillId="0" borderId="0" xfId="3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3" applyNumberFormat="1" applyFont="1" applyAlignment="1">
      <alignment horizontal="center"/>
    </xf>
    <xf numFmtId="167" fontId="3" fillId="0" borderId="0" xfId="3" applyNumberFormat="1" applyFont="1" applyAlignment="1">
      <alignment horizontal="center"/>
    </xf>
    <xf numFmtId="167" fontId="3" fillId="0" borderId="0" xfId="3" applyNumberFormat="1" applyFont="1"/>
    <xf numFmtId="166" fontId="3" fillId="0" borderId="0" xfId="3" applyNumberFormat="1" applyFont="1"/>
    <xf numFmtId="166" fontId="3" fillId="2" borderId="0" xfId="3" applyNumberFormat="1" applyFont="1" applyFill="1" applyAlignment="1">
      <alignment horizontal="center"/>
    </xf>
    <xf numFmtId="168" fontId="3" fillId="0" borderId="0" xfId="3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3" applyNumberFormat="1" applyFont="1" applyAlignment="1">
      <alignment horizontal="center"/>
    </xf>
    <xf numFmtId="166" fontId="6" fillId="2" borderId="0" xfId="3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3" applyFont="1" applyAlignment="1">
      <alignment horizontal="center" wrapText="1"/>
    </xf>
    <xf numFmtId="0" fontId="6" fillId="3" borderId="0" xfId="3" applyFont="1" applyFill="1" applyAlignment="1">
      <alignment horizontal="center" wrapText="1"/>
    </xf>
    <xf numFmtId="0" fontId="6" fillId="0" borderId="0" xfId="3" applyFont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6" fillId="3" borderId="0" xfId="3" quotePrefix="1" applyFont="1" applyFill="1" applyAlignment="1">
      <alignment horizontal="center" wrapText="1"/>
    </xf>
    <xf numFmtId="0" fontId="6" fillId="0" borderId="0" xfId="3" quotePrefix="1" applyFont="1" applyAlignment="1">
      <alignment horizontal="center" wrapText="1"/>
    </xf>
    <xf numFmtId="0" fontId="6" fillId="0" borderId="0" xfId="3" applyFont="1" applyAlignment="1">
      <alignment horizontal="center"/>
    </xf>
    <xf numFmtId="0" fontId="6" fillId="0" borderId="0" xfId="3" applyFont="1" applyAlignment="1"/>
    <xf numFmtId="10" fontId="8" fillId="4" borderId="0" xfId="3" applyNumberFormat="1" applyFont="1" applyFill="1" applyAlignment="1">
      <alignment horizontal="center"/>
    </xf>
    <xf numFmtId="0" fontId="6" fillId="4" borderId="0" xfId="3" applyFont="1" applyFill="1" applyAlignment="1">
      <alignment horizontal="center"/>
    </xf>
    <xf numFmtId="170" fontId="3" fillId="0" borderId="0" xfId="3" applyNumberFormat="1" applyFont="1"/>
    <xf numFmtId="1" fontId="3" fillId="0" borderId="0" xfId="3" applyNumberFormat="1" applyFont="1"/>
    <xf numFmtId="15" fontId="6" fillId="0" borderId="0" xfId="3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/>
    <xf numFmtId="1" fontId="3" fillId="0" borderId="0" xfId="3" applyNumberFormat="1" applyFont="1" applyAlignment="1">
      <alignment horizontal="center"/>
    </xf>
    <xf numFmtId="1" fontId="2" fillId="0" borderId="0" xfId="3" applyNumberFormat="1" applyFont="1" applyAlignment="1">
      <alignment horizontal="center"/>
    </xf>
    <xf numFmtId="1" fontId="3" fillId="5" borderId="0" xfId="3" applyNumberFormat="1" applyFont="1" applyFill="1" applyAlignment="1">
      <alignment horizontal="center"/>
    </xf>
    <xf numFmtId="3" fontId="3" fillId="0" borderId="0" xfId="3" applyNumberFormat="1" applyFont="1" applyAlignment="1">
      <alignment horizontal="center"/>
    </xf>
    <xf numFmtId="3" fontId="3" fillId="5" borderId="0" xfId="3" applyNumberFormat="1" applyFont="1" applyFill="1" applyAlignment="1">
      <alignment horizontal="center"/>
    </xf>
    <xf numFmtId="171" fontId="6" fillId="6" borderId="0" xfId="3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3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3" applyFont="1" applyFill="1" applyAlignment="1">
      <alignment horizontal="center" wrapText="1"/>
    </xf>
    <xf numFmtId="0" fontId="6" fillId="6" borderId="0" xfId="3" applyFont="1" applyFill="1" applyAlignment="1">
      <alignment horizontal="center" wrapText="1"/>
    </xf>
    <xf numFmtId="0" fontId="6" fillId="2" borderId="0" xfId="3" quotePrefix="1" applyFont="1" applyFill="1" applyAlignment="1">
      <alignment horizontal="center" wrapText="1"/>
    </xf>
    <xf numFmtId="0" fontId="6" fillId="0" borderId="0" xfId="3" quotePrefix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6" fillId="0" borderId="0" xfId="3" applyFont="1" applyFill="1" applyAlignment="1"/>
    <xf numFmtId="0" fontId="6" fillId="7" borderId="0" xfId="3" applyFont="1" applyFill="1" applyAlignment="1">
      <alignment horizontal="center"/>
    </xf>
    <xf numFmtId="0" fontId="6" fillId="0" borderId="0" xfId="3" applyFont="1"/>
    <xf numFmtId="0" fontId="2" fillId="0" borderId="0" xfId="3" applyFont="1" applyAlignment="1">
      <alignment horizontal="center" wrapText="1"/>
    </xf>
    <xf numFmtId="0" fontId="6" fillId="0" borderId="0" xfId="3" quotePrefix="1" applyFont="1" applyFill="1" applyAlignment="1">
      <alignment horizontal="center" wrapText="1"/>
    </xf>
    <xf numFmtId="0" fontId="6" fillId="5" borderId="0" xfId="3" applyFont="1" applyFill="1" applyAlignment="1"/>
    <xf numFmtId="15" fontId="6" fillId="0" borderId="0" xfId="3" applyNumberFormat="1" applyFont="1" applyFill="1" applyAlignment="1">
      <alignment horizontal="left"/>
    </xf>
    <xf numFmtId="9" fontId="11" fillId="10" borderId="0" xfId="2" applyFont="1" applyFill="1" applyAlignment="1">
      <alignment horizontal="center"/>
    </xf>
    <xf numFmtId="0" fontId="12" fillId="10" borderId="0" xfId="3" applyFont="1" applyFill="1" applyAlignment="1">
      <alignment horizontal="center"/>
    </xf>
    <xf numFmtId="0" fontId="2" fillId="0" borderId="0" xfId="3" applyFont="1" applyFill="1"/>
    <xf numFmtId="0" fontId="13" fillId="0" borderId="0" xfId="3" applyFont="1" applyFill="1"/>
    <xf numFmtId="0" fontId="14" fillId="0" borderId="0" xfId="3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44" fontId="15" fillId="0" borderId="0" xfId="1" applyFont="1" applyAlignment="1">
      <alignment horizontal="center"/>
    </xf>
    <xf numFmtId="44" fontId="6" fillId="0" borderId="0" xfId="1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7" borderId="0" xfId="0" quotePrefix="1" applyNumberFormat="1" applyFont="1" applyFill="1" applyAlignment="1">
      <alignment horizontal="center" vertical="center" wrapText="1"/>
    </xf>
    <xf numFmtId="0" fontId="16" fillId="0" borderId="0" xfId="3" applyFont="1"/>
    <xf numFmtId="10" fontId="8" fillId="4" borderId="0" xfId="3" quotePrefix="1" applyNumberFormat="1" applyFont="1" applyFill="1" applyAlignment="1">
      <alignment horizontal="center"/>
    </xf>
    <xf numFmtId="15" fontId="6" fillId="4" borderId="0" xfId="3" applyNumberFormat="1" applyFont="1" applyFill="1" applyAlignment="1">
      <alignment horizontal="left"/>
    </xf>
    <xf numFmtId="15" fontId="6" fillId="0" borderId="0" xfId="3" quotePrefix="1" applyNumberFormat="1" applyFont="1" applyAlignment="1">
      <alignment horizontal="left"/>
    </xf>
    <xf numFmtId="0" fontId="17" fillId="0" borderId="0" xfId="3" applyFont="1"/>
    <xf numFmtId="165" fontId="0" fillId="0" borderId="0" xfId="0" applyNumberFormat="1" applyAlignment="1"/>
    <xf numFmtId="43" fontId="0" fillId="0" borderId="0" xfId="30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3" borderId="0" xfId="3" quotePrefix="1" applyFont="1" applyFill="1" applyAlignment="1">
      <alignment horizontal="center"/>
    </xf>
    <xf numFmtId="0" fontId="6" fillId="8" borderId="0" xfId="3" quotePrefix="1" applyFont="1" applyFill="1" applyAlignment="1">
      <alignment horizontal="center"/>
    </xf>
    <xf numFmtId="0" fontId="6" fillId="9" borderId="0" xfId="3" applyFont="1" applyFill="1" applyAlignment="1">
      <alignment horizontal="center"/>
    </xf>
    <xf numFmtId="165" fontId="6" fillId="8" borderId="0" xfId="0" quotePrefix="1" applyNumberFormat="1" applyFont="1" applyFill="1" applyAlignment="1">
      <alignment horizontal="center"/>
    </xf>
    <xf numFmtId="0" fontId="6" fillId="0" borderId="0" xfId="3" applyFont="1" applyAlignment="1">
      <alignment horizontal="center"/>
    </xf>
    <xf numFmtId="0" fontId="6" fillId="6" borderId="0" xfId="3" quotePrefix="1" applyFont="1" applyFill="1" applyAlignment="1">
      <alignment horizontal="center"/>
    </xf>
    <xf numFmtId="0" fontId="6" fillId="6" borderId="0" xfId="3" applyFont="1" applyFill="1" applyAlignment="1">
      <alignment horizontal="center"/>
    </xf>
    <xf numFmtId="0" fontId="6" fillId="8" borderId="0" xfId="3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64">
    <cellStyle name="_x0013_" xfId="4"/>
    <cellStyle name="_CC Oil" xfId="5"/>
    <cellStyle name="_DSO Oil" xfId="6"/>
    <cellStyle name="_FLCC Oil" xfId="7"/>
    <cellStyle name="_FLPEGT Oil" xfId="8"/>
    <cellStyle name="_FMCT Oil" xfId="9"/>
    <cellStyle name="_GTDW_DataTemplate" xfId="10"/>
    <cellStyle name="_Gulfstream Gas" xfId="11"/>
    <cellStyle name="_MR .7 Oil" xfId="12"/>
    <cellStyle name="_MR 1 Oil" xfId="13"/>
    <cellStyle name="_MRCT Oil" xfId="14"/>
    <cellStyle name="_MT Gulfstream Gas" xfId="15"/>
    <cellStyle name="_MT Oil" xfId="16"/>
    <cellStyle name="_OLCT Oil" xfId="17"/>
    <cellStyle name="_PE Oil" xfId="18"/>
    <cellStyle name="_PN Oil" xfId="19"/>
    <cellStyle name="_RV Oil" xfId="20"/>
    <cellStyle name="_SHCT Oil" xfId="21"/>
    <cellStyle name="_SN Oil" xfId="22"/>
    <cellStyle name="_TP Oil" xfId="23"/>
    <cellStyle name="Comma 2" xfId="24"/>
    <cellStyle name="Comma 3" xfId="25"/>
    <cellStyle name="Comma 3 2" xfId="26"/>
    <cellStyle name="Comma 3 2 2" xfId="27"/>
    <cellStyle name="Comma 3 3" xfId="28"/>
    <cellStyle name="Comma 4" xfId="29"/>
    <cellStyle name="Comma 4 2" xfId="30"/>
    <cellStyle name="Comma 5" xfId="31"/>
    <cellStyle name="Currency" xfId="1" builtinId="4"/>
    <cellStyle name="Normal" xfId="0" builtinId="0"/>
    <cellStyle name="Normal 10" xfId="32"/>
    <cellStyle name="Normal 10 2" xfId="33"/>
    <cellStyle name="Normal 2" xfId="34"/>
    <cellStyle name="Normal 2 2" xfId="35"/>
    <cellStyle name="Normal 2 2 2" xfId="36"/>
    <cellStyle name="Normal 2 2 2 2" xfId="37"/>
    <cellStyle name="Normal 2 2 3" xfId="38"/>
    <cellStyle name="Normal 2 3" xfId="39"/>
    <cellStyle name="Normal 2 3 2" xfId="40"/>
    <cellStyle name="Normal 2 3 2 2" xfId="41"/>
    <cellStyle name="Normal 2 3 3" xfId="42"/>
    <cellStyle name="Normal 2 4" xfId="43"/>
    <cellStyle name="Normal 2 4 2" xfId="44"/>
    <cellStyle name="Normal 2 4 2 2" xfId="45"/>
    <cellStyle name="Normal 2 4 3" xfId="46"/>
    <cellStyle name="Normal 2 5" xfId="47"/>
    <cellStyle name="Normal 2 6" xfId="48"/>
    <cellStyle name="Normal 2 6 2" xfId="49"/>
    <cellStyle name="Normal 2 7" xfId="50"/>
    <cellStyle name="Normal 2 8" xfId="51"/>
    <cellStyle name="Normal 3" xfId="52"/>
    <cellStyle name="Normal 4" xfId="53"/>
    <cellStyle name="Normal 5" xfId="54"/>
    <cellStyle name="Normal 5 2" xfId="55"/>
    <cellStyle name="Normal 5 2 2" xfId="56"/>
    <cellStyle name="Normal 5 3" xfId="57"/>
    <cellStyle name="Normal 6" xfId="58"/>
    <cellStyle name="Normal 6 2" xfId="59"/>
    <cellStyle name="Normal 7" xfId="60"/>
    <cellStyle name="Normal 7 2" xfId="61"/>
    <cellStyle name="Normal 8" xfId="62"/>
    <cellStyle name="Normal 9" xfId="63"/>
    <cellStyle name="Normal_060415 RAP Fuel Price Forecast Template - Case 1 (Historical Spread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6.zip\2016\5.%20May\160502%202016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FPL LONG TERM GAS &amp; OIL INDEX"/>
      <sheetName val="OIL &amp; GAS SEASONALITY"/>
      <sheetName val="DEMAND CHARGE CONTROL SHEET"/>
      <sheetName val="CAPACITY"/>
      <sheetName val="GAS AVAILABILITY WORKSHEET"/>
      <sheetName val="NATURAL GAS PRICES WORKSHEET"/>
      <sheetName val="FGT NON-FIRM"/>
      <sheetName val="Commodity Price"/>
      <sheetName val="DEMAND CHARGE"/>
      <sheetName val="GAS BASIS"/>
      <sheetName val="TRANSPORT"/>
      <sheetName val="GULFSTREAM FIRM "/>
      <sheetName val="GULFSTREAM NON-FIRM"/>
      <sheetName val="UPS REPLACEMENT"/>
      <sheetName val="Upload"/>
      <sheetName val="DISTILLATE &amp; RESIDUAL FUEL OIL"/>
      <sheetName val="FGT PRIMARY FIRM ZONE 1"/>
      <sheetName val="FGT PRIMARY FIRM ZONE 2"/>
      <sheetName val="FGT PRIMARY FIRM ZONE 3"/>
      <sheetName val="INCREMENTAL Z3"/>
      <sheetName val="GULF SOUTH"/>
      <sheetName val="TRANSCO 4A"/>
      <sheetName val="SESH"/>
      <sheetName val="SABAL TRAIL - FSC"/>
      <sheetName val="DISPATCH SUMMARY SHEET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37"/>
  <sheetViews>
    <sheetView tabSelected="1"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1" t="s">
        <v>64</v>
      </c>
    </row>
    <row r="2" spans="1:19" ht="15.75">
      <c r="A2" s="81" t="s">
        <v>65</v>
      </c>
    </row>
    <row r="3" spans="1:19" ht="15.75">
      <c r="A3" s="81" t="s">
        <v>66</v>
      </c>
    </row>
    <row r="4" spans="1:19" ht="15.75">
      <c r="A4" s="81" t="s">
        <v>67</v>
      </c>
    </row>
    <row r="5" spans="1:19" ht="15.75">
      <c r="A5" s="81" t="s">
        <v>69</v>
      </c>
    </row>
    <row r="6" spans="1:19" ht="15.75">
      <c r="A6" s="81" t="s">
        <v>68</v>
      </c>
    </row>
    <row r="8" spans="1:19" ht="24.75" customHeight="1">
      <c r="A8" s="28" t="s">
        <v>26</v>
      </c>
    </row>
    <row r="9" spans="1:19" ht="15" customHeight="1">
      <c r="A9" s="27" t="s">
        <v>25</v>
      </c>
    </row>
    <row r="10" spans="1:19" ht="15" customHeight="1">
      <c r="A10" s="1"/>
      <c r="G10" s="26"/>
      <c r="N10" s="25"/>
    </row>
    <row r="11" spans="1:19" ht="15" customHeight="1">
      <c r="C11" s="24" t="s">
        <v>24</v>
      </c>
      <c r="D11" s="23">
        <f>1-0.196</f>
        <v>0.80400000000000005</v>
      </c>
      <c r="E11" s="24" t="s">
        <v>23</v>
      </c>
      <c r="F11" s="23">
        <f>1+0.196</f>
        <v>1.196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2"/>
      <c r="L13" s="82" t="s">
        <v>22</v>
      </c>
      <c r="M13" s="82"/>
      <c r="N13" s="82"/>
      <c r="O13" s="82"/>
      <c r="P13" s="82"/>
      <c r="Q13" s="82"/>
      <c r="R13" s="82"/>
      <c r="S13" s="82"/>
    </row>
    <row r="14" spans="1:19" ht="15" customHeight="1">
      <c r="B14" s="10"/>
      <c r="C14" s="10"/>
      <c r="D14" s="10"/>
      <c r="E14" s="10"/>
      <c r="F14" s="10"/>
      <c r="G14" s="10"/>
      <c r="I14" s="10"/>
      <c r="K14" s="21"/>
      <c r="L14" s="82" t="s">
        <v>21</v>
      </c>
      <c r="M14" s="82"/>
      <c r="N14" s="82"/>
      <c r="O14" s="82"/>
      <c r="P14" s="82"/>
      <c r="Q14" s="82"/>
      <c r="R14" s="82"/>
      <c r="S14" s="82"/>
    </row>
    <row r="15" spans="1:19" s="15" customFormat="1" ht="112.5" customHeight="1">
      <c r="B15" s="18" t="s">
        <v>20</v>
      </c>
      <c r="C15" s="18" t="s">
        <v>19</v>
      </c>
      <c r="D15" s="18" t="s">
        <v>18</v>
      </c>
      <c r="E15" s="18" t="s">
        <v>17</v>
      </c>
      <c r="F15" s="17" t="s">
        <v>16</v>
      </c>
      <c r="G15" s="18" t="s">
        <v>15</v>
      </c>
      <c r="H15" s="17" t="s">
        <v>14</v>
      </c>
      <c r="I15" s="18" t="s">
        <v>13</v>
      </c>
      <c r="J15" s="17" t="s">
        <v>12</v>
      </c>
      <c r="K15" s="20" t="s">
        <v>11</v>
      </c>
      <c r="L15" s="16" t="s">
        <v>10</v>
      </c>
      <c r="M15" s="16" t="s">
        <v>9</v>
      </c>
      <c r="N15" s="16" t="s">
        <v>8</v>
      </c>
      <c r="O15" s="16" t="s">
        <v>7</v>
      </c>
      <c r="P15" s="16" t="s">
        <v>6</v>
      </c>
      <c r="Q15" s="16" t="s">
        <v>5</v>
      </c>
      <c r="R15" s="16" t="s">
        <v>4</v>
      </c>
      <c r="S15" s="19" t="s">
        <v>3</v>
      </c>
    </row>
    <row r="16" spans="1:19" s="15" customFormat="1" ht="15" customHeight="1">
      <c r="A16" s="17" t="s">
        <v>2</v>
      </c>
      <c r="B16" s="18" t="s">
        <v>1</v>
      </c>
      <c r="C16" s="18" t="s">
        <v>1</v>
      </c>
      <c r="D16" s="18" t="s">
        <v>1</v>
      </c>
      <c r="E16" s="18" t="s">
        <v>1</v>
      </c>
      <c r="F16" s="17" t="s">
        <v>1</v>
      </c>
      <c r="G16" s="18" t="s">
        <v>1</v>
      </c>
      <c r="H16" s="17" t="s">
        <v>1</v>
      </c>
      <c r="I16" s="18" t="s">
        <v>1</v>
      </c>
      <c r="J16" s="17" t="s">
        <v>1</v>
      </c>
      <c r="K16" s="17" t="s">
        <v>1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</row>
    <row r="17" spans="1:19" ht="15" customHeight="1">
      <c r="A17" s="13">
        <v>42370</v>
      </c>
      <c r="B17" s="8">
        <f>2.4804 * CHOOSE(CONTROL!$C$15, $D$11, 100%, $F$11)</f>
        <v>2.4803999999999999</v>
      </c>
      <c r="C17" s="8">
        <f>2.4909 * CHOOSE(CONTROL!$C$15, $D$11, 100%, $F$11)</f>
        <v>2.4908999999999999</v>
      </c>
      <c r="D17" s="8">
        <f>2.4906 * CHOOSE( CONTROL!$C$15, $D$11, 100%, $F$11)</f>
        <v>2.4906000000000001</v>
      </c>
      <c r="E17" s="12">
        <f>2.4896 * CHOOSE( CONTROL!$C$15, $D$11, 100%, $F$11)</f>
        <v>2.4895999999999998</v>
      </c>
      <c r="F17" s="4">
        <f>3.5033 * CHOOSE(CONTROL!$C$15, $D$11, 100%, $F$11)</f>
        <v>3.5032999999999999</v>
      </c>
      <c r="G17" s="8">
        <f>2.4464 * CHOOSE( CONTROL!$C$15, $D$11, 100%, $F$11)</f>
        <v>2.4464000000000001</v>
      </c>
      <c r="H17" s="4">
        <f>3.3387 * CHOOSE(CONTROL!$C$15, $D$11, 100%, $F$11)</f>
        <v>3.3386999999999998</v>
      </c>
      <c r="I17" s="8"/>
      <c r="J17" s="4">
        <f>2.372 * CHOOSE(CONTROL!$C$15, $D$11, 100%, $F$11)</f>
        <v>2.3719999999999999</v>
      </c>
      <c r="K17" s="4"/>
      <c r="L17" s="9">
        <v>29.306000000000001</v>
      </c>
      <c r="M17" s="9">
        <v>12.063700000000001</v>
      </c>
      <c r="N17" s="9">
        <v>4.9444999999999997</v>
      </c>
      <c r="O17" s="9">
        <v>0.61660000000000004</v>
      </c>
      <c r="P17" s="9">
        <v>1.2939000000000001</v>
      </c>
      <c r="Q17" s="9"/>
      <c r="R17" s="9">
        <f t="shared" ref="R17:R32" si="0">(0.1*4000000)/1000000</f>
        <v>0.4</v>
      </c>
      <c r="S17" s="11"/>
    </row>
    <row r="18" spans="1:19" ht="15" customHeight="1">
      <c r="A18" s="13">
        <v>42401</v>
      </c>
      <c r="B18" s="8">
        <f>2.2895 * CHOOSE(CONTROL!$C$15, $D$11, 100%, $F$11)</f>
        <v>2.2894999999999999</v>
      </c>
      <c r="C18" s="8">
        <f>2.2999 * CHOOSE(CONTROL!$C$15, $D$11, 100%, $F$11)</f>
        <v>2.2999000000000001</v>
      </c>
      <c r="D18" s="8">
        <f>2.3021 * CHOOSE( CONTROL!$C$15, $D$11, 100%, $F$11)</f>
        <v>2.3020999999999998</v>
      </c>
      <c r="E18" s="12">
        <f>2.3002 * CHOOSE( CONTROL!$C$15, $D$11, 100%, $F$11)</f>
        <v>2.3001999999999998</v>
      </c>
      <c r="F18" s="4">
        <f>3.3045 * CHOOSE(CONTROL!$C$15, $D$11, 100%, $F$11)</f>
        <v>3.3045</v>
      </c>
      <c r="G18" s="8">
        <f>2.26 * CHOOSE( CONTROL!$C$15, $D$11, 100%, $F$11)</f>
        <v>2.2599999999999998</v>
      </c>
      <c r="H18" s="4">
        <f>3.1449 * CHOOSE(CONTROL!$C$15, $D$11, 100%, $F$11)</f>
        <v>3.1448999999999998</v>
      </c>
      <c r="I18" s="8"/>
      <c r="J18" s="4">
        <f>2.189 * CHOOSE(CONTROL!$C$15, $D$11, 100%, $F$11)</f>
        <v>2.1890000000000001</v>
      </c>
      <c r="K18" s="4"/>
      <c r="L18" s="9">
        <v>27.0672</v>
      </c>
      <c r="M18" s="9">
        <v>11.285299999999999</v>
      </c>
      <c r="N18" s="9">
        <v>4.6254999999999997</v>
      </c>
      <c r="O18" s="9">
        <v>0.57679999999999998</v>
      </c>
      <c r="P18" s="9">
        <v>1.2104999999999999</v>
      </c>
      <c r="Q18" s="9"/>
      <c r="R18" s="9">
        <f t="shared" si="0"/>
        <v>0.4</v>
      </c>
      <c r="S18" s="11"/>
    </row>
    <row r="19" spans="1:19" ht="15" customHeight="1">
      <c r="A19" s="13">
        <v>42430</v>
      </c>
      <c r="B19" s="8">
        <f>1.7906 * CHOOSE(CONTROL!$C$15, $D$11, 100%, $F$11)</f>
        <v>1.7906</v>
      </c>
      <c r="C19" s="8">
        <f>1.801 * CHOOSE(CONTROL!$C$15, $D$11, 100%, $F$11)</f>
        <v>1.8009999999999999</v>
      </c>
      <c r="D19" s="8">
        <f>1.7813 * CHOOSE( CONTROL!$C$15, $D$11, 100%, $F$11)</f>
        <v>1.7813000000000001</v>
      </c>
      <c r="E19" s="12">
        <f>1.7874 * CHOOSE( CONTROL!$C$15, $D$11, 100%, $F$11)</f>
        <v>1.7874000000000001</v>
      </c>
      <c r="F19" s="4">
        <f>2.7895 * CHOOSE(CONTROL!$C$15, $D$11, 100%, $F$11)</f>
        <v>2.7894999999999999</v>
      </c>
      <c r="G19" s="8">
        <f>1.7534 * CHOOSE( CONTROL!$C$15, $D$11, 100%, $F$11)</f>
        <v>1.7534000000000001</v>
      </c>
      <c r="H19" s="4">
        <f>2.6429 * CHOOSE(CONTROL!$C$15, $D$11, 100%, $F$11)</f>
        <v>2.6429</v>
      </c>
      <c r="I19" s="8"/>
      <c r="J19" s="4">
        <f>1.711 * CHOOSE(CONTROL!$C$15, $D$11, 100%, $F$11)</f>
        <v>1.7110000000000001</v>
      </c>
      <c r="K19" s="4"/>
      <c r="L19" s="9">
        <v>28.933900000000001</v>
      </c>
      <c r="M19" s="9">
        <v>12.063700000000001</v>
      </c>
      <c r="N19" s="9">
        <v>4.9444999999999997</v>
      </c>
      <c r="O19" s="9">
        <v>0.61660000000000004</v>
      </c>
      <c r="P19" s="9">
        <v>1.2939000000000001</v>
      </c>
      <c r="Q19" s="9"/>
      <c r="R19" s="9">
        <f t="shared" si="0"/>
        <v>0.4</v>
      </c>
      <c r="S19" s="11"/>
    </row>
    <row r="20" spans="1:19" ht="15" customHeight="1">
      <c r="A20" s="13">
        <v>42461</v>
      </c>
      <c r="B20" s="8">
        <f>1.991 * CHOOSE(CONTROL!$C$15, $D$11, 100%, $F$11)</f>
        <v>1.9910000000000001</v>
      </c>
      <c r="C20" s="8">
        <f>2.0014 * CHOOSE(CONTROL!$C$15, $D$11, 100%, $F$11)</f>
        <v>2.0013999999999998</v>
      </c>
      <c r="D20" s="8">
        <f>1.988 * CHOOSE( CONTROL!$C$15, $D$11, 100%, $F$11)</f>
        <v>1.988</v>
      </c>
      <c r="E20" s="12">
        <f>1.9912 * CHOOSE( CONTROL!$C$15, $D$11, 100%, $F$11)</f>
        <v>1.9912000000000001</v>
      </c>
      <c r="F20" s="4">
        <f>2.9982 * CHOOSE(CONTROL!$C$15, $D$11, 100%, $F$11)</f>
        <v>2.9982000000000002</v>
      </c>
      <c r="G20" s="8">
        <f>1.9374 * CHOOSE( CONTROL!$C$15, $D$11, 100%, $F$11)</f>
        <v>1.9374</v>
      </c>
      <c r="H20" s="4">
        <f>2.8463 * CHOOSE(CONTROL!$C$15, $D$11, 100%, $F$11)</f>
        <v>2.8462999999999998</v>
      </c>
      <c r="I20" s="8"/>
      <c r="J20" s="4">
        <f>1.903 * CHOOSE(CONTROL!$C$15, $D$11, 100%, $F$11)</f>
        <v>1.903</v>
      </c>
      <c r="K20" s="4"/>
      <c r="L20" s="9">
        <v>29.665800000000001</v>
      </c>
      <c r="M20" s="9">
        <v>11.6745</v>
      </c>
      <c r="N20" s="9">
        <v>4.7850000000000001</v>
      </c>
      <c r="O20" s="9">
        <v>0.59670000000000001</v>
      </c>
      <c r="P20" s="9">
        <v>2.0352000000000001</v>
      </c>
      <c r="Q20" s="9"/>
      <c r="R20" s="9">
        <f t="shared" si="0"/>
        <v>0.4</v>
      </c>
      <c r="S20" s="11"/>
    </row>
    <row r="21" spans="1:19" ht="15" customHeight="1">
      <c r="A21" s="13">
        <v>42491</v>
      </c>
      <c r="B21" s="8">
        <f>CHOOSE( CONTROL!$C$32, 2.0919, 2.087) * CHOOSE(CONTROL!$C$15, $D$11, 100%, $F$11)</f>
        <v>2.0918999999999999</v>
      </c>
      <c r="C21" s="8">
        <f>CHOOSE( CONTROL!$C$32, 2.1024, 2.0974) * CHOOSE(CONTROL!$C$15, $D$11, 100%, $F$11)</f>
        <v>2.1023999999999998</v>
      </c>
      <c r="D21" s="8">
        <f>CHOOSE( CONTROL!$C$32, 2.0734, 2.0685) * CHOOSE( CONTROL!$C$15, $D$11, 100%, $F$11)</f>
        <v>2.0733999999999999</v>
      </c>
      <c r="E21" s="12">
        <f>CHOOSE( CONTROL!$C$32, 2.0815, 2.0766) * CHOOSE( CONTROL!$C$15, $D$11, 100%, $F$11)</f>
        <v>2.0815000000000001</v>
      </c>
      <c r="F21" s="4">
        <f>CHOOSE( CONTROL!$C$32, 3.0668, 3.0619) * CHOOSE(CONTROL!$C$15, $D$11, 100%, $F$11)</f>
        <v>3.0668000000000002</v>
      </c>
      <c r="G21" s="8">
        <f>CHOOSE( CONTROL!$C$32, 2.016, 2.0112) * CHOOSE( CONTROL!$C$15, $D$11, 100%, $F$11)</f>
        <v>2.016</v>
      </c>
      <c r="H21" s="4">
        <f>CHOOSE( CONTROL!$C$32, 2.9132, 2.9084) * CHOOSE(CONTROL!$C$15, $D$11, 100%, $F$11)</f>
        <v>2.9131999999999998</v>
      </c>
      <c r="I21" s="8"/>
      <c r="J21" s="4">
        <f>CHOOSE( CONTROL!$C$32, 1.9997, 1.995) * CHOOSE(CONTROL!$C$15, $D$11, 100%, $F$11)</f>
        <v>1.9997</v>
      </c>
      <c r="K21" s="4"/>
      <c r="L21" s="9">
        <v>34.542499999999997</v>
      </c>
      <c r="M21" s="9">
        <v>12.063700000000001</v>
      </c>
      <c r="N21" s="9">
        <v>4.9444999999999997</v>
      </c>
      <c r="O21" s="9">
        <v>0.37459999999999999</v>
      </c>
      <c r="P21" s="9">
        <v>1.3714999999999999</v>
      </c>
      <c r="Q21" s="9"/>
      <c r="R21" s="9">
        <f t="shared" si="0"/>
        <v>0.4</v>
      </c>
      <c r="S21" s="11"/>
    </row>
    <row r="22" spans="1:19" ht="15" customHeight="1">
      <c r="A22" s="13">
        <v>42522</v>
      </c>
      <c r="B22" s="8">
        <f>CHOOSE( CONTROL!$C$32, 2.141, 2.136) * CHOOSE(CONTROL!$C$15, $D$11, 100%, $F$11)</f>
        <v>2.141</v>
      </c>
      <c r="C22" s="8">
        <f>CHOOSE( CONTROL!$C$32, 2.1514, 2.1465) * CHOOSE(CONTROL!$C$15, $D$11, 100%, $F$11)</f>
        <v>2.1514000000000002</v>
      </c>
      <c r="D22" s="8">
        <f>CHOOSE( CONTROL!$C$32, 2.1346, 2.1297) * CHOOSE( CONTROL!$C$15, $D$11, 100%, $F$11)</f>
        <v>2.1345999999999998</v>
      </c>
      <c r="E22" s="12">
        <f>CHOOSE( CONTROL!$C$32, 2.1387, 2.1338) * CHOOSE( CONTROL!$C$15, $D$11, 100%, $F$11)</f>
        <v>2.1387</v>
      </c>
      <c r="F22" s="4">
        <f>CHOOSE( CONTROL!$C$32, 3.1352, 3.1303) * CHOOSE(CONTROL!$C$15, $D$11, 100%, $F$11)</f>
        <v>3.1352000000000002</v>
      </c>
      <c r="G22" s="8">
        <f>CHOOSE( CONTROL!$C$32, 2.0742, 2.0694) * CHOOSE( CONTROL!$C$15, $D$11, 100%, $F$11)</f>
        <v>2.0741999999999998</v>
      </c>
      <c r="H22" s="4">
        <f>CHOOSE( CONTROL!$C$32, 2.9798, 2.975) * CHOOSE(CONTROL!$C$15, $D$11, 100%, $F$11)</f>
        <v>2.9798</v>
      </c>
      <c r="I22" s="8"/>
      <c r="J22" s="4">
        <f>CHOOSE( CONTROL!$C$32, 2.0467, 2.042) * CHOOSE(CONTROL!$C$15, $D$11, 100%, $F$11)</f>
        <v>2.0467</v>
      </c>
      <c r="K22" s="4"/>
      <c r="L22" s="9">
        <v>33.428199999999997</v>
      </c>
      <c r="M22" s="9">
        <v>11.6745</v>
      </c>
      <c r="N22" s="9">
        <v>4.7850000000000001</v>
      </c>
      <c r="O22" s="9">
        <v>0.36249999999999999</v>
      </c>
      <c r="P22" s="9">
        <v>1.3272999999999999</v>
      </c>
      <c r="Q22" s="9"/>
      <c r="R22" s="9">
        <f t="shared" si="0"/>
        <v>0.4</v>
      </c>
      <c r="S22" s="11"/>
    </row>
    <row r="23" spans="1:19" ht="15" customHeight="1">
      <c r="A23" s="13">
        <v>42552</v>
      </c>
      <c r="B23" s="8">
        <f>CHOOSE( CONTROL!$C$32, 2.3247, 2.3197) * CHOOSE(CONTROL!$C$15, $D$11, 100%, $F$11)</f>
        <v>2.3247</v>
      </c>
      <c r="C23" s="8">
        <f>CHOOSE( CONTROL!$C$32, 2.3351, 2.3302) * CHOOSE(CONTROL!$C$15, $D$11, 100%, $F$11)</f>
        <v>2.3351000000000002</v>
      </c>
      <c r="D23" s="8">
        <f>CHOOSE( CONTROL!$C$32, 2.3244, 2.3194) * CHOOSE( CONTROL!$C$15, $D$11, 100%, $F$11)</f>
        <v>2.3243999999999998</v>
      </c>
      <c r="E23" s="12">
        <f>CHOOSE( CONTROL!$C$32, 2.3265, 2.3215) * CHOOSE( CONTROL!$C$15, $D$11, 100%, $F$11)</f>
        <v>2.3264999999999998</v>
      </c>
      <c r="F23" s="4">
        <f>CHOOSE( CONTROL!$C$32, 3.3293, 3.3244) * CHOOSE(CONTROL!$C$15, $D$11, 100%, $F$11)</f>
        <v>3.3292999999999999</v>
      </c>
      <c r="G23" s="8">
        <f>CHOOSE( CONTROL!$C$32, 2.2574, 2.2525) * CHOOSE( CONTROL!$C$15, $D$11, 100%, $F$11)</f>
        <v>2.2574000000000001</v>
      </c>
      <c r="H23" s="4">
        <f>CHOOSE( CONTROL!$C$32, 3.1691, 3.1643) * CHOOSE(CONTROL!$C$15, $D$11, 100%, $F$11)</f>
        <v>3.1690999999999998</v>
      </c>
      <c r="I23" s="8"/>
      <c r="J23" s="4">
        <f>CHOOSE( CONTROL!$C$32, 2.2227, 2.218) * CHOOSE(CONTROL!$C$15, $D$11, 100%, $F$11)</f>
        <v>2.2227000000000001</v>
      </c>
      <c r="K23" s="4"/>
      <c r="L23" s="9">
        <v>34.542499999999997</v>
      </c>
      <c r="M23" s="9">
        <v>12.063700000000001</v>
      </c>
      <c r="N23" s="9">
        <v>4.9444999999999997</v>
      </c>
      <c r="O23" s="9">
        <v>0.37459999999999999</v>
      </c>
      <c r="P23" s="9">
        <v>1.3714999999999999</v>
      </c>
      <c r="Q23" s="9"/>
      <c r="R23" s="9">
        <f t="shared" si="0"/>
        <v>0.4</v>
      </c>
      <c r="S23" s="11"/>
    </row>
    <row r="24" spans="1:19" ht="15" customHeight="1">
      <c r="A24" s="13">
        <v>42583</v>
      </c>
      <c r="B24" s="8">
        <f>CHOOSE( CONTROL!$C$32, 2.4321, 2.4272) * CHOOSE(CONTROL!$C$15, $D$11, 100%, $F$11)</f>
        <v>2.4321000000000002</v>
      </c>
      <c r="C24" s="8">
        <f>CHOOSE( CONTROL!$C$32, 2.4426, 2.4377) * CHOOSE(CONTROL!$C$15, $D$11, 100%, $F$11)</f>
        <v>2.4426000000000001</v>
      </c>
      <c r="D24" s="8">
        <f>CHOOSE( CONTROL!$C$32, 2.4315, 2.4266) * CHOOSE( CONTROL!$C$15, $D$11, 100%, $F$11)</f>
        <v>2.4315000000000002</v>
      </c>
      <c r="E24" s="12">
        <f>CHOOSE( CONTROL!$C$32, 2.4337, 2.4288) * CHOOSE( CONTROL!$C$15, $D$11, 100%, $F$11)</f>
        <v>2.4337</v>
      </c>
      <c r="F24" s="4">
        <f>CHOOSE( CONTROL!$C$32, 3.4446, 3.4397) * CHOOSE(CONTROL!$C$15, $D$11, 100%, $F$11)</f>
        <v>3.4445999999999999</v>
      </c>
      <c r="G24" s="8">
        <f>CHOOSE( CONTROL!$C$32, 2.3573, 2.3525) * CHOOSE( CONTROL!$C$15, $D$11, 100%, $F$11)</f>
        <v>2.3573</v>
      </c>
      <c r="H24" s="4">
        <f>CHOOSE( CONTROL!$C$32, 3.2815, 3.2767) * CHOOSE(CONTROL!$C$15, $D$11, 100%, $F$11)</f>
        <v>3.2814999999999999</v>
      </c>
      <c r="I24" s="8"/>
      <c r="J24" s="4">
        <f>CHOOSE( CONTROL!$C$32, 2.3257, 2.321) * CHOOSE(CONTROL!$C$15, $D$11, 100%, $F$11)</f>
        <v>2.3256999999999999</v>
      </c>
      <c r="K24" s="4"/>
      <c r="L24" s="9">
        <v>34.542499999999997</v>
      </c>
      <c r="M24" s="9">
        <v>12.063700000000001</v>
      </c>
      <c r="N24" s="9">
        <v>4.9444999999999997</v>
      </c>
      <c r="O24" s="9">
        <v>0.37459999999999999</v>
      </c>
      <c r="P24" s="9">
        <v>1.3714999999999999</v>
      </c>
      <c r="Q24" s="9"/>
      <c r="R24" s="9">
        <f t="shared" si="0"/>
        <v>0.4</v>
      </c>
      <c r="S24" s="11"/>
    </row>
    <row r="25" spans="1:19" ht="15" customHeight="1">
      <c r="A25" s="13">
        <v>42614</v>
      </c>
      <c r="B25" s="8">
        <f>CHOOSE( CONTROL!$C$32, 2.4833, 2.4784) * CHOOSE(CONTROL!$C$15, $D$11, 100%, $F$11)</f>
        <v>2.4832999999999998</v>
      </c>
      <c r="C25" s="8">
        <f>CHOOSE( CONTROL!$C$32, 2.4937, 2.4888) * CHOOSE(CONTROL!$C$15, $D$11, 100%, $F$11)</f>
        <v>2.4937</v>
      </c>
      <c r="D25" s="8">
        <f>CHOOSE( CONTROL!$C$32, 2.483, 2.4781) * CHOOSE( CONTROL!$C$15, $D$11, 100%, $F$11)</f>
        <v>2.4830000000000001</v>
      </c>
      <c r="E25" s="12">
        <f>CHOOSE( CONTROL!$C$32, 2.4851, 2.4802) * CHOOSE( CONTROL!$C$15, $D$11, 100%, $F$11)</f>
        <v>2.4851000000000001</v>
      </c>
      <c r="F25" s="4">
        <f>CHOOSE( CONTROL!$C$32, 3.4958, 3.4908) * CHOOSE(CONTROL!$C$15, $D$11, 100%, $F$11)</f>
        <v>3.4958</v>
      </c>
      <c r="G25" s="8">
        <f>CHOOSE( CONTROL!$C$32, 2.4076, 2.4028) * CHOOSE( CONTROL!$C$15, $D$11, 100%, $F$11)</f>
        <v>2.4076</v>
      </c>
      <c r="H25" s="4">
        <f>CHOOSE( CONTROL!$C$32, 3.3313, 3.3265) * CHOOSE(CONTROL!$C$15, $D$11, 100%, $F$11)</f>
        <v>3.3313000000000001</v>
      </c>
      <c r="I25" s="8"/>
      <c r="J25" s="4">
        <f>CHOOSE( CONTROL!$C$32, 2.3747, 2.37) * CHOOSE(CONTROL!$C$15, $D$11, 100%, $F$11)</f>
        <v>2.3746999999999998</v>
      </c>
      <c r="K25" s="4"/>
      <c r="L25" s="9">
        <v>33.428199999999997</v>
      </c>
      <c r="M25" s="9">
        <v>11.6745</v>
      </c>
      <c r="N25" s="9">
        <v>4.7850000000000001</v>
      </c>
      <c r="O25" s="9">
        <v>0.36249999999999999</v>
      </c>
      <c r="P25" s="9">
        <v>1.3272999999999999</v>
      </c>
      <c r="Q25" s="9"/>
      <c r="R25" s="9">
        <f t="shared" si="0"/>
        <v>0.4</v>
      </c>
      <c r="S25" s="11"/>
    </row>
    <row r="26" spans="1:19" ht="15" customHeight="1">
      <c r="A26" s="13">
        <v>42644</v>
      </c>
      <c r="B26" s="8">
        <f>2.5608 * CHOOSE(CONTROL!$C$15, $D$11, 100%, $F$11)</f>
        <v>2.5608</v>
      </c>
      <c r="C26" s="8">
        <f>2.5712 * CHOOSE(CONTROL!$C$15, $D$11, 100%, $F$11)</f>
        <v>2.5712000000000002</v>
      </c>
      <c r="D26" s="8">
        <f>2.5618 * CHOOSE( CONTROL!$C$15, $D$11, 100%, $F$11)</f>
        <v>2.5617999999999999</v>
      </c>
      <c r="E26" s="12">
        <f>2.5636 * CHOOSE( CONTROL!$C$15, $D$11, 100%, $F$11)</f>
        <v>2.5636000000000001</v>
      </c>
      <c r="F26" s="4">
        <f>3.5733 * CHOOSE(CONTROL!$C$15, $D$11, 100%, $F$11)</f>
        <v>3.5733000000000001</v>
      </c>
      <c r="G26" s="8">
        <f>2.4828 * CHOOSE( CONTROL!$C$15, $D$11, 100%, $F$11)</f>
        <v>2.4828000000000001</v>
      </c>
      <c r="H26" s="4">
        <f>3.4069 * CHOOSE(CONTROL!$C$15, $D$11, 100%, $F$11)</f>
        <v>3.4068999999999998</v>
      </c>
      <c r="I26" s="8"/>
      <c r="J26" s="4">
        <f>2.449 * CHOOSE(CONTROL!$C$15, $D$11, 100%, $F$11)</f>
        <v>2.4489999999999998</v>
      </c>
      <c r="K26" s="4"/>
      <c r="L26" s="9">
        <v>34.3003</v>
      </c>
      <c r="M26" s="9">
        <v>12.063700000000001</v>
      </c>
      <c r="N26" s="9">
        <v>4.9444999999999997</v>
      </c>
      <c r="O26" s="9">
        <v>0.37459999999999999</v>
      </c>
      <c r="P26" s="9">
        <v>1.3714999999999999</v>
      </c>
      <c r="Q26" s="9"/>
      <c r="R26" s="9">
        <f t="shared" si="0"/>
        <v>0.4</v>
      </c>
      <c r="S26" s="11"/>
    </row>
    <row r="27" spans="1:19" ht="15" customHeight="1">
      <c r="A27" s="13">
        <v>42675</v>
      </c>
      <c r="B27" s="8">
        <f>2.7852 * CHOOSE(CONTROL!$C$15, $D$11, 100%, $F$11)</f>
        <v>2.7852000000000001</v>
      </c>
      <c r="C27" s="8">
        <f>2.7956 * CHOOSE(CONTROL!$C$15, $D$11, 100%, $F$11)</f>
        <v>2.7955999999999999</v>
      </c>
      <c r="D27" s="8">
        <f>2.7767 * CHOOSE( CONTROL!$C$15, $D$11, 100%, $F$11)</f>
        <v>2.7766999999999999</v>
      </c>
      <c r="E27" s="12">
        <f>2.7825 * CHOOSE( CONTROL!$C$15, $D$11, 100%, $F$11)</f>
        <v>2.7825000000000002</v>
      </c>
      <c r="F27" s="4">
        <f>3.782 * CHOOSE(CONTROL!$C$15, $D$11, 100%, $F$11)</f>
        <v>3.782</v>
      </c>
      <c r="G27" s="8">
        <f>2.7244 * CHOOSE( CONTROL!$C$15, $D$11, 100%, $F$11)</f>
        <v>2.7244000000000002</v>
      </c>
      <c r="H27" s="4">
        <f>3.6103 * CHOOSE(CONTROL!$C$15, $D$11, 100%, $F$11)</f>
        <v>3.6103000000000001</v>
      </c>
      <c r="I27" s="8"/>
      <c r="J27" s="4">
        <f>2.664 * CHOOSE(CONTROL!$C$15, $D$11, 100%, $F$11)</f>
        <v>2.6640000000000001</v>
      </c>
      <c r="K27" s="4"/>
      <c r="L27" s="9">
        <v>28.000499999999999</v>
      </c>
      <c r="M27" s="9">
        <v>11.6745</v>
      </c>
      <c r="N27" s="9">
        <v>4.7850000000000001</v>
      </c>
      <c r="O27" s="9">
        <v>0.36249999999999999</v>
      </c>
      <c r="P27" s="9">
        <v>1.2522</v>
      </c>
      <c r="Q27" s="9"/>
      <c r="R27" s="9">
        <f t="shared" si="0"/>
        <v>0.4</v>
      </c>
      <c r="S27" s="11"/>
    </row>
    <row r="28" spans="1:19" ht="15" customHeight="1">
      <c r="A28" s="13">
        <v>42705</v>
      </c>
      <c r="B28" s="8">
        <f>3.1035 * CHOOSE(CONTROL!$C$15, $D$11, 100%, $F$11)</f>
        <v>3.1034999999999999</v>
      </c>
      <c r="C28" s="8">
        <f>3.1139 * CHOOSE(CONTROL!$C$15, $D$11, 100%, $F$11)</f>
        <v>3.1139000000000001</v>
      </c>
      <c r="D28" s="8">
        <f>3.0975 * CHOOSE( CONTROL!$C$15, $D$11, 100%, $F$11)</f>
        <v>3.0975000000000001</v>
      </c>
      <c r="E28" s="12">
        <f>3.1024 * CHOOSE( CONTROL!$C$15, $D$11, 100%, $F$11)</f>
        <v>3.1023999999999998</v>
      </c>
      <c r="F28" s="4">
        <f>4.1003 * CHOOSE(CONTROL!$C$15, $D$11, 100%, $F$11)</f>
        <v>4.1002999999999998</v>
      </c>
      <c r="G28" s="8">
        <f>3.0367 * CHOOSE( CONTROL!$C$15, $D$11, 100%, $F$11)</f>
        <v>3.0367000000000002</v>
      </c>
      <c r="H28" s="4">
        <f>3.9206 * CHOOSE(CONTROL!$C$15, $D$11, 100%, $F$11)</f>
        <v>3.9205999999999999</v>
      </c>
      <c r="I28" s="8"/>
      <c r="J28" s="4">
        <f>2.969 * CHOOSE(CONTROL!$C$15, $D$11, 100%, $F$11)</f>
        <v>2.9689999999999999</v>
      </c>
      <c r="K28" s="4"/>
      <c r="L28" s="9">
        <v>28.933900000000001</v>
      </c>
      <c r="M28" s="9">
        <v>12.063700000000001</v>
      </c>
      <c r="N28" s="9">
        <v>4.9444999999999997</v>
      </c>
      <c r="O28" s="9">
        <v>0.37459999999999999</v>
      </c>
      <c r="P28" s="9">
        <v>1.2939000000000001</v>
      </c>
      <c r="Q28" s="9"/>
      <c r="R28" s="9">
        <f t="shared" si="0"/>
        <v>0.4</v>
      </c>
      <c r="S28" s="11"/>
    </row>
    <row r="29" spans="1:19" ht="15" customHeight="1">
      <c r="A29" s="13">
        <v>42736</v>
      </c>
      <c r="B29" s="8">
        <f>3.2371 * CHOOSE(CONTROL!$C$15, $D$11, 100%, $F$11)</f>
        <v>3.2370999999999999</v>
      </c>
      <c r="C29" s="8">
        <f>3.2475 * CHOOSE(CONTROL!$C$15, $D$11, 100%, $F$11)</f>
        <v>3.2475000000000001</v>
      </c>
      <c r="D29" s="8">
        <f>3.2461 * CHOOSE( CONTROL!$C$15, $D$11, 100%, $F$11)</f>
        <v>3.2461000000000002</v>
      </c>
      <c r="E29" s="12">
        <f>3.2455 * CHOOSE( CONTROL!$C$15, $D$11, 100%, $F$11)</f>
        <v>3.2454999999999998</v>
      </c>
      <c r="F29" s="4">
        <f>4.26 * CHOOSE(CONTROL!$C$15, $D$11, 100%, $F$11)</f>
        <v>4.26</v>
      </c>
      <c r="G29" s="8">
        <f>3.1838 * CHOOSE( CONTROL!$C$15, $D$11, 100%, $F$11)</f>
        <v>3.1838000000000002</v>
      </c>
      <c r="H29" s="4">
        <f>4.0763 * CHOOSE(CONTROL!$C$15, $D$11, 100%, $F$11)</f>
        <v>4.0762999999999998</v>
      </c>
      <c r="I29" s="8"/>
      <c r="J29" s="4">
        <f>3.097 * CHOOSE(CONTROL!$C$15, $D$11, 100%, $F$11)</f>
        <v>3.097</v>
      </c>
      <c r="K29" s="4"/>
      <c r="L29" s="9">
        <v>28.933900000000001</v>
      </c>
      <c r="M29" s="9">
        <v>12.063700000000001</v>
      </c>
      <c r="N29" s="9">
        <v>4.9444999999999997</v>
      </c>
      <c r="O29" s="9">
        <v>0.37459999999999999</v>
      </c>
      <c r="P29" s="9">
        <v>1.2939000000000001</v>
      </c>
      <c r="Q29" s="9"/>
      <c r="R29" s="9">
        <f t="shared" si="0"/>
        <v>0.4</v>
      </c>
      <c r="S29" s="11"/>
    </row>
    <row r="30" spans="1:19" ht="15" customHeight="1">
      <c r="A30" s="13">
        <v>42767</v>
      </c>
      <c r="B30" s="8">
        <f>3.2266 * CHOOSE(CONTROL!$C$15, $D$11, 100%, $F$11)</f>
        <v>3.2265999999999999</v>
      </c>
      <c r="C30" s="8">
        <f>3.2371 * CHOOSE(CONTROL!$C$15, $D$11, 100%, $F$11)</f>
        <v>3.2370999999999999</v>
      </c>
      <c r="D30" s="8">
        <f>3.2379 * CHOOSE( CONTROL!$C$15, $D$11, 100%, $F$11)</f>
        <v>3.2378999999999998</v>
      </c>
      <c r="E30" s="12">
        <f>3.2365 * CHOOSE( CONTROL!$C$15, $D$11, 100%, $F$11)</f>
        <v>3.2364999999999999</v>
      </c>
      <c r="F30" s="4">
        <f>4.2417 * CHOOSE(CONTROL!$C$15, $D$11, 100%, $F$11)</f>
        <v>4.2416999999999998</v>
      </c>
      <c r="G30" s="8">
        <f>3.1734 * CHOOSE( CONTROL!$C$15, $D$11, 100%, $F$11)</f>
        <v>3.1734</v>
      </c>
      <c r="H30" s="4">
        <f>4.0585 * CHOOSE(CONTROL!$C$15, $D$11, 100%, $F$11)</f>
        <v>4.0585000000000004</v>
      </c>
      <c r="I30" s="8"/>
      <c r="J30" s="4">
        <f>3.087 * CHOOSE(CONTROL!$C$15, $D$11, 100%, $F$11)</f>
        <v>3.0870000000000002</v>
      </c>
      <c r="K30" s="4"/>
      <c r="L30" s="9">
        <v>26.133800000000001</v>
      </c>
      <c r="M30" s="9">
        <v>10.8962</v>
      </c>
      <c r="N30" s="9">
        <v>4.4660000000000002</v>
      </c>
      <c r="O30" s="9">
        <v>0.33829999999999999</v>
      </c>
      <c r="P30" s="9">
        <v>1.1687000000000001</v>
      </c>
      <c r="Q30" s="9"/>
      <c r="R30" s="9">
        <f t="shared" si="0"/>
        <v>0.4</v>
      </c>
      <c r="S30" s="11"/>
    </row>
    <row r="31" spans="1:19" ht="15" customHeight="1">
      <c r="A31" s="13">
        <v>42795</v>
      </c>
      <c r="B31" s="8">
        <f>3.1807 * CHOOSE(CONTROL!$C$15, $D$11, 100%, $F$11)</f>
        <v>3.1806999999999999</v>
      </c>
      <c r="C31" s="8">
        <f>3.1911 * CHOOSE(CONTROL!$C$15, $D$11, 100%, $F$11)</f>
        <v>3.1911</v>
      </c>
      <c r="D31" s="8">
        <f>3.1716 * CHOOSE( CONTROL!$C$15, $D$11, 100%, $F$11)</f>
        <v>3.1716000000000002</v>
      </c>
      <c r="E31" s="12">
        <f>3.1776 * CHOOSE( CONTROL!$C$15, $D$11, 100%, $F$11)</f>
        <v>3.1776</v>
      </c>
      <c r="F31" s="4">
        <f>4.1796 * CHOOSE(CONTROL!$C$15, $D$11, 100%, $F$11)</f>
        <v>4.1795999999999998</v>
      </c>
      <c r="G31" s="8">
        <f>3.1079 * CHOOSE( CONTROL!$C$15, $D$11, 100%, $F$11)</f>
        <v>3.1078999999999999</v>
      </c>
      <c r="H31" s="4">
        <f>3.9979 * CHOOSE(CONTROL!$C$15, $D$11, 100%, $F$11)</f>
        <v>3.9979</v>
      </c>
      <c r="I31" s="8"/>
      <c r="J31" s="4">
        <f>3.043 * CHOOSE(CONTROL!$C$15, $D$11, 100%, $F$11)</f>
        <v>3.0430000000000001</v>
      </c>
      <c r="K31" s="4"/>
      <c r="L31" s="9">
        <v>28.933900000000001</v>
      </c>
      <c r="M31" s="9">
        <v>12.063700000000001</v>
      </c>
      <c r="N31" s="9">
        <v>4.9444999999999997</v>
      </c>
      <c r="O31" s="9">
        <v>0.37459999999999999</v>
      </c>
      <c r="P31" s="9">
        <v>1.2939000000000001</v>
      </c>
      <c r="Q31" s="9"/>
      <c r="R31" s="9">
        <f t="shared" si="0"/>
        <v>0.4</v>
      </c>
      <c r="S31" s="11"/>
    </row>
    <row r="32" spans="1:19" ht="15" customHeight="1">
      <c r="A32" s="13">
        <v>42826</v>
      </c>
      <c r="B32" s="8">
        <f>2.9835 * CHOOSE(CONTROL!$C$15, $D$11, 100%, $F$11)</f>
        <v>2.9834999999999998</v>
      </c>
      <c r="C32" s="8">
        <f>2.9939 * CHOOSE(CONTROL!$C$15, $D$11, 100%, $F$11)</f>
        <v>2.9939</v>
      </c>
      <c r="D32" s="8">
        <f>2.9835 * CHOOSE( CONTROL!$C$15, $D$11, 100%, $F$11)</f>
        <v>2.9834999999999998</v>
      </c>
      <c r="E32" s="12">
        <f>2.9857 * CHOOSE( CONTROL!$C$15, $D$11, 100%, $F$11)</f>
        <v>2.9857</v>
      </c>
      <c r="F32" s="4">
        <f>3.9907 * CHOOSE(CONTROL!$C$15, $D$11, 100%, $F$11)</f>
        <v>3.9906999999999999</v>
      </c>
      <c r="G32" s="8">
        <f>2.9036 * CHOOSE( CONTROL!$C$15, $D$11, 100%, $F$11)</f>
        <v>2.9036</v>
      </c>
      <c r="H32" s="4">
        <f>3.8138 * CHOOSE(CONTROL!$C$15, $D$11, 100%, $F$11)</f>
        <v>3.8138000000000001</v>
      </c>
      <c r="I32" s="8"/>
      <c r="J32" s="4">
        <f>2.854 * CHOOSE(CONTROL!$C$15, $D$11, 100%, $F$11)</f>
        <v>2.8540000000000001</v>
      </c>
      <c r="K32" s="4"/>
      <c r="L32" s="9">
        <v>29.665800000000001</v>
      </c>
      <c r="M32" s="9">
        <v>11.6745</v>
      </c>
      <c r="N32" s="9">
        <v>4.7850000000000001</v>
      </c>
      <c r="O32" s="9">
        <v>0.36249999999999999</v>
      </c>
      <c r="P32" s="9">
        <v>2.0352000000000001</v>
      </c>
      <c r="Q32" s="9"/>
      <c r="R32" s="9">
        <f t="shared" si="0"/>
        <v>0.4</v>
      </c>
      <c r="S32" s="11"/>
    </row>
    <row r="33" spans="1:19" ht="15" customHeight="1">
      <c r="A33" s="13">
        <v>42856</v>
      </c>
      <c r="B33" s="8">
        <f>CHOOSE( CONTROL!$C$32, 2.9811, 2.9762) * CHOOSE(CONTROL!$C$15, $D$11, 100%, $F$11)</f>
        <v>2.9811000000000001</v>
      </c>
      <c r="C33" s="8">
        <f>CHOOSE( CONTROL!$C$32, 2.9915, 2.9866) * CHOOSE(CONTROL!$C$15, $D$11, 100%, $F$11)</f>
        <v>2.9914999999999998</v>
      </c>
      <c r="D33" s="8">
        <f>CHOOSE( CONTROL!$C$32, 2.9597, 2.9547) * CHOOSE( CONTROL!$C$15, $D$11, 100%, $F$11)</f>
        <v>2.9597000000000002</v>
      </c>
      <c r="E33" s="12">
        <f>CHOOSE( CONTROL!$C$32, 2.9696, 2.9647) * CHOOSE( CONTROL!$C$15, $D$11, 100%, $F$11)</f>
        <v>2.9695999999999998</v>
      </c>
      <c r="F33" s="4">
        <f>CHOOSE( CONTROL!$C$32, 3.956, 3.9511) * CHOOSE(CONTROL!$C$15, $D$11, 100%, $F$11)</f>
        <v>3.956</v>
      </c>
      <c r="G33" s="8">
        <f>CHOOSE( CONTROL!$C$32, 2.8827, 2.8779) * CHOOSE( CONTROL!$C$15, $D$11, 100%, $F$11)</f>
        <v>2.8826999999999998</v>
      </c>
      <c r="H33" s="4">
        <f>CHOOSE( CONTROL!$C$32, 3.7799, 3.7751) * CHOOSE(CONTROL!$C$15, $D$11, 100%, $F$11)</f>
        <v>3.7799</v>
      </c>
      <c r="I33" s="8">
        <f>CHOOSE( CONTROL!$C$32, 2.8799, 2.8751) * CHOOSE(CONTROL!$C$15, $D$11, 100%, $F$11)</f>
        <v>2.8799000000000001</v>
      </c>
      <c r="J33" s="4">
        <f>CHOOSE( CONTROL!$C$32, 2.8517, 2.847) * CHOOSE(CONTROL!$C$15, $D$11, 100%, $F$11)</f>
        <v>2.8517000000000001</v>
      </c>
      <c r="K33" s="4"/>
      <c r="L33" s="9">
        <v>30.896899999999999</v>
      </c>
      <c r="M33" s="9">
        <v>12.063700000000001</v>
      </c>
      <c r="N33" s="9">
        <v>4.9444999999999997</v>
      </c>
      <c r="O33" s="9">
        <v>0.37459999999999999</v>
      </c>
      <c r="P33" s="9">
        <v>2.1030000000000002</v>
      </c>
      <c r="Q33" s="9">
        <v>25.076499999999999</v>
      </c>
      <c r="R33" s="9"/>
      <c r="S33" s="11"/>
    </row>
    <row r="34" spans="1:19" ht="15" customHeight="1">
      <c r="A34" s="13">
        <v>42887</v>
      </c>
      <c r="B34" s="8">
        <f>CHOOSE( CONTROL!$C$32, 3.0103, 3.0054) * CHOOSE(CONTROL!$C$15, $D$11, 100%, $F$11)</f>
        <v>3.0103</v>
      </c>
      <c r="C34" s="8">
        <f>CHOOSE( CONTROL!$C$32, 3.0208, 3.0158) * CHOOSE(CONTROL!$C$15, $D$11, 100%, $F$11)</f>
        <v>3.0207999999999999</v>
      </c>
      <c r="D34" s="8">
        <f>CHOOSE( CONTROL!$C$32, 3, 2.995) * CHOOSE( CONTROL!$C$15, $D$11, 100%, $F$11)</f>
        <v>3</v>
      </c>
      <c r="E34" s="12">
        <f>CHOOSE( CONTROL!$C$32, 3.0059, 3.001) * CHOOSE( CONTROL!$C$15, $D$11, 100%, $F$11)</f>
        <v>3.0059</v>
      </c>
      <c r="F34" s="4">
        <f>CHOOSE( CONTROL!$C$32, 4.0045, 3.9996) * CHOOSE(CONTROL!$C$15, $D$11, 100%, $F$11)</f>
        <v>4.0045000000000002</v>
      </c>
      <c r="G34" s="8">
        <f>CHOOSE( CONTROL!$C$32, 2.9216, 2.9168) * CHOOSE( CONTROL!$C$15, $D$11, 100%, $F$11)</f>
        <v>2.9216000000000002</v>
      </c>
      <c r="H34" s="4">
        <f>CHOOSE( CONTROL!$C$32, 3.8273, 3.8224) * CHOOSE(CONTROL!$C$15, $D$11, 100%, $F$11)</f>
        <v>3.8273000000000001</v>
      </c>
      <c r="I34" s="8">
        <f>CHOOSE( CONTROL!$C$32, 2.9257, 2.921) * CHOOSE(CONTROL!$C$15, $D$11, 100%, $F$11)</f>
        <v>2.9257</v>
      </c>
      <c r="J34" s="4">
        <f>CHOOSE( CONTROL!$C$32, 2.8797, 2.875) * CHOOSE(CONTROL!$C$15, $D$11, 100%, $F$11)</f>
        <v>2.8797000000000001</v>
      </c>
      <c r="K34" s="4"/>
      <c r="L34" s="9">
        <v>29.900200000000002</v>
      </c>
      <c r="M34" s="9">
        <v>11.6745</v>
      </c>
      <c r="N34" s="9">
        <v>4.7850000000000001</v>
      </c>
      <c r="O34" s="9">
        <v>0.36249999999999999</v>
      </c>
      <c r="P34" s="9">
        <v>2.0352000000000001</v>
      </c>
      <c r="Q34" s="9">
        <v>24.267600000000002</v>
      </c>
      <c r="R34" s="9"/>
      <c r="S34" s="11"/>
    </row>
    <row r="35" spans="1:19" ht="15" customHeight="1">
      <c r="A35" s="13">
        <v>42917</v>
      </c>
      <c r="B35" s="8">
        <f>CHOOSE( CONTROL!$C$32, 3.0458, 3.0409) * CHOOSE(CONTROL!$C$15, $D$11, 100%, $F$11)</f>
        <v>3.0457999999999998</v>
      </c>
      <c r="C35" s="8">
        <f>CHOOSE( CONTROL!$C$32, 3.0562, 3.0513) * CHOOSE(CONTROL!$C$15, $D$11, 100%, $F$11)</f>
        <v>3.0562</v>
      </c>
      <c r="D35" s="8">
        <f>CHOOSE( CONTROL!$C$32, 3.0409, 3.036) * CHOOSE( CONTROL!$C$15, $D$11, 100%, $F$11)</f>
        <v>3.0409000000000002</v>
      </c>
      <c r="E35" s="12">
        <f>CHOOSE( CONTROL!$C$32, 3.0449, 3.04) * CHOOSE( CONTROL!$C$15, $D$11, 100%, $F$11)</f>
        <v>3.0449000000000002</v>
      </c>
      <c r="F35" s="4">
        <f>CHOOSE( CONTROL!$C$32, 4.0504, 4.0455) * CHOOSE(CONTROL!$C$15, $D$11, 100%, $F$11)</f>
        <v>4.0503999999999998</v>
      </c>
      <c r="G35" s="8">
        <f>CHOOSE( CONTROL!$C$32, 2.9603, 2.9555) * CHOOSE( CONTROL!$C$15, $D$11, 100%, $F$11)</f>
        <v>2.9603000000000002</v>
      </c>
      <c r="H35" s="4">
        <f>CHOOSE( CONTROL!$C$32, 3.872, 3.8672) * CHOOSE(CONTROL!$C$15, $D$11, 100%, $F$11)</f>
        <v>3.8719999999999999</v>
      </c>
      <c r="I35" s="8">
        <f>CHOOSE( CONTROL!$C$32, 2.9674, 2.9626) * CHOOSE(CONTROL!$C$15, $D$11, 100%, $F$11)</f>
        <v>2.9674</v>
      </c>
      <c r="J35" s="4">
        <f>CHOOSE( CONTROL!$C$32, 2.9137, 2.909) * CHOOSE(CONTROL!$C$15, $D$11, 100%, $F$11)</f>
        <v>2.9137</v>
      </c>
      <c r="K35" s="4"/>
      <c r="L35" s="9">
        <v>30.896899999999999</v>
      </c>
      <c r="M35" s="9">
        <v>12.063700000000001</v>
      </c>
      <c r="N35" s="9">
        <v>4.9444999999999997</v>
      </c>
      <c r="O35" s="9">
        <v>0.37459999999999999</v>
      </c>
      <c r="P35" s="9">
        <v>2.1030000000000002</v>
      </c>
      <c r="Q35" s="9">
        <v>25.076499999999999</v>
      </c>
      <c r="R35" s="9"/>
      <c r="S35" s="11"/>
    </row>
    <row r="36" spans="1:19" ht="15" customHeight="1">
      <c r="A36" s="13">
        <v>42948</v>
      </c>
      <c r="B36" s="8">
        <f>CHOOSE( CONTROL!$C$32, 3.0573, 3.0523) * CHOOSE(CONTROL!$C$15, $D$11, 100%, $F$11)</f>
        <v>3.0573000000000001</v>
      </c>
      <c r="C36" s="8">
        <f>CHOOSE( CONTROL!$C$32, 3.0677, 3.0628) * CHOOSE(CONTROL!$C$15, $D$11, 100%, $F$11)</f>
        <v>3.0676999999999999</v>
      </c>
      <c r="D36" s="8">
        <f>CHOOSE( CONTROL!$C$32, 3.0508, 3.0459) * CHOOSE( CONTROL!$C$15, $D$11, 100%, $F$11)</f>
        <v>3.0508000000000002</v>
      </c>
      <c r="E36" s="12">
        <f>CHOOSE( CONTROL!$C$32, 3.0553, 3.0504) * CHOOSE( CONTROL!$C$15, $D$11, 100%, $F$11)</f>
        <v>3.0552999999999999</v>
      </c>
      <c r="F36" s="4">
        <f>CHOOSE( CONTROL!$C$32, 4.0698, 4.0648) * CHOOSE(CONTROL!$C$15, $D$11, 100%, $F$11)</f>
        <v>4.0697999999999999</v>
      </c>
      <c r="G36" s="8">
        <f>CHOOSE( CONTROL!$C$32, 2.9667, 2.9619) * CHOOSE( CONTROL!$C$15, $D$11, 100%, $F$11)</f>
        <v>2.9666999999999999</v>
      </c>
      <c r="H36" s="4">
        <f>CHOOSE( CONTROL!$C$32, 3.8908, 3.886) * CHOOSE(CONTROL!$C$15, $D$11, 100%, $F$11)</f>
        <v>3.8908</v>
      </c>
      <c r="I36" s="8">
        <f>CHOOSE( CONTROL!$C$32, 2.9693, 2.9646) * CHOOSE(CONTROL!$C$15, $D$11, 100%, $F$11)</f>
        <v>2.9693000000000001</v>
      </c>
      <c r="J36" s="4">
        <f>CHOOSE( CONTROL!$C$32, 2.9247, 2.92) * CHOOSE(CONTROL!$C$15, $D$11, 100%, $F$11)</f>
        <v>2.9247000000000001</v>
      </c>
      <c r="K36" s="4"/>
      <c r="L36" s="9">
        <v>30.896899999999999</v>
      </c>
      <c r="M36" s="9">
        <v>12.063700000000001</v>
      </c>
      <c r="N36" s="9">
        <v>4.9444999999999997</v>
      </c>
      <c r="O36" s="9">
        <v>0.37459999999999999</v>
      </c>
      <c r="P36" s="9">
        <v>2.1030000000000002</v>
      </c>
      <c r="Q36" s="9">
        <v>25.076499999999999</v>
      </c>
      <c r="R36" s="9"/>
      <c r="S36" s="11"/>
    </row>
    <row r="37" spans="1:19" ht="15" customHeight="1">
      <c r="A37" s="13">
        <v>42979</v>
      </c>
      <c r="B37" s="8">
        <f>CHOOSE( CONTROL!$C$32, 3.0541, 3.0492) * CHOOSE(CONTROL!$C$15, $D$11, 100%, $F$11)</f>
        <v>3.0541</v>
      </c>
      <c r="C37" s="8">
        <f>CHOOSE( CONTROL!$C$32, 3.0646, 3.0596) * CHOOSE(CONTROL!$C$15, $D$11, 100%, $F$11)</f>
        <v>3.0646</v>
      </c>
      <c r="D37" s="8">
        <f>CHOOSE( CONTROL!$C$32, 3.0481, 3.0431) * CHOOSE( CONTROL!$C$15, $D$11, 100%, $F$11)</f>
        <v>3.0480999999999998</v>
      </c>
      <c r="E37" s="12">
        <f>CHOOSE( CONTROL!$C$32, 3.0525, 3.0475) * CHOOSE( CONTROL!$C$15, $D$11, 100%, $F$11)</f>
        <v>3.0525000000000002</v>
      </c>
      <c r="F37" s="4">
        <f>CHOOSE( CONTROL!$C$32, 4.0666, 4.0617) * CHOOSE(CONTROL!$C$15, $D$11, 100%, $F$11)</f>
        <v>4.0666000000000002</v>
      </c>
      <c r="G37" s="8">
        <f>CHOOSE( CONTROL!$C$32, 2.964, 2.9592) * CHOOSE( CONTROL!$C$15, $D$11, 100%, $F$11)</f>
        <v>2.964</v>
      </c>
      <c r="H37" s="4">
        <f>CHOOSE( CONTROL!$C$32, 3.8878, 3.883) * CHOOSE(CONTROL!$C$15, $D$11, 100%, $F$11)</f>
        <v>3.8877999999999999</v>
      </c>
      <c r="I37" s="8">
        <f>CHOOSE( CONTROL!$C$32, 2.9677, 2.963) * CHOOSE(CONTROL!$C$15, $D$11, 100%, $F$11)</f>
        <v>2.9676999999999998</v>
      </c>
      <c r="J37" s="4">
        <f>CHOOSE( CONTROL!$C$32, 2.9217, 2.917) * CHOOSE(CONTROL!$C$15, $D$11, 100%, $F$11)</f>
        <v>2.9217</v>
      </c>
      <c r="K37" s="4"/>
      <c r="L37" s="9">
        <v>29.900200000000002</v>
      </c>
      <c r="M37" s="9">
        <v>11.6745</v>
      </c>
      <c r="N37" s="9">
        <v>4.7850000000000001</v>
      </c>
      <c r="O37" s="9">
        <v>0.36249999999999999</v>
      </c>
      <c r="P37" s="9">
        <v>2.0352000000000001</v>
      </c>
      <c r="Q37" s="9">
        <v>24.267600000000002</v>
      </c>
      <c r="R37" s="9"/>
      <c r="S37" s="11"/>
    </row>
    <row r="38" spans="1:19" ht="15" customHeight="1">
      <c r="A38" s="13">
        <v>43009</v>
      </c>
      <c r="B38" s="8">
        <f>3.0826 * CHOOSE(CONTROL!$C$15, $D$11, 100%, $F$11)</f>
        <v>3.0825999999999998</v>
      </c>
      <c r="C38" s="8">
        <f>3.093 * CHOOSE(CONTROL!$C$15, $D$11, 100%, $F$11)</f>
        <v>3.093</v>
      </c>
      <c r="D38" s="8">
        <f>3.0774 * CHOOSE( CONTROL!$C$15, $D$11, 100%, $F$11)</f>
        <v>3.0773999999999999</v>
      </c>
      <c r="E38" s="12">
        <f>3.0814 * CHOOSE( CONTROL!$C$15, $D$11, 100%, $F$11)</f>
        <v>3.0813999999999999</v>
      </c>
      <c r="F38" s="4">
        <f>4.0951 * CHOOSE(CONTROL!$C$15, $D$11, 100%, $F$11)</f>
        <v>4.0951000000000004</v>
      </c>
      <c r="G38" s="8">
        <f>2.9914 * CHOOSE( CONTROL!$C$15, $D$11, 100%, $F$11)</f>
        <v>2.9914000000000001</v>
      </c>
      <c r="H38" s="4">
        <f>3.9155 * CHOOSE(CONTROL!$C$15, $D$11, 100%, $F$11)</f>
        <v>3.9155000000000002</v>
      </c>
      <c r="I38" s="8">
        <f>2.9973 * CHOOSE(CONTROL!$C$15, $D$11, 100%, $F$11)</f>
        <v>2.9973000000000001</v>
      </c>
      <c r="J38" s="4">
        <f>2.949 * CHOOSE(CONTROL!$C$15, $D$11, 100%, $F$11)</f>
        <v>2.9489999999999998</v>
      </c>
      <c r="K38" s="4"/>
      <c r="L38" s="9">
        <v>30.654699999999998</v>
      </c>
      <c r="M38" s="9">
        <v>12.063700000000001</v>
      </c>
      <c r="N38" s="9">
        <v>4.9444999999999997</v>
      </c>
      <c r="O38" s="9">
        <v>0.37459999999999999</v>
      </c>
      <c r="P38" s="9">
        <v>2.1030000000000002</v>
      </c>
      <c r="Q38" s="9">
        <v>25.076499999999999</v>
      </c>
      <c r="R38" s="9"/>
      <c r="S38" s="11"/>
    </row>
    <row r="39" spans="1:19" ht="15" customHeight="1">
      <c r="A39" s="13">
        <v>43040</v>
      </c>
      <c r="B39" s="8">
        <f>3.1557 * CHOOSE(CONTROL!$C$15, $D$11, 100%, $F$11)</f>
        <v>3.1556999999999999</v>
      </c>
      <c r="C39" s="8">
        <f>3.1661 * CHOOSE(CONTROL!$C$15, $D$11, 100%, $F$11)</f>
        <v>3.1661000000000001</v>
      </c>
      <c r="D39" s="8">
        <f>3.1472 * CHOOSE( CONTROL!$C$15, $D$11, 100%, $F$11)</f>
        <v>3.1472000000000002</v>
      </c>
      <c r="E39" s="12">
        <f>3.153 * CHOOSE( CONTROL!$C$15, $D$11, 100%, $F$11)</f>
        <v>3.153</v>
      </c>
      <c r="F39" s="4">
        <f>4.1525 * CHOOSE(CONTROL!$C$15, $D$11, 100%, $F$11)</f>
        <v>4.1524999999999999</v>
      </c>
      <c r="G39" s="8">
        <f>3.0856 * CHOOSE( CONTROL!$C$15, $D$11, 100%, $F$11)</f>
        <v>3.0855999999999999</v>
      </c>
      <c r="H39" s="4">
        <f>3.9715 * CHOOSE(CONTROL!$C$15, $D$11, 100%, $F$11)</f>
        <v>3.9714999999999998</v>
      </c>
      <c r="I39" s="8">
        <f>3.1138 * CHOOSE(CONTROL!$C$15, $D$11, 100%, $F$11)</f>
        <v>3.1137999999999999</v>
      </c>
      <c r="J39" s="4">
        <f>3.019 * CHOOSE(CONTROL!$C$15, $D$11, 100%, $F$11)</f>
        <v>3.0190000000000001</v>
      </c>
      <c r="K39" s="4"/>
      <c r="L39" s="9">
        <v>28.000499999999999</v>
      </c>
      <c r="M39" s="9">
        <v>11.6745</v>
      </c>
      <c r="N39" s="9">
        <v>4.7850000000000001</v>
      </c>
      <c r="O39" s="9">
        <v>0.36249999999999999</v>
      </c>
      <c r="P39" s="9">
        <v>1.2522</v>
      </c>
      <c r="Q39" s="9">
        <v>24.267600000000002</v>
      </c>
      <c r="R39" s="9"/>
      <c r="S39" s="11"/>
    </row>
    <row r="40" spans="1:19" ht="15" customHeight="1">
      <c r="A40" s="13">
        <v>43070</v>
      </c>
      <c r="B40" s="8">
        <f>3.3018 * CHOOSE(CONTROL!$C$15, $D$11, 100%, $F$11)</f>
        <v>3.3018000000000001</v>
      </c>
      <c r="C40" s="8">
        <f>3.3122 * CHOOSE(CONTROL!$C$15, $D$11, 100%, $F$11)</f>
        <v>3.3121999999999998</v>
      </c>
      <c r="D40" s="8">
        <f>3.2958 * CHOOSE( CONTROL!$C$15, $D$11, 100%, $F$11)</f>
        <v>3.2957999999999998</v>
      </c>
      <c r="E40" s="12">
        <f>3.3007 * CHOOSE( CONTROL!$C$15, $D$11, 100%, $F$11)</f>
        <v>3.3007</v>
      </c>
      <c r="F40" s="4">
        <f>4.2986 * CHOOSE(CONTROL!$C$15, $D$11, 100%, $F$11)</f>
        <v>4.2986000000000004</v>
      </c>
      <c r="G40" s="8">
        <f>3.23 * CHOOSE( CONTROL!$C$15, $D$11, 100%, $F$11)</f>
        <v>3.23</v>
      </c>
      <c r="H40" s="4">
        <f>4.1139 * CHOOSE(CONTROL!$C$15, $D$11, 100%, $F$11)</f>
        <v>4.1139000000000001</v>
      </c>
      <c r="I40" s="8">
        <f>3.2627 * CHOOSE(CONTROL!$C$15, $D$11, 100%, $F$11)</f>
        <v>3.2627000000000002</v>
      </c>
      <c r="J40" s="4">
        <f>3.159 * CHOOSE(CONTROL!$C$15, $D$11, 100%, $F$11)</f>
        <v>3.1589999999999998</v>
      </c>
      <c r="K40" s="4"/>
      <c r="L40" s="9">
        <v>28.933900000000001</v>
      </c>
      <c r="M40" s="9">
        <v>12.063700000000001</v>
      </c>
      <c r="N40" s="9">
        <v>4.9444999999999997</v>
      </c>
      <c r="O40" s="9">
        <v>0.37459999999999999</v>
      </c>
      <c r="P40" s="9">
        <v>1.2939000000000001</v>
      </c>
      <c r="Q40" s="9">
        <v>25.076499999999999</v>
      </c>
      <c r="R40" s="9"/>
      <c r="S40" s="11"/>
    </row>
    <row r="41" spans="1:19" ht="15" customHeight="1">
      <c r="A41" s="13">
        <v>43101</v>
      </c>
      <c r="B41" s="8">
        <f>3.4155 * CHOOSE(CONTROL!$C$15, $D$11, 100%, $F$11)</f>
        <v>3.4155000000000002</v>
      </c>
      <c r="C41" s="8">
        <f>3.426 * CHOOSE(CONTROL!$C$15, $D$11, 100%, $F$11)</f>
        <v>3.4260000000000002</v>
      </c>
      <c r="D41" s="8">
        <f>3.4245 * CHOOSE( CONTROL!$C$15, $D$11, 100%, $F$11)</f>
        <v>3.4245000000000001</v>
      </c>
      <c r="E41" s="12">
        <f>3.4239 * CHOOSE( CONTROL!$C$15, $D$11, 100%, $F$11)</f>
        <v>3.4239000000000002</v>
      </c>
      <c r="F41" s="4">
        <f>4.4384 * CHOOSE(CONTROL!$C$15, $D$11, 100%, $F$11)</f>
        <v>4.4383999999999997</v>
      </c>
      <c r="G41" s="8">
        <f>3.3577 * CHOOSE( CONTROL!$C$15, $D$11, 100%, $F$11)</f>
        <v>3.3576999999999999</v>
      </c>
      <c r="H41" s="4">
        <f>4.2502 * CHOOSE(CONTROL!$C$15, $D$11, 100%, $F$11)</f>
        <v>4.2502000000000004</v>
      </c>
      <c r="I41" s="8">
        <f>3.3782 * CHOOSE(CONTROL!$C$15, $D$11, 100%, $F$11)</f>
        <v>3.3782000000000001</v>
      </c>
      <c r="J41" s="4">
        <f>3.268 * CHOOSE(CONTROL!$C$15, $D$11, 100%, $F$11)</f>
        <v>3.2679999999999998</v>
      </c>
      <c r="K41" s="4"/>
      <c r="L41" s="9">
        <v>28.933900000000001</v>
      </c>
      <c r="M41" s="9">
        <v>12.063700000000001</v>
      </c>
      <c r="N41" s="9">
        <v>4.9444999999999997</v>
      </c>
      <c r="O41" s="9">
        <v>0.37459999999999999</v>
      </c>
      <c r="P41" s="9">
        <v>1.2939000000000001</v>
      </c>
      <c r="Q41" s="9">
        <v>24.901700000000002</v>
      </c>
      <c r="R41" s="9"/>
      <c r="S41" s="11"/>
    </row>
    <row r="42" spans="1:19" ht="15" customHeight="1">
      <c r="A42" s="13">
        <v>43132</v>
      </c>
      <c r="B42" s="8">
        <f>3.3884 * CHOOSE(CONTROL!$C$15, $D$11, 100%, $F$11)</f>
        <v>3.3883999999999999</v>
      </c>
      <c r="C42" s="8">
        <f>3.3988 * CHOOSE(CONTROL!$C$15, $D$11, 100%, $F$11)</f>
        <v>3.3988</v>
      </c>
      <c r="D42" s="8">
        <f>3.3996 * CHOOSE( CONTROL!$C$15, $D$11, 100%, $F$11)</f>
        <v>3.3996</v>
      </c>
      <c r="E42" s="12">
        <f>3.3982 * CHOOSE( CONTROL!$C$15, $D$11, 100%, $F$11)</f>
        <v>3.3982000000000001</v>
      </c>
      <c r="F42" s="4">
        <f>4.4035 * CHOOSE(CONTROL!$C$15, $D$11, 100%, $F$11)</f>
        <v>4.4035000000000002</v>
      </c>
      <c r="G42" s="8">
        <f>3.3311 * CHOOSE( CONTROL!$C$15, $D$11, 100%, $F$11)</f>
        <v>3.3311000000000002</v>
      </c>
      <c r="H42" s="4">
        <f>4.2161 * CHOOSE(CONTROL!$C$15, $D$11, 100%, $F$11)</f>
        <v>4.2161</v>
      </c>
      <c r="I42" s="8">
        <f>3.3413 * CHOOSE(CONTROL!$C$15, $D$11, 100%, $F$11)</f>
        <v>3.3412999999999999</v>
      </c>
      <c r="J42" s="4">
        <f>3.242 * CHOOSE(CONTROL!$C$15, $D$11, 100%, $F$11)</f>
        <v>3.242</v>
      </c>
      <c r="K42" s="4"/>
      <c r="L42" s="9">
        <v>26.133800000000001</v>
      </c>
      <c r="M42" s="9">
        <v>10.8962</v>
      </c>
      <c r="N42" s="9">
        <v>4.4660000000000002</v>
      </c>
      <c r="O42" s="9">
        <v>0.33829999999999999</v>
      </c>
      <c r="P42" s="9">
        <v>1.1687000000000001</v>
      </c>
      <c r="Q42" s="9">
        <v>22.491800000000001</v>
      </c>
      <c r="R42" s="9"/>
      <c r="S42" s="11"/>
    </row>
    <row r="43" spans="1:19" ht="15" customHeight="1">
      <c r="A43" s="13">
        <v>43160</v>
      </c>
      <c r="B43" s="8">
        <f>3.3216 * CHOOSE(CONTROL!$C$15, $D$11, 100%, $F$11)</f>
        <v>3.3216000000000001</v>
      </c>
      <c r="C43" s="8">
        <f>3.332 * CHOOSE(CONTROL!$C$15, $D$11, 100%, $F$11)</f>
        <v>3.3319999999999999</v>
      </c>
      <c r="D43" s="8">
        <f>3.3125 * CHOOSE( CONTROL!$C$15, $D$11, 100%, $F$11)</f>
        <v>3.3125</v>
      </c>
      <c r="E43" s="12">
        <f>3.3185 * CHOOSE( CONTROL!$C$15, $D$11, 100%, $F$11)</f>
        <v>3.3184999999999998</v>
      </c>
      <c r="F43" s="4">
        <f>4.3205 * CHOOSE(CONTROL!$C$15, $D$11, 100%, $F$11)</f>
        <v>4.3205</v>
      </c>
      <c r="G43" s="8">
        <f>3.2453 * CHOOSE( CONTROL!$C$15, $D$11, 100%, $F$11)</f>
        <v>3.2452999999999999</v>
      </c>
      <c r="H43" s="4">
        <f>4.1353 * CHOOSE(CONTROL!$C$15, $D$11, 100%, $F$11)</f>
        <v>4.1353</v>
      </c>
      <c r="I43" s="8">
        <f>3.2377 * CHOOSE(CONTROL!$C$15, $D$11, 100%, $F$11)</f>
        <v>3.2376999999999998</v>
      </c>
      <c r="J43" s="4">
        <f>3.178 * CHOOSE(CONTROL!$C$15, $D$11, 100%, $F$11)</f>
        <v>3.1779999999999999</v>
      </c>
      <c r="K43" s="4"/>
      <c r="L43" s="9">
        <v>28.933900000000001</v>
      </c>
      <c r="M43" s="9">
        <v>12.063700000000001</v>
      </c>
      <c r="N43" s="9">
        <v>4.9444999999999997</v>
      </c>
      <c r="O43" s="9">
        <v>0.37459999999999999</v>
      </c>
      <c r="P43" s="9">
        <v>1.2939000000000001</v>
      </c>
      <c r="Q43" s="9">
        <v>24.901700000000002</v>
      </c>
      <c r="R43" s="9"/>
      <c r="S43" s="11"/>
    </row>
    <row r="44" spans="1:19" ht="15" customHeight="1">
      <c r="A44" s="13">
        <v>43191</v>
      </c>
      <c r="B44" s="8">
        <f>2.9908 * CHOOSE(CONTROL!$C$15, $D$11, 100%, $F$11)</f>
        <v>2.9908000000000001</v>
      </c>
      <c r="C44" s="8">
        <f>3.0012 * CHOOSE(CONTROL!$C$15, $D$11, 100%, $F$11)</f>
        <v>3.0011999999999999</v>
      </c>
      <c r="D44" s="8">
        <f>3.005 * CHOOSE( CONTROL!$C$15, $D$11, 100%, $F$11)</f>
        <v>3.0049999999999999</v>
      </c>
      <c r="E44" s="12">
        <f>3.0026 * CHOOSE( CONTROL!$C$15, $D$11, 100%, $F$11)</f>
        <v>3.0026000000000002</v>
      </c>
      <c r="F44" s="4">
        <f>3.998 * CHOOSE(CONTROL!$C$15, $D$11, 100%, $F$11)</f>
        <v>3.9980000000000002</v>
      </c>
      <c r="G44" s="8">
        <f>2.9107 * CHOOSE( CONTROL!$C$15, $D$11, 100%, $F$11)</f>
        <v>2.9106999999999998</v>
      </c>
      <c r="H44" s="4">
        <f>3.8209 * CHOOSE(CONTROL!$C$15, $D$11, 100%, $F$11)</f>
        <v>3.8209</v>
      </c>
      <c r="I44" s="8">
        <f>2.9107 * CHOOSE(CONTROL!$C$15, $D$11, 100%, $F$11)</f>
        <v>2.9106999999999998</v>
      </c>
      <c r="J44" s="4">
        <f>2.861 * CHOOSE(CONTROL!$C$15, $D$11, 100%, $F$11)</f>
        <v>2.8610000000000002</v>
      </c>
      <c r="K44" s="4"/>
      <c r="L44" s="9">
        <v>29.665800000000001</v>
      </c>
      <c r="M44" s="9">
        <v>11.6745</v>
      </c>
      <c r="N44" s="9">
        <v>4.7850000000000001</v>
      </c>
      <c r="O44" s="9">
        <v>0.36249999999999999</v>
      </c>
      <c r="P44" s="9">
        <v>1.1798</v>
      </c>
      <c r="Q44" s="9">
        <v>24.098400000000002</v>
      </c>
      <c r="R44" s="9"/>
      <c r="S44" s="11"/>
    </row>
    <row r="45" spans="1:19" ht="15" customHeight="1">
      <c r="A45" s="13">
        <v>43221</v>
      </c>
      <c r="B45" s="8">
        <f>CHOOSE( CONTROL!$C$32, 2.9874, 2.9824) * CHOOSE(CONTROL!$C$15, $D$11, 100%, $F$11)</f>
        <v>2.9874000000000001</v>
      </c>
      <c r="C45" s="8">
        <f>CHOOSE( CONTROL!$C$32, 2.9978, 2.9929) * CHOOSE(CONTROL!$C$15, $D$11, 100%, $F$11)</f>
        <v>2.9977999999999998</v>
      </c>
      <c r="D45" s="8">
        <f>CHOOSE( CONTROL!$C$32, 2.9764, 2.9715) * CHOOSE( CONTROL!$C$15, $D$11, 100%, $F$11)</f>
        <v>2.9763999999999999</v>
      </c>
      <c r="E45" s="12">
        <f>CHOOSE( CONTROL!$C$32, 2.9826, 2.9777) * CHOOSE( CONTROL!$C$15, $D$11, 100%, $F$11)</f>
        <v>2.9826000000000001</v>
      </c>
      <c r="F45" s="4">
        <f>CHOOSE( CONTROL!$C$32, 3.9623, 3.9573) * CHOOSE(CONTROL!$C$15, $D$11, 100%, $F$11)</f>
        <v>3.9622999999999999</v>
      </c>
      <c r="G45" s="8">
        <f>CHOOSE( CONTROL!$C$32, 2.8888, 2.884) * CHOOSE( CONTROL!$C$15, $D$11, 100%, $F$11)</f>
        <v>2.8887999999999998</v>
      </c>
      <c r="H45" s="4">
        <f>CHOOSE( CONTROL!$C$32, 3.7861, 3.7812) * CHOOSE(CONTROL!$C$15, $D$11, 100%, $F$11)</f>
        <v>3.7860999999999998</v>
      </c>
      <c r="I45" s="8">
        <f>CHOOSE( CONTROL!$C$32, 2.8859, 2.8811) * CHOOSE(CONTROL!$C$15, $D$11, 100%, $F$11)</f>
        <v>2.8858999999999999</v>
      </c>
      <c r="J45" s="4">
        <f>CHOOSE( CONTROL!$C$32, 2.8577, 2.853) * CHOOSE(CONTROL!$C$15, $D$11, 100%, $F$11)</f>
        <v>2.8576999999999999</v>
      </c>
      <c r="K45" s="4"/>
      <c r="L45" s="9">
        <v>30.896899999999999</v>
      </c>
      <c r="M45" s="9">
        <v>12.063700000000001</v>
      </c>
      <c r="N45" s="9">
        <v>4.9444999999999997</v>
      </c>
      <c r="O45" s="9">
        <v>0.37459999999999999</v>
      </c>
      <c r="P45" s="9">
        <v>1.2192000000000001</v>
      </c>
      <c r="Q45" s="9">
        <v>24.901700000000002</v>
      </c>
      <c r="R45" s="9"/>
      <c r="S45" s="11"/>
    </row>
    <row r="46" spans="1:19" ht="15" customHeight="1">
      <c r="A46" s="13">
        <v>43252</v>
      </c>
      <c r="B46" s="8">
        <f>CHOOSE( CONTROL!$C$32, 3.0239, 3.0189) * CHOOSE(CONTROL!$C$15, $D$11, 100%, $F$11)</f>
        <v>3.0238999999999998</v>
      </c>
      <c r="C46" s="8">
        <f>CHOOSE( CONTROL!$C$32, 3.0343, 3.0294) * CHOOSE(CONTROL!$C$15, $D$11, 100%, $F$11)</f>
        <v>3.0343</v>
      </c>
      <c r="D46" s="8">
        <f>CHOOSE( CONTROL!$C$32, 3.0264, 3.0215) * CHOOSE( CONTROL!$C$15, $D$11, 100%, $F$11)</f>
        <v>3.0264000000000002</v>
      </c>
      <c r="E46" s="12">
        <f>CHOOSE( CONTROL!$C$32, 3.0277, 3.0228) * CHOOSE( CONTROL!$C$15, $D$11, 100%, $F$11)</f>
        <v>3.0276999999999998</v>
      </c>
      <c r="F46" s="4">
        <f>CHOOSE( CONTROL!$C$32, 4.0181, 4.0132) * CHOOSE(CONTROL!$C$15, $D$11, 100%, $F$11)</f>
        <v>4.0180999999999996</v>
      </c>
      <c r="G46" s="8">
        <f>CHOOSE( CONTROL!$C$32, 2.9348, 2.93) * CHOOSE( CONTROL!$C$15, $D$11, 100%, $F$11)</f>
        <v>2.9348000000000001</v>
      </c>
      <c r="H46" s="4">
        <f>CHOOSE( CONTROL!$C$32, 3.8405, 3.8357) * CHOOSE(CONTROL!$C$15, $D$11, 100%, $F$11)</f>
        <v>3.8405</v>
      </c>
      <c r="I46" s="8">
        <f>CHOOSE( CONTROL!$C$32, 2.9387, 2.934) * CHOOSE(CONTROL!$C$15, $D$11, 100%, $F$11)</f>
        <v>2.9386999999999999</v>
      </c>
      <c r="J46" s="4">
        <f>CHOOSE( CONTROL!$C$32, 2.8927, 2.888) * CHOOSE(CONTROL!$C$15, $D$11, 100%, $F$11)</f>
        <v>2.8927</v>
      </c>
      <c r="K46" s="4"/>
      <c r="L46" s="9">
        <v>29.900200000000002</v>
      </c>
      <c r="M46" s="9">
        <v>11.6745</v>
      </c>
      <c r="N46" s="9">
        <v>4.7850000000000001</v>
      </c>
      <c r="O46" s="9">
        <v>0.36249999999999999</v>
      </c>
      <c r="P46" s="9">
        <v>1.1798</v>
      </c>
      <c r="Q46" s="9">
        <v>24.098400000000002</v>
      </c>
      <c r="R46" s="9"/>
      <c r="S46" s="11"/>
    </row>
    <row r="47" spans="1:19" ht="15" customHeight="1">
      <c r="A47" s="13">
        <v>43282</v>
      </c>
      <c r="B47" s="8">
        <f>CHOOSE( CONTROL!$C$32, 3.0635, 3.0586) * CHOOSE(CONTROL!$C$15, $D$11, 100%, $F$11)</f>
        <v>3.0634999999999999</v>
      </c>
      <c r="C47" s="8">
        <f>CHOOSE( CONTROL!$C$32, 3.074, 3.069) * CHOOSE(CONTROL!$C$15, $D$11, 100%, $F$11)</f>
        <v>3.0739999999999998</v>
      </c>
      <c r="D47" s="8">
        <f>CHOOSE( CONTROL!$C$32, 3.073, 3.068) * CHOOSE( CONTROL!$C$15, $D$11, 100%, $F$11)</f>
        <v>3.073</v>
      </c>
      <c r="E47" s="12">
        <f>CHOOSE( CONTROL!$C$32, 3.0718, 3.0668) * CHOOSE( CONTROL!$C$15, $D$11, 100%, $F$11)</f>
        <v>3.0718000000000001</v>
      </c>
      <c r="F47" s="4">
        <f>CHOOSE( CONTROL!$C$32, 4.0682, 4.0633) * CHOOSE(CONTROL!$C$15, $D$11, 100%, $F$11)</f>
        <v>4.0682</v>
      </c>
      <c r="G47" s="8">
        <f>CHOOSE( CONTROL!$C$32, 2.9776, 2.9728) * CHOOSE( CONTROL!$C$15, $D$11, 100%, $F$11)</f>
        <v>2.9775999999999998</v>
      </c>
      <c r="H47" s="4">
        <f>CHOOSE( CONTROL!$C$32, 3.8893, 3.8845) * CHOOSE(CONTROL!$C$15, $D$11, 100%, $F$11)</f>
        <v>3.8893</v>
      </c>
      <c r="I47" s="8">
        <f>CHOOSE( CONTROL!$C$32, 2.9844, 2.9796) * CHOOSE(CONTROL!$C$15, $D$11, 100%, $F$11)</f>
        <v>2.9843999999999999</v>
      </c>
      <c r="J47" s="4">
        <f>CHOOSE( CONTROL!$C$32, 2.9307, 2.926) * CHOOSE(CONTROL!$C$15, $D$11, 100%, $F$11)</f>
        <v>2.9306999999999999</v>
      </c>
      <c r="K47" s="4"/>
      <c r="L47" s="9">
        <v>30.896899999999999</v>
      </c>
      <c r="M47" s="9">
        <v>12.063700000000001</v>
      </c>
      <c r="N47" s="9">
        <v>4.9444999999999997</v>
      </c>
      <c r="O47" s="9">
        <v>0.37459999999999999</v>
      </c>
      <c r="P47" s="9">
        <v>1.2192000000000001</v>
      </c>
      <c r="Q47" s="9">
        <v>24.901700000000002</v>
      </c>
      <c r="R47" s="9"/>
      <c r="S47" s="11"/>
    </row>
    <row r="48" spans="1:19" ht="15" customHeight="1">
      <c r="A48" s="13">
        <v>43313</v>
      </c>
      <c r="B48" s="8">
        <f>CHOOSE( CONTROL!$C$32, 3.0656, 3.0607) * CHOOSE(CONTROL!$C$15, $D$11, 100%, $F$11)</f>
        <v>3.0655999999999999</v>
      </c>
      <c r="C48" s="8">
        <f>CHOOSE( CONTROL!$C$32, 3.0761, 3.0711) * CHOOSE(CONTROL!$C$15, $D$11, 100%, $F$11)</f>
        <v>3.0760999999999998</v>
      </c>
      <c r="D48" s="8">
        <f>CHOOSE( CONTROL!$C$32, 3.0762, 3.0713) * CHOOSE( CONTROL!$C$15, $D$11, 100%, $F$11)</f>
        <v>3.0762</v>
      </c>
      <c r="E48" s="12">
        <f>CHOOSE( CONTROL!$C$32, 3.0746, 3.0696) * CHOOSE( CONTROL!$C$15, $D$11, 100%, $F$11)</f>
        <v>3.0746000000000002</v>
      </c>
      <c r="F48" s="4">
        <f>CHOOSE( CONTROL!$C$32, 4.0781, 4.0732) * CHOOSE(CONTROL!$C$15, $D$11, 100%, $F$11)</f>
        <v>4.0781000000000001</v>
      </c>
      <c r="G48" s="8">
        <f>CHOOSE( CONTROL!$C$32, 2.9748, 2.97) * CHOOSE( CONTROL!$C$15, $D$11, 100%, $F$11)</f>
        <v>2.9748000000000001</v>
      </c>
      <c r="H48" s="4">
        <f>CHOOSE( CONTROL!$C$32, 3.899, 3.8942) * CHOOSE(CONTROL!$C$15, $D$11, 100%, $F$11)</f>
        <v>3.899</v>
      </c>
      <c r="I48" s="8">
        <f>CHOOSE( CONTROL!$C$32, 2.9773, 2.9726) * CHOOSE(CONTROL!$C$15, $D$11, 100%, $F$11)</f>
        <v>2.9773000000000001</v>
      </c>
      <c r="J48" s="4">
        <f>CHOOSE( CONTROL!$C$32, 2.9327, 2.928) * CHOOSE(CONTROL!$C$15, $D$11, 100%, $F$11)</f>
        <v>2.9327000000000001</v>
      </c>
      <c r="K48" s="4"/>
      <c r="L48" s="9">
        <v>30.896899999999999</v>
      </c>
      <c r="M48" s="9">
        <v>12.063700000000001</v>
      </c>
      <c r="N48" s="9">
        <v>4.9444999999999997</v>
      </c>
      <c r="O48" s="9">
        <v>0.37459999999999999</v>
      </c>
      <c r="P48" s="9">
        <v>1.2192000000000001</v>
      </c>
      <c r="Q48" s="9">
        <v>24.901700000000002</v>
      </c>
      <c r="R48" s="9"/>
      <c r="S48" s="11"/>
    </row>
    <row r="49" spans="1:19" ht="15" customHeight="1">
      <c r="A49" s="13">
        <v>43344</v>
      </c>
      <c r="B49" s="8">
        <f>CHOOSE( CONTROL!$C$32, 3.0552, 3.0503) * CHOOSE(CONTROL!$C$15, $D$11, 100%, $F$11)</f>
        <v>3.0552000000000001</v>
      </c>
      <c r="C49" s="8">
        <f>CHOOSE( CONTROL!$C$32, 3.0656, 3.0607) * CHOOSE(CONTROL!$C$15, $D$11, 100%, $F$11)</f>
        <v>3.0655999999999999</v>
      </c>
      <c r="D49" s="8">
        <f>CHOOSE( CONTROL!$C$32, 3.0661, 3.0611) * CHOOSE( CONTROL!$C$15, $D$11, 100%, $F$11)</f>
        <v>3.0661</v>
      </c>
      <c r="E49" s="12">
        <f>CHOOSE( CONTROL!$C$32, 3.0643, 3.0594) * CHOOSE( CONTROL!$C$15, $D$11, 100%, $F$11)</f>
        <v>3.0642999999999998</v>
      </c>
      <c r="F49" s="4">
        <f>CHOOSE( CONTROL!$C$32, 4.0677, 4.0627) * CHOOSE(CONTROL!$C$15, $D$11, 100%, $F$11)</f>
        <v>4.0677000000000003</v>
      </c>
      <c r="G49" s="8">
        <f>CHOOSE( CONTROL!$C$32, 2.965, 2.9602) * CHOOSE( CONTROL!$C$15, $D$11, 100%, $F$11)</f>
        <v>2.9649999999999999</v>
      </c>
      <c r="H49" s="4">
        <f>CHOOSE( CONTROL!$C$32, 3.8888, 3.884) * CHOOSE(CONTROL!$C$15, $D$11, 100%, $F$11)</f>
        <v>3.8887999999999998</v>
      </c>
      <c r="I49" s="8">
        <f>CHOOSE( CONTROL!$C$32, 2.9687, 2.964) * CHOOSE(CONTROL!$C$15, $D$11, 100%, $F$11)</f>
        <v>2.9687000000000001</v>
      </c>
      <c r="J49" s="4">
        <f>CHOOSE( CONTROL!$C$32, 2.9227, 2.918) * CHOOSE(CONTROL!$C$15, $D$11, 100%, $F$11)</f>
        <v>2.9226999999999999</v>
      </c>
      <c r="K49" s="4"/>
      <c r="L49" s="9">
        <v>29.900200000000002</v>
      </c>
      <c r="M49" s="9">
        <v>11.6745</v>
      </c>
      <c r="N49" s="9">
        <v>4.7850000000000001</v>
      </c>
      <c r="O49" s="9">
        <v>0.36249999999999999</v>
      </c>
      <c r="P49" s="9">
        <v>1.1798</v>
      </c>
      <c r="Q49" s="9">
        <v>24.098400000000002</v>
      </c>
      <c r="R49" s="9"/>
      <c r="S49" s="11"/>
    </row>
    <row r="50" spans="1:19" ht="15" customHeight="1">
      <c r="A50" s="13">
        <v>43374</v>
      </c>
      <c r="B50" s="8">
        <f>3.0711 * CHOOSE(CONTROL!$C$15, $D$11, 100%, $F$11)</f>
        <v>3.0710999999999999</v>
      </c>
      <c r="C50" s="8">
        <f>3.0816 * CHOOSE(CONTROL!$C$15, $D$11, 100%, $F$11)</f>
        <v>3.0815999999999999</v>
      </c>
      <c r="D50" s="8">
        <f>3.0832 * CHOOSE( CONTROL!$C$15, $D$11, 100%, $F$11)</f>
        <v>3.0832000000000002</v>
      </c>
      <c r="E50" s="12">
        <f>3.0816 * CHOOSE( CONTROL!$C$15, $D$11, 100%, $F$11)</f>
        <v>3.0815999999999999</v>
      </c>
      <c r="F50" s="4">
        <f>4.0836 * CHOOSE(CONTROL!$C$15, $D$11, 100%, $F$11)</f>
        <v>4.0835999999999997</v>
      </c>
      <c r="G50" s="8">
        <f>2.9802 * CHOOSE( CONTROL!$C$15, $D$11, 100%, $F$11)</f>
        <v>2.9802</v>
      </c>
      <c r="H50" s="4">
        <f>3.9043 * CHOOSE(CONTROL!$C$15, $D$11, 100%, $F$11)</f>
        <v>3.9043000000000001</v>
      </c>
      <c r="I50" s="8">
        <f>2.9863 * CHOOSE(CONTROL!$C$15, $D$11, 100%, $F$11)</f>
        <v>2.9863</v>
      </c>
      <c r="J50" s="4">
        <f>2.938 * CHOOSE(CONTROL!$C$15, $D$11, 100%, $F$11)</f>
        <v>2.9380000000000002</v>
      </c>
      <c r="K50" s="4"/>
      <c r="L50" s="9">
        <v>30.654699999999998</v>
      </c>
      <c r="M50" s="9">
        <v>12.063700000000001</v>
      </c>
      <c r="N50" s="9">
        <v>4.9444999999999997</v>
      </c>
      <c r="O50" s="9">
        <v>0.37459999999999999</v>
      </c>
      <c r="P50" s="9">
        <v>1.2192000000000001</v>
      </c>
      <c r="Q50" s="9">
        <v>24.901700000000002</v>
      </c>
      <c r="R50" s="9"/>
      <c r="S50" s="11"/>
    </row>
    <row r="51" spans="1:19" ht="15" customHeight="1">
      <c r="A51" s="13">
        <v>43405</v>
      </c>
      <c r="B51" s="8">
        <f>3.1442 * CHOOSE(CONTROL!$C$15, $D$11, 100%, $F$11)</f>
        <v>3.1442000000000001</v>
      </c>
      <c r="C51" s="8">
        <f>3.1546 * CHOOSE(CONTROL!$C$15, $D$11, 100%, $F$11)</f>
        <v>3.1545999999999998</v>
      </c>
      <c r="D51" s="8">
        <f>3.1357 * CHOOSE( CONTROL!$C$15, $D$11, 100%, $F$11)</f>
        <v>3.1356999999999999</v>
      </c>
      <c r="E51" s="12">
        <f>3.1415 * CHOOSE( CONTROL!$C$15, $D$11, 100%, $F$11)</f>
        <v>3.1415000000000002</v>
      </c>
      <c r="F51" s="4">
        <f>4.141 * CHOOSE(CONTROL!$C$15, $D$11, 100%, $F$11)</f>
        <v>4.141</v>
      </c>
      <c r="G51" s="8">
        <f>3.0744 * CHOOSE( CONTROL!$C$15, $D$11, 100%, $F$11)</f>
        <v>3.0743999999999998</v>
      </c>
      <c r="H51" s="4">
        <f>3.9603 * CHOOSE(CONTROL!$C$15, $D$11, 100%, $F$11)</f>
        <v>3.9603000000000002</v>
      </c>
      <c r="I51" s="8">
        <f>3.1028 * CHOOSE(CONTROL!$C$15, $D$11, 100%, $F$11)</f>
        <v>3.1027999999999998</v>
      </c>
      <c r="J51" s="4">
        <f>3.008 * CHOOSE(CONTROL!$C$15, $D$11, 100%, $F$11)</f>
        <v>3.008</v>
      </c>
      <c r="K51" s="4"/>
      <c r="L51" s="9">
        <v>28.000499999999999</v>
      </c>
      <c r="M51" s="9">
        <v>11.6745</v>
      </c>
      <c r="N51" s="9">
        <v>4.7850000000000001</v>
      </c>
      <c r="O51" s="9">
        <v>0.36249999999999999</v>
      </c>
      <c r="P51" s="9">
        <v>1.2522</v>
      </c>
      <c r="Q51" s="9">
        <v>24.098400000000002</v>
      </c>
      <c r="R51" s="9"/>
      <c r="S51" s="11"/>
    </row>
    <row r="52" spans="1:19" ht="15" customHeight="1">
      <c r="A52" s="13">
        <v>43435</v>
      </c>
      <c r="B52" s="8">
        <f>3.2924 * CHOOSE(CONTROL!$C$15, $D$11, 100%, $F$11)</f>
        <v>3.2924000000000002</v>
      </c>
      <c r="C52" s="8">
        <f>3.3028 * CHOOSE(CONTROL!$C$15, $D$11, 100%, $F$11)</f>
        <v>3.3028</v>
      </c>
      <c r="D52" s="8">
        <f>3.2864 * CHOOSE( CONTROL!$C$15, $D$11, 100%, $F$11)</f>
        <v>3.2864</v>
      </c>
      <c r="E52" s="12">
        <f>3.2913 * CHOOSE( CONTROL!$C$15, $D$11, 100%, $F$11)</f>
        <v>3.2913000000000001</v>
      </c>
      <c r="F52" s="4">
        <f>4.2892 * CHOOSE(CONTROL!$C$15, $D$11, 100%, $F$11)</f>
        <v>4.2892000000000001</v>
      </c>
      <c r="G52" s="8">
        <f>3.2208 * CHOOSE( CONTROL!$C$15, $D$11, 100%, $F$11)</f>
        <v>3.2208000000000001</v>
      </c>
      <c r="H52" s="4">
        <f>4.1047 * CHOOSE(CONTROL!$C$15, $D$11, 100%, $F$11)</f>
        <v>4.1047000000000002</v>
      </c>
      <c r="I52" s="8">
        <f>3.2537 * CHOOSE(CONTROL!$C$15, $D$11, 100%, $F$11)</f>
        <v>3.2536999999999998</v>
      </c>
      <c r="J52" s="4">
        <f>3.15 * CHOOSE(CONTROL!$C$15, $D$11, 100%, $F$11)</f>
        <v>3.15</v>
      </c>
      <c r="K52" s="4"/>
      <c r="L52" s="9">
        <v>28.933900000000001</v>
      </c>
      <c r="M52" s="9">
        <v>12.063700000000001</v>
      </c>
      <c r="N52" s="9">
        <v>4.9444999999999997</v>
      </c>
      <c r="O52" s="9">
        <v>0.37459999999999999</v>
      </c>
      <c r="P52" s="9">
        <v>1.2939000000000001</v>
      </c>
      <c r="Q52" s="9">
        <v>24.901700000000002</v>
      </c>
      <c r="R52" s="9"/>
      <c r="S52" s="11"/>
    </row>
    <row r="53" spans="1:19" ht="15" customHeight="1">
      <c r="A53" s="13">
        <v>43466</v>
      </c>
      <c r="B53" s="8">
        <f>3.9964 * CHOOSE(CONTROL!$C$15, $D$11, 100%, $F$11)</f>
        <v>3.9964</v>
      </c>
      <c r="C53" s="8">
        <f>4.0068 * CHOOSE(CONTROL!$C$15, $D$11, 100%, $F$11)</f>
        <v>4.0068000000000001</v>
      </c>
      <c r="D53" s="8">
        <f>4.0054 * CHOOSE( CONTROL!$C$15, $D$11, 100%, $F$11)</f>
        <v>4.0053999999999998</v>
      </c>
      <c r="E53" s="12">
        <f>4.0048 * CHOOSE( CONTROL!$C$15, $D$11, 100%, $F$11)</f>
        <v>4.0048000000000004</v>
      </c>
      <c r="F53" s="4">
        <f>5.0193 * CHOOSE(CONTROL!$C$15, $D$11, 100%, $F$11)</f>
        <v>5.0193000000000003</v>
      </c>
      <c r="G53" s="8">
        <f>3.9239 * CHOOSE( CONTROL!$C$15, $D$11, 100%, $F$11)</f>
        <v>3.9239000000000002</v>
      </c>
      <c r="H53" s="4">
        <f>4.8164 * CHOOSE(CONTROL!$C$15, $D$11, 100%, $F$11)</f>
        <v>4.8163999999999998</v>
      </c>
      <c r="I53" s="8">
        <f>3.9351 * CHOOSE(CONTROL!$C$15, $D$11, 100%, $F$11)</f>
        <v>3.9350999999999998</v>
      </c>
      <c r="J53" s="4">
        <f>3.8246 * CHOOSE(CONTROL!$C$15, $D$11, 100%, $F$11)</f>
        <v>3.8246000000000002</v>
      </c>
      <c r="K53" s="4"/>
      <c r="L53" s="9">
        <v>28.933900000000001</v>
      </c>
      <c r="M53" s="9">
        <v>12.063700000000001</v>
      </c>
      <c r="N53" s="9">
        <v>4.9444999999999997</v>
      </c>
      <c r="O53" s="9">
        <v>0.37459999999999999</v>
      </c>
      <c r="P53" s="9">
        <v>1.2939000000000001</v>
      </c>
      <c r="Q53" s="9">
        <v>24.651199999999999</v>
      </c>
      <c r="R53" s="9"/>
      <c r="S53" s="11"/>
    </row>
    <row r="54" spans="1:19" ht="15" customHeight="1">
      <c r="A54" s="13">
        <v>43497</v>
      </c>
      <c r="B54" s="8">
        <f>3.7383 * CHOOSE(CONTROL!$C$15, $D$11, 100%, $F$11)</f>
        <v>3.7383000000000002</v>
      </c>
      <c r="C54" s="8">
        <f>3.7488 * CHOOSE(CONTROL!$C$15, $D$11, 100%, $F$11)</f>
        <v>3.7488000000000001</v>
      </c>
      <c r="D54" s="8">
        <f>3.7496 * CHOOSE( CONTROL!$C$15, $D$11, 100%, $F$11)</f>
        <v>3.7496</v>
      </c>
      <c r="E54" s="12">
        <f>3.7482 * CHOOSE( CONTROL!$C$15, $D$11, 100%, $F$11)</f>
        <v>3.7482000000000002</v>
      </c>
      <c r="F54" s="4">
        <f>4.7534 * CHOOSE(CONTROL!$C$15, $D$11, 100%, $F$11)</f>
        <v>4.7534000000000001</v>
      </c>
      <c r="G54" s="8">
        <f>3.6722 * CHOOSE( CONTROL!$C$15, $D$11, 100%, $F$11)</f>
        <v>3.6722000000000001</v>
      </c>
      <c r="H54" s="4">
        <f>4.5573 * CHOOSE(CONTROL!$C$15, $D$11, 100%, $F$11)</f>
        <v>4.5572999999999997</v>
      </c>
      <c r="I54" s="8">
        <f>3.6768 * CHOOSE(CONTROL!$C$15, $D$11, 100%, $F$11)</f>
        <v>3.6768000000000001</v>
      </c>
      <c r="J54" s="4">
        <f>3.5773 * CHOOSE(CONTROL!$C$15, $D$11, 100%, $F$11)</f>
        <v>3.5773000000000001</v>
      </c>
      <c r="K54" s="4"/>
      <c r="L54" s="9">
        <v>26.133800000000001</v>
      </c>
      <c r="M54" s="9">
        <v>10.8962</v>
      </c>
      <c r="N54" s="9">
        <v>4.4660000000000002</v>
      </c>
      <c r="O54" s="9">
        <v>0.33829999999999999</v>
      </c>
      <c r="P54" s="9">
        <v>1.1687000000000001</v>
      </c>
      <c r="Q54" s="9">
        <v>22.265599999999999</v>
      </c>
      <c r="R54" s="9"/>
      <c r="S54" s="11"/>
    </row>
    <row r="55" spans="1:19" ht="15" customHeight="1">
      <c r="A55" s="13">
        <v>43525</v>
      </c>
      <c r="B55" s="8">
        <f>3.6589 * CHOOSE(CONTROL!$C$15, $D$11, 100%, $F$11)</f>
        <v>3.6589</v>
      </c>
      <c r="C55" s="8">
        <f>3.6693 * CHOOSE(CONTROL!$C$15, $D$11, 100%, $F$11)</f>
        <v>3.6692999999999998</v>
      </c>
      <c r="D55" s="8">
        <f>3.6498 * CHOOSE( CONTROL!$C$15, $D$11, 100%, $F$11)</f>
        <v>3.6497999999999999</v>
      </c>
      <c r="E55" s="12">
        <f>3.6558 * CHOOSE( CONTROL!$C$15, $D$11, 100%, $F$11)</f>
        <v>3.6558000000000002</v>
      </c>
      <c r="F55" s="4">
        <f>4.6578 * CHOOSE(CONTROL!$C$15, $D$11, 100%, $F$11)</f>
        <v>4.6577999999999999</v>
      </c>
      <c r="G55" s="8">
        <f>3.574 * CHOOSE( CONTROL!$C$15, $D$11, 100%, $F$11)</f>
        <v>3.5739999999999998</v>
      </c>
      <c r="H55" s="4">
        <f>4.464 * CHOOSE(CONTROL!$C$15, $D$11, 100%, $F$11)</f>
        <v>4.4640000000000004</v>
      </c>
      <c r="I55" s="8">
        <f>3.5611 * CHOOSE(CONTROL!$C$15, $D$11, 100%, $F$11)</f>
        <v>3.5611000000000002</v>
      </c>
      <c r="J55" s="4">
        <f>3.5012 * CHOOSE(CONTROL!$C$15, $D$11, 100%, $F$11)</f>
        <v>3.5011999999999999</v>
      </c>
      <c r="K55" s="4"/>
      <c r="L55" s="9">
        <v>28.933900000000001</v>
      </c>
      <c r="M55" s="9">
        <v>12.063700000000001</v>
      </c>
      <c r="N55" s="9">
        <v>4.9444999999999997</v>
      </c>
      <c r="O55" s="9">
        <v>0.37459999999999999</v>
      </c>
      <c r="P55" s="9">
        <v>1.2939000000000001</v>
      </c>
      <c r="Q55" s="9">
        <v>24.651199999999999</v>
      </c>
      <c r="R55" s="9"/>
      <c r="S55" s="11"/>
    </row>
    <row r="56" spans="1:19" ht="15" customHeight="1">
      <c r="A56" s="13">
        <v>43556</v>
      </c>
      <c r="B56" s="8">
        <f>3.7144 * CHOOSE(CONTROL!$C$15, $D$11, 100%, $F$11)</f>
        <v>3.7143999999999999</v>
      </c>
      <c r="C56" s="8">
        <f>3.7248 * CHOOSE(CONTROL!$C$15, $D$11, 100%, $F$11)</f>
        <v>3.7248000000000001</v>
      </c>
      <c r="D56" s="8">
        <f>3.7287 * CHOOSE( CONTROL!$C$15, $D$11, 100%, $F$11)</f>
        <v>3.7286999999999999</v>
      </c>
      <c r="E56" s="12">
        <f>3.7262 * CHOOSE( CONTROL!$C$15, $D$11, 100%, $F$11)</f>
        <v>3.7262</v>
      </c>
      <c r="F56" s="4">
        <f>4.7216 * CHOOSE(CONTROL!$C$15, $D$11, 100%, $F$11)</f>
        <v>4.7215999999999996</v>
      </c>
      <c r="G56" s="8">
        <f>3.6161 * CHOOSE( CONTROL!$C$15, $D$11, 100%, $F$11)</f>
        <v>3.6160999999999999</v>
      </c>
      <c r="H56" s="4">
        <f>4.5263 * CHOOSE(CONTROL!$C$15, $D$11, 100%, $F$11)</f>
        <v>4.5263</v>
      </c>
      <c r="I56" s="8">
        <f>3.6044 * CHOOSE(CONTROL!$C$15, $D$11, 100%, $F$11)</f>
        <v>3.6044</v>
      </c>
      <c r="J56" s="4">
        <f>3.5544 * CHOOSE(CONTROL!$C$15, $D$11, 100%, $F$11)</f>
        <v>3.5543999999999998</v>
      </c>
      <c r="K56" s="4"/>
      <c r="L56" s="9">
        <v>29.665800000000001</v>
      </c>
      <c r="M56" s="9">
        <v>11.6745</v>
      </c>
      <c r="N56" s="9">
        <v>4.7850000000000001</v>
      </c>
      <c r="O56" s="9">
        <v>0.36249999999999999</v>
      </c>
      <c r="P56" s="9">
        <v>1.1798</v>
      </c>
      <c r="Q56" s="9">
        <v>23.856000000000002</v>
      </c>
      <c r="R56" s="9"/>
      <c r="S56" s="11"/>
    </row>
    <row r="57" spans="1:19" ht="15" customHeight="1">
      <c r="A57" s="13">
        <v>43586</v>
      </c>
      <c r="B57" s="8">
        <f>CHOOSE( CONTROL!$C$32, 3.8182, 3.8132) * CHOOSE(CONTROL!$C$15, $D$11, 100%, $F$11)</f>
        <v>3.8182</v>
      </c>
      <c r="C57" s="8">
        <f>CHOOSE( CONTROL!$C$32, 3.8286, 3.8237) * CHOOSE(CONTROL!$C$15, $D$11, 100%, $F$11)</f>
        <v>3.8285999999999998</v>
      </c>
      <c r="D57" s="8">
        <f>CHOOSE( CONTROL!$C$32, 3.8073, 3.8023) * CHOOSE( CONTROL!$C$15, $D$11, 100%, $F$11)</f>
        <v>3.8073000000000001</v>
      </c>
      <c r="E57" s="12">
        <f>CHOOSE( CONTROL!$C$32, 3.8134, 3.8085) * CHOOSE( CONTROL!$C$15, $D$11, 100%, $F$11)</f>
        <v>3.8134000000000001</v>
      </c>
      <c r="F57" s="4">
        <f>CHOOSE( CONTROL!$C$32, 4.7931, 4.7881) * CHOOSE(CONTROL!$C$15, $D$11, 100%, $F$11)</f>
        <v>4.7930999999999999</v>
      </c>
      <c r="G57" s="8">
        <f>CHOOSE( CONTROL!$C$32, 3.6987, 3.6939) * CHOOSE( CONTROL!$C$15, $D$11, 100%, $F$11)</f>
        <v>3.6987000000000001</v>
      </c>
      <c r="H57" s="4">
        <f>CHOOSE( CONTROL!$C$32, 4.5959, 4.5911) * CHOOSE(CONTROL!$C$15, $D$11, 100%, $F$11)</f>
        <v>4.5959000000000003</v>
      </c>
      <c r="I57" s="8">
        <f>CHOOSE( CONTROL!$C$32, 3.6823, 3.6776) * CHOOSE(CONTROL!$C$15, $D$11, 100%, $F$11)</f>
        <v>3.6823000000000001</v>
      </c>
      <c r="J57" s="4">
        <f>CHOOSE( CONTROL!$C$32, 3.6538, 3.6491) * CHOOSE(CONTROL!$C$15, $D$11, 100%, $F$11)</f>
        <v>3.6537999999999999</v>
      </c>
      <c r="K57" s="4"/>
      <c r="L57" s="9">
        <v>30.896899999999999</v>
      </c>
      <c r="M57" s="9">
        <v>12.063700000000001</v>
      </c>
      <c r="N57" s="9">
        <v>4.9444999999999997</v>
      </c>
      <c r="O57" s="9">
        <v>0.37459999999999999</v>
      </c>
      <c r="P57" s="9">
        <v>1.2192000000000001</v>
      </c>
      <c r="Q57" s="9">
        <v>24.651199999999999</v>
      </c>
      <c r="R57" s="9"/>
      <c r="S57" s="11"/>
    </row>
    <row r="58" spans="1:19" ht="15" customHeight="1">
      <c r="A58" s="13">
        <v>43617</v>
      </c>
      <c r="B58" s="8">
        <f>CHOOSE( CONTROL!$C$32, 3.7569, 3.752) * CHOOSE(CONTROL!$C$15, $D$11, 100%, $F$11)</f>
        <v>3.7568999999999999</v>
      </c>
      <c r="C58" s="8">
        <f>CHOOSE( CONTROL!$C$32, 3.7674, 3.7624) * CHOOSE(CONTROL!$C$15, $D$11, 100%, $F$11)</f>
        <v>3.7673999999999999</v>
      </c>
      <c r="D58" s="8">
        <f>CHOOSE( CONTROL!$C$32, 3.7595, 3.7545) * CHOOSE( CONTROL!$C$15, $D$11, 100%, $F$11)</f>
        <v>3.7595000000000001</v>
      </c>
      <c r="E58" s="12">
        <f>CHOOSE( CONTROL!$C$32, 3.7608, 3.7558) * CHOOSE( CONTROL!$C$15, $D$11, 100%, $F$11)</f>
        <v>3.7608000000000001</v>
      </c>
      <c r="F58" s="4">
        <f>CHOOSE( CONTROL!$C$32, 4.7512, 4.7462) * CHOOSE(CONTROL!$C$15, $D$11, 100%, $F$11)</f>
        <v>4.7511999999999999</v>
      </c>
      <c r="G58" s="8">
        <f>CHOOSE( CONTROL!$C$32, 3.6494, 3.6446) * CHOOSE( CONTROL!$C$15, $D$11, 100%, $F$11)</f>
        <v>3.6494</v>
      </c>
      <c r="H58" s="4">
        <f>CHOOSE( CONTROL!$C$32, 4.555, 4.5502) * CHOOSE(CONTROL!$C$15, $D$11, 100%, $F$11)</f>
        <v>4.5549999999999997</v>
      </c>
      <c r="I58" s="8">
        <f>CHOOSE( CONTROL!$C$32, 3.6415, 3.6367) * CHOOSE(CONTROL!$C$15, $D$11, 100%, $F$11)</f>
        <v>3.6415000000000002</v>
      </c>
      <c r="J58" s="4">
        <f>CHOOSE( CONTROL!$C$32, 3.5951, 3.5904) * CHOOSE(CONTROL!$C$15, $D$11, 100%, $F$11)</f>
        <v>3.5951</v>
      </c>
      <c r="K58" s="4"/>
      <c r="L58" s="9">
        <v>29.900200000000002</v>
      </c>
      <c r="M58" s="9">
        <v>11.6745</v>
      </c>
      <c r="N58" s="9">
        <v>4.7850000000000001</v>
      </c>
      <c r="O58" s="9">
        <v>0.36249999999999999</v>
      </c>
      <c r="P58" s="9">
        <v>1.1798</v>
      </c>
      <c r="Q58" s="9">
        <v>23.856000000000002</v>
      </c>
      <c r="R58" s="9"/>
      <c r="S58" s="11"/>
    </row>
    <row r="59" spans="1:19" ht="15" customHeight="1">
      <c r="A59" s="13">
        <v>43647</v>
      </c>
      <c r="B59" s="8">
        <f>CHOOSE( CONTROL!$C$32, 3.9182, 3.9132) * CHOOSE(CONTROL!$C$15, $D$11, 100%, $F$11)</f>
        <v>3.9182000000000001</v>
      </c>
      <c r="C59" s="8">
        <f>CHOOSE( CONTROL!$C$32, 3.9286, 3.9237) * CHOOSE(CONTROL!$C$15, $D$11, 100%, $F$11)</f>
        <v>3.9285999999999999</v>
      </c>
      <c r="D59" s="8">
        <f>CHOOSE( CONTROL!$C$32, 3.9276, 3.9227) * CHOOSE( CONTROL!$C$15, $D$11, 100%, $F$11)</f>
        <v>3.9276</v>
      </c>
      <c r="E59" s="12">
        <f>CHOOSE( CONTROL!$C$32, 3.9264, 3.9215) * CHOOSE( CONTROL!$C$15, $D$11, 100%, $F$11)</f>
        <v>3.9264000000000001</v>
      </c>
      <c r="F59" s="4">
        <f>CHOOSE( CONTROL!$C$32, 4.9228, 4.9179) * CHOOSE(CONTROL!$C$15, $D$11, 100%, $F$11)</f>
        <v>4.9227999999999996</v>
      </c>
      <c r="G59" s="8">
        <f>CHOOSE( CONTROL!$C$32, 3.8107, 3.8059) * CHOOSE( CONTROL!$C$15, $D$11, 100%, $F$11)</f>
        <v>3.8107000000000002</v>
      </c>
      <c r="H59" s="4">
        <f>CHOOSE( CONTROL!$C$32, 4.7224, 4.7176) * CHOOSE(CONTROL!$C$15, $D$11, 100%, $F$11)</f>
        <v>4.7224000000000004</v>
      </c>
      <c r="I59" s="8">
        <f>CHOOSE( CONTROL!$C$32, 3.8037, 3.799) * CHOOSE(CONTROL!$C$15, $D$11, 100%, $F$11)</f>
        <v>3.8037000000000001</v>
      </c>
      <c r="J59" s="4">
        <f>CHOOSE( CONTROL!$C$32, 3.7496, 3.7449) * CHOOSE(CONTROL!$C$15, $D$11, 100%, $F$11)</f>
        <v>3.7496</v>
      </c>
      <c r="K59" s="4"/>
      <c r="L59" s="9">
        <v>30.896899999999999</v>
      </c>
      <c r="M59" s="9">
        <v>12.063700000000001</v>
      </c>
      <c r="N59" s="9">
        <v>4.9444999999999997</v>
      </c>
      <c r="O59" s="9">
        <v>0.37459999999999999</v>
      </c>
      <c r="P59" s="9">
        <v>1.2192000000000001</v>
      </c>
      <c r="Q59" s="9">
        <v>24.651199999999999</v>
      </c>
      <c r="R59" s="9"/>
      <c r="S59" s="11"/>
    </row>
    <row r="60" spans="1:19" ht="15" customHeight="1">
      <c r="A60" s="13">
        <v>43678</v>
      </c>
      <c r="B60" s="8">
        <f>CHOOSE( CONTROL!$C$32, 3.6165, 3.6116) * CHOOSE(CONTROL!$C$15, $D$11, 100%, $F$11)</f>
        <v>3.6164999999999998</v>
      </c>
      <c r="C60" s="8">
        <f>CHOOSE( CONTROL!$C$32, 3.6269, 3.622) * CHOOSE(CONTROL!$C$15, $D$11, 100%, $F$11)</f>
        <v>3.6269</v>
      </c>
      <c r="D60" s="8">
        <f>CHOOSE( CONTROL!$C$32, 3.6271, 3.6222) * CHOOSE( CONTROL!$C$15, $D$11, 100%, $F$11)</f>
        <v>3.6271</v>
      </c>
      <c r="E60" s="12">
        <f>CHOOSE( CONTROL!$C$32, 3.6254, 3.6205) * CHOOSE( CONTROL!$C$15, $D$11, 100%, $F$11)</f>
        <v>3.6254</v>
      </c>
      <c r="F60" s="4">
        <f>CHOOSE( CONTROL!$C$32, 4.629, 4.624) * CHOOSE(CONTROL!$C$15, $D$11, 100%, $F$11)</f>
        <v>4.6289999999999996</v>
      </c>
      <c r="G60" s="8">
        <f>CHOOSE( CONTROL!$C$32, 3.5118, 3.507) * CHOOSE( CONTROL!$C$15, $D$11, 100%, $F$11)</f>
        <v>3.5118</v>
      </c>
      <c r="H60" s="4">
        <f>CHOOSE( CONTROL!$C$32, 4.4359, 4.4311) * CHOOSE(CONTROL!$C$15, $D$11, 100%, $F$11)</f>
        <v>4.4359000000000002</v>
      </c>
      <c r="I60" s="8">
        <f>CHOOSE( CONTROL!$C$32, 3.5054, 3.5007) * CHOOSE(CONTROL!$C$15, $D$11, 100%, $F$11)</f>
        <v>3.5053999999999998</v>
      </c>
      <c r="J60" s="4">
        <f>CHOOSE( CONTROL!$C$32, 3.4606, 3.4558) * CHOOSE(CONTROL!$C$15, $D$11, 100%, $F$11)</f>
        <v>3.4605999999999999</v>
      </c>
      <c r="K60" s="4"/>
      <c r="L60" s="9">
        <v>30.896899999999999</v>
      </c>
      <c r="M60" s="9">
        <v>12.063700000000001</v>
      </c>
      <c r="N60" s="9">
        <v>4.9444999999999997</v>
      </c>
      <c r="O60" s="9">
        <v>0.37459999999999999</v>
      </c>
      <c r="P60" s="9">
        <v>1.2192000000000001</v>
      </c>
      <c r="Q60" s="9">
        <v>24.651199999999999</v>
      </c>
      <c r="R60" s="9"/>
      <c r="S60" s="11"/>
    </row>
    <row r="61" spans="1:19" ht="15" customHeight="1">
      <c r="A61" s="13">
        <v>43709</v>
      </c>
      <c r="B61" s="8">
        <f>CHOOSE( CONTROL!$C$32, 3.5409, 3.536) * CHOOSE(CONTROL!$C$15, $D$11, 100%, $F$11)</f>
        <v>3.5409000000000002</v>
      </c>
      <c r="C61" s="8">
        <f>CHOOSE( CONTROL!$C$32, 3.5514, 3.5464) * CHOOSE(CONTROL!$C$15, $D$11, 100%, $F$11)</f>
        <v>3.5514000000000001</v>
      </c>
      <c r="D61" s="8">
        <f>CHOOSE( CONTROL!$C$32, 3.5518, 3.5469) * CHOOSE( CONTROL!$C$15, $D$11, 100%, $F$11)</f>
        <v>3.5518000000000001</v>
      </c>
      <c r="E61" s="12">
        <f>CHOOSE( CONTROL!$C$32, 3.5501, 3.5451) * CHOOSE( CONTROL!$C$15, $D$11, 100%, $F$11)</f>
        <v>3.5501</v>
      </c>
      <c r="F61" s="4">
        <f>CHOOSE( CONTROL!$C$32, 4.5534, 4.5485) * CHOOSE(CONTROL!$C$15, $D$11, 100%, $F$11)</f>
        <v>4.5533999999999999</v>
      </c>
      <c r="G61" s="8">
        <f>CHOOSE( CONTROL!$C$32, 3.4385, 3.4337) * CHOOSE( CONTROL!$C$15, $D$11, 100%, $F$11)</f>
        <v>3.4384999999999999</v>
      </c>
      <c r="H61" s="4">
        <f>CHOOSE( CONTROL!$C$32, 4.3623, 4.3575) * CHOOSE(CONTROL!$C$15, $D$11, 100%, $F$11)</f>
        <v>4.3623000000000003</v>
      </c>
      <c r="I61" s="8">
        <f>CHOOSE( CONTROL!$C$32, 3.4344, 3.4297) * CHOOSE(CONTROL!$C$15, $D$11, 100%, $F$11)</f>
        <v>3.4344000000000001</v>
      </c>
      <c r="J61" s="4">
        <f>CHOOSE( CONTROL!$C$32, 3.3882, 3.3834) * CHOOSE(CONTROL!$C$15, $D$11, 100%, $F$11)</f>
        <v>3.3881999999999999</v>
      </c>
      <c r="K61" s="4"/>
      <c r="L61" s="9">
        <v>29.900200000000002</v>
      </c>
      <c r="M61" s="9">
        <v>11.6745</v>
      </c>
      <c r="N61" s="9">
        <v>4.7850000000000001</v>
      </c>
      <c r="O61" s="9">
        <v>0.36249999999999999</v>
      </c>
      <c r="P61" s="9">
        <v>1.1798</v>
      </c>
      <c r="Q61" s="9">
        <v>23.856000000000002</v>
      </c>
      <c r="R61" s="9"/>
      <c r="S61" s="11"/>
    </row>
    <row r="62" spans="1:19" ht="15" customHeight="1">
      <c r="A62" s="13">
        <v>43739</v>
      </c>
      <c r="B62" s="8">
        <f>3.6929 * CHOOSE(CONTROL!$C$15, $D$11, 100%, $F$11)</f>
        <v>3.6928999999999998</v>
      </c>
      <c r="C62" s="8">
        <f>3.7033 * CHOOSE(CONTROL!$C$15, $D$11, 100%, $F$11)</f>
        <v>3.7033</v>
      </c>
      <c r="D62" s="8">
        <f>3.705 * CHOOSE( CONTROL!$C$15, $D$11, 100%, $F$11)</f>
        <v>3.7050000000000001</v>
      </c>
      <c r="E62" s="12">
        <f>3.7033 * CHOOSE( CONTROL!$C$15, $D$11, 100%, $F$11)</f>
        <v>3.7033</v>
      </c>
      <c r="F62" s="4">
        <f>4.7053 * CHOOSE(CONTROL!$C$15, $D$11, 100%, $F$11)</f>
        <v>4.7053000000000003</v>
      </c>
      <c r="G62" s="8">
        <f>3.5863 * CHOOSE( CONTROL!$C$15, $D$11, 100%, $F$11)</f>
        <v>3.5863</v>
      </c>
      <c r="H62" s="4">
        <f>4.5104 * CHOOSE(CONTROL!$C$15, $D$11, 100%, $F$11)</f>
        <v>4.5103999999999997</v>
      </c>
      <c r="I62" s="8">
        <f>3.5823 * CHOOSE(CONTROL!$C$15, $D$11, 100%, $F$11)</f>
        <v>3.5823</v>
      </c>
      <c r="J62" s="4">
        <f>3.5337 * CHOOSE(CONTROL!$C$15, $D$11, 100%, $F$11)</f>
        <v>3.5337000000000001</v>
      </c>
      <c r="K62" s="4"/>
      <c r="L62" s="9">
        <v>30.654699999999998</v>
      </c>
      <c r="M62" s="9">
        <v>12.063700000000001</v>
      </c>
      <c r="N62" s="9">
        <v>4.9444999999999997</v>
      </c>
      <c r="O62" s="9">
        <v>0.37459999999999999</v>
      </c>
      <c r="P62" s="9">
        <v>1.2192000000000001</v>
      </c>
      <c r="Q62" s="9">
        <v>24.651199999999999</v>
      </c>
      <c r="R62" s="9"/>
      <c r="S62" s="11"/>
    </row>
    <row r="63" spans="1:19" ht="15" customHeight="1">
      <c r="A63" s="13">
        <v>43770</v>
      </c>
      <c r="B63" s="8">
        <f>3.9824 * CHOOSE(CONTROL!$C$15, $D$11, 100%, $F$11)</f>
        <v>3.9824000000000002</v>
      </c>
      <c r="C63" s="8">
        <f>3.9928 * CHOOSE(CONTROL!$C$15, $D$11, 100%, $F$11)</f>
        <v>3.9927999999999999</v>
      </c>
      <c r="D63" s="8">
        <f>3.9739 * CHOOSE( CONTROL!$C$15, $D$11, 100%, $F$11)</f>
        <v>3.9739</v>
      </c>
      <c r="E63" s="12">
        <f>3.9797 * CHOOSE( CONTROL!$C$15, $D$11, 100%, $F$11)</f>
        <v>3.9796999999999998</v>
      </c>
      <c r="F63" s="4">
        <f>4.9792 * CHOOSE(CONTROL!$C$15, $D$11, 100%, $F$11)</f>
        <v>4.9791999999999996</v>
      </c>
      <c r="G63" s="8">
        <f>3.8915 * CHOOSE( CONTROL!$C$15, $D$11, 100%, $F$11)</f>
        <v>3.8915000000000002</v>
      </c>
      <c r="H63" s="4">
        <f>4.7774 * CHOOSE(CONTROL!$C$15, $D$11, 100%, $F$11)</f>
        <v>4.7774000000000001</v>
      </c>
      <c r="I63" s="8">
        <f>3.9064 * CHOOSE(CONTROL!$C$15, $D$11, 100%, $F$11)</f>
        <v>3.9064000000000001</v>
      </c>
      <c r="J63" s="4">
        <f>3.8112 * CHOOSE(CONTROL!$C$15, $D$11, 100%, $F$11)</f>
        <v>3.8111999999999999</v>
      </c>
      <c r="K63" s="4"/>
      <c r="L63" s="9">
        <v>28.000499999999999</v>
      </c>
      <c r="M63" s="9">
        <v>11.6745</v>
      </c>
      <c r="N63" s="9">
        <v>4.7850000000000001</v>
      </c>
      <c r="O63" s="9">
        <v>0.36249999999999999</v>
      </c>
      <c r="P63" s="9">
        <v>1.2522</v>
      </c>
      <c r="Q63" s="9">
        <v>23.856000000000002</v>
      </c>
      <c r="R63" s="9"/>
      <c r="S63" s="11"/>
    </row>
    <row r="64" spans="1:19" ht="15.75">
      <c r="A64" s="13">
        <v>43800</v>
      </c>
      <c r="B64" s="8">
        <f>3.9752 * CHOOSE(CONTROL!$C$15, $D$11, 100%, $F$11)</f>
        <v>3.9752000000000001</v>
      </c>
      <c r="C64" s="8">
        <f>3.9856 * CHOOSE(CONTROL!$C$15, $D$11, 100%, $F$11)</f>
        <v>3.9855999999999998</v>
      </c>
      <c r="D64" s="8">
        <f>3.9692 * CHOOSE( CONTROL!$C$15, $D$11, 100%, $F$11)</f>
        <v>3.9691999999999998</v>
      </c>
      <c r="E64" s="12">
        <f>3.9741 * CHOOSE( CONTROL!$C$15, $D$11, 100%, $F$11)</f>
        <v>3.9741</v>
      </c>
      <c r="F64" s="4">
        <f>4.972 * CHOOSE(CONTROL!$C$15, $D$11, 100%, $F$11)</f>
        <v>4.9720000000000004</v>
      </c>
      <c r="G64" s="8">
        <f>3.8864 * CHOOSE( CONTROL!$C$15, $D$11, 100%, $F$11)</f>
        <v>3.8864000000000001</v>
      </c>
      <c r="H64" s="4">
        <f>4.7703 * CHOOSE(CONTROL!$C$15, $D$11, 100%, $F$11)</f>
        <v>4.7702999999999998</v>
      </c>
      <c r="I64" s="8">
        <f>3.9083 * CHOOSE(CONTROL!$C$15, $D$11, 100%, $F$11)</f>
        <v>3.9083000000000001</v>
      </c>
      <c r="J64" s="4">
        <f>3.8043 * CHOOSE(CONTROL!$C$15, $D$11, 100%, $F$11)</f>
        <v>3.8043</v>
      </c>
      <c r="K64" s="4"/>
      <c r="L64" s="9">
        <v>28.933900000000001</v>
      </c>
      <c r="M64" s="9">
        <v>12.063700000000001</v>
      </c>
      <c r="N64" s="9">
        <v>4.9444999999999997</v>
      </c>
      <c r="O64" s="9">
        <v>0.37459999999999999</v>
      </c>
      <c r="P64" s="9">
        <v>1.2939000000000001</v>
      </c>
      <c r="Q64" s="9">
        <v>24.651199999999999</v>
      </c>
      <c r="R64" s="9"/>
      <c r="S64" s="11"/>
    </row>
    <row r="65" spans="1:19" ht="15.75">
      <c r="A65" s="13">
        <v>43831</v>
      </c>
      <c r="B65" s="8">
        <f>3.9945 * CHOOSE(CONTROL!$C$15, $D$11, 100%, $F$11)</f>
        <v>3.9944999999999999</v>
      </c>
      <c r="C65" s="8">
        <f>4.005 * CHOOSE(CONTROL!$C$15, $D$11, 100%, $F$11)</f>
        <v>4.0049999999999999</v>
      </c>
      <c r="D65" s="8">
        <f>4.0035 * CHOOSE( CONTROL!$C$15, $D$11, 100%, $F$11)</f>
        <v>4.0034999999999998</v>
      </c>
      <c r="E65" s="12">
        <f>4.0029 * CHOOSE( CONTROL!$C$15, $D$11, 100%, $F$11)</f>
        <v>4.0029000000000003</v>
      </c>
      <c r="F65" s="4">
        <f>5.0174 * CHOOSE(CONTROL!$C$15, $D$11, 100%, $F$11)</f>
        <v>5.0174000000000003</v>
      </c>
      <c r="G65" s="8">
        <f>3.9221 * CHOOSE( CONTROL!$C$15, $D$11, 100%, $F$11)</f>
        <v>3.9220999999999999</v>
      </c>
      <c r="H65" s="4">
        <f>4.8146 * CHOOSE(CONTROL!$C$15, $D$11, 100%, $F$11)</f>
        <v>4.8146000000000004</v>
      </c>
      <c r="I65" s="8">
        <f>3.9333 * CHOOSE(CONTROL!$C$15, $D$11, 100%, $F$11)</f>
        <v>3.9333</v>
      </c>
      <c r="J65" s="4">
        <f>3.8228 * CHOOSE(CONTROL!$C$15, $D$11, 100%, $F$11)</f>
        <v>3.8228</v>
      </c>
      <c r="K65" s="4"/>
      <c r="L65" s="9">
        <v>28.933900000000001</v>
      </c>
      <c r="M65" s="9">
        <v>12.063700000000001</v>
      </c>
      <c r="N65" s="9">
        <v>4.9444999999999997</v>
      </c>
      <c r="O65" s="9">
        <v>0.37459999999999999</v>
      </c>
      <c r="P65" s="9">
        <v>1.2939000000000001</v>
      </c>
      <c r="Q65" s="9">
        <v>22.150099999999998</v>
      </c>
      <c r="R65" s="9"/>
      <c r="S65" s="11"/>
    </row>
    <row r="66" spans="1:19" ht="15.75">
      <c r="A66" s="13">
        <v>43862</v>
      </c>
      <c r="B66" s="8">
        <f>3.7366 * CHOOSE(CONTROL!$C$15, $D$11, 100%, $F$11)</f>
        <v>3.7366000000000001</v>
      </c>
      <c r="C66" s="8">
        <f>3.747 * CHOOSE(CONTROL!$C$15, $D$11, 100%, $F$11)</f>
        <v>3.7469999999999999</v>
      </c>
      <c r="D66" s="8">
        <f>3.7479 * CHOOSE( CONTROL!$C$15, $D$11, 100%, $F$11)</f>
        <v>3.7479</v>
      </c>
      <c r="E66" s="12">
        <f>3.7465 * CHOOSE( CONTROL!$C$15, $D$11, 100%, $F$11)</f>
        <v>3.7465000000000002</v>
      </c>
      <c r="F66" s="4">
        <f>4.7517 * CHOOSE(CONTROL!$C$15, $D$11, 100%, $F$11)</f>
        <v>4.7516999999999996</v>
      </c>
      <c r="G66" s="8">
        <f>3.6705 * CHOOSE( CONTROL!$C$15, $D$11, 100%, $F$11)</f>
        <v>3.6705000000000001</v>
      </c>
      <c r="H66" s="4">
        <f>4.5556 * CHOOSE(CONTROL!$C$15, $D$11, 100%, $F$11)</f>
        <v>4.5556000000000001</v>
      </c>
      <c r="I66" s="8">
        <f>3.6751 * CHOOSE(CONTROL!$C$15, $D$11, 100%, $F$11)</f>
        <v>3.6751</v>
      </c>
      <c r="J66" s="4">
        <f>3.5757 * CHOOSE(CONTROL!$C$15, $D$11, 100%, $F$11)</f>
        <v>3.5756999999999999</v>
      </c>
      <c r="K66" s="4"/>
      <c r="L66" s="9">
        <v>27.0672</v>
      </c>
      <c r="M66" s="9">
        <v>11.285299999999999</v>
      </c>
      <c r="N66" s="9">
        <v>4.6254999999999997</v>
      </c>
      <c r="O66" s="9">
        <v>0.35039999999999999</v>
      </c>
      <c r="P66" s="9">
        <v>1.2104999999999999</v>
      </c>
      <c r="Q66" s="9">
        <v>20.7211</v>
      </c>
      <c r="R66" s="9"/>
      <c r="S66" s="11"/>
    </row>
    <row r="67" spans="1:19" ht="15.75">
      <c r="A67" s="13">
        <v>43891</v>
      </c>
      <c r="B67" s="8">
        <f>3.6572 * CHOOSE(CONTROL!$C$15, $D$11, 100%, $F$11)</f>
        <v>3.6572</v>
      </c>
      <c r="C67" s="8">
        <f>3.6676 * CHOOSE(CONTROL!$C$15, $D$11, 100%, $F$11)</f>
        <v>3.6676000000000002</v>
      </c>
      <c r="D67" s="8">
        <f>3.6481 * CHOOSE( CONTROL!$C$15, $D$11, 100%, $F$11)</f>
        <v>3.6480999999999999</v>
      </c>
      <c r="E67" s="12">
        <f>3.6541 * CHOOSE( CONTROL!$C$15, $D$11, 100%, $F$11)</f>
        <v>3.6541000000000001</v>
      </c>
      <c r="F67" s="4">
        <f>4.6561 * CHOOSE(CONTROL!$C$15, $D$11, 100%, $F$11)</f>
        <v>4.6561000000000003</v>
      </c>
      <c r="G67" s="8">
        <f>3.5724 * CHOOSE( CONTROL!$C$15, $D$11, 100%, $F$11)</f>
        <v>3.5724</v>
      </c>
      <c r="H67" s="4">
        <f>4.4624 * CHOOSE(CONTROL!$C$15, $D$11, 100%, $F$11)</f>
        <v>4.4623999999999997</v>
      </c>
      <c r="I67" s="8">
        <f>3.5594 * CHOOSE(CONTROL!$C$15, $D$11, 100%, $F$11)</f>
        <v>3.5594000000000001</v>
      </c>
      <c r="J67" s="4">
        <f>3.4995 * CHOOSE(CONTROL!$C$15, $D$11, 100%, $F$11)</f>
        <v>3.4994999999999998</v>
      </c>
      <c r="K67" s="4"/>
      <c r="L67" s="9">
        <v>28.933900000000001</v>
      </c>
      <c r="M67" s="9">
        <v>12.063700000000001</v>
      </c>
      <c r="N67" s="9">
        <v>4.9444999999999997</v>
      </c>
      <c r="O67" s="9">
        <v>0.37459999999999999</v>
      </c>
      <c r="P67" s="9">
        <v>1.2939000000000001</v>
      </c>
      <c r="Q67" s="9">
        <v>22.150099999999998</v>
      </c>
      <c r="R67" s="9"/>
      <c r="S67" s="11"/>
    </row>
    <row r="68" spans="1:19" ht="15.75">
      <c r="A68" s="13">
        <v>43922</v>
      </c>
      <c r="B68" s="8">
        <f>3.7127 * CHOOSE(CONTROL!$C$15, $D$11, 100%, $F$11)</f>
        <v>3.7126999999999999</v>
      </c>
      <c r="C68" s="8">
        <f>3.7231 * CHOOSE(CONTROL!$C$15, $D$11, 100%, $F$11)</f>
        <v>3.7231000000000001</v>
      </c>
      <c r="D68" s="8">
        <f>3.727 * CHOOSE( CONTROL!$C$15, $D$11, 100%, $F$11)</f>
        <v>3.7269999999999999</v>
      </c>
      <c r="E68" s="12">
        <f>3.7245 * CHOOSE( CONTROL!$C$15, $D$11, 100%, $F$11)</f>
        <v>3.7244999999999999</v>
      </c>
      <c r="F68" s="4">
        <f>4.7199 * CHOOSE(CONTROL!$C$15, $D$11, 100%, $F$11)</f>
        <v>4.7199</v>
      </c>
      <c r="G68" s="8">
        <f>3.6144 * CHOOSE( CONTROL!$C$15, $D$11, 100%, $F$11)</f>
        <v>3.6143999999999998</v>
      </c>
      <c r="H68" s="4">
        <f>4.5246 * CHOOSE(CONTROL!$C$15, $D$11, 100%, $F$11)</f>
        <v>4.5246000000000004</v>
      </c>
      <c r="I68" s="8">
        <f>3.6027 * CHOOSE(CONTROL!$C$15, $D$11, 100%, $F$11)</f>
        <v>3.6027</v>
      </c>
      <c r="J68" s="4">
        <f>3.5527 * CHOOSE(CONTROL!$C$15, $D$11, 100%, $F$11)</f>
        <v>3.5527000000000002</v>
      </c>
      <c r="K68" s="4"/>
      <c r="L68" s="9">
        <v>29.665800000000001</v>
      </c>
      <c r="M68" s="9">
        <v>11.6745</v>
      </c>
      <c r="N68" s="9">
        <v>4.7850000000000001</v>
      </c>
      <c r="O68" s="9">
        <v>0.36249999999999999</v>
      </c>
      <c r="P68" s="9">
        <v>1.1798</v>
      </c>
      <c r="Q68" s="9">
        <v>21.435600000000001</v>
      </c>
      <c r="R68" s="9"/>
      <c r="S68" s="11"/>
    </row>
    <row r="69" spans="1:19" ht="15.75">
      <c r="A69" s="13">
        <v>43952</v>
      </c>
      <c r="B69" s="8">
        <f>CHOOSE( CONTROL!$C$32, 3.8164, 3.8115) * CHOOSE(CONTROL!$C$15, $D$11, 100%, $F$11)</f>
        <v>3.8163999999999998</v>
      </c>
      <c r="C69" s="8">
        <f>CHOOSE( CONTROL!$C$32, 3.8268, 3.8219) * CHOOSE(CONTROL!$C$15, $D$11, 100%, $F$11)</f>
        <v>3.8268</v>
      </c>
      <c r="D69" s="8">
        <f>CHOOSE( CONTROL!$C$32, 3.8055, 3.8006) * CHOOSE( CONTROL!$C$15, $D$11, 100%, $F$11)</f>
        <v>3.8054999999999999</v>
      </c>
      <c r="E69" s="12">
        <f>CHOOSE( CONTROL!$C$32, 3.8116, 3.8067) * CHOOSE( CONTROL!$C$15, $D$11, 100%, $F$11)</f>
        <v>3.8115999999999999</v>
      </c>
      <c r="F69" s="4">
        <f>CHOOSE( CONTROL!$C$32, 4.7913, 4.7864) * CHOOSE(CONTROL!$C$15, $D$11, 100%, $F$11)</f>
        <v>4.7912999999999997</v>
      </c>
      <c r="G69" s="8">
        <f>CHOOSE( CONTROL!$C$32, 3.697, 3.6921) * CHOOSE( CONTROL!$C$15, $D$11, 100%, $F$11)</f>
        <v>3.6970000000000001</v>
      </c>
      <c r="H69" s="4">
        <f>CHOOSE( CONTROL!$C$32, 4.5942, 4.5894) * CHOOSE(CONTROL!$C$15, $D$11, 100%, $F$11)</f>
        <v>4.5941999999999998</v>
      </c>
      <c r="I69" s="8">
        <f>CHOOSE( CONTROL!$C$32, 3.6807, 3.6759) * CHOOSE(CONTROL!$C$15, $D$11, 100%, $F$11)</f>
        <v>3.6806999999999999</v>
      </c>
      <c r="J69" s="4">
        <f>CHOOSE( CONTROL!$C$32, 3.6521, 3.6474) * CHOOSE(CONTROL!$C$15, $D$11, 100%, $F$11)</f>
        <v>3.6520999999999999</v>
      </c>
      <c r="K69" s="4"/>
      <c r="L69" s="9">
        <v>30.896899999999999</v>
      </c>
      <c r="M69" s="9">
        <v>12.063700000000001</v>
      </c>
      <c r="N69" s="9">
        <v>4.9444999999999997</v>
      </c>
      <c r="O69" s="9">
        <v>0.37459999999999999</v>
      </c>
      <c r="P69" s="9">
        <v>1.2192000000000001</v>
      </c>
      <c r="Q69" s="9">
        <v>33.225200000000001</v>
      </c>
      <c r="R69" s="9"/>
      <c r="S69" s="11"/>
    </row>
    <row r="70" spans="1:19" ht="15.75">
      <c r="A70" s="13">
        <v>43983</v>
      </c>
      <c r="B70" s="8">
        <f>CHOOSE( CONTROL!$C$32, 3.7552, 3.7503) * CHOOSE(CONTROL!$C$15, $D$11, 100%, $F$11)</f>
        <v>3.7551999999999999</v>
      </c>
      <c r="C70" s="8">
        <f>CHOOSE( CONTROL!$C$32, 3.7656, 3.7607) * CHOOSE(CONTROL!$C$15, $D$11, 100%, $F$11)</f>
        <v>3.7656000000000001</v>
      </c>
      <c r="D70" s="8">
        <f>CHOOSE( CONTROL!$C$32, 3.7577, 3.7528) * CHOOSE( CONTROL!$C$15, $D$11, 100%, $F$11)</f>
        <v>3.7576999999999998</v>
      </c>
      <c r="E70" s="12">
        <f>CHOOSE( CONTROL!$C$32, 3.759, 3.7541) * CHOOSE( CONTROL!$C$15, $D$11, 100%, $F$11)</f>
        <v>3.7589999999999999</v>
      </c>
      <c r="F70" s="4">
        <f>CHOOSE( CONTROL!$C$32, 4.7494, 4.7445) * CHOOSE(CONTROL!$C$15, $D$11, 100%, $F$11)</f>
        <v>4.7493999999999996</v>
      </c>
      <c r="G70" s="8">
        <f>CHOOSE( CONTROL!$C$32, 3.6477, 3.6429) * CHOOSE( CONTROL!$C$15, $D$11, 100%, $F$11)</f>
        <v>3.6476999999999999</v>
      </c>
      <c r="H70" s="4">
        <f>CHOOSE( CONTROL!$C$32, 4.5534, 4.5485) * CHOOSE(CONTROL!$C$15, $D$11, 100%, $F$11)</f>
        <v>4.5533999999999999</v>
      </c>
      <c r="I70" s="8">
        <f>CHOOSE( CONTROL!$C$32, 3.6398, 3.6351) * CHOOSE(CONTROL!$C$15, $D$11, 100%, $F$11)</f>
        <v>3.6398000000000001</v>
      </c>
      <c r="J70" s="4">
        <f>CHOOSE( CONTROL!$C$32, 3.5935, 3.5888) * CHOOSE(CONTROL!$C$15, $D$11, 100%, $F$11)</f>
        <v>3.5935000000000001</v>
      </c>
      <c r="K70" s="4"/>
      <c r="L70" s="9">
        <v>29.900200000000002</v>
      </c>
      <c r="M70" s="9">
        <v>11.6745</v>
      </c>
      <c r="N70" s="9">
        <v>4.7850000000000001</v>
      </c>
      <c r="O70" s="9">
        <v>0.36249999999999999</v>
      </c>
      <c r="P70" s="9">
        <v>1.1798</v>
      </c>
      <c r="Q70" s="9">
        <v>32.153399999999998</v>
      </c>
      <c r="R70" s="9"/>
      <c r="S70" s="11"/>
    </row>
    <row r="71" spans="1:19" ht="15.75">
      <c r="A71" s="13">
        <v>44013</v>
      </c>
      <c r="B71" s="8">
        <f>CHOOSE( CONTROL!$C$32, 3.9164, 3.9114) * CHOOSE(CONTROL!$C$15, $D$11, 100%, $F$11)</f>
        <v>3.9163999999999999</v>
      </c>
      <c r="C71" s="8">
        <f>CHOOSE( CONTROL!$C$32, 3.9268, 3.9219) * CHOOSE(CONTROL!$C$15, $D$11, 100%, $F$11)</f>
        <v>3.9268000000000001</v>
      </c>
      <c r="D71" s="8">
        <f>CHOOSE( CONTROL!$C$32, 3.9258, 3.9209) * CHOOSE( CONTROL!$C$15, $D$11, 100%, $F$11)</f>
        <v>3.9258000000000002</v>
      </c>
      <c r="E71" s="12">
        <f>CHOOSE( CONTROL!$C$32, 3.9246, 3.9197) * CHOOSE( CONTROL!$C$15, $D$11, 100%, $F$11)</f>
        <v>3.9245999999999999</v>
      </c>
      <c r="F71" s="4">
        <f>CHOOSE( CONTROL!$C$32, 4.921, 4.9161) * CHOOSE(CONTROL!$C$15, $D$11, 100%, $F$11)</f>
        <v>4.9210000000000003</v>
      </c>
      <c r="G71" s="8">
        <f>CHOOSE( CONTROL!$C$32, 3.8089, 3.8041) * CHOOSE( CONTROL!$C$15, $D$11, 100%, $F$11)</f>
        <v>3.8089</v>
      </c>
      <c r="H71" s="4">
        <f>CHOOSE( CONTROL!$C$32, 4.7206, 4.7158) * CHOOSE(CONTROL!$C$15, $D$11, 100%, $F$11)</f>
        <v>4.7206000000000001</v>
      </c>
      <c r="I71" s="8">
        <f>CHOOSE( CONTROL!$C$32, 3.802, 3.7972) * CHOOSE(CONTROL!$C$15, $D$11, 100%, $F$11)</f>
        <v>3.802</v>
      </c>
      <c r="J71" s="4">
        <f>CHOOSE( CONTROL!$C$32, 3.7479, 3.7432) * CHOOSE(CONTROL!$C$15, $D$11, 100%, $F$11)</f>
        <v>3.7479</v>
      </c>
      <c r="K71" s="4"/>
      <c r="L71" s="9">
        <v>30.896899999999999</v>
      </c>
      <c r="M71" s="9">
        <v>12.063700000000001</v>
      </c>
      <c r="N71" s="9">
        <v>4.9444999999999997</v>
      </c>
      <c r="O71" s="9">
        <v>0.37459999999999999</v>
      </c>
      <c r="P71" s="9">
        <v>1.2192000000000001</v>
      </c>
      <c r="Q71" s="9">
        <v>33.225200000000001</v>
      </c>
      <c r="R71" s="9"/>
      <c r="S71" s="11"/>
    </row>
    <row r="72" spans="1:19" ht="15.75">
      <c r="A72" s="13">
        <v>44044</v>
      </c>
      <c r="B72" s="8">
        <f>CHOOSE( CONTROL!$C$32, 3.6148, 3.6099) * CHOOSE(CONTROL!$C$15, $D$11, 100%, $F$11)</f>
        <v>3.6147999999999998</v>
      </c>
      <c r="C72" s="8">
        <f>CHOOSE( CONTROL!$C$32, 3.6253, 3.6203) * CHOOSE(CONTROL!$C$15, $D$11, 100%, $F$11)</f>
        <v>3.6253000000000002</v>
      </c>
      <c r="D72" s="8">
        <f>CHOOSE( CONTROL!$C$32, 3.6254, 3.6205) * CHOOSE( CONTROL!$C$15, $D$11, 100%, $F$11)</f>
        <v>3.6254</v>
      </c>
      <c r="E72" s="12">
        <f>CHOOSE( CONTROL!$C$32, 3.6238, 3.6188) * CHOOSE( CONTROL!$C$15, $D$11, 100%, $F$11)</f>
        <v>3.6238000000000001</v>
      </c>
      <c r="F72" s="4">
        <f>CHOOSE( CONTROL!$C$32, 4.6273, 4.6224) * CHOOSE(CONTROL!$C$15, $D$11, 100%, $F$11)</f>
        <v>4.6273</v>
      </c>
      <c r="G72" s="8">
        <f>CHOOSE( CONTROL!$C$32, 3.5101, 3.5053) * CHOOSE( CONTROL!$C$15, $D$11, 100%, $F$11)</f>
        <v>3.5101</v>
      </c>
      <c r="H72" s="4">
        <f>CHOOSE( CONTROL!$C$32, 4.4343, 4.4295) * CHOOSE(CONTROL!$C$15, $D$11, 100%, $F$11)</f>
        <v>4.4343000000000004</v>
      </c>
      <c r="I72" s="8">
        <f>CHOOSE( CONTROL!$C$32, 3.5038, 3.4991) * CHOOSE(CONTROL!$C$15, $D$11, 100%, $F$11)</f>
        <v>3.5038</v>
      </c>
      <c r="J72" s="4">
        <f>CHOOSE( CONTROL!$C$32, 3.459, 3.4542) * CHOOSE(CONTROL!$C$15, $D$11, 100%, $F$11)</f>
        <v>3.4590000000000001</v>
      </c>
      <c r="K72" s="4"/>
      <c r="L72" s="9">
        <v>30.896899999999999</v>
      </c>
      <c r="M72" s="9">
        <v>12.063700000000001</v>
      </c>
      <c r="N72" s="9">
        <v>4.9444999999999997</v>
      </c>
      <c r="O72" s="9">
        <v>0.37459999999999999</v>
      </c>
      <c r="P72" s="9">
        <v>1.2192000000000001</v>
      </c>
      <c r="Q72" s="9">
        <v>33.225200000000001</v>
      </c>
      <c r="R72" s="9"/>
      <c r="S72" s="11"/>
    </row>
    <row r="73" spans="1:19" ht="15.75">
      <c r="A73" s="13">
        <v>44075</v>
      </c>
      <c r="B73" s="8">
        <f>CHOOSE( CONTROL!$C$32, 3.5393, 3.5344) * CHOOSE(CONTROL!$C$15, $D$11, 100%, $F$11)</f>
        <v>3.5392999999999999</v>
      </c>
      <c r="C73" s="8">
        <f>CHOOSE( CONTROL!$C$32, 3.5497, 3.5448) * CHOOSE(CONTROL!$C$15, $D$11, 100%, $F$11)</f>
        <v>3.5497000000000001</v>
      </c>
      <c r="D73" s="8">
        <f>CHOOSE( CONTROL!$C$32, 3.5502, 3.5453) * CHOOSE( CONTROL!$C$15, $D$11, 100%, $F$11)</f>
        <v>3.5501999999999998</v>
      </c>
      <c r="E73" s="12">
        <f>CHOOSE( CONTROL!$C$32, 3.5484, 3.5435) * CHOOSE( CONTROL!$C$15, $D$11, 100%, $F$11)</f>
        <v>3.5484</v>
      </c>
      <c r="F73" s="4">
        <f>CHOOSE( CONTROL!$C$32, 4.5518, 4.5468) * CHOOSE(CONTROL!$C$15, $D$11, 100%, $F$11)</f>
        <v>4.5518000000000001</v>
      </c>
      <c r="G73" s="8">
        <f>CHOOSE( CONTROL!$C$32, 3.437, 3.4321) * CHOOSE( CONTROL!$C$15, $D$11, 100%, $F$11)</f>
        <v>3.4369999999999998</v>
      </c>
      <c r="H73" s="4">
        <f>CHOOSE( CONTROL!$C$32, 4.3607, 4.3559) * CHOOSE(CONTROL!$C$15, $D$11, 100%, $F$11)</f>
        <v>4.3606999999999996</v>
      </c>
      <c r="I73" s="8">
        <f>CHOOSE( CONTROL!$C$32, 3.4328, 3.4281) * CHOOSE(CONTROL!$C$15, $D$11, 100%, $F$11)</f>
        <v>3.4327999999999999</v>
      </c>
      <c r="J73" s="4">
        <f>CHOOSE( CONTROL!$C$32, 3.3866, 3.3819) * CHOOSE(CONTROL!$C$15, $D$11, 100%, $F$11)</f>
        <v>3.3866000000000001</v>
      </c>
      <c r="K73" s="4"/>
      <c r="L73" s="9">
        <v>29.900200000000002</v>
      </c>
      <c r="M73" s="9">
        <v>11.6745</v>
      </c>
      <c r="N73" s="9">
        <v>4.7850000000000001</v>
      </c>
      <c r="O73" s="9">
        <v>0.36249999999999999</v>
      </c>
      <c r="P73" s="9">
        <v>1.1798</v>
      </c>
      <c r="Q73" s="9">
        <v>32.153399999999998</v>
      </c>
      <c r="R73" s="9"/>
      <c r="S73" s="11"/>
    </row>
    <row r="74" spans="1:19" ht="15.75">
      <c r="A74" s="13">
        <v>44105</v>
      </c>
      <c r="B74" s="8">
        <f>3.6912 * CHOOSE(CONTROL!$C$15, $D$11, 100%, $F$11)</f>
        <v>3.6911999999999998</v>
      </c>
      <c r="C74" s="8">
        <f>3.7016 * CHOOSE(CONTROL!$C$15, $D$11, 100%, $F$11)</f>
        <v>3.7016</v>
      </c>
      <c r="D74" s="8">
        <f>3.7033 * CHOOSE( CONTROL!$C$15, $D$11, 100%, $F$11)</f>
        <v>3.7033</v>
      </c>
      <c r="E74" s="12">
        <f>3.7016 * CHOOSE( CONTROL!$C$15, $D$11, 100%, $F$11)</f>
        <v>3.7016</v>
      </c>
      <c r="F74" s="4">
        <f>4.7036 * CHOOSE(CONTROL!$C$15, $D$11, 100%, $F$11)</f>
        <v>4.7035999999999998</v>
      </c>
      <c r="G74" s="8">
        <f>3.5846 * CHOOSE( CONTROL!$C$15, $D$11, 100%, $F$11)</f>
        <v>3.5846</v>
      </c>
      <c r="H74" s="4">
        <f>4.5087 * CHOOSE(CONTROL!$C$15, $D$11, 100%, $F$11)</f>
        <v>4.5087000000000002</v>
      </c>
      <c r="I74" s="8">
        <f>3.5807 * CHOOSE(CONTROL!$C$15, $D$11, 100%, $F$11)</f>
        <v>3.5807000000000002</v>
      </c>
      <c r="J74" s="4">
        <f>3.5321 * CHOOSE(CONTROL!$C$15, $D$11, 100%, $F$11)</f>
        <v>3.5320999999999998</v>
      </c>
      <c r="K74" s="4"/>
      <c r="L74" s="9">
        <v>30.654699999999998</v>
      </c>
      <c r="M74" s="9">
        <v>12.063700000000001</v>
      </c>
      <c r="N74" s="9">
        <v>4.9444999999999997</v>
      </c>
      <c r="O74" s="9">
        <v>0.37459999999999999</v>
      </c>
      <c r="P74" s="9">
        <v>1.2192000000000001</v>
      </c>
      <c r="Q74" s="9">
        <v>33.225200000000001</v>
      </c>
      <c r="R74" s="9"/>
      <c r="S74" s="11"/>
    </row>
    <row r="75" spans="1:19" ht="15.75">
      <c r="A75" s="13">
        <v>44136</v>
      </c>
      <c r="B75" s="8">
        <f>3.9806 * CHOOSE(CONTROL!$C$15, $D$11, 100%, $F$11)</f>
        <v>3.9805999999999999</v>
      </c>
      <c r="C75" s="8">
        <f>3.991 * CHOOSE(CONTROL!$C$15, $D$11, 100%, $F$11)</f>
        <v>3.9910000000000001</v>
      </c>
      <c r="D75" s="8">
        <f>3.9721 * CHOOSE( CONTROL!$C$15, $D$11, 100%, $F$11)</f>
        <v>3.9721000000000002</v>
      </c>
      <c r="E75" s="12">
        <f>3.9779 * CHOOSE( CONTROL!$C$15, $D$11, 100%, $F$11)</f>
        <v>3.9779</v>
      </c>
      <c r="F75" s="4">
        <f>4.9774 * CHOOSE(CONTROL!$C$15, $D$11, 100%, $F$11)</f>
        <v>4.9774000000000003</v>
      </c>
      <c r="G75" s="8">
        <f>3.8897 * CHOOSE( CONTROL!$C$15, $D$11, 100%, $F$11)</f>
        <v>3.8896999999999999</v>
      </c>
      <c r="H75" s="4">
        <f>4.7756 * CHOOSE(CONTROL!$C$15, $D$11, 100%, $F$11)</f>
        <v>4.7755999999999998</v>
      </c>
      <c r="I75" s="8">
        <f>3.9047 * CHOOSE(CONTROL!$C$15, $D$11, 100%, $F$11)</f>
        <v>3.9047000000000001</v>
      </c>
      <c r="J75" s="4">
        <f>3.8094 * CHOOSE(CONTROL!$C$15, $D$11, 100%, $F$11)</f>
        <v>3.8094000000000001</v>
      </c>
      <c r="K75" s="4"/>
      <c r="L75" s="9">
        <v>28.000499999999999</v>
      </c>
      <c r="M75" s="9">
        <v>11.6745</v>
      </c>
      <c r="N75" s="9">
        <v>4.7850000000000001</v>
      </c>
      <c r="O75" s="9">
        <v>0.36249999999999999</v>
      </c>
      <c r="P75" s="9">
        <v>1.2522</v>
      </c>
      <c r="Q75" s="9">
        <v>32.153399999999998</v>
      </c>
      <c r="R75" s="9"/>
      <c r="S75" s="11"/>
    </row>
    <row r="76" spans="1:19" ht="15.75">
      <c r="A76" s="13">
        <v>44166</v>
      </c>
      <c r="B76" s="8">
        <f>3.9733 * CHOOSE(CONTROL!$C$15, $D$11, 100%, $F$11)</f>
        <v>3.9733000000000001</v>
      </c>
      <c r="C76" s="8">
        <f>3.9838 * CHOOSE(CONTROL!$C$15, $D$11, 100%, $F$11)</f>
        <v>3.9838</v>
      </c>
      <c r="D76" s="8">
        <f>3.9674 * CHOOSE( CONTROL!$C$15, $D$11, 100%, $F$11)</f>
        <v>3.9674</v>
      </c>
      <c r="E76" s="12">
        <f>3.9723 * CHOOSE( CONTROL!$C$15, $D$11, 100%, $F$11)</f>
        <v>3.9723000000000002</v>
      </c>
      <c r="F76" s="4">
        <f>4.9702 * CHOOSE(CONTROL!$C$15, $D$11, 100%, $F$11)</f>
        <v>4.9702000000000002</v>
      </c>
      <c r="G76" s="8">
        <f>3.8846 * CHOOSE( CONTROL!$C$15, $D$11, 100%, $F$11)</f>
        <v>3.8845999999999998</v>
      </c>
      <c r="H76" s="4">
        <f>4.7685 * CHOOSE(CONTROL!$C$15, $D$11, 100%, $F$11)</f>
        <v>4.7685000000000004</v>
      </c>
      <c r="I76" s="8">
        <f>3.9065 * CHOOSE(CONTROL!$C$15, $D$11, 100%, $F$11)</f>
        <v>3.9064999999999999</v>
      </c>
      <c r="J76" s="4">
        <f>3.8025 * CHOOSE(CONTROL!$C$15, $D$11, 100%, $F$11)</f>
        <v>3.8025000000000002</v>
      </c>
      <c r="K76" s="4"/>
      <c r="L76" s="9">
        <v>28.933900000000001</v>
      </c>
      <c r="M76" s="9">
        <v>12.063700000000001</v>
      </c>
      <c r="N76" s="9">
        <v>4.9444999999999997</v>
      </c>
      <c r="O76" s="9">
        <v>0.37459999999999999</v>
      </c>
      <c r="P76" s="9">
        <v>1.2939000000000001</v>
      </c>
      <c r="Q76" s="9">
        <v>33.225200000000001</v>
      </c>
      <c r="R76" s="9"/>
      <c r="S76" s="11"/>
    </row>
    <row r="77" spans="1:19" ht="15.75">
      <c r="A77" s="13">
        <v>44197</v>
      </c>
      <c r="B77" s="8">
        <f>4.4683 * CHOOSE(CONTROL!$C$15, $D$11, 100%, $F$11)</f>
        <v>4.4683000000000002</v>
      </c>
      <c r="C77" s="8">
        <f>4.4788 * CHOOSE(CONTROL!$C$15, $D$11, 100%, $F$11)</f>
        <v>4.4787999999999997</v>
      </c>
      <c r="D77" s="8">
        <f>4.4773 * CHOOSE( CONTROL!$C$15, $D$11, 100%, $F$11)</f>
        <v>4.4772999999999996</v>
      </c>
      <c r="E77" s="12">
        <f>4.4767 * CHOOSE( CONTROL!$C$15, $D$11, 100%, $F$11)</f>
        <v>4.4767000000000001</v>
      </c>
      <c r="F77" s="4">
        <f>5.4913 * CHOOSE(CONTROL!$C$15, $D$11, 100%, $F$11)</f>
        <v>5.4912999999999998</v>
      </c>
      <c r="G77" s="8">
        <f>4.384 * CHOOSE( CONTROL!$C$15, $D$11, 100%, $F$11)</f>
        <v>4.3840000000000003</v>
      </c>
      <c r="H77" s="4">
        <f>5.2765 * CHOOSE(CONTROL!$C$15, $D$11, 100%, $F$11)</f>
        <v>5.2765000000000004</v>
      </c>
      <c r="I77" s="8">
        <f>4.3875 * CHOOSE(CONTROL!$C$15, $D$11, 100%, $F$11)</f>
        <v>4.3875000000000002</v>
      </c>
      <c r="J77" s="4">
        <f>4.2768 * CHOOSE(CONTROL!$C$15, $D$11, 100%, $F$11)</f>
        <v>4.2767999999999997</v>
      </c>
      <c r="K77" s="4"/>
      <c r="L77" s="9">
        <v>28.933900000000001</v>
      </c>
      <c r="M77" s="9">
        <v>12.063700000000001</v>
      </c>
      <c r="N77" s="9">
        <v>4.9444999999999997</v>
      </c>
      <c r="O77" s="9">
        <v>0.37459999999999999</v>
      </c>
      <c r="P77" s="9">
        <v>1.2939000000000001</v>
      </c>
      <c r="Q77" s="9">
        <v>33.011299999999999</v>
      </c>
      <c r="R77" s="9"/>
      <c r="S77" s="11"/>
    </row>
    <row r="78" spans="1:19" ht="15.75">
      <c r="A78" s="13">
        <v>44228</v>
      </c>
      <c r="B78" s="8">
        <f>4.1798 * CHOOSE(CONTROL!$C$15, $D$11, 100%, $F$11)</f>
        <v>4.1798000000000002</v>
      </c>
      <c r="C78" s="8">
        <f>4.1902 * CHOOSE(CONTROL!$C$15, $D$11, 100%, $F$11)</f>
        <v>4.1901999999999999</v>
      </c>
      <c r="D78" s="8">
        <f>4.191 * CHOOSE( CONTROL!$C$15, $D$11, 100%, $F$11)</f>
        <v>4.1909999999999998</v>
      </c>
      <c r="E78" s="12">
        <f>4.1896 * CHOOSE( CONTROL!$C$15, $D$11, 100%, $F$11)</f>
        <v>4.1896000000000004</v>
      </c>
      <c r="F78" s="4">
        <f>5.1949 * CHOOSE(CONTROL!$C$15, $D$11, 100%, $F$11)</f>
        <v>5.1948999999999996</v>
      </c>
      <c r="G78" s="8">
        <f>4.1025 * CHOOSE( CONTROL!$C$15, $D$11, 100%, $F$11)</f>
        <v>4.1025</v>
      </c>
      <c r="H78" s="4">
        <f>4.9876 * CHOOSE(CONTROL!$C$15, $D$11, 100%, $F$11)</f>
        <v>4.9875999999999996</v>
      </c>
      <c r="I78" s="8">
        <f>4.1 * CHOOSE(CONTROL!$C$15, $D$11, 100%, $F$11)</f>
        <v>4.0999999999999996</v>
      </c>
      <c r="J78" s="4">
        <f>4.0003 * CHOOSE(CONTROL!$C$15, $D$11, 100%, $F$11)</f>
        <v>4.0003000000000002</v>
      </c>
      <c r="K78" s="4"/>
      <c r="L78" s="9">
        <v>26.133800000000001</v>
      </c>
      <c r="M78" s="9">
        <v>10.8962</v>
      </c>
      <c r="N78" s="9">
        <v>4.4660000000000002</v>
      </c>
      <c r="O78" s="9">
        <v>0.33829999999999999</v>
      </c>
      <c r="P78" s="9">
        <v>1.1687000000000001</v>
      </c>
      <c r="Q78" s="9">
        <v>29.816600000000001</v>
      </c>
      <c r="R78" s="9"/>
      <c r="S78" s="11"/>
    </row>
    <row r="79" spans="1:19" ht="15.75">
      <c r="A79" s="13">
        <v>44256</v>
      </c>
      <c r="B79" s="8">
        <f>4.0909 * CHOOSE(CONTROL!$C$15, $D$11, 100%, $F$11)</f>
        <v>4.0909000000000004</v>
      </c>
      <c r="C79" s="8">
        <f>4.1014 * CHOOSE(CONTROL!$C$15, $D$11, 100%, $F$11)</f>
        <v>4.1013999999999999</v>
      </c>
      <c r="D79" s="8">
        <f>4.0818 * CHOOSE( CONTROL!$C$15, $D$11, 100%, $F$11)</f>
        <v>4.0818000000000003</v>
      </c>
      <c r="E79" s="12">
        <f>4.0878 * CHOOSE( CONTROL!$C$15, $D$11, 100%, $F$11)</f>
        <v>4.0877999999999997</v>
      </c>
      <c r="F79" s="4">
        <f>5.0898 * CHOOSE(CONTROL!$C$15, $D$11, 100%, $F$11)</f>
        <v>5.0898000000000003</v>
      </c>
      <c r="G79" s="8">
        <f>3.9952 * CHOOSE( CONTROL!$C$15, $D$11, 100%, $F$11)</f>
        <v>3.9952000000000001</v>
      </c>
      <c r="H79" s="4">
        <f>4.8852 * CHOOSE(CONTROL!$C$15, $D$11, 100%, $F$11)</f>
        <v>4.8852000000000002</v>
      </c>
      <c r="I79" s="8">
        <f>3.9753 * CHOOSE(CONTROL!$C$15, $D$11, 100%, $F$11)</f>
        <v>3.9752999999999998</v>
      </c>
      <c r="J79" s="4">
        <f>3.9152 * CHOOSE(CONTROL!$C$15, $D$11, 100%, $F$11)</f>
        <v>3.9152</v>
      </c>
      <c r="K79" s="4"/>
      <c r="L79" s="9">
        <v>28.933900000000001</v>
      </c>
      <c r="M79" s="9">
        <v>12.063700000000001</v>
      </c>
      <c r="N79" s="9">
        <v>4.9444999999999997</v>
      </c>
      <c r="O79" s="9">
        <v>0.37459999999999999</v>
      </c>
      <c r="P79" s="9">
        <v>1.2939000000000001</v>
      </c>
      <c r="Q79" s="9">
        <v>33.011299999999999</v>
      </c>
      <c r="R79" s="9"/>
      <c r="S79" s="11"/>
    </row>
    <row r="80" spans="1:19" ht="15.75">
      <c r="A80" s="13">
        <v>44287</v>
      </c>
      <c r="B80" s="8">
        <f>4.153 * CHOOSE(CONTROL!$C$15, $D$11, 100%, $F$11)</f>
        <v>4.1529999999999996</v>
      </c>
      <c r="C80" s="8">
        <f>4.1635 * CHOOSE(CONTROL!$C$15, $D$11, 100%, $F$11)</f>
        <v>4.1635</v>
      </c>
      <c r="D80" s="8">
        <f>4.1673 * CHOOSE( CONTROL!$C$15, $D$11, 100%, $F$11)</f>
        <v>4.1673</v>
      </c>
      <c r="E80" s="12">
        <f>4.1648 * CHOOSE( CONTROL!$C$15, $D$11, 100%, $F$11)</f>
        <v>4.1647999999999996</v>
      </c>
      <c r="F80" s="4">
        <f>5.1603 * CHOOSE(CONTROL!$C$15, $D$11, 100%, $F$11)</f>
        <v>5.1603000000000003</v>
      </c>
      <c r="G80" s="8">
        <f>4.0437 * CHOOSE( CONTROL!$C$15, $D$11, 100%, $F$11)</f>
        <v>4.0437000000000003</v>
      </c>
      <c r="H80" s="4">
        <f>4.9538 * CHOOSE(CONTROL!$C$15, $D$11, 100%, $F$11)</f>
        <v>4.9538000000000002</v>
      </c>
      <c r="I80" s="8">
        <f>4.0249 * CHOOSE(CONTROL!$C$15, $D$11, 100%, $F$11)</f>
        <v>4.0248999999999997</v>
      </c>
      <c r="J80" s="4">
        <f>3.9747 * CHOOSE(CONTROL!$C$15, $D$11, 100%, $F$11)</f>
        <v>3.9746999999999999</v>
      </c>
      <c r="K80" s="4"/>
      <c r="L80" s="9">
        <v>29.665800000000001</v>
      </c>
      <c r="M80" s="9">
        <v>11.6745</v>
      </c>
      <c r="N80" s="9">
        <v>4.7850000000000001</v>
      </c>
      <c r="O80" s="9">
        <v>0.36249999999999999</v>
      </c>
      <c r="P80" s="9">
        <v>1.1798</v>
      </c>
      <c r="Q80" s="9">
        <v>31.946400000000001</v>
      </c>
      <c r="R80" s="9"/>
      <c r="S80" s="11"/>
    </row>
    <row r="81" spans="1:19" ht="15.75">
      <c r="A81" s="13">
        <v>44317</v>
      </c>
      <c r="B81" s="8">
        <f>CHOOSE( CONTROL!$C$32, 4.2685, 4.2636) * CHOOSE(CONTROL!$C$15, $D$11, 100%, $F$11)</f>
        <v>4.2685000000000004</v>
      </c>
      <c r="C81" s="8">
        <f>CHOOSE( CONTROL!$C$32, 4.2789, 4.274) * CHOOSE(CONTROL!$C$15, $D$11, 100%, $F$11)</f>
        <v>4.2789000000000001</v>
      </c>
      <c r="D81" s="8">
        <f>CHOOSE( CONTROL!$C$32, 4.2576, 4.2526) * CHOOSE( CONTROL!$C$15, $D$11, 100%, $F$11)</f>
        <v>4.2576000000000001</v>
      </c>
      <c r="E81" s="12">
        <f>CHOOSE( CONTROL!$C$32, 4.2637, 4.2588) * CHOOSE( CONTROL!$C$15, $D$11, 100%, $F$11)</f>
        <v>4.2637</v>
      </c>
      <c r="F81" s="4">
        <f>CHOOSE( CONTROL!$C$32, 5.2434, 5.2385) * CHOOSE(CONTROL!$C$15, $D$11, 100%, $F$11)</f>
        <v>5.2434000000000003</v>
      </c>
      <c r="G81" s="8">
        <f>CHOOSE( CONTROL!$C$32, 4.1376, 4.1328) * CHOOSE( CONTROL!$C$15, $D$11, 100%, $F$11)</f>
        <v>4.1375999999999999</v>
      </c>
      <c r="H81" s="4">
        <f>CHOOSE( CONTROL!$C$32, 5.0349, 5.0301) * CHOOSE(CONTROL!$C$15, $D$11, 100%, $F$11)</f>
        <v>5.0349000000000004</v>
      </c>
      <c r="I81" s="8">
        <f>CHOOSE( CONTROL!$C$32, 4.114, 4.1093) * CHOOSE(CONTROL!$C$15, $D$11, 100%, $F$11)</f>
        <v>4.1139999999999999</v>
      </c>
      <c r="J81" s="4">
        <f>CHOOSE( CONTROL!$C$32, 4.0853, 4.0806) * CHOOSE(CONTROL!$C$15, $D$11, 100%, $F$11)</f>
        <v>4.0853000000000002</v>
      </c>
      <c r="K81" s="4"/>
      <c r="L81" s="9">
        <v>30.896899999999999</v>
      </c>
      <c r="M81" s="9">
        <v>12.063700000000001</v>
      </c>
      <c r="N81" s="9">
        <v>4.9444999999999997</v>
      </c>
      <c r="O81" s="9">
        <v>0.37459999999999999</v>
      </c>
      <c r="P81" s="9">
        <v>1.2192000000000001</v>
      </c>
      <c r="Q81" s="9">
        <v>33.011299999999999</v>
      </c>
      <c r="R81" s="9"/>
      <c r="S81" s="11"/>
    </row>
    <row r="82" spans="1:19" ht="15.75">
      <c r="A82" s="13">
        <v>44348</v>
      </c>
      <c r="B82" s="8">
        <f>CHOOSE( CONTROL!$C$32, 4.2, 4.1951) * CHOOSE(CONTROL!$C$15, $D$11, 100%, $F$11)</f>
        <v>4.2</v>
      </c>
      <c r="C82" s="8">
        <f>CHOOSE( CONTROL!$C$32, 4.2105, 4.2055) * CHOOSE(CONTROL!$C$15, $D$11, 100%, $F$11)</f>
        <v>4.2104999999999997</v>
      </c>
      <c r="D82" s="8">
        <f>CHOOSE( CONTROL!$C$32, 4.2026, 4.1976) * CHOOSE( CONTROL!$C$15, $D$11, 100%, $F$11)</f>
        <v>4.2026000000000003</v>
      </c>
      <c r="E82" s="12">
        <f>CHOOSE( CONTROL!$C$32, 4.2039, 4.1989) * CHOOSE( CONTROL!$C$15, $D$11, 100%, $F$11)</f>
        <v>4.2039</v>
      </c>
      <c r="F82" s="4">
        <f>CHOOSE( CONTROL!$C$32, 5.1942, 5.1893) * CHOOSE(CONTROL!$C$15, $D$11, 100%, $F$11)</f>
        <v>5.1942000000000004</v>
      </c>
      <c r="G82" s="8">
        <f>CHOOSE( CONTROL!$C$32, 4.0813, 4.0765) * CHOOSE( CONTROL!$C$15, $D$11, 100%, $F$11)</f>
        <v>4.0812999999999997</v>
      </c>
      <c r="H82" s="4">
        <f>CHOOSE( CONTROL!$C$32, 4.9869, 4.9821) * CHOOSE(CONTROL!$C$15, $D$11, 100%, $F$11)</f>
        <v>4.9869000000000003</v>
      </c>
      <c r="I82" s="8">
        <f>CHOOSE( CONTROL!$C$32, 4.0662, 4.0615) * CHOOSE(CONTROL!$C$15, $D$11, 100%, $F$11)</f>
        <v>4.0662000000000003</v>
      </c>
      <c r="J82" s="4">
        <f>CHOOSE( CONTROL!$C$32, 4.0197, 4.015) * CHOOSE(CONTROL!$C$15, $D$11, 100%, $F$11)</f>
        <v>4.0197000000000003</v>
      </c>
      <c r="K82" s="4"/>
      <c r="L82" s="9">
        <v>29.900200000000002</v>
      </c>
      <c r="M82" s="9">
        <v>11.6745</v>
      </c>
      <c r="N82" s="9">
        <v>4.7850000000000001</v>
      </c>
      <c r="O82" s="9">
        <v>0.36249999999999999</v>
      </c>
      <c r="P82" s="9">
        <v>1.1798</v>
      </c>
      <c r="Q82" s="9">
        <v>31.946400000000001</v>
      </c>
      <c r="R82" s="9"/>
      <c r="S82" s="11"/>
    </row>
    <row r="83" spans="1:19" ht="15.75">
      <c r="A83" s="13">
        <v>44378</v>
      </c>
      <c r="B83" s="8">
        <f>CHOOSE( CONTROL!$C$32, 4.3803, 4.3754) * CHOOSE(CONTROL!$C$15, $D$11, 100%, $F$11)</f>
        <v>4.3803000000000001</v>
      </c>
      <c r="C83" s="8">
        <f>CHOOSE( CONTROL!$C$32, 4.3908, 4.3858) * CHOOSE(CONTROL!$C$15, $D$11, 100%, $F$11)</f>
        <v>4.3907999999999996</v>
      </c>
      <c r="D83" s="8">
        <f>CHOOSE( CONTROL!$C$32, 4.3898, 4.3848) * CHOOSE( CONTROL!$C$15, $D$11, 100%, $F$11)</f>
        <v>4.3898000000000001</v>
      </c>
      <c r="E83" s="12">
        <f>CHOOSE( CONTROL!$C$32, 4.3886, 4.3836) * CHOOSE( CONTROL!$C$15, $D$11, 100%, $F$11)</f>
        <v>4.3886000000000003</v>
      </c>
      <c r="F83" s="4">
        <f>CHOOSE( CONTROL!$C$32, 5.385, 5.38) * CHOOSE(CONTROL!$C$15, $D$11, 100%, $F$11)</f>
        <v>5.3849999999999998</v>
      </c>
      <c r="G83" s="8">
        <f>CHOOSE( CONTROL!$C$32, 4.2612, 4.2564) * CHOOSE( CONTROL!$C$15, $D$11, 100%, $F$11)</f>
        <v>4.2611999999999997</v>
      </c>
      <c r="H83" s="4">
        <f>CHOOSE( CONTROL!$C$32, 5.1729, 5.1681) * CHOOSE(CONTROL!$C$15, $D$11, 100%, $F$11)</f>
        <v>5.1729000000000003</v>
      </c>
      <c r="I83" s="8">
        <f>CHOOSE( CONTROL!$C$32, 4.2467, 4.242) * CHOOSE(CONTROL!$C$15, $D$11, 100%, $F$11)</f>
        <v>4.2466999999999997</v>
      </c>
      <c r="J83" s="4">
        <f>CHOOSE( CONTROL!$C$32, 4.1925, 4.1877) * CHOOSE(CONTROL!$C$15, $D$11, 100%, $F$11)</f>
        <v>4.1924999999999999</v>
      </c>
      <c r="K83" s="4"/>
      <c r="L83" s="9">
        <v>30.896899999999999</v>
      </c>
      <c r="M83" s="9">
        <v>12.063700000000001</v>
      </c>
      <c r="N83" s="9">
        <v>4.9444999999999997</v>
      </c>
      <c r="O83" s="9">
        <v>0.37459999999999999</v>
      </c>
      <c r="P83" s="9">
        <v>1.2192000000000001</v>
      </c>
      <c r="Q83" s="9">
        <v>33.011299999999999</v>
      </c>
      <c r="R83" s="9"/>
      <c r="S83" s="11"/>
    </row>
    <row r="84" spans="1:19" ht="15.75">
      <c r="A84" s="13">
        <v>44409</v>
      </c>
      <c r="B84" s="8">
        <f>CHOOSE( CONTROL!$C$32, 4.043, 4.038) * CHOOSE(CONTROL!$C$15, $D$11, 100%, $F$11)</f>
        <v>4.0430000000000001</v>
      </c>
      <c r="C84" s="8">
        <f>CHOOSE( CONTROL!$C$32, 4.0534, 4.0485) * CHOOSE(CONTROL!$C$15, $D$11, 100%, $F$11)</f>
        <v>4.0533999999999999</v>
      </c>
      <c r="D84" s="8">
        <f>CHOOSE( CONTROL!$C$32, 4.0536, 4.0486) * CHOOSE( CONTROL!$C$15, $D$11, 100%, $F$11)</f>
        <v>4.0536000000000003</v>
      </c>
      <c r="E84" s="12">
        <f>CHOOSE( CONTROL!$C$32, 4.0519, 4.047) * CHOOSE( CONTROL!$C$15, $D$11, 100%, $F$11)</f>
        <v>4.0518999999999998</v>
      </c>
      <c r="F84" s="4">
        <f>CHOOSE( CONTROL!$C$32, 5.0554, 5.0505) * CHOOSE(CONTROL!$C$15, $D$11, 100%, $F$11)</f>
        <v>5.0553999999999997</v>
      </c>
      <c r="G84" s="8">
        <f>CHOOSE( CONTROL!$C$32, 3.9275, 3.9227) * CHOOSE( CONTROL!$C$15, $D$11, 100%, $F$11)</f>
        <v>3.9275000000000002</v>
      </c>
      <c r="H84" s="4">
        <f>CHOOSE( CONTROL!$C$32, 4.8516, 4.8468) * CHOOSE(CONTROL!$C$15, $D$11, 100%, $F$11)</f>
        <v>4.8516000000000004</v>
      </c>
      <c r="I84" s="8">
        <f>CHOOSE( CONTROL!$C$32, 3.9143, 3.9095) * CHOOSE(CONTROL!$C$15, $D$11, 100%, $F$11)</f>
        <v>3.9142999999999999</v>
      </c>
      <c r="J84" s="4">
        <f>CHOOSE( CONTROL!$C$32, 3.8692, 3.8645) * CHOOSE(CONTROL!$C$15, $D$11, 100%, $F$11)</f>
        <v>3.8692000000000002</v>
      </c>
      <c r="K84" s="4"/>
      <c r="L84" s="9">
        <v>30.896899999999999</v>
      </c>
      <c r="M84" s="9">
        <v>12.063700000000001</v>
      </c>
      <c r="N84" s="9">
        <v>4.9444999999999997</v>
      </c>
      <c r="O84" s="9">
        <v>0.37459999999999999</v>
      </c>
      <c r="P84" s="9">
        <v>1.2192000000000001</v>
      </c>
      <c r="Q84" s="9">
        <v>33.011299999999999</v>
      </c>
      <c r="R84" s="9"/>
      <c r="S84" s="11"/>
    </row>
    <row r="85" spans="1:19" ht="15.75">
      <c r="A85" s="13">
        <v>44440</v>
      </c>
      <c r="B85" s="8">
        <f>CHOOSE( CONTROL!$C$32, 3.9585, 3.9535) * CHOOSE(CONTROL!$C$15, $D$11, 100%, $F$11)</f>
        <v>3.9584999999999999</v>
      </c>
      <c r="C85" s="8">
        <f>CHOOSE( CONTROL!$C$32, 3.9689, 3.964) * CHOOSE(CONTROL!$C$15, $D$11, 100%, $F$11)</f>
        <v>3.9689000000000001</v>
      </c>
      <c r="D85" s="8">
        <f>CHOOSE( CONTROL!$C$32, 3.9694, 3.9644) * CHOOSE( CONTROL!$C$15, $D$11, 100%, $F$11)</f>
        <v>3.9693999999999998</v>
      </c>
      <c r="E85" s="12">
        <f>CHOOSE( CONTROL!$C$32, 3.9676, 3.9627) * CHOOSE( CONTROL!$C$15, $D$11, 100%, $F$11)</f>
        <v>3.9676</v>
      </c>
      <c r="F85" s="4">
        <f>CHOOSE( CONTROL!$C$32, 4.9709, 4.966) * CHOOSE(CONTROL!$C$15, $D$11, 100%, $F$11)</f>
        <v>4.9709000000000003</v>
      </c>
      <c r="G85" s="8">
        <f>CHOOSE( CONTROL!$C$32, 3.8455, 3.8407) * CHOOSE( CONTROL!$C$15, $D$11, 100%, $F$11)</f>
        <v>3.8454999999999999</v>
      </c>
      <c r="H85" s="4">
        <f>CHOOSE( CONTROL!$C$32, 4.7693, 4.7645) * CHOOSE(CONTROL!$C$15, $D$11, 100%, $F$11)</f>
        <v>4.7693000000000003</v>
      </c>
      <c r="I85" s="8">
        <f>CHOOSE( CONTROL!$C$32, 3.8347, 3.83) * CHOOSE(CONTROL!$C$15, $D$11, 100%, $F$11)</f>
        <v>3.8347000000000002</v>
      </c>
      <c r="J85" s="4">
        <f>CHOOSE( CONTROL!$C$32, 3.7883, 3.7835) * CHOOSE(CONTROL!$C$15, $D$11, 100%, $F$11)</f>
        <v>3.7883</v>
      </c>
      <c r="K85" s="4"/>
      <c r="L85" s="9">
        <v>29.900200000000002</v>
      </c>
      <c r="M85" s="9">
        <v>11.6745</v>
      </c>
      <c r="N85" s="9">
        <v>4.7850000000000001</v>
      </c>
      <c r="O85" s="9">
        <v>0.36249999999999999</v>
      </c>
      <c r="P85" s="9">
        <v>1.1798</v>
      </c>
      <c r="Q85" s="9">
        <v>31.946400000000001</v>
      </c>
      <c r="R85" s="9"/>
      <c r="S85" s="11"/>
    </row>
    <row r="86" spans="1:19" ht="15.75">
      <c r="A86" s="13">
        <v>44470</v>
      </c>
      <c r="B86" s="8">
        <f>4.129 * CHOOSE(CONTROL!$C$15, $D$11, 100%, $F$11)</f>
        <v>4.1289999999999996</v>
      </c>
      <c r="C86" s="8">
        <f>4.1394 * CHOOSE(CONTROL!$C$15, $D$11, 100%, $F$11)</f>
        <v>4.1394000000000002</v>
      </c>
      <c r="D86" s="8">
        <f>4.1411 * CHOOSE( CONTROL!$C$15, $D$11, 100%, $F$11)</f>
        <v>4.1410999999999998</v>
      </c>
      <c r="E86" s="12">
        <f>4.1394 * CHOOSE( CONTROL!$C$15, $D$11, 100%, $F$11)</f>
        <v>4.1394000000000002</v>
      </c>
      <c r="F86" s="4">
        <f>5.1414 * CHOOSE(CONTROL!$C$15, $D$11, 100%, $F$11)</f>
        <v>5.1414</v>
      </c>
      <c r="G86" s="8">
        <f>4.0114 * CHOOSE( CONTROL!$C$15, $D$11, 100%, $F$11)</f>
        <v>4.0114000000000001</v>
      </c>
      <c r="H86" s="4">
        <f>4.9355 * CHOOSE(CONTROL!$C$15, $D$11, 100%, $F$11)</f>
        <v>4.9355000000000002</v>
      </c>
      <c r="I86" s="8">
        <f>4.0004 * CHOOSE(CONTROL!$C$15, $D$11, 100%, $F$11)</f>
        <v>4.0004</v>
      </c>
      <c r="J86" s="4">
        <f>3.9516 * CHOOSE(CONTROL!$C$15, $D$11, 100%, $F$11)</f>
        <v>3.9516</v>
      </c>
      <c r="K86" s="4"/>
      <c r="L86" s="9">
        <v>30.654699999999998</v>
      </c>
      <c r="M86" s="9">
        <v>12.063700000000001</v>
      </c>
      <c r="N86" s="9">
        <v>4.9444999999999997</v>
      </c>
      <c r="O86" s="9">
        <v>0.37459999999999999</v>
      </c>
      <c r="P86" s="9">
        <v>1.2192000000000001</v>
      </c>
      <c r="Q86" s="9">
        <v>33.011299999999999</v>
      </c>
      <c r="R86" s="9"/>
      <c r="S86" s="11"/>
    </row>
    <row r="87" spans="1:19" ht="15.75">
      <c r="A87" s="13">
        <v>44501</v>
      </c>
      <c r="B87" s="8">
        <f>4.4527 * CHOOSE(CONTROL!$C$15, $D$11, 100%, $F$11)</f>
        <v>4.4527000000000001</v>
      </c>
      <c r="C87" s="8">
        <f>4.4632 * CHOOSE(CONTROL!$C$15, $D$11, 100%, $F$11)</f>
        <v>4.4631999999999996</v>
      </c>
      <c r="D87" s="8">
        <f>4.4442 * CHOOSE( CONTROL!$C$15, $D$11, 100%, $F$11)</f>
        <v>4.4442000000000004</v>
      </c>
      <c r="E87" s="12">
        <f>4.45 * CHOOSE( CONTROL!$C$15, $D$11, 100%, $F$11)</f>
        <v>4.45</v>
      </c>
      <c r="F87" s="4">
        <f>5.4495 * CHOOSE(CONTROL!$C$15, $D$11, 100%, $F$11)</f>
        <v>5.4494999999999996</v>
      </c>
      <c r="G87" s="8">
        <f>4.3499 * CHOOSE( CONTROL!$C$15, $D$11, 100%, $F$11)</f>
        <v>4.3498999999999999</v>
      </c>
      <c r="H87" s="4">
        <f>5.2358 * CHOOSE(CONTROL!$C$15, $D$11, 100%, $F$11)</f>
        <v>5.2358000000000002</v>
      </c>
      <c r="I87" s="8">
        <f>4.3573 * CHOOSE(CONTROL!$C$15, $D$11, 100%, $F$11)</f>
        <v>4.3573000000000004</v>
      </c>
      <c r="J87" s="4">
        <f>4.2618 * CHOOSE(CONTROL!$C$15, $D$11, 100%, $F$11)</f>
        <v>4.2618</v>
      </c>
      <c r="K87" s="4"/>
      <c r="L87" s="9">
        <v>28.000499999999999</v>
      </c>
      <c r="M87" s="9">
        <v>11.6745</v>
      </c>
      <c r="N87" s="9">
        <v>4.7850000000000001</v>
      </c>
      <c r="O87" s="9">
        <v>0.36249999999999999</v>
      </c>
      <c r="P87" s="9">
        <v>1.2522</v>
      </c>
      <c r="Q87" s="9">
        <v>31.946400000000001</v>
      </c>
      <c r="R87" s="9"/>
      <c r="S87" s="11"/>
    </row>
    <row r="88" spans="1:19" ht="15.75">
      <c r="A88" s="13">
        <v>44531</v>
      </c>
      <c r="B88" s="8">
        <f>4.4446 * CHOOSE(CONTROL!$C$15, $D$11, 100%, $F$11)</f>
        <v>4.4446000000000003</v>
      </c>
      <c r="C88" s="8">
        <f>4.4551 * CHOOSE(CONTROL!$C$15, $D$11, 100%, $F$11)</f>
        <v>4.4550999999999998</v>
      </c>
      <c r="D88" s="8">
        <f>4.4387 * CHOOSE( CONTROL!$C$15, $D$11, 100%, $F$11)</f>
        <v>4.4386999999999999</v>
      </c>
      <c r="E88" s="12">
        <f>4.4436 * CHOOSE( CONTROL!$C$15, $D$11, 100%, $F$11)</f>
        <v>4.4436</v>
      </c>
      <c r="F88" s="4">
        <f>5.4414 * CHOOSE(CONTROL!$C$15, $D$11, 100%, $F$11)</f>
        <v>5.4413999999999998</v>
      </c>
      <c r="G88" s="8">
        <f>4.344 * CHOOSE( CONTROL!$C$15, $D$11, 100%, $F$11)</f>
        <v>4.3440000000000003</v>
      </c>
      <c r="H88" s="4">
        <f>5.2279 * CHOOSE(CONTROL!$C$15, $D$11, 100%, $F$11)</f>
        <v>5.2279</v>
      </c>
      <c r="I88" s="8">
        <f>4.3583 * CHOOSE(CONTROL!$C$15, $D$11, 100%, $F$11)</f>
        <v>4.3582999999999998</v>
      </c>
      <c r="J88" s="4">
        <f>4.2541 * CHOOSE(CONTROL!$C$15, $D$11, 100%, $F$11)</f>
        <v>4.2541000000000002</v>
      </c>
      <c r="K88" s="4"/>
      <c r="L88" s="9">
        <v>28.933900000000001</v>
      </c>
      <c r="M88" s="9">
        <v>12.063700000000001</v>
      </c>
      <c r="N88" s="9">
        <v>4.9444999999999997</v>
      </c>
      <c r="O88" s="9">
        <v>0.37459999999999999</v>
      </c>
      <c r="P88" s="9">
        <v>1.2939000000000001</v>
      </c>
      <c r="Q88" s="9">
        <v>33.011299999999999</v>
      </c>
      <c r="R88" s="9"/>
      <c r="S88" s="11"/>
    </row>
    <row r="89" spans="1:19" ht="15.75">
      <c r="A89" s="13">
        <v>44562</v>
      </c>
      <c r="B89" s="8">
        <f>4.4311 * CHOOSE(CONTROL!$C$15, $D$11, 100%, $F$11)</f>
        <v>4.4310999999999998</v>
      </c>
      <c r="C89" s="8">
        <f>4.4416 * CHOOSE(CONTROL!$C$15, $D$11, 100%, $F$11)</f>
        <v>4.4416000000000002</v>
      </c>
      <c r="D89" s="8">
        <f>4.4402 * CHOOSE( CONTROL!$C$15, $D$11, 100%, $F$11)</f>
        <v>4.4401999999999999</v>
      </c>
      <c r="E89" s="12">
        <f>4.4396 * CHOOSE( CONTROL!$C$15, $D$11, 100%, $F$11)</f>
        <v>4.4396000000000004</v>
      </c>
      <c r="F89" s="4">
        <f>5.4541 * CHOOSE(CONTROL!$C$15, $D$11, 100%, $F$11)</f>
        <v>5.4541000000000004</v>
      </c>
      <c r="G89" s="8">
        <f>4.3477 * CHOOSE( CONTROL!$C$15, $D$11, 100%, $F$11)</f>
        <v>4.3476999999999997</v>
      </c>
      <c r="H89" s="4">
        <f>5.2402 * CHOOSE(CONTROL!$C$15, $D$11, 100%, $F$11)</f>
        <v>5.2401999999999997</v>
      </c>
      <c r="I89" s="8">
        <f>4.3519 * CHOOSE(CONTROL!$C$15, $D$11, 100%, $F$11)</f>
        <v>4.3518999999999997</v>
      </c>
      <c r="J89" s="4">
        <f>4.2412 * CHOOSE(CONTROL!$C$15, $D$11, 100%, $F$11)</f>
        <v>4.2412000000000001</v>
      </c>
      <c r="K89" s="4"/>
      <c r="L89" s="9">
        <v>28.933900000000001</v>
      </c>
      <c r="M89" s="9">
        <v>12.063700000000001</v>
      </c>
      <c r="N89" s="9">
        <v>4.9444999999999997</v>
      </c>
      <c r="O89" s="9">
        <v>0.37459999999999999</v>
      </c>
      <c r="P89" s="9">
        <v>1.2939000000000001</v>
      </c>
      <c r="Q89" s="9">
        <v>32.8123</v>
      </c>
      <c r="R89" s="9"/>
      <c r="S89" s="11"/>
    </row>
    <row r="90" spans="1:19" ht="15.75">
      <c r="A90" s="13">
        <v>44593</v>
      </c>
      <c r="B90" s="8">
        <f>4.145 * CHOOSE(CONTROL!$C$15, $D$11, 100%, $F$11)</f>
        <v>4.1449999999999996</v>
      </c>
      <c r="C90" s="8">
        <f>4.1554 * CHOOSE(CONTROL!$C$15, $D$11, 100%, $F$11)</f>
        <v>4.1554000000000002</v>
      </c>
      <c r="D90" s="8">
        <f>4.1562 * CHOOSE( CONTROL!$C$15, $D$11, 100%, $F$11)</f>
        <v>4.1562000000000001</v>
      </c>
      <c r="E90" s="12">
        <f>4.1548 * CHOOSE( CONTROL!$C$15, $D$11, 100%, $F$11)</f>
        <v>4.1547999999999998</v>
      </c>
      <c r="F90" s="4">
        <f>5.1601 * CHOOSE(CONTROL!$C$15, $D$11, 100%, $F$11)</f>
        <v>5.1600999999999999</v>
      </c>
      <c r="G90" s="8">
        <f>4.0686 * CHOOSE( CONTROL!$C$15, $D$11, 100%, $F$11)</f>
        <v>4.0686</v>
      </c>
      <c r="H90" s="4">
        <f>4.9537 * CHOOSE(CONTROL!$C$15, $D$11, 100%, $F$11)</f>
        <v>4.9537000000000004</v>
      </c>
      <c r="I90" s="8">
        <f>4.0666 * CHOOSE(CONTROL!$C$15, $D$11, 100%, $F$11)</f>
        <v>4.0666000000000002</v>
      </c>
      <c r="J90" s="4">
        <f>3.967 * CHOOSE(CONTROL!$C$15, $D$11, 100%, $F$11)</f>
        <v>3.9670000000000001</v>
      </c>
      <c r="K90" s="4"/>
      <c r="L90" s="9">
        <v>26.133800000000001</v>
      </c>
      <c r="M90" s="9">
        <v>10.8962</v>
      </c>
      <c r="N90" s="9">
        <v>4.4660000000000002</v>
      </c>
      <c r="O90" s="9">
        <v>0.33829999999999999</v>
      </c>
      <c r="P90" s="9">
        <v>1.1687000000000001</v>
      </c>
      <c r="Q90" s="9">
        <v>29.636900000000001</v>
      </c>
      <c r="R90" s="9"/>
      <c r="S90" s="11"/>
    </row>
    <row r="91" spans="1:19" ht="15.75">
      <c r="A91" s="13">
        <v>44621</v>
      </c>
      <c r="B91" s="8">
        <f>4.0569 * CHOOSE(CONTROL!$C$15, $D$11, 100%, $F$11)</f>
        <v>4.0568999999999997</v>
      </c>
      <c r="C91" s="8">
        <f>4.0673 * CHOOSE(CONTROL!$C$15, $D$11, 100%, $F$11)</f>
        <v>4.0673000000000004</v>
      </c>
      <c r="D91" s="8">
        <f>4.0478 * CHOOSE( CONTROL!$C$15, $D$11, 100%, $F$11)</f>
        <v>4.0477999999999996</v>
      </c>
      <c r="E91" s="12">
        <f>4.0538 * CHOOSE( CONTROL!$C$15, $D$11, 100%, $F$11)</f>
        <v>4.0537999999999998</v>
      </c>
      <c r="F91" s="4">
        <f>5.0558 * CHOOSE(CONTROL!$C$15, $D$11, 100%, $F$11)</f>
        <v>5.0557999999999996</v>
      </c>
      <c r="G91" s="8">
        <f>3.962 * CHOOSE( CONTROL!$C$15, $D$11, 100%, $F$11)</f>
        <v>3.9620000000000002</v>
      </c>
      <c r="H91" s="4">
        <f>4.852 * CHOOSE(CONTROL!$C$15, $D$11, 100%, $F$11)</f>
        <v>4.8520000000000003</v>
      </c>
      <c r="I91" s="8">
        <f>3.9426 * CHOOSE(CONTROL!$C$15, $D$11, 100%, $F$11)</f>
        <v>3.9426000000000001</v>
      </c>
      <c r="J91" s="4">
        <f>3.8825 * CHOOSE(CONTROL!$C$15, $D$11, 100%, $F$11)</f>
        <v>3.8824999999999998</v>
      </c>
      <c r="K91" s="4"/>
      <c r="L91" s="9">
        <v>28.933900000000001</v>
      </c>
      <c r="M91" s="9">
        <v>12.063700000000001</v>
      </c>
      <c r="N91" s="9">
        <v>4.9444999999999997</v>
      </c>
      <c r="O91" s="9">
        <v>0.37459999999999999</v>
      </c>
      <c r="P91" s="9">
        <v>1.2939000000000001</v>
      </c>
      <c r="Q91" s="9">
        <v>32.8123</v>
      </c>
      <c r="R91" s="9"/>
      <c r="S91" s="11"/>
    </row>
    <row r="92" spans="1:19" ht="15.75">
      <c r="A92" s="13">
        <v>44652</v>
      </c>
      <c r="B92" s="8">
        <f>4.1185 * CHOOSE(CONTROL!$C$15, $D$11, 100%, $F$11)</f>
        <v>4.1185</v>
      </c>
      <c r="C92" s="8">
        <f>4.1289 * CHOOSE(CONTROL!$C$15, $D$11, 100%, $F$11)</f>
        <v>4.1288999999999998</v>
      </c>
      <c r="D92" s="8">
        <f>4.1327 * CHOOSE( CONTROL!$C$15, $D$11, 100%, $F$11)</f>
        <v>4.1326999999999998</v>
      </c>
      <c r="E92" s="12">
        <f>4.1303 * CHOOSE( CONTROL!$C$15, $D$11, 100%, $F$11)</f>
        <v>4.1303000000000001</v>
      </c>
      <c r="F92" s="4">
        <f>5.1257 * CHOOSE(CONTROL!$C$15, $D$11, 100%, $F$11)</f>
        <v>5.1257000000000001</v>
      </c>
      <c r="G92" s="8">
        <f>4.01 * CHOOSE( CONTROL!$C$15, $D$11, 100%, $F$11)</f>
        <v>4.01</v>
      </c>
      <c r="H92" s="4">
        <f>4.9202 * CHOOSE(CONTROL!$C$15, $D$11, 100%, $F$11)</f>
        <v>4.9202000000000004</v>
      </c>
      <c r="I92" s="8">
        <f>3.9918 * CHOOSE(CONTROL!$C$15, $D$11, 100%, $F$11)</f>
        <v>3.9918</v>
      </c>
      <c r="J92" s="4">
        <f>3.9415 * CHOOSE(CONTROL!$C$15, $D$11, 100%, $F$11)</f>
        <v>3.9415</v>
      </c>
      <c r="K92" s="4"/>
      <c r="L92" s="9">
        <v>29.665800000000001</v>
      </c>
      <c r="M92" s="9">
        <v>11.6745</v>
      </c>
      <c r="N92" s="9">
        <v>4.7850000000000001</v>
      </c>
      <c r="O92" s="9">
        <v>0.36249999999999999</v>
      </c>
      <c r="P92" s="9">
        <v>1.1798</v>
      </c>
      <c r="Q92" s="9">
        <v>31.753799999999998</v>
      </c>
      <c r="R92" s="9"/>
      <c r="S92" s="11"/>
    </row>
    <row r="93" spans="1:19" ht="15.75">
      <c r="A93" s="13">
        <v>44682</v>
      </c>
      <c r="B93" s="8">
        <f>CHOOSE( CONTROL!$C$32, 4.233, 4.2281) * CHOOSE(CONTROL!$C$15, $D$11, 100%, $F$11)</f>
        <v>4.2329999999999997</v>
      </c>
      <c r="C93" s="8">
        <f>CHOOSE( CONTROL!$C$32, 4.2434, 4.2385) * CHOOSE(CONTROL!$C$15, $D$11, 100%, $F$11)</f>
        <v>4.2434000000000003</v>
      </c>
      <c r="D93" s="8">
        <f>CHOOSE( CONTROL!$C$32, 4.2221, 4.2171) * CHOOSE( CONTROL!$C$15, $D$11, 100%, $F$11)</f>
        <v>4.2221000000000002</v>
      </c>
      <c r="E93" s="12">
        <f>CHOOSE( CONTROL!$C$32, 4.2282, 4.2233) * CHOOSE( CONTROL!$C$15, $D$11, 100%, $F$11)</f>
        <v>4.2282000000000002</v>
      </c>
      <c r="F93" s="4">
        <f>CHOOSE( CONTROL!$C$32, 5.2079, 5.203) * CHOOSE(CONTROL!$C$15, $D$11, 100%, $F$11)</f>
        <v>5.2079000000000004</v>
      </c>
      <c r="G93" s="8">
        <f>CHOOSE( CONTROL!$C$32, 4.103, 4.0982) * CHOOSE( CONTROL!$C$15, $D$11, 100%, $F$11)</f>
        <v>4.1029999999999998</v>
      </c>
      <c r="H93" s="4">
        <f>CHOOSE( CONTROL!$C$32, 5.0003, 4.9955) * CHOOSE(CONTROL!$C$15, $D$11, 100%, $F$11)</f>
        <v>5.0003000000000002</v>
      </c>
      <c r="I93" s="8">
        <f>CHOOSE( CONTROL!$C$32, 4.08, 4.0753) * CHOOSE(CONTROL!$C$15, $D$11, 100%, $F$11)</f>
        <v>4.08</v>
      </c>
      <c r="J93" s="4">
        <f>CHOOSE( CONTROL!$C$32, 4.0513, 4.0466) * CHOOSE(CONTROL!$C$15, $D$11, 100%, $F$11)</f>
        <v>4.0513000000000003</v>
      </c>
      <c r="K93" s="4"/>
      <c r="L93" s="9">
        <v>30.896899999999999</v>
      </c>
      <c r="M93" s="9">
        <v>12.063700000000001</v>
      </c>
      <c r="N93" s="9">
        <v>4.9444999999999997</v>
      </c>
      <c r="O93" s="9">
        <v>0.37459999999999999</v>
      </c>
      <c r="P93" s="9">
        <v>1.2192000000000001</v>
      </c>
      <c r="Q93" s="9">
        <v>32.8123</v>
      </c>
      <c r="R93" s="9"/>
      <c r="S93" s="11"/>
    </row>
    <row r="94" spans="1:19" ht="15.75">
      <c r="A94" s="13">
        <v>44713</v>
      </c>
      <c r="B94" s="8">
        <f>CHOOSE( CONTROL!$C$32, 4.1651, 4.1602) * CHOOSE(CONTROL!$C$15, $D$11, 100%, $F$11)</f>
        <v>4.1650999999999998</v>
      </c>
      <c r="C94" s="8">
        <f>CHOOSE( CONTROL!$C$32, 4.1755, 4.1706) * CHOOSE(CONTROL!$C$15, $D$11, 100%, $F$11)</f>
        <v>4.1755000000000004</v>
      </c>
      <c r="D94" s="8">
        <f>CHOOSE( CONTROL!$C$32, 4.1676, 4.1627) * CHOOSE( CONTROL!$C$15, $D$11, 100%, $F$11)</f>
        <v>4.1676000000000002</v>
      </c>
      <c r="E94" s="12">
        <f>CHOOSE( CONTROL!$C$32, 4.1689, 4.164) * CHOOSE( CONTROL!$C$15, $D$11, 100%, $F$11)</f>
        <v>4.1688999999999998</v>
      </c>
      <c r="F94" s="4">
        <f>CHOOSE( CONTROL!$C$32, 5.1593, 5.1544) * CHOOSE(CONTROL!$C$15, $D$11, 100%, $F$11)</f>
        <v>5.1593</v>
      </c>
      <c r="G94" s="8">
        <f>CHOOSE( CONTROL!$C$32, 4.0473, 4.0425) * CHOOSE( CONTROL!$C$15, $D$11, 100%, $F$11)</f>
        <v>4.0472999999999999</v>
      </c>
      <c r="H94" s="4">
        <f>CHOOSE( CONTROL!$C$32, 4.9529, 4.9481) * CHOOSE(CONTROL!$C$15, $D$11, 100%, $F$11)</f>
        <v>4.9528999999999996</v>
      </c>
      <c r="I94" s="8">
        <f>CHOOSE( CONTROL!$C$32, 4.0328, 4.028) * CHOOSE(CONTROL!$C$15, $D$11, 100%, $F$11)</f>
        <v>4.0327999999999999</v>
      </c>
      <c r="J94" s="4">
        <f>CHOOSE( CONTROL!$C$32, 3.9862, 3.9815) * CHOOSE(CONTROL!$C$15, $D$11, 100%, $F$11)</f>
        <v>3.9862000000000002</v>
      </c>
      <c r="K94" s="4"/>
      <c r="L94" s="9">
        <v>29.900200000000002</v>
      </c>
      <c r="M94" s="9">
        <v>11.6745</v>
      </c>
      <c r="N94" s="9">
        <v>4.7850000000000001</v>
      </c>
      <c r="O94" s="9">
        <v>0.36249999999999999</v>
      </c>
      <c r="P94" s="9">
        <v>1.1798</v>
      </c>
      <c r="Q94" s="9">
        <v>31.753799999999998</v>
      </c>
      <c r="R94" s="9"/>
      <c r="S94" s="11"/>
    </row>
    <row r="95" spans="1:19" ht="15.75">
      <c r="A95" s="13">
        <v>44743</v>
      </c>
      <c r="B95" s="8">
        <f>CHOOSE( CONTROL!$C$32, 4.3439, 4.339) * CHOOSE(CONTROL!$C$15, $D$11, 100%, $F$11)</f>
        <v>4.3438999999999997</v>
      </c>
      <c r="C95" s="8">
        <f>CHOOSE( CONTROL!$C$32, 4.3543, 4.3494) * CHOOSE(CONTROL!$C$15, $D$11, 100%, $F$11)</f>
        <v>4.3543000000000003</v>
      </c>
      <c r="D95" s="8">
        <f>CHOOSE( CONTROL!$C$32, 4.3533, 4.3484) * CHOOSE( CONTROL!$C$15, $D$11, 100%, $F$11)</f>
        <v>4.3532999999999999</v>
      </c>
      <c r="E95" s="12">
        <f>CHOOSE( CONTROL!$C$32, 4.3521, 4.3472) * CHOOSE( CONTROL!$C$15, $D$11, 100%, $F$11)</f>
        <v>4.3521000000000001</v>
      </c>
      <c r="F95" s="4">
        <f>CHOOSE( CONTROL!$C$32, 5.3485, 5.3436) * CHOOSE(CONTROL!$C$15, $D$11, 100%, $F$11)</f>
        <v>5.3484999999999996</v>
      </c>
      <c r="G95" s="8">
        <f>CHOOSE( CONTROL!$C$32, 4.2257, 4.2209) * CHOOSE( CONTROL!$C$15, $D$11, 100%, $F$11)</f>
        <v>4.2256999999999998</v>
      </c>
      <c r="H95" s="4">
        <f>CHOOSE( CONTROL!$C$32, 5.1374, 5.1326) * CHOOSE(CONTROL!$C$15, $D$11, 100%, $F$11)</f>
        <v>5.1374000000000004</v>
      </c>
      <c r="I95" s="8">
        <f>CHOOSE( CONTROL!$C$32, 4.2118, 4.2071) * CHOOSE(CONTROL!$C$15, $D$11, 100%, $F$11)</f>
        <v>4.2118000000000002</v>
      </c>
      <c r="J95" s="4">
        <f>CHOOSE( CONTROL!$C$32, 4.1576, 4.1528) * CHOOSE(CONTROL!$C$15, $D$11, 100%, $F$11)</f>
        <v>4.1576000000000004</v>
      </c>
      <c r="K95" s="4"/>
      <c r="L95" s="9">
        <v>30.896899999999999</v>
      </c>
      <c r="M95" s="9">
        <v>12.063700000000001</v>
      </c>
      <c r="N95" s="9">
        <v>4.9444999999999997</v>
      </c>
      <c r="O95" s="9">
        <v>0.37459999999999999</v>
      </c>
      <c r="P95" s="9">
        <v>1.2192000000000001</v>
      </c>
      <c r="Q95" s="9">
        <v>32.8123</v>
      </c>
      <c r="R95" s="9"/>
      <c r="S95" s="11"/>
    </row>
    <row r="96" spans="1:19" ht="15.75">
      <c r="A96" s="13">
        <v>44774</v>
      </c>
      <c r="B96" s="8">
        <f>CHOOSE( CONTROL!$C$32, 4.0093, 4.0044) * CHOOSE(CONTROL!$C$15, $D$11, 100%, $F$11)</f>
        <v>4.0092999999999996</v>
      </c>
      <c r="C96" s="8">
        <f>CHOOSE( CONTROL!$C$32, 4.0198, 4.0148) * CHOOSE(CONTROL!$C$15, $D$11, 100%, $F$11)</f>
        <v>4.0198</v>
      </c>
      <c r="D96" s="8">
        <f>CHOOSE( CONTROL!$C$32, 4.0199, 4.015) * CHOOSE( CONTROL!$C$15, $D$11, 100%, $F$11)</f>
        <v>4.0198999999999998</v>
      </c>
      <c r="E96" s="12">
        <f>CHOOSE( CONTROL!$C$32, 4.0183, 4.0133) * CHOOSE( CONTROL!$C$15, $D$11, 100%, $F$11)</f>
        <v>4.0183</v>
      </c>
      <c r="F96" s="4">
        <f>CHOOSE( CONTROL!$C$32, 5.0218, 5.0169) * CHOOSE(CONTROL!$C$15, $D$11, 100%, $F$11)</f>
        <v>5.0217999999999998</v>
      </c>
      <c r="G96" s="8">
        <f>CHOOSE( CONTROL!$C$32, 3.8947, 3.8899) * CHOOSE( CONTROL!$C$15, $D$11, 100%, $F$11)</f>
        <v>3.8946999999999998</v>
      </c>
      <c r="H96" s="4">
        <f>CHOOSE( CONTROL!$C$32, 4.8189, 4.8141) * CHOOSE(CONTROL!$C$15, $D$11, 100%, $F$11)</f>
        <v>4.8189000000000002</v>
      </c>
      <c r="I96" s="8">
        <f>CHOOSE( CONTROL!$C$32, 3.882, 3.8773) * CHOOSE(CONTROL!$C$15, $D$11, 100%, $F$11)</f>
        <v>3.8820000000000001</v>
      </c>
      <c r="J96" s="4">
        <f>CHOOSE( CONTROL!$C$32, 3.837, 3.8323) * CHOOSE(CONTROL!$C$15, $D$11, 100%, $F$11)</f>
        <v>3.8370000000000002</v>
      </c>
      <c r="K96" s="4"/>
      <c r="L96" s="9">
        <v>29.520499999999998</v>
      </c>
      <c r="M96" s="9">
        <v>12.063700000000001</v>
      </c>
      <c r="N96" s="9">
        <v>4.9444999999999997</v>
      </c>
      <c r="O96" s="9">
        <v>0.37459999999999999</v>
      </c>
      <c r="P96" s="9">
        <v>1.2192000000000001</v>
      </c>
      <c r="Q96" s="9">
        <v>32.8123</v>
      </c>
      <c r="R96" s="9"/>
      <c r="S96" s="11"/>
    </row>
    <row r="97" spans="1:19" ht="15.75">
      <c r="A97" s="13">
        <v>44805</v>
      </c>
      <c r="B97" s="8">
        <f>CHOOSE( CONTROL!$C$32, 3.9256, 3.9206) * CHOOSE(CONTROL!$C$15, $D$11, 100%, $F$11)</f>
        <v>3.9256000000000002</v>
      </c>
      <c r="C97" s="8">
        <f>CHOOSE( CONTROL!$C$32, 3.936, 3.9311) * CHOOSE(CONTROL!$C$15, $D$11, 100%, $F$11)</f>
        <v>3.9359999999999999</v>
      </c>
      <c r="D97" s="8">
        <f>CHOOSE( CONTROL!$C$32, 3.9365, 3.9315) * CHOOSE( CONTROL!$C$15, $D$11, 100%, $F$11)</f>
        <v>3.9365000000000001</v>
      </c>
      <c r="E97" s="12">
        <f>CHOOSE( CONTROL!$C$32, 3.9347, 3.9298) * CHOOSE( CONTROL!$C$15, $D$11, 100%, $F$11)</f>
        <v>3.9346999999999999</v>
      </c>
      <c r="F97" s="4">
        <f>CHOOSE( CONTROL!$C$32, 4.938, 4.9331) * CHOOSE(CONTROL!$C$15, $D$11, 100%, $F$11)</f>
        <v>4.9379999999999997</v>
      </c>
      <c r="G97" s="8">
        <f>CHOOSE( CONTROL!$C$32, 3.8135, 3.8087) * CHOOSE( CONTROL!$C$15, $D$11, 100%, $F$11)</f>
        <v>3.8134999999999999</v>
      </c>
      <c r="H97" s="4">
        <f>CHOOSE( CONTROL!$C$32, 4.7372, 4.7324) * CHOOSE(CONTROL!$C$15, $D$11, 100%, $F$11)</f>
        <v>4.7371999999999996</v>
      </c>
      <c r="I97" s="8">
        <f>CHOOSE( CONTROL!$C$32, 3.8031, 3.7984) * CHOOSE(CONTROL!$C$15, $D$11, 100%, $F$11)</f>
        <v>3.8031000000000001</v>
      </c>
      <c r="J97" s="4">
        <f>CHOOSE( CONTROL!$C$32, 3.7567, 3.752) * CHOOSE(CONTROL!$C$15, $D$11, 100%, $F$11)</f>
        <v>3.7566999999999999</v>
      </c>
      <c r="K97" s="4"/>
      <c r="L97" s="9">
        <v>28.568200000000001</v>
      </c>
      <c r="M97" s="9">
        <v>11.6745</v>
      </c>
      <c r="N97" s="9">
        <v>4.7850000000000001</v>
      </c>
      <c r="O97" s="9">
        <v>0.36249999999999999</v>
      </c>
      <c r="P97" s="9">
        <v>1.1798</v>
      </c>
      <c r="Q97" s="9">
        <v>31.753799999999998</v>
      </c>
      <c r="R97" s="9"/>
      <c r="S97" s="11"/>
    </row>
    <row r="98" spans="1:19" ht="15.75">
      <c r="A98" s="13">
        <v>44835</v>
      </c>
      <c r="B98" s="8">
        <f>4.0946 * CHOOSE(CONTROL!$C$15, $D$11, 100%, $F$11)</f>
        <v>4.0945999999999998</v>
      </c>
      <c r="C98" s="8">
        <f>4.105 * CHOOSE(CONTROL!$C$15, $D$11, 100%, $F$11)</f>
        <v>4.1050000000000004</v>
      </c>
      <c r="D98" s="8">
        <f>4.1067 * CHOOSE( CONTROL!$C$15, $D$11, 100%, $F$11)</f>
        <v>4.1067</v>
      </c>
      <c r="E98" s="12">
        <f>4.105 * CHOOSE( CONTROL!$C$15, $D$11, 100%, $F$11)</f>
        <v>4.1050000000000004</v>
      </c>
      <c r="F98" s="4">
        <f>5.1071 * CHOOSE(CONTROL!$C$15, $D$11, 100%, $F$11)</f>
        <v>5.1071</v>
      </c>
      <c r="G98" s="8">
        <f>3.9779 * CHOOSE( CONTROL!$C$15, $D$11, 100%, $F$11)</f>
        <v>3.9779</v>
      </c>
      <c r="H98" s="4">
        <f>4.902 * CHOOSE(CONTROL!$C$15, $D$11, 100%, $F$11)</f>
        <v>4.9020000000000001</v>
      </c>
      <c r="I98" s="8">
        <f>3.9674 * CHOOSE(CONTROL!$C$15, $D$11, 100%, $F$11)</f>
        <v>3.9674</v>
      </c>
      <c r="J98" s="4">
        <f>3.9187 * CHOOSE(CONTROL!$C$15, $D$11, 100%, $F$11)</f>
        <v>3.9186999999999999</v>
      </c>
      <c r="K98" s="4"/>
      <c r="L98" s="9">
        <v>28.921800000000001</v>
      </c>
      <c r="M98" s="9">
        <v>12.063700000000001</v>
      </c>
      <c r="N98" s="9">
        <v>4.9444999999999997</v>
      </c>
      <c r="O98" s="9">
        <v>0.37459999999999999</v>
      </c>
      <c r="P98" s="9">
        <v>1.2192000000000001</v>
      </c>
      <c r="Q98" s="9">
        <v>32.8123</v>
      </c>
      <c r="R98" s="9"/>
      <c r="S98" s="11"/>
    </row>
    <row r="99" spans="1:19" ht="15.75">
      <c r="A99" s="13">
        <v>44866</v>
      </c>
      <c r="B99" s="8">
        <f>4.4157 * CHOOSE(CONTROL!$C$15, $D$11, 100%, $F$11)</f>
        <v>4.4157000000000002</v>
      </c>
      <c r="C99" s="8">
        <f>4.4261 * CHOOSE(CONTROL!$C$15, $D$11, 100%, $F$11)</f>
        <v>4.4260999999999999</v>
      </c>
      <c r="D99" s="8">
        <f>4.4071 * CHOOSE( CONTROL!$C$15, $D$11, 100%, $F$11)</f>
        <v>4.4070999999999998</v>
      </c>
      <c r="E99" s="12">
        <f>4.4129 * CHOOSE( CONTROL!$C$15, $D$11, 100%, $F$11)</f>
        <v>4.4128999999999996</v>
      </c>
      <c r="F99" s="4">
        <f>5.4125 * CHOOSE(CONTROL!$C$15, $D$11, 100%, $F$11)</f>
        <v>5.4124999999999996</v>
      </c>
      <c r="G99" s="8">
        <f>4.3138 * CHOOSE( CONTROL!$C$15, $D$11, 100%, $F$11)</f>
        <v>4.3137999999999996</v>
      </c>
      <c r="H99" s="4">
        <f>5.1997 * CHOOSE(CONTROL!$C$15, $D$11, 100%, $F$11)</f>
        <v>5.1997</v>
      </c>
      <c r="I99" s="8">
        <f>4.3218 * CHOOSE(CONTROL!$C$15, $D$11, 100%, $F$11)</f>
        <v>4.3217999999999996</v>
      </c>
      <c r="J99" s="4">
        <f>4.2263 * CHOOSE(CONTROL!$C$15, $D$11, 100%, $F$11)</f>
        <v>4.2263000000000002</v>
      </c>
      <c r="K99" s="4"/>
      <c r="L99" s="9">
        <v>26.515499999999999</v>
      </c>
      <c r="M99" s="9">
        <v>11.6745</v>
      </c>
      <c r="N99" s="9">
        <v>4.7850000000000001</v>
      </c>
      <c r="O99" s="9">
        <v>0.36249999999999999</v>
      </c>
      <c r="P99" s="9">
        <v>1.2522</v>
      </c>
      <c r="Q99" s="9">
        <v>31.753799999999998</v>
      </c>
      <c r="R99" s="9"/>
      <c r="S99" s="11"/>
    </row>
    <row r="100" spans="1:19" ht="15.75">
      <c r="A100" s="13">
        <v>44896</v>
      </c>
      <c r="B100" s="8">
        <f>4.4076 * CHOOSE(CONTROL!$C$15, $D$11, 100%, $F$11)</f>
        <v>4.4076000000000004</v>
      </c>
      <c r="C100" s="8">
        <f>4.4181 * CHOOSE(CONTROL!$C$15, $D$11, 100%, $F$11)</f>
        <v>4.4180999999999999</v>
      </c>
      <c r="D100" s="8">
        <f>4.4017 * CHOOSE( CONTROL!$C$15, $D$11, 100%, $F$11)</f>
        <v>4.4016999999999999</v>
      </c>
      <c r="E100" s="12">
        <f>4.4066 * CHOOSE( CONTROL!$C$15, $D$11, 100%, $F$11)</f>
        <v>4.4066000000000001</v>
      </c>
      <c r="F100" s="4">
        <f>5.4045 * CHOOSE(CONTROL!$C$15, $D$11, 100%, $F$11)</f>
        <v>5.4044999999999996</v>
      </c>
      <c r="G100" s="8">
        <f>4.308 * CHOOSE( CONTROL!$C$15, $D$11, 100%, $F$11)</f>
        <v>4.3079999999999998</v>
      </c>
      <c r="H100" s="4">
        <f>5.1919 * CHOOSE(CONTROL!$C$15, $D$11, 100%, $F$11)</f>
        <v>5.1919000000000004</v>
      </c>
      <c r="I100" s="8">
        <f>4.3229 * CHOOSE(CONTROL!$C$15, $D$11, 100%, $F$11)</f>
        <v>4.3228999999999997</v>
      </c>
      <c r="J100" s="4">
        <f>4.2186 * CHOOSE(CONTROL!$C$15, $D$11, 100%, $F$11)</f>
        <v>4.2186000000000003</v>
      </c>
      <c r="K100" s="4"/>
      <c r="L100" s="9">
        <v>27.3993</v>
      </c>
      <c r="M100" s="9">
        <v>12.063700000000001</v>
      </c>
      <c r="N100" s="9">
        <v>4.9444999999999997</v>
      </c>
      <c r="O100" s="9">
        <v>0.37459999999999999</v>
      </c>
      <c r="P100" s="9">
        <v>1.2939000000000001</v>
      </c>
      <c r="Q100" s="9">
        <v>32.8123</v>
      </c>
      <c r="R100" s="9"/>
      <c r="S100" s="11"/>
    </row>
    <row r="101" spans="1:19" ht="15.75">
      <c r="A101" s="13">
        <v>44927</v>
      </c>
      <c r="B101" s="8">
        <f>4.7777 * CHOOSE(CONTROL!$C$15, $D$11, 100%, $F$11)</f>
        <v>4.7777000000000003</v>
      </c>
      <c r="C101" s="8">
        <f>4.7881 * CHOOSE(CONTROL!$C$15, $D$11, 100%, $F$11)</f>
        <v>4.7881</v>
      </c>
      <c r="D101" s="8">
        <f>4.7867 * CHOOSE( CONTROL!$C$15, $D$11, 100%, $F$11)</f>
        <v>4.7866999999999997</v>
      </c>
      <c r="E101" s="12">
        <f>4.7861 * CHOOSE( CONTROL!$C$15, $D$11, 100%, $F$11)</f>
        <v>4.7861000000000002</v>
      </c>
      <c r="F101" s="4">
        <f>5.8006 * CHOOSE(CONTROL!$C$15, $D$11, 100%, $F$11)</f>
        <v>5.8006000000000002</v>
      </c>
      <c r="G101" s="8">
        <f>4.6855 * CHOOSE( CONTROL!$C$15, $D$11, 100%, $F$11)</f>
        <v>4.6855000000000002</v>
      </c>
      <c r="H101" s="4">
        <f>5.578 * CHOOSE(CONTROL!$C$15, $D$11, 100%, $F$11)</f>
        <v>5.5780000000000003</v>
      </c>
      <c r="I101" s="8">
        <f>4.6841 * CHOOSE(CONTROL!$C$15, $D$11, 100%, $F$11)</f>
        <v>4.6840999999999999</v>
      </c>
      <c r="J101" s="4">
        <f>4.5732 * CHOOSE(CONTROL!$C$15, $D$11, 100%, $F$11)</f>
        <v>4.5731999999999999</v>
      </c>
      <c r="K101" s="4"/>
      <c r="L101" s="9">
        <v>27.3993</v>
      </c>
      <c r="M101" s="9">
        <v>12.063700000000001</v>
      </c>
      <c r="N101" s="9">
        <v>4.9444999999999997</v>
      </c>
      <c r="O101" s="9">
        <v>0.37459999999999999</v>
      </c>
      <c r="P101" s="9">
        <v>1.2939000000000001</v>
      </c>
      <c r="Q101" s="9">
        <v>32.624400000000001</v>
      </c>
      <c r="R101" s="9"/>
      <c r="S101" s="11"/>
    </row>
    <row r="102" spans="1:19" ht="15.75">
      <c r="A102" s="13">
        <v>44958</v>
      </c>
      <c r="B102" s="8">
        <f>4.4691 * CHOOSE(CONTROL!$C$15, $D$11, 100%, $F$11)</f>
        <v>4.4691000000000001</v>
      </c>
      <c r="C102" s="8">
        <f>4.4795 * CHOOSE(CONTROL!$C$15, $D$11, 100%, $F$11)</f>
        <v>4.4794999999999998</v>
      </c>
      <c r="D102" s="8">
        <f>4.4804 * CHOOSE( CONTROL!$C$15, $D$11, 100%, $F$11)</f>
        <v>4.4804000000000004</v>
      </c>
      <c r="E102" s="12">
        <f>4.479 * CHOOSE( CONTROL!$C$15, $D$11, 100%, $F$11)</f>
        <v>4.4790000000000001</v>
      </c>
      <c r="F102" s="4">
        <f>5.4842 * CHOOSE(CONTROL!$C$15, $D$11, 100%, $F$11)</f>
        <v>5.4842000000000004</v>
      </c>
      <c r="G102" s="8">
        <f>4.3845 * CHOOSE( CONTROL!$C$15, $D$11, 100%, $F$11)</f>
        <v>4.3845000000000001</v>
      </c>
      <c r="H102" s="4">
        <f>5.2696 * CHOOSE(CONTROL!$C$15, $D$11, 100%, $F$11)</f>
        <v>5.2695999999999996</v>
      </c>
      <c r="I102" s="8">
        <f>4.3773 * CHOOSE(CONTROL!$C$15, $D$11, 100%, $F$11)</f>
        <v>4.3773</v>
      </c>
      <c r="J102" s="4">
        <f>4.2775 * CHOOSE(CONTROL!$C$15, $D$11, 100%, $F$11)</f>
        <v>4.2774999999999999</v>
      </c>
      <c r="K102" s="4"/>
      <c r="L102" s="9">
        <v>24.747800000000002</v>
      </c>
      <c r="M102" s="9">
        <v>10.8962</v>
      </c>
      <c r="N102" s="9">
        <v>4.4660000000000002</v>
      </c>
      <c r="O102" s="9">
        <v>0.33829999999999999</v>
      </c>
      <c r="P102" s="9">
        <v>1.1687000000000001</v>
      </c>
      <c r="Q102" s="9">
        <v>29.467199999999998</v>
      </c>
      <c r="R102" s="9"/>
      <c r="S102" s="11"/>
    </row>
    <row r="103" spans="1:19" ht="15.75">
      <c r="A103" s="13">
        <v>44986</v>
      </c>
      <c r="B103" s="8">
        <f>4.3741 * CHOOSE(CONTROL!$C$15, $D$11, 100%, $F$11)</f>
        <v>4.3741000000000003</v>
      </c>
      <c r="C103" s="8">
        <f>4.3845 * CHOOSE(CONTROL!$C$15, $D$11, 100%, $F$11)</f>
        <v>4.3845000000000001</v>
      </c>
      <c r="D103" s="8">
        <f>4.365 * CHOOSE( CONTROL!$C$15, $D$11, 100%, $F$11)</f>
        <v>4.3650000000000002</v>
      </c>
      <c r="E103" s="12">
        <f>4.371 * CHOOSE( CONTROL!$C$15, $D$11, 100%, $F$11)</f>
        <v>4.3710000000000004</v>
      </c>
      <c r="F103" s="4">
        <f>5.373 * CHOOSE(CONTROL!$C$15, $D$11, 100%, $F$11)</f>
        <v>5.3730000000000002</v>
      </c>
      <c r="G103" s="8">
        <f>4.2712 * CHOOSE( CONTROL!$C$15, $D$11, 100%, $F$11)</f>
        <v>4.2712000000000003</v>
      </c>
      <c r="H103" s="4">
        <f>5.1612 * CHOOSE(CONTROL!$C$15, $D$11, 100%, $F$11)</f>
        <v>5.1612</v>
      </c>
      <c r="I103" s="8">
        <f>4.2467 * CHOOSE(CONTROL!$C$15, $D$11, 100%, $F$11)</f>
        <v>4.2466999999999997</v>
      </c>
      <c r="J103" s="4">
        <f>4.1865 * CHOOSE(CONTROL!$C$15, $D$11, 100%, $F$11)</f>
        <v>4.1864999999999997</v>
      </c>
      <c r="K103" s="4"/>
      <c r="L103" s="9">
        <v>27.3993</v>
      </c>
      <c r="M103" s="9">
        <v>12.063700000000001</v>
      </c>
      <c r="N103" s="9">
        <v>4.9444999999999997</v>
      </c>
      <c r="O103" s="9">
        <v>0.37459999999999999</v>
      </c>
      <c r="P103" s="9">
        <v>1.2939000000000001</v>
      </c>
      <c r="Q103" s="9">
        <v>32.624400000000001</v>
      </c>
      <c r="R103" s="9"/>
      <c r="S103" s="11"/>
    </row>
    <row r="104" spans="1:19" ht="15.75">
      <c r="A104" s="13">
        <v>45017</v>
      </c>
      <c r="B104" s="8">
        <f>4.4405 * CHOOSE(CONTROL!$C$15, $D$11, 100%, $F$11)</f>
        <v>4.4405000000000001</v>
      </c>
      <c r="C104" s="8">
        <f>4.4509 * CHOOSE(CONTROL!$C$15, $D$11, 100%, $F$11)</f>
        <v>4.4508999999999999</v>
      </c>
      <c r="D104" s="8">
        <f>4.4548 * CHOOSE( CONTROL!$C$15, $D$11, 100%, $F$11)</f>
        <v>4.4547999999999996</v>
      </c>
      <c r="E104" s="12">
        <f>4.4523 * CHOOSE( CONTROL!$C$15, $D$11, 100%, $F$11)</f>
        <v>4.4523000000000001</v>
      </c>
      <c r="F104" s="4">
        <f>5.4477 * CHOOSE(CONTROL!$C$15, $D$11, 100%, $F$11)</f>
        <v>5.4477000000000002</v>
      </c>
      <c r="G104" s="8">
        <f>4.3239 * CHOOSE( CONTROL!$C$15, $D$11, 100%, $F$11)</f>
        <v>4.3239000000000001</v>
      </c>
      <c r="H104" s="4">
        <f>5.2341 * CHOOSE(CONTROL!$C$15, $D$11, 100%, $F$11)</f>
        <v>5.2340999999999998</v>
      </c>
      <c r="I104" s="8">
        <f>4.3005 * CHOOSE(CONTROL!$C$15, $D$11, 100%, $F$11)</f>
        <v>4.3005000000000004</v>
      </c>
      <c r="J104" s="4">
        <f>4.2501 * CHOOSE(CONTROL!$C$15, $D$11, 100%, $F$11)</f>
        <v>4.2500999999999998</v>
      </c>
      <c r="K104" s="4"/>
      <c r="L104" s="9">
        <v>27.988800000000001</v>
      </c>
      <c r="M104" s="9">
        <v>11.6745</v>
      </c>
      <c r="N104" s="9">
        <v>4.7850000000000001</v>
      </c>
      <c r="O104" s="9">
        <v>0.36249999999999999</v>
      </c>
      <c r="P104" s="9">
        <v>1.1798</v>
      </c>
      <c r="Q104" s="9">
        <v>31.571999999999999</v>
      </c>
      <c r="R104" s="9"/>
      <c r="S104" s="11"/>
    </row>
    <row r="105" spans="1:19" ht="15.75">
      <c r="A105" s="13">
        <v>45047</v>
      </c>
      <c r="B105" s="8">
        <f>CHOOSE( CONTROL!$C$32, 4.5636, 4.5587) * CHOOSE(CONTROL!$C$15, $D$11, 100%, $F$11)</f>
        <v>4.5636000000000001</v>
      </c>
      <c r="C105" s="8">
        <f>CHOOSE( CONTROL!$C$32, 4.574, 4.5691) * CHOOSE(CONTROL!$C$15, $D$11, 100%, $F$11)</f>
        <v>4.5739999999999998</v>
      </c>
      <c r="D105" s="8">
        <f>CHOOSE( CONTROL!$C$32, 4.5527, 4.5478) * CHOOSE( CONTROL!$C$15, $D$11, 100%, $F$11)</f>
        <v>4.5526999999999997</v>
      </c>
      <c r="E105" s="12">
        <f>CHOOSE( CONTROL!$C$32, 4.5588, 4.5539) * CHOOSE( CONTROL!$C$15, $D$11, 100%, $F$11)</f>
        <v>4.5587999999999997</v>
      </c>
      <c r="F105" s="4">
        <f>CHOOSE( CONTROL!$C$32, 5.5385, 5.5336) * CHOOSE(CONTROL!$C$15, $D$11, 100%, $F$11)</f>
        <v>5.5385</v>
      </c>
      <c r="G105" s="8">
        <f>CHOOSE( CONTROL!$C$32, 4.4253, 4.4205) * CHOOSE( CONTROL!$C$15, $D$11, 100%, $F$11)</f>
        <v>4.4253</v>
      </c>
      <c r="H105" s="4">
        <f>CHOOSE( CONTROL!$C$32, 5.3225, 5.3177) * CHOOSE(CONTROL!$C$15, $D$11, 100%, $F$11)</f>
        <v>5.3224999999999998</v>
      </c>
      <c r="I105" s="8">
        <f>CHOOSE( CONTROL!$C$32, 4.397, 4.3922) * CHOOSE(CONTROL!$C$15, $D$11, 100%, $F$11)</f>
        <v>4.3970000000000002</v>
      </c>
      <c r="J105" s="4">
        <f>CHOOSE( CONTROL!$C$32, 4.3681, 4.3634) * CHOOSE(CONTROL!$C$15, $D$11, 100%, $F$11)</f>
        <v>4.3681000000000001</v>
      </c>
      <c r="K105" s="4"/>
      <c r="L105" s="9">
        <v>29.520499999999998</v>
      </c>
      <c r="M105" s="9">
        <v>12.063700000000001</v>
      </c>
      <c r="N105" s="9">
        <v>4.9444999999999997</v>
      </c>
      <c r="O105" s="9">
        <v>0.37459999999999999</v>
      </c>
      <c r="P105" s="9">
        <v>1.2192000000000001</v>
      </c>
      <c r="Q105" s="9">
        <v>32.624400000000001</v>
      </c>
      <c r="R105" s="9"/>
      <c r="S105" s="11"/>
    </row>
    <row r="106" spans="1:19" ht="15.75">
      <c r="A106" s="13">
        <v>45078</v>
      </c>
      <c r="B106" s="8">
        <f>CHOOSE( CONTROL!$C$32, 4.4904, 4.4855) * CHOOSE(CONTROL!$C$15, $D$11, 100%, $F$11)</f>
        <v>4.4904000000000002</v>
      </c>
      <c r="C106" s="8">
        <f>CHOOSE( CONTROL!$C$32, 4.5008, 4.4959) * CHOOSE(CONTROL!$C$15, $D$11, 100%, $F$11)</f>
        <v>4.5007999999999999</v>
      </c>
      <c r="D106" s="8">
        <f>CHOOSE( CONTROL!$C$32, 4.4929, 4.488) * CHOOSE( CONTROL!$C$15, $D$11, 100%, $F$11)</f>
        <v>4.4928999999999997</v>
      </c>
      <c r="E106" s="12">
        <f>CHOOSE( CONTROL!$C$32, 4.4942, 4.4893) * CHOOSE( CONTROL!$C$15, $D$11, 100%, $F$11)</f>
        <v>4.4942000000000002</v>
      </c>
      <c r="F106" s="4">
        <f>CHOOSE( CONTROL!$C$32, 5.4846, 5.4797) * CHOOSE(CONTROL!$C$15, $D$11, 100%, $F$11)</f>
        <v>5.4846000000000004</v>
      </c>
      <c r="G106" s="8">
        <f>CHOOSE( CONTROL!$C$32, 4.3644, 4.3595) * CHOOSE( CONTROL!$C$15, $D$11, 100%, $F$11)</f>
        <v>4.3643999999999998</v>
      </c>
      <c r="H106" s="4">
        <f>CHOOSE( CONTROL!$C$32, 5.27, 5.2652) * CHOOSE(CONTROL!$C$15, $D$11, 100%, $F$11)</f>
        <v>5.27</v>
      </c>
      <c r="I106" s="8">
        <f>CHOOSE( CONTROL!$C$32, 4.3446, 4.3399) * CHOOSE(CONTROL!$C$15, $D$11, 100%, $F$11)</f>
        <v>4.3445999999999998</v>
      </c>
      <c r="J106" s="4">
        <f>CHOOSE( CONTROL!$C$32, 4.2979, 4.2932) * CHOOSE(CONTROL!$C$15, $D$11, 100%, $F$11)</f>
        <v>4.2979000000000003</v>
      </c>
      <c r="K106" s="4"/>
      <c r="L106" s="9">
        <v>28.568200000000001</v>
      </c>
      <c r="M106" s="9">
        <v>11.6745</v>
      </c>
      <c r="N106" s="9">
        <v>4.7850000000000001</v>
      </c>
      <c r="O106" s="9">
        <v>0.36249999999999999</v>
      </c>
      <c r="P106" s="9">
        <v>1.1798</v>
      </c>
      <c r="Q106" s="9">
        <v>31.571999999999999</v>
      </c>
      <c r="R106" s="9"/>
      <c r="S106" s="11"/>
    </row>
    <row r="107" spans="1:19" ht="15.75">
      <c r="A107" s="13">
        <v>45108</v>
      </c>
      <c r="B107" s="8">
        <f>CHOOSE( CONTROL!$C$32, 4.6832, 4.6783) * CHOOSE(CONTROL!$C$15, $D$11, 100%, $F$11)</f>
        <v>4.6832000000000003</v>
      </c>
      <c r="C107" s="8">
        <f>CHOOSE( CONTROL!$C$32, 4.6936, 4.6887) * CHOOSE(CONTROL!$C$15, $D$11, 100%, $F$11)</f>
        <v>4.6936</v>
      </c>
      <c r="D107" s="8">
        <f>CHOOSE( CONTROL!$C$32, 4.6926, 4.6877) * CHOOSE( CONTROL!$C$15, $D$11, 100%, $F$11)</f>
        <v>4.6925999999999997</v>
      </c>
      <c r="E107" s="12">
        <f>CHOOSE( CONTROL!$C$32, 4.6914, 4.6865) * CHOOSE( CONTROL!$C$15, $D$11, 100%, $F$11)</f>
        <v>4.6913999999999998</v>
      </c>
      <c r="F107" s="4">
        <f>CHOOSE( CONTROL!$C$32, 5.6878, 5.6829) * CHOOSE(CONTROL!$C$15, $D$11, 100%, $F$11)</f>
        <v>5.6878000000000002</v>
      </c>
      <c r="G107" s="8">
        <f>CHOOSE( CONTROL!$C$32, 4.5564, 4.5516) * CHOOSE( CONTROL!$C$15, $D$11, 100%, $F$11)</f>
        <v>4.5564</v>
      </c>
      <c r="H107" s="4">
        <f>CHOOSE( CONTROL!$C$32, 5.4681, 5.4633) * CHOOSE(CONTROL!$C$15, $D$11, 100%, $F$11)</f>
        <v>5.4680999999999997</v>
      </c>
      <c r="I107" s="8">
        <f>CHOOSE( CONTROL!$C$32, 4.5371, 4.5324) * CHOOSE(CONTROL!$C$15, $D$11, 100%, $F$11)</f>
        <v>4.5370999999999997</v>
      </c>
      <c r="J107" s="4">
        <f>CHOOSE( CONTROL!$C$32, 4.4827, 4.4779) * CHOOSE(CONTROL!$C$15, $D$11, 100%, $F$11)</f>
        <v>4.4827000000000004</v>
      </c>
      <c r="K107" s="4"/>
      <c r="L107" s="9">
        <v>29.520499999999998</v>
      </c>
      <c r="M107" s="9">
        <v>12.063700000000001</v>
      </c>
      <c r="N107" s="9">
        <v>4.9444999999999997</v>
      </c>
      <c r="O107" s="9">
        <v>0.37459999999999999</v>
      </c>
      <c r="P107" s="9">
        <v>1.2192000000000001</v>
      </c>
      <c r="Q107" s="9">
        <v>32.624400000000001</v>
      </c>
      <c r="R107" s="9"/>
      <c r="S107" s="11"/>
    </row>
    <row r="108" spans="1:19" ht="15.75">
      <c r="A108" s="13">
        <v>45139</v>
      </c>
      <c r="B108" s="8">
        <f>CHOOSE( CONTROL!$C$32, 4.3224, 4.3175) * CHOOSE(CONTROL!$C$15, $D$11, 100%, $F$11)</f>
        <v>4.3224</v>
      </c>
      <c r="C108" s="8">
        <f>CHOOSE( CONTROL!$C$32, 4.3329, 4.3279) * CHOOSE(CONTROL!$C$15, $D$11, 100%, $F$11)</f>
        <v>4.3329000000000004</v>
      </c>
      <c r="D108" s="8">
        <f>CHOOSE( CONTROL!$C$32, 4.333, 4.3281) * CHOOSE( CONTROL!$C$15, $D$11, 100%, $F$11)</f>
        <v>4.3330000000000002</v>
      </c>
      <c r="E108" s="12">
        <f>CHOOSE( CONTROL!$C$32, 4.3314, 4.3264) * CHOOSE( CONTROL!$C$15, $D$11, 100%, $F$11)</f>
        <v>4.3314000000000004</v>
      </c>
      <c r="F108" s="4">
        <f>CHOOSE( CONTROL!$C$32, 5.3349, 5.33) * CHOOSE(CONTROL!$C$15, $D$11, 100%, $F$11)</f>
        <v>5.3349000000000002</v>
      </c>
      <c r="G108" s="8">
        <f>CHOOSE( CONTROL!$C$32, 4.1999, 4.1951) * CHOOSE( CONTROL!$C$15, $D$11, 100%, $F$11)</f>
        <v>4.1999000000000004</v>
      </c>
      <c r="H108" s="4">
        <f>CHOOSE( CONTROL!$C$32, 5.1241, 5.1193) * CHOOSE(CONTROL!$C$15, $D$11, 100%, $F$11)</f>
        <v>5.1241000000000003</v>
      </c>
      <c r="I108" s="8">
        <f>CHOOSE( CONTROL!$C$32, 4.1822, 4.1775) * CHOOSE(CONTROL!$C$15, $D$11, 100%, $F$11)</f>
        <v>4.1821999999999999</v>
      </c>
      <c r="J108" s="4">
        <f>CHOOSE( CONTROL!$C$32, 4.137, 4.1323) * CHOOSE(CONTROL!$C$15, $D$11, 100%, $F$11)</f>
        <v>4.1369999999999996</v>
      </c>
      <c r="K108" s="4"/>
      <c r="L108" s="9">
        <v>29.520499999999998</v>
      </c>
      <c r="M108" s="9">
        <v>12.063700000000001</v>
      </c>
      <c r="N108" s="9">
        <v>4.9444999999999997</v>
      </c>
      <c r="O108" s="9">
        <v>0.37459999999999999</v>
      </c>
      <c r="P108" s="9">
        <v>1.2192000000000001</v>
      </c>
      <c r="Q108" s="9">
        <v>32.624400000000001</v>
      </c>
      <c r="R108" s="9"/>
      <c r="S108" s="11"/>
    </row>
    <row r="109" spans="1:19" ht="15.75">
      <c r="A109" s="13">
        <v>45170</v>
      </c>
      <c r="B109" s="8">
        <f>CHOOSE( CONTROL!$C$32, 4.2321, 4.2272) * CHOOSE(CONTROL!$C$15, $D$11, 100%, $F$11)</f>
        <v>4.2321</v>
      </c>
      <c r="C109" s="8">
        <f>CHOOSE( CONTROL!$C$32, 4.2425, 4.2376) * CHOOSE(CONTROL!$C$15, $D$11, 100%, $F$11)</f>
        <v>4.2424999999999997</v>
      </c>
      <c r="D109" s="8">
        <f>CHOOSE( CONTROL!$C$32, 4.243, 4.2381) * CHOOSE( CONTROL!$C$15, $D$11, 100%, $F$11)</f>
        <v>4.2430000000000003</v>
      </c>
      <c r="E109" s="12">
        <f>CHOOSE( CONTROL!$C$32, 4.2412, 4.2363) * CHOOSE( CONTROL!$C$15, $D$11, 100%, $F$11)</f>
        <v>4.2412000000000001</v>
      </c>
      <c r="F109" s="4">
        <f>CHOOSE( CONTROL!$C$32, 5.2446, 5.2396) * CHOOSE(CONTROL!$C$15, $D$11, 100%, $F$11)</f>
        <v>5.2446000000000002</v>
      </c>
      <c r="G109" s="8">
        <f>CHOOSE( CONTROL!$C$32, 4.1123, 4.1075) * CHOOSE( CONTROL!$C$15, $D$11, 100%, $F$11)</f>
        <v>4.1123000000000003</v>
      </c>
      <c r="H109" s="4">
        <f>CHOOSE( CONTROL!$C$32, 5.036, 5.0312) * CHOOSE(CONTROL!$C$15, $D$11, 100%, $F$11)</f>
        <v>5.0359999999999996</v>
      </c>
      <c r="I109" s="8">
        <f>CHOOSE( CONTROL!$C$32, 4.097, 4.0923) * CHOOSE(CONTROL!$C$15, $D$11, 100%, $F$11)</f>
        <v>4.0970000000000004</v>
      </c>
      <c r="J109" s="4">
        <f>CHOOSE( CONTROL!$C$32, 4.0505, 4.0457) * CHOOSE(CONTROL!$C$15, $D$11, 100%, $F$11)</f>
        <v>4.0505000000000004</v>
      </c>
      <c r="K109" s="4"/>
      <c r="L109" s="9">
        <v>28.568200000000001</v>
      </c>
      <c r="M109" s="9">
        <v>11.6745</v>
      </c>
      <c r="N109" s="9">
        <v>4.7850000000000001</v>
      </c>
      <c r="O109" s="9">
        <v>0.36249999999999999</v>
      </c>
      <c r="P109" s="9">
        <v>1.1798</v>
      </c>
      <c r="Q109" s="9">
        <v>31.571999999999999</v>
      </c>
      <c r="R109" s="9"/>
      <c r="S109" s="11"/>
    </row>
    <row r="110" spans="1:19" ht="15.75">
      <c r="A110" s="13">
        <v>45200</v>
      </c>
      <c r="B110" s="8">
        <f>4.4147 * CHOOSE(CONTROL!$C$15, $D$11, 100%, $F$11)</f>
        <v>4.4146999999999998</v>
      </c>
      <c r="C110" s="8">
        <f>4.4252 * CHOOSE(CONTROL!$C$15, $D$11, 100%, $F$11)</f>
        <v>4.4252000000000002</v>
      </c>
      <c r="D110" s="8">
        <f>4.4269 * CHOOSE( CONTROL!$C$15, $D$11, 100%, $F$11)</f>
        <v>4.4268999999999998</v>
      </c>
      <c r="E110" s="12">
        <f>4.4252 * CHOOSE( CONTROL!$C$15, $D$11, 100%, $F$11)</f>
        <v>4.4252000000000002</v>
      </c>
      <c r="F110" s="4">
        <f>5.4272 * CHOOSE(CONTROL!$C$15, $D$11, 100%, $F$11)</f>
        <v>5.4272</v>
      </c>
      <c r="G110" s="8">
        <f>4.29 * CHOOSE( CONTROL!$C$15, $D$11, 100%, $F$11)</f>
        <v>4.29</v>
      </c>
      <c r="H110" s="4">
        <f>5.214 * CHOOSE(CONTROL!$C$15, $D$11, 100%, $F$11)</f>
        <v>5.2140000000000004</v>
      </c>
      <c r="I110" s="8">
        <f>4.2744 * CHOOSE(CONTROL!$C$15, $D$11, 100%, $F$11)</f>
        <v>4.2744</v>
      </c>
      <c r="J110" s="4">
        <f>4.2255 * CHOOSE(CONTROL!$C$15, $D$11, 100%, $F$11)</f>
        <v>4.2255000000000003</v>
      </c>
      <c r="K110" s="4"/>
      <c r="L110" s="9">
        <v>28.921800000000001</v>
      </c>
      <c r="M110" s="9">
        <v>12.063700000000001</v>
      </c>
      <c r="N110" s="9">
        <v>4.9444999999999997</v>
      </c>
      <c r="O110" s="9">
        <v>0.37459999999999999</v>
      </c>
      <c r="P110" s="9">
        <v>1.2192000000000001</v>
      </c>
      <c r="Q110" s="9">
        <v>32.624400000000001</v>
      </c>
      <c r="R110" s="9"/>
      <c r="S110" s="11"/>
    </row>
    <row r="111" spans="1:19" ht="15.75">
      <c r="A111" s="13">
        <v>45231</v>
      </c>
      <c r="B111" s="8">
        <f>4.761 * CHOOSE(CONTROL!$C$15, $D$11, 100%, $F$11)</f>
        <v>4.7610000000000001</v>
      </c>
      <c r="C111" s="8">
        <f>4.7714 * CHOOSE(CONTROL!$C$15, $D$11, 100%, $F$11)</f>
        <v>4.7713999999999999</v>
      </c>
      <c r="D111" s="8">
        <f>4.7524 * CHOOSE( CONTROL!$C$15, $D$11, 100%, $F$11)</f>
        <v>4.7523999999999997</v>
      </c>
      <c r="E111" s="12">
        <f>4.7582 * CHOOSE( CONTROL!$C$15, $D$11, 100%, $F$11)</f>
        <v>4.7582000000000004</v>
      </c>
      <c r="F111" s="4">
        <f>5.7578 * CHOOSE(CONTROL!$C$15, $D$11, 100%, $F$11)</f>
        <v>5.7577999999999996</v>
      </c>
      <c r="G111" s="8">
        <f>4.6504 * CHOOSE( CONTROL!$C$15, $D$11, 100%, $F$11)</f>
        <v>4.6504000000000003</v>
      </c>
      <c r="H111" s="4">
        <f>5.5363 * CHOOSE(CONTROL!$C$15, $D$11, 100%, $F$11)</f>
        <v>5.5362999999999998</v>
      </c>
      <c r="I111" s="8">
        <f>4.6528 * CHOOSE(CONTROL!$C$15, $D$11, 100%, $F$11)</f>
        <v>4.6528</v>
      </c>
      <c r="J111" s="4">
        <f>4.5572 * CHOOSE(CONTROL!$C$15, $D$11, 100%, $F$11)</f>
        <v>4.5571999999999999</v>
      </c>
      <c r="K111" s="4"/>
      <c r="L111" s="9">
        <v>26.515499999999999</v>
      </c>
      <c r="M111" s="9">
        <v>11.6745</v>
      </c>
      <c r="N111" s="9">
        <v>4.7850000000000001</v>
      </c>
      <c r="O111" s="9">
        <v>0.36249999999999999</v>
      </c>
      <c r="P111" s="9">
        <v>1.2522</v>
      </c>
      <c r="Q111" s="9">
        <v>31.571999999999999</v>
      </c>
      <c r="R111" s="9"/>
      <c r="S111" s="11"/>
    </row>
    <row r="112" spans="1:19" ht="15.75">
      <c r="A112" s="13">
        <v>45261</v>
      </c>
      <c r="B112" s="8">
        <f>4.7523 * CHOOSE(CONTROL!$C$15, $D$11, 100%, $F$11)</f>
        <v>4.7523</v>
      </c>
      <c r="C112" s="8">
        <f>4.7627 * CHOOSE(CONTROL!$C$15, $D$11, 100%, $F$11)</f>
        <v>4.7626999999999997</v>
      </c>
      <c r="D112" s="8">
        <f>4.7463 * CHOOSE( CONTROL!$C$15, $D$11, 100%, $F$11)</f>
        <v>4.7462999999999997</v>
      </c>
      <c r="E112" s="12">
        <f>4.7512 * CHOOSE( CONTROL!$C$15, $D$11, 100%, $F$11)</f>
        <v>4.7511999999999999</v>
      </c>
      <c r="F112" s="4">
        <f>5.7491 * CHOOSE(CONTROL!$C$15, $D$11, 100%, $F$11)</f>
        <v>5.7491000000000003</v>
      </c>
      <c r="G112" s="8">
        <f>4.6439 * CHOOSE( CONTROL!$C$15, $D$11, 100%, $F$11)</f>
        <v>4.6439000000000004</v>
      </c>
      <c r="H112" s="4">
        <f>5.5278 * CHOOSE(CONTROL!$C$15, $D$11, 100%, $F$11)</f>
        <v>5.5278</v>
      </c>
      <c r="I112" s="8">
        <f>4.6533 * CHOOSE(CONTROL!$C$15, $D$11, 100%, $F$11)</f>
        <v>4.6532999999999998</v>
      </c>
      <c r="J112" s="4">
        <f>4.5489 * CHOOSE(CONTROL!$C$15, $D$11, 100%, $F$11)</f>
        <v>4.5488999999999997</v>
      </c>
      <c r="K112" s="4"/>
      <c r="L112" s="9">
        <v>27.3993</v>
      </c>
      <c r="M112" s="9">
        <v>12.063700000000001</v>
      </c>
      <c r="N112" s="9">
        <v>4.9444999999999997</v>
      </c>
      <c r="O112" s="9">
        <v>0.37459999999999999</v>
      </c>
      <c r="P112" s="9">
        <v>1.2939000000000001</v>
      </c>
      <c r="Q112" s="9">
        <v>32.624400000000001</v>
      </c>
      <c r="R112" s="9"/>
      <c r="S112" s="11"/>
    </row>
    <row r="113" spans="1:19" ht="15.75">
      <c r="A113" s="13">
        <v>45292</v>
      </c>
      <c r="B113" s="8">
        <f>5.0705 * CHOOSE(CONTROL!$C$15, $D$11, 100%, $F$11)</f>
        <v>5.0705</v>
      </c>
      <c r="C113" s="8">
        <f>5.0809 * CHOOSE(CONTROL!$C$15, $D$11, 100%, $F$11)</f>
        <v>5.0808999999999997</v>
      </c>
      <c r="D113" s="8">
        <f>5.0795 * CHOOSE( CONTROL!$C$15, $D$11, 100%, $F$11)</f>
        <v>5.0795000000000003</v>
      </c>
      <c r="E113" s="12">
        <f>5.0789 * CHOOSE( CONTROL!$C$15, $D$11, 100%, $F$11)</f>
        <v>5.0789</v>
      </c>
      <c r="F113" s="4">
        <f>6.0934 * CHOOSE(CONTROL!$C$15, $D$11, 100%, $F$11)</f>
        <v>6.0933999999999999</v>
      </c>
      <c r="G113" s="8">
        <f>4.9709 * CHOOSE( CONTROL!$C$15, $D$11, 100%, $F$11)</f>
        <v>4.9709000000000003</v>
      </c>
      <c r="H113" s="4">
        <f>5.8634 * CHOOSE(CONTROL!$C$15, $D$11, 100%, $F$11)</f>
        <v>5.8634000000000004</v>
      </c>
      <c r="I113" s="8">
        <f>4.9648 * CHOOSE(CONTROL!$C$15, $D$11, 100%, $F$11)</f>
        <v>4.9648000000000003</v>
      </c>
      <c r="J113" s="4">
        <f>4.8538 * CHOOSE(CONTROL!$C$15, $D$11, 100%, $F$11)</f>
        <v>4.8537999999999997</v>
      </c>
      <c r="K113" s="4"/>
      <c r="L113" s="9">
        <v>27.3993</v>
      </c>
      <c r="M113" s="9">
        <v>12.063700000000001</v>
      </c>
      <c r="N113" s="9">
        <v>4.9444999999999997</v>
      </c>
      <c r="O113" s="9">
        <v>0.37459999999999999</v>
      </c>
      <c r="P113" s="9">
        <v>1.2939000000000001</v>
      </c>
      <c r="Q113" s="9">
        <v>32.440300000000001</v>
      </c>
      <c r="R113" s="9"/>
      <c r="S113" s="11"/>
    </row>
    <row r="114" spans="1:19" ht="15.75">
      <c r="A114" s="13">
        <v>45323</v>
      </c>
      <c r="B114" s="8">
        <f>4.743 * CHOOSE(CONTROL!$C$15, $D$11, 100%, $F$11)</f>
        <v>4.7430000000000003</v>
      </c>
      <c r="C114" s="8">
        <f>4.7534 * CHOOSE(CONTROL!$C$15, $D$11, 100%, $F$11)</f>
        <v>4.7534000000000001</v>
      </c>
      <c r="D114" s="8">
        <f>4.7542 * CHOOSE( CONTROL!$C$15, $D$11, 100%, $F$11)</f>
        <v>4.7542</v>
      </c>
      <c r="E114" s="12">
        <f>4.7528 * CHOOSE( CONTROL!$C$15, $D$11, 100%, $F$11)</f>
        <v>4.7527999999999997</v>
      </c>
      <c r="F114" s="4">
        <f>5.7581 * CHOOSE(CONTROL!$C$15, $D$11, 100%, $F$11)</f>
        <v>5.7580999999999998</v>
      </c>
      <c r="G114" s="8">
        <f>4.6515 * CHOOSE( CONTROL!$C$15, $D$11, 100%, $F$11)</f>
        <v>4.6515000000000004</v>
      </c>
      <c r="H114" s="4">
        <f>5.5366 * CHOOSE(CONTROL!$C$15, $D$11, 100%, $F$11)</f>
        <v>5.5366</v>
      </c>
      <c r="I114" s="8">
        <f>4.6399 * CHOOSE(CONTROL!$C$15, $D$11, 100%, $F$11)</f>
        <v>4.6398999999999999</v>
      </c>
      <c r="J114" s="4">
        <f>4.54 * CHOOSE(CONTROL!$C$15, $D$11, 100%, $F$11)</f>
        <v>4.54</v>
      </c>
      <c r="K114" s="4"/>
      <c r="L114" s="9">
        <v>25.631599999999999</v>
      </c>
      <c r="M114" s="9">
        <v>11.285299999999999</v>
      </c>
      <c r="N114" s="9">
        <v>4.6254999999999997</v>
      </c>
      <c r="O114" s="9">
        <v>0.35039999999999999</v>
      </c>
      <c r="P114" s="9">
        <v>1.2104999999999999</v>
      </c>
      <c r="Q114" s="9">
        <v>30.347300000000001</v>
      </c>
      <c r="R114" s="9"/>
      <c r="S114" s="11"/>
    </row>
    <row r="115" spans="1:19" ht="15.75">
      <c r="A115" s="13">
        <v>45352</v>
      </c>
      <c r="B115" s="8">
        <f>4.6421 * CHOOSE(CONTROL!$C$15, $D$11, 100%, $F$11)</f>
        <v>4.6421000000000001</v>
      </c>
      <c r="C115" s="8">
        <f>4.6526 * CHOOSE(CONTROL!$C$15, $D$11, 100%, $F$11)</f>
        <v>4.6525999999999996</v>
      </c>
      <c r="D115" s="8">
        <f>4.6331 * CHOOSE( CONTROL!$C$15, $D$11, 100%, $F$11)</f>
        <v>4.6330999999999998</v>
      </c>
      <c r="E115" s="12">
        <f>4.6391 * CHOOSE( CONTROL!$C$15, $D$11, 100%, $F$11)</f>
        <v>4.6391</v>
      </c>
      <c r="F115" s="4">
        <f>5.641 * CHOOSE(CONTROL!$C$15, $D$11, 100%, $F$11)</f>
        <v>5.641</v>
      </c>
      <c r="G115" s="8">
        <f>4.5325 * CHOOSE( CONTROL!$C$15, $D$11, 100%, $F$11)</f>
        <v>4.5324999999999998</v>
      </c>
      <c r="H115" s="4">
        <f>5.4225 * CHOOSE(CONTROL!$C$15, $D$11, 100%, $F$11)</f>
        <v>5.4225000000000003</v>
      </c>
      <c r="I115" s="8">
        <f>4.5037 * CHOOSE(CONTROL!$C$15, $D$11, 100%, $F$11)</f>
        <v>4.5037000000000003</v>
      </c>
      <c r="J115" s="4">
        <f>4.4433 * CHOOSE(CONTROL!$C$15, $D$11, 100%, $F$11)</f>
        <v>4.4432999999999998</v>
      </c>
      <c r="K115" s="4"/>
      <c r="L115" s="9">
        <v>27.3993</v>
      </c>
      <c r="M115" s="9">
        <v>12.063700000000001</v>
      </c>
      <c r="N115" s="9">
        <v>4.9444999999999997</v>
      </c>
      <c r="O115" s="9">
        <v>0.37459999999999999</v>
      </c>
      <c r="P115" s="9">
        <v>1.2939000000000001</v>
      </c>
      <c r="Q115" s="9">
        <v>32.440300000000001</v>
      </c>
      <c r="R115" s="9"/>
      <c r="S115" s="11"/>
    </row>
    <row r="116" spans="1:19" ht="15.75">
      <c r="A116" s="13">
        <v>45383</v>
      </c>
      <c r="B116" s="8">
        <f>4.7126 * CHOOSE(CONTROL!$C$15, $D$11, 100%, $F$11)</f>
        <v>4.7126000000000001</v>
      </c>
      <c r="C116" s="8">
        <f>4.723 * CHOOSE(CONTROL!$C$15, $D$11, 100%, $F$11)</f>
        <v>4.7229999999999999</v>
      </c>
      <c r="D116" s="8">
        <f>4.7269 * CHOOSE( CONTROL!$C$15, $D$11, 100%, $F$11)</f>
        <v>4.7268999999999997</v>
      </c>
      <c r="E116" s="12">
        <f>4.7244 * CHOOSE( CONTROL!$C$15, $D$11, 100%, $F$11)</f>
        <v>4.7244000000000002</v>
      </c>
      <c r="F116" s="4">
        <f>5.7199 * CHOOSE(CONTROL!$C$15, $D$11, 100%, $F$11)</f>
        <v>5.7199</v>
      </c>
      <c r="G116" s="8">
        <f>4.5891 * CHOOSE( CONTROL!$C$15, $D$11, 100%, $F$11)</f>
        <v>4.5891000000000002</v>
      </c>
      <c r="H116" s="4">
        <f>5.4993 * CHOOSE(CONTROL!$C$15, $D$11, 100%, $F$11)</f>
        <v>5.4992999999999999</v>
      </c>
      <c r="I116" s="8">
        <f>4.5614 * CHOOSE(CONTROL!$C$15, $D$11, 100%, $F$11)</f>
        <v>4.5613999999999999</v>
      </c>
      <c r="J116" s="4">
        <f>4.5109 * CHOOSE(CONTROL!$C$15, $D$11, 100%, $F$11)</f>
        <v>4.5109000000000004</v>
      </c>
      <c r="K116" s="4"/>
      <c r="L116" s="9">
        <v>27.988800000000001</v>
      </c>
      <c r="M116" s="9">
        <v>11.6745</v>
      </c>
      <c r="N116" s="9">
        <v>4.7850000000000001</v>
      </c>
      <c r="O116" s="9">
        <v>0.36249999999999999</v>
      </c>
      <c r="P116" s="9">
        <v>1.1798</v>
      </c>
      <c r="Q116" s="9">
        <v>31.393799999999999</v>
      </c>
      <c r="R116" s="9"/>
      <c r="S116" s="11"/>
    </row>
    <row r="117" spans="1:19" ht="15.75">
      <c r="A117" s="13">
        <v>45413</v>
      </c>
      <c r="B117" s="8">
        <f>CHOOSE( CONTROL!$C$32, 4.843, 4.838) * CHOOSE(CONTROL!$C$15, $D$11, 100%, $F$11)</f>
        <v>4.843</v>
      </c>
      <c r="C117" s="8">
        <f>CHOOSE( CONTROL!$C$32, 4.8534, 4.8485) * CHOOSE(CONTROL!$C$15, $D$11, 100%, $F$11)</f>
        <v>4.8533999999999997</v>
      </c>
      <c r="D117" s="8">
        <f>CHOOSE( CONTROL!$C$32, 4.8321, 4.8271) * CHOOSE( CONTROL!$C$15, $D$11, 100%, $F$11)</f>
        <v>4.8320999999999996</v>
      </c>
      <c r="E117" s="12">
        <f>CHOOSE( CONTROL!$C$32, 4.8382, 4.8333) * CHOOSE( CONTROL!$C$15, $D$11, 100%, $F$11)</f>
        <v>4.8381999999999996</v>
      </c>
      <c r="F117" s="4">
        <f>CHOOSE( CONTROL!$C$32, 5.8179, 5.8129) * CHOOSE(CONTROL!$C$15, $D$11, 100%, $F$11)</f>
        <v>5.8178999999999998</v>
      </c>
      <c r="G117" s="8">
        <f>CHOOSE( CONTROL!$C$32, 4.6976, 4.6928) * CHOOSE( CONTROL!$C$15, $D$11, 100%, $F$11)</f>
        <v>4.6976000000000004</v>
      </c>
      <c r="H117" s="4">
        <f>CHOOSE( CONTROL!$C$32, 5.5949, 5.5901) * CHOOSE(CONTROL!$C$15, $D$11, 100%, $F$11)</f>
        <v>5.5949</v>
      </c>
      <c r="I117" s="8">
        <f>CHOOSE( CONTROL!$C$32, 4.6648, 4.6601) * CHOOSE(CONTROL!$C$15, $D$11, 100%, $F$11)</f>
        <v>4.6647999999999996</v>
      </c>
      <c r="J117" s="4">
        <f>CHOOSE( CONTROL!$C$32, 4.6358, 4.6311) * CHOOSE(CONTROL!$C$15, $D$11, 100%, $F$11)</f>
        <v>4.6357999999999997</v>
      </c>
      <c r="K117" s="4"/>
      <c r="L117" s="9">
        <v>29.520499999999998</v>
      </c>
      <c r="M117" s="9">
        <v>12.063700000000001</v>
      </c>
      <c r="N117" s="9">
        <v>4.9444999999999997</v>
      </c>
      <c r="O117" s="9">
        <v>0.37459999999999999</v>
      </c>
      <c r="P117" s="9">
        <v>1.2192000000000001</v>
      </c>
      <c r="Q117" s="9">
        <v>32.440300000000001</v>
      </c>
      <c r="R117" s="9"/>
      <c r="S117" s="11"/>
    </row>
    <row r="118" spans="1:19" ht="15.75">
      <c r="A118" s="13">
        <v>45444</v>
      </c>
      <c r="B118" s="8">
        <f>CHOOSE( CONTROL!$C$32, 4.7653, 4.7603) * CHOOSE(CONTROL!$C$15, $D$11, 100%, $F$11)</f>
        <v>4.7652999999999999</v>
      </c>
      <c r="C118" s="8">
        <f>CHOOSE( CONTROL!$C$32, 4.7757, 4.7708) * CHOOSE(CONTROL!$C$15, $D$11, 100%, $F$11)</f>
        <v>4.7756999999999996</v>
      </c>
      <c r="D118" s="8">
        <f>CHOOSE( CONTROL!$C$32, 4.7678, 4.7629) * CHOOSE( CONTROL!$C$15, $D$11, 100%, $F$11)</f>
        <v>4.7678000000000003</v>
      </c>
      <c r="E118" s="12">
        <f>CHOOSE( CONTROL!$C$32, 4.7691, 4.7642) * CHOOSE( CONTROL!$C$15, $D$11, 100%, $F$11)</f>
        <v>4.7690999999999999</v>
      </c>
      <c r="F118" s="4">
        <f>CHOOSE( CONTROL!$C$32, 5.7595, 5.7546) * CHOOSE(CONTROL!$C$15, $D$11, 100%, $F$11)</f>
        <v>5.7595000000000001</v>
      </c>
      <c r="G118" s="8">
        <f>CHOOSE( CONTROL!$C$32, 4.6323, 4.6275) * CHOOSE( CONTROL!$C$15, $D$11, 100%, $F$11)</f>
        <v>4.6322999999999999</v>
      </c>
      <c r="H118" s="4">
        <f>CHOOSE( CONTROL!$C$32, 5.5379, 5.5331) * CHOOSE(CONTROL!$C$15, $D$11, 100%, $F$11)</f>
        <v>5.5378999999999996</v>
      </c>
      <c r="I118" s="8">
        <f>CHOOSE( CONTROL!$C$32, 4.6081, 4.6034) * CHOOSE(CONTROL!$C$15, $D$11, 100%, $F$11)</f>
        <v>4.6081000000000003</v>
      </c>
      <c r="J118" s="4">
        <f>CHOOSE( CONTROL!$C$32, 4.5613, 4.5566) * CHOOSE(CONTROL!$C$15, $D$11, 100%, $F$11)</f>
        <v>4.5613000000000001</v>
      </c>
      <c r="K118" s="4"/>
      <c r="L118" s="9">
        <v>28.568200000000001</v>
      </c>
      <c r="M118" s="9">
        <v>11.6745</v>
      </c>
      <c r="N118" s="9">
        <v>4.7850000000000001</v>
      </c>
      <c r="O118" s="9">
        <v>0.36249999999999999</v>
      </c>
      <c r="P118" s="9">
        <v>1.1798</v>
      </c>
      <c r="Q118" s="9">
        <v>31.393799999999999</v>
      </c>
      <c r="R118" s="9"/>
      <c r="S118" s="11"/>
    </row>
    <row r="119" spans="1:19" ht="15.75">
      <c r="A119" s="13">
        <v>45474</v>
      </c>
      <c r="B119" s="8">
        <f>CHOOSE( CONTROL!$C$32, 4.9699, 4.965) * CHOOSE(CONTROL!$C$15, $D$11, 100%, $F$11)</f>
        <v>4.9699</v>
      </c>
      <c r="C119" s="8">
        <f>CHOOSE( CONTROL!$C$32, 4.9803, 4.9754) * CHOOSE(CONTROL!$C$15, $D$11, 100%, $F$11)</f>
        <v>4.9802999999999997</v>
      </c>
      <c r="D119" s="8">
        <f>CHOOSE( CONTROL!$C$32, 4.9793, 4.9744) * CHOOSE( CONTROL!$C$15, $D$11, 100%, $F$11)</f>
        <v>4.9793000000000003</v>
      </c>
      <c r="E119" s="12">
        <f>CHOOSE( CONTROL!$C$32, 4.9781, 4.9732) * CHOOSE( CONTROL!$C$15, $D$11, 100%, $F$11)</f>
        <v>4.9781000000000004</v>
      </c>
      <c r="F119" s="4">
        <f>CHOOSE( CONTROL!$C$32, 5.9745, 5.9696) * CHOOSE(CONTROL!$C$15, $D$11, 100%, $F$11)</f>
        <v>5.9744999999999999</v>
      </c>
      <c r="G119" s="8">
        <f>CHOOSE( CONTROL!$C$32, 4.8359, 4.8311) * CHOOSE( CONTROL!$C$15, $D$11, 100%, $F$11)</f>
        <v>4.8358999999999996</v>
      </c>
      <c r="H119" s="4">
        <f>CHOOSE( CONTROL!$C$32, 5.7476, 5.7428) * CHOOSE(CONTROL!$C$15, $D$11, 100%, $F$11)</f>
        <v>5.7476000000000003</v>
      </c>
      <c r="I119" s="8">
        <f>CHOOSE( CONTROL!$C$32, 4.812, 4.8072) * CHOOSE(CONTROL!$C$15, $D$11, 100%, $F$11)</f>
        <v>4.8120000000000003</v>
      </c>
      <c r="J119" s="4">
        <f>CHOOSE( CONTROL!$C$32, 4.7574, 4.7527) * CHOOSE(CONTROL!$C$15, $D$11, 100%, $F$11)</f>
        <v>4.7573999999999996</v>
      </c>
      <c r="K119" s="4"/>
      <c r="L119" s="9">
        <v>29.520499999999998</v>
      </c>
      <c r="M119" s="9">
        <v>12.063700000000001</v>
      </c>
      <c r="N119" s="9">
        <v>4.9444999999999997</v>
      </c>
      <c r="O119" s="9">
        <v>0.37459999999999999</v>
      </c>
      <c r="P119" s="9">
        <v>1.2192000000000001</v>
      </c>
      <c r="Q119" s="9">
        <v>32.440300000000001</v>
      </c>
      <c r="R119" s="9"/>
      <c r="S119" s="11"/>
    </row>
    <row r="120" spans="1:19" ht="15.75">
      <c r="A120" s="13">
        <v>45505</v>
      </c>
      <c r="B120" s="8">
        <f>CHOOSE( CONTROL!$C$32, 4.587, 4.5821) * CHOOSE(CONTROL!$C$15, $D$11, 100%, $F$11)</f>
        <v>4.5869999999999997</v>
      </c>
      <c r="C120" s="8">
        <f>CHOOSE( CONTROL!$C$32, 4.5975, 4.5925) * CHOOSE(CONTROL!$C$15, $D$11, 100%, $F$11)</f>
        <v>4.5975000000000001</v>
      </c>
      <c r="D120" s="8">
        <f>CHOOSE( CONTROL!$C$32, 4.5976, 4.5927) * CHOOSE( CONTROL!$C$15, $D$11, 100%, $F$11)</f>
        <v>4.5975999999999999</v>
      </c>
      <c r="E120" s="12">
        <f>CHOOSE( CONTROL!$C$32, 4.596, 4.591) * CHOOSE( CONTROL!$C$15, $D$11, 100%, $F$11)</f>
        <v>4.5960000000000001</v>
      </c>
      <c r="F120" s="4">
        <f>CHOOSE( CONTROL!$C$32, 5.5995, 5.5946) * CHOOSE(CONTROL!$C$15, $D$11, 100%, $F$11)</f>
        <v>5.5994999999999999</v>
      </c>
      <c r="G120" s="8">
        <f>CHOOSE( CONTROL!$C$32, 4.4578, 4.453) * CHOOSE( CONTROL!$C$15, $D$11, 100%, $F$11)</f>
        <v>4.4577999999999998</v>
      </c>
      <c r="H120" s="4">
        <f>CHOOSE( CONTROL!$C$32, 5.382, 5.3772) * CHOOSE(CONTROL!$C$15, $D$11, 100%, $F$11)</f>
        <v>5.3819999999999997</v>
      </c>
      <c r="I120" s="8">
        <f>CHOOSE( CONTROL!$C$32, 4.4359, 4.4311) * CHOOSE(CONTROL!$C$15, $D$11, 100%, $F$11)</f>
        <v>4.4359000000000002</v>
      </c>
      <c r="J120" s="4">
        <f>CHOOSE( CONTROL!$C$32, 4.3905, 4.3858) * CHOOSE(CONTROL!$C$15, $D$11, 100%, $F$11)</f>
        <v>4.3905000000000003</v>
      </c>
      <c r="K120" s="4"/>
      <c r="L120" s="9">
        <v>29.520499999999998</v>
      </c>
      <c r="M120" s="9">
        <v>12.063700000000001</v>
      </c>
      <c r="N120" s="9">
        <v>4.9444999999999997</v>
      </c>
      <c r="O120" s="9">
        <v>0.37459999999999999</v>
      </c>
      <c r="P120" s="9">
        <v>1.2192000000000001</v>
      </c>
      <c r="Q120" s="9">
        <v>32.440300000000001</v>
      </c>
      <c r="R120" s="9"/>
      <c r="S120" s="11"/>
    </row>
    <row r="121" spans="1:19" ht="15.75">
      <c r="A121" s="13">
        <v>45536</v>
      </c>
      <c r="B121" s="8">
        <f>CHOOSE( CONTROL!$C$32, 4.4912, 4.4862) * CHOOSE(CONTROL!$C$15, $D$11, 100%, $F$11)</f>
        <v>4.4912000000000001</v>
      </c>
      <c r="C121" s="8">
        <f>CHOOSE( CONTROL!$C$32, 4.5016, 4.4967) * CHOOSE(CONTROL!$C$15, $D$11, 100%, $F$11)</f>
        <v>4.5015999999999998</v>
      </c>
      <c r="D121" s="8">
        <f>CHOOSE( CONTROL!$C$32, 4.502, 4.4971) * CHOOSE( CONTROL!$C$15, $D$11, 100%, $F$11)</f>
        <v>4.5019999999999998</v>
      </c>
      <c r="E121" s="12">
        <f>CHOOSE( CONTROL!$C$32, 4.5003, 4.4954) * CHOOSE( CONTROL!$C$15, $D$11, 100%, $F$11)</f>
        <v>4.5003000000000002</v>
      </c>
      <c r="F121" s="4">
        <f>CHOOSE( CONTROL!$C$32, 5.5036, 5.4987) * CHOOSE(CONTROL!$C$15, $D$11, 100%, $F$11)</f>
        <v>5.5035999999999996</v>
      </c>
      <c r="G121" s="8">
        <f>CHOOSE( CONTROL!$C$32, 4.3648, 4.36) * CHOOSE( CONTROL!$C$15, $D$11, 100%, $F$11)</f>
        <v>4.3647999999999998</v>
      </c>
      <c r="H121" s="4">
        <f>CHOOSE( CONTROL!$C$32, 5.2885, 5.2837) * CHOOSE(CONTROL!$C$15, $D$11, 100%, $F$11)</f>
        <v>5.2885</v>
      </c>
      <c r="I121" s="8">
        <f>CHOOSE( CONTROL!$C$32, 4.3454, 4.3406) * CHOOSE(CONTROL!$C$15, $D$11, 100%, $F$11)</f>
        <v>4.3453999999999997</v>
      </c>
      <c r="J121" s="4">
        <f>CHOOSE( CONTROL!$C$32, 4.2987, 4.2939) * CHOOSE(CONTROL!$C$15, $D$11, 100%, $F$11)</f>
        <v>4.2987000000000002</v>
      </c>
      <c r="K121" s="4"/>
      <c r="L121" s="9">
        <v>28.568200000000001</v>
      </c>
      <c r="M121" s="9">
        <v>11.6745</v>
      </c>
      <c r="N121" s="9">
        <v>4.7850000000000001</v>
      </c>
      <c r="O121" s="9">
        <v>0.36249999999999999</v>
      </c>
      <c r="P121" s="9">
        <v>1.1798</v>
      </c>
      <c r="Q121" s="9">
        <v>31.393799999999999</v>
      </c>
      <c r="R121" s="9"/>
      <c r="S121" s="11"/>
    </row>
    <row r="122" spans="1:19" ht="15.75">
      <c r="A122" s="13">
        <v>45566</v>
      </c>
      <c r="B122" s="8">
        <f>4.6853 * CHOOSE(CONTROL!$C$15, $D$11, 100%, $F$11)</f>
        <v>4.6852999999999998</v>
      </c>
      <c r="C122" s="8">
        <f>4.6957 * CHOOSE(CONTROL!$C$15, $D$11, 100%, $F$11)</f>
        <v>4.6957000000000004</v>
      </c>
      <c r="D122" s="8">
        <f>4.6974 * CHOOSE( CONTROL!$C$15, $D$11, 100%, $F$11)</f>
        <v>4.6974</v>
      </c>
      <c r="E122" s="12">
        <f>4.6957 * CHOOSE( CONTROL!$C$15, $D$11, 100%, $F$11)</f>
        <v>4.6957000000000004</v>
      </c>
      <c r="F122" s="4">
        <f>5.6978 * CHOOSE(CONTROL!$C$15, $D$11, 100%, $F$11)</f>
        <v>5.6978</v>
      </c>
      <c r="G122" s="8">
        <f>4.5537 * CHOOSE( CONTROL!$C$15, $D$11, 100%, $F$11)</f>
        <v>4.5537000000000001</v>
      </c>
      <c r="H122" s="4">
        <f>5.4778 * CHOOSE(CONTROL!$C$15, $D$11, 100%, $F$11)</f>
        <v>5.4778000000000002</v>
      </c>
      <c r="I122" s="8">
        <f>4.5337 * CHOOSE(CONTROL!$C$15, $D$11, 100%, $F$11)</f>
        <v>4.5336999999999996</v>
      </c>
      <c r="J122" s="4">
        <f>4.4847 * CHOOSE(CONTROL!$C$15, $D$11, 100%, $F$11)</f>
        <v>4.4847000000000001</v>
      </c>
      <c r="K122" s="4"/>
      <c r="L122" s="9">
        <v>28.921800000000001</v>
      </c>
      <c r="M122" s="9">
        <v>12.063700000000001</v>
      </c>
      <c r="N122" s="9">
        <v>4.9444999999999997</v>
      </c>
      <c r="O122" s="9">
        <v>0.37459999999999999</v>
      </c>
      <c r="P122" s="9">
        <v>1.2192000000000001</v>
      </c>
      <c r="Q122" s="9">
        <v>32.440300000000001</v>
      </c>
      <c r="R122" s="9"/>
      <c r="S122" s="11"/>
    </row>
    <row r="123" spans="1:19" ht="15.75">
      <c r="A123" s="13">
        <v>45597</v>
      </c>
      <c r="B123" s="8">
        <f>5.0527 * CHOOSE(CONTROL!$C$15, $D$11, 100%, $F$11)</f>
        <v>5.0526999999999997</v>
      </c>
      <c r="C123" s="8">
        <f>5.0632 * CHOOSE(CONTROL!$C$15, $D$11, 100%, $F$11)</f>
        <v>5.0632000000000001</v>
      </c>
      <c r="D123" s="8">
        <f>5.0442 * CHOOSE( CONTROL!$C$15, $D$11, 100%, $F$11)</f>
        <v>5.0442</v>
      </c>
      <c r="E123" s="12">
        <f>5.05 * CHOOSE( CONTROL!$C$15, $D$11, 100%, $F$11)</f>
        <v>5.05</v>
      </c>
      <c r="F123" s="4">
        <f>6.0496 * CHOOSE(CONTROL!$C$15, $D$11, 100%, $F$11)</f>
        <v>6.0495999999999999</v>
      </c>
      <c r="G123" s="8">
        <f>4.9348 * CHOOSE( CONTROL!$C$15, $D$11, 100%, $F$11)</f>
        <v>4.9348000000000001</v>
      </c>
      <c r="H123" s="4">
        <f>5.8207 * CHOOSE(CONTROL!$C$15, $D$11, 100%, $F$11)</f>
        <v>5.8207000000000004</v>
      </c>
      <c r="I123" s="8">
        <f>4.9325 * CHOOSE(CONTROL!$C$15, $D$11, 100%, $F$11)</f>
        <v>4.9325000000000001</v>
      </c>
      <c r="J123" s="4">
        <f>4.8368 * CHOOSE(CONTROL!$C$15, $D$11, 100%, $F$11)</f>
        <v>4.8368000000000002</v>
      </c>
      <c r="K123" s="4"/>
      <c r="L123" s="9">
        <v>26.515499999999999</v>
      </c>
      <c r="M123" s="9">
        <v>11.6745</v>
      </c>
      <c r="N123" s="9">
        <v>4.7850000000000001</v>
      </c>
      <c r="O123" s="9">
        <v>0.36249999999999999</v>
      </c>
      <c r="P123" s="9">
        <v>1.2522</v>
      </c>
      <c r="Q123" s="9">
        <v>31.393799999999999</v>
      </c>
      <c r="R123" s="9"/>
      <c r="S123" s="11"/>
    </row>
    <row r="124" spans="1:19" ht="15.75">
      <c r="A124" s="13">
        <v>45627</v>
      </c>
      <c r="B124" s="8">
        <f>5.0436 * CHOOSE(CONTROL!$C$15, $D$11, 100%, $F$11)</f>
        <v>5.0435999999999996</v>
      </c>
      <c r="C124" s="8">
        <f>5.054 * CHOOSE(CONTROL!$C$15, $D$11, 100%, $F$11)</f>
        <v>5.0540000000000003</v>
      </c>
      <c r="D124" s="8">
        <f>5.0376 * CHOOSE( CONTROL!$C$15, $D$11, 100%, $F$11)</f>
        <v>5.0376000000000003</v>
      </c>
      <c r="E124" s="12">
        <f>5.0425 * CHOOSE( CONTROL!$C$15, $D$11, 100%, $F$11)</f>
        <v>5.0425000000000004</v>
      </c>
      <c r="F124" s="4">
        <f>6.0404 * CHOOSE(CONTROL!$C$15, $D$11, 100%, $F$11)</f>
        <v>6.0404</v>
      </c>
      <c r="G124" s="8">
        <f>4.9278 * CHOOSE( CONTROL!$C$15, $D$11, 100%, $F$11)</f>
        <v>4.9278000000000004</v>
      </c>
      <c r="H124" s="4">
        <f>5.8117 * CHOOSE(CONTROL!$C$15, $D$11, 100%, $F$11)</f>
        <v>5.8117000000000001</v>
      </c>
      <c r="I124" s="8">
        <f>4.9325 * CHOOSE(CONTROL!$C$15, $D$11, 100%, $F$11)</f>
        <v>4.9325000000000001</v>
      </c>
      <c r="J124" s="4">
        <f>4.828 * CHOOSE(CONTROL!$C$15, $D$11, 100%, $F$11)</f>
        <v>4.8280000000000003</v>
      </c>
      <c r="K124" s="4"/>
      <c r="L124" s="9">
        <v>27.3993</v>
      </c>
      <c r="M124" s="9">
        <v>12.063700000000001</v>
      </c>
      <c r="N124" s="9">
        <v>4.9444999999999997</v>
      </c>
      <c r="O124" s="9">
        <v>0.37459999999999999</v>
      </c>
      <c r="P124" s="9">
        <v>1.2939000000000001</v>
      </c>
      <c r="Q124" s="9">
        <v>32.440300000000001</v>
      </c>
      <c r="R124" s="9"/>
      <c r="S124" s="11"/>
    </row>
    <row r="125" spans="1:19" ht="15.75">
      <c r="A125" s="13">
        <v>45658</v>
      </c>
      <c r="B125" s="8">
        <f>5.306 * CHOOSE(CONTROL!$C$15, $D$11, 100%, $F$11)</f>
        <v>5.306</v>
      </c>
      <c r="C125" s="8">
        <f>5.3164 * CHOOSE(CONTROL!$C$15, $D$11, 100%, $F$11)</f>
        <v>5.3163999999999998</v>
      </c>
      <c r="D125" s="8">
        <f>5.315 * CHOOSE( CONTROL!$C$15, $D$11, 100%, $F$11)</f>
        <v>5.3150000000000004</v>
      </c>
      <c r="E125" s="12">
        <f>5.3144 * CHOOSE( CONTROL!$C$15, $D$11, 100%, $F$11)</f>
        <v>5.3144</v>
      </c>
      <c r="F125" s="4">
        <f>6.3289 * CHOOSE(CONTROL!$C$15, $D$11, 100%, $F$11)</f>
        <v>6.3289</v>
      </c>
      <c r="G125" s="8">
        <f>5.2005 * CHOOSE( CONTROL!$C$15, $D$11, 100%, $F$11)</f>
        <v>5.2004999999999999</v>
      </c>
      <c r="H125" s="4">
        <f>6.093 * CHOOSE(CONTROL!$C$15, $D$11, 100%, $F$11)</f>
        <v>6.093</v>
      </c>
      <c r="I125" s="8">
        <f>5.1906 * CHOOSE(CONTROL!$C$15, $D$11, 100%, $F$11)</f>
        <v>5.1905999999999999</v>
      </c>
      <c r="J125" s="4">
        <f>5.0794 * CHOOSE(CONTROL!$C$15, $D$11, 100%, $F$11)</f>
        <v>5.0793999999999997</v>
      </c>
      <c r="K125" s="4"/>
      <c r="L125" s="9">
        <v>27.3993</v>
      </c>
      <c r="M125" s="9">
        <v>12.063700000000001</v>
      </c>
      <c r="N125" s="9">
        <v>4.9444999999999997</v>
      </c>
      <c r="O125" s="9">
        <v>0.37459999999999999</v>
      </c>
      <c r="P125" s="9">
        <v>1.2939000000000001</v>
      </c>
      <c r="Q125" s="9">
        <v>32.254300000000001</v>
      </c>
      <c r="R125" s="9"/>
      <c r="S125" s="11"/>
    </row>
    <row r="126" spans="1:19" ht="15.75">
      <c r="A126" s="13">
        <v>45689</v>
      </c>
      <c r="B126" s="8">
        <f>4.9633 * CHOOSE(CONTROL!$C$15, $D$11, 100%, $F$11)</f>
        <v>4.9633000000000003</v>
      </c>
      <c r="C126" s="8">
        <f>4.9737 * CHOOSE(CONTROL!$C$15, $D$11, 100%, $F$11)</f>
        <v>4.9737</v>
      </c>
      <c r="D126" s="8">
        <f>4.9745 * CHOOSE( CONTROL!$C$15, $D$11, 100%, $F$11)</f>
        <v>4.9744999999999999</v>
      </c>
      <c r="E126" s="12">
        <f>4.9731 * CHOOSE( CONTROL!$C$15, $D$11, 100%, $F$11)</f>
        <v>4.9730999999999996</v>
      </c>
      <c r="F126" s="4">
        <f>5.9784 * CHOOSE(CONTROL!$C$15, $D$11, 100%, $F$11)</f>
        <v>5.9783999999999997</v>
      </c>
      <c r="G126" s="8">
        <f>4.8662 * CHOOSE( CONTROL!$C$15, $D$11, 100%, $F$11)</f>
        <v>4.8662000000000001</v>
      </c>
      <c r="H126" s="4">
        <f>5.7513 * CHOOSE(CONTROL!$C$15, $D$11, 100%, $F$11)</f>
        <v>5.7512999999999996</v>
      </c>
      <c r="I126" s="8">
        <f>4.8511 * CHOOSE(CONTROL!$C$15, $D$11, 100%, $F$11)</f>
        <v>4.8510999999999997</v>
      </c>
      <c r="J126" s="4">
        <f>4.7511 * CHOOSE(CONTROL!$C$15, $D$11, 100%, $F$11)</f>
        <v>4.7511000000000001</v>
      </c>
      <c r="K126" s="4"/>
      <c r="L126" s="9">
        <v>24.747800000000002</v>
      </c>
      <c r="M126" s="9">
        <v>10.8962</v>
      </c>
      <c r="N126" s="9">
        <v>4.4660000000000002</v>
      </c>
      <c r="O126" s="9">
        <v>0.33829999999999999</v>
      </c>
      <c r="P126" s="9">
        <v>1.1687000000000001</v>
      </c>
      <c r="Q126" s="9">
        <v>29.132899999999999</v>
      </c>
      <c r="R126" s="9"/>
      <c r="S126" s="11"/>
    </row>
    <row r="127" spans="1:19" ht="15.75">
      <c r="A127" s="13">
        <v>45717</v>
      </c>
      <c r="B127" s="8">
        <f>4.8577 * CHOOSE(CONTROL!$C$15, $D$11, 100%, $F$11)</f>
        <v>4.8577000000000004</v>
      </c>
      <c r="C127" s="8">
        <f>4.8682 * CHOOSE(CONTROL!$C$15, $D$11, 100%, $F$11)</f>
        <v>4.8681999999999999</v>
      </c>
      <c r="D127" s="8">
        <f>4.8487 * CHOOSE( CONTROL!$C$15, $D$11, 100%, $F$11)</f>
        <v>4.8487</v>
      </c>
      <c r="E127" s="12">
        <f>4.8547 * CHOOSE( CONTROL!$C$15, $D$11, 100%, $F$11)</f>
        <v>4.8547000000000002</v>
      </c>
      <c r="F127" s="4">
        <f>5.8566 * CHOOSE(CONTROL!$C$15, $D$11, 100%, $F$11)</f>
        <v>5.8566000000000003</v>
      </c>
      <c r="G127" s="8">
        <f>4.7427 * CHOOSE( CONTROL!$C$15, $D$11, 100%, $F$11)</f>
        <v>4.7427000000000001</v>
      </c>
      <c r="H127" s="4">
        <f>5.6326 * CHOOSE(CONTROL!$C$15, $D$11, 100%, $F$11)</f>
        <v>5.6326000000000001</v>
      </c>
      <c r="I127" s="8">
        <f>4.7104 * CHOOSE(CONTROL!$C$15, $D$11, 100%, $F$11)</f>
        <v>4.7103999999999999</v>
      </c>
      <c r="J127" s="4">
        <f>4.6499 * CHOOSE(CONTROL!$C$15, $D$11, 100%, $F$11)</f>
        <v>4.6498999999999997</v>
      </c>
      <c r="K127" s="4"/>
      <c r="L127" s="9">
        <v>27.3993</v>
      </c>
      <c r="M127" s="9">
        <v>12.063700000000001</v>
      </c>
      <c r="N127" s="9">
        <v>4.9444999999999997</v>
      </c>
      <c r="O127" s="9">
        <v>0.37459999999999999</v>
      </c>
      <c r="P127" s="9">
        <v>1.2939000000000001</v>
      </c>
      <c r="Q127" s="9">
        <v>32.254300000000001</v>
      </c>
      <c r="R127" s="9"/>
      <c r="S127" s="11"/>
    </row>
    <row r="128" spans="1:19" ht="15.75">
      <c r="A128" s="13">
        <v>45748</v>
      </c>
      <c r="B128" s="8">
        <f>4.9315 * CHOOSE(CONTROL!$C$15, $D$11, 100%, $F$11)</f>
        <v>4.9314999999999998</v>
      </c>
      <c r="C128" s="8">
        <f>4.9419 * CHOOSE(CONTROL!$C$15, $D$11, 100%, $F$11)</f>
        <v>4.9419000000000004</v>
      </c>
      <c r="D128" s="8">
        <f>4.9458 * CHOOSE( CONTROL!$C$15, $D$11, 100%, $F$11)</f>
        <v>4.9458000000000002</v>
      </c>
      <c r="E128" s="12">
        <f>4.9433 * CHOOSE( CONTROL!$C$15, $D$11, 100%, $F$11)</f>
        <v>4.9432999999999998</v>
      </c>
      <c r="F128" s="4">
        <f>5.9387 * CHOOSE(CONTROL!$C$15, $D$11, 100%, $F$11)</f>
        <v>5.9386999999999999</v>
      </c>
      <c r="G128" s="8">
        <f>4.8025 * CHOOSE( CONTROL!$C$15, $D$11, 100%, $F$11)</f>
        <v>4.8025000000000002</v>
      </c>
      <c r="H128" s="4">
        <f>5.7127 * CHOOSE(CONTROL!$C$15, $D$11, 100%, $F$11)</f>
        <v>5.7126999999999999</v>
      </c>
      <c r="I128" s="8">
        <f>4.7712 * CHOOSE(CONTROL!$C$15, $D$11, 100%, $F$11)</f>
        <v>4.7712000000000003</v>
      </c>
      <c r="J128" s="4">
        <f>4.7206 * CHOOSE(CONTROL!$C$15, $D$11, 100%, $F$11)</f>
        <v>4.7206000000000001</v>
      </c>
      <c r="K128" s="4"/>
      <c r="L128" s="9">
        <v>27.988800000000001</v>
      </c>
      <c r="M128" s="9">
        <v>11.6745</v>
      </c>
      <c r="N128" s="9">
        <v>4.7850000000000001</v>
      </c>
      <c r="O128" s="9">
        <v>0.36249999999999999</v>
      </c>
      <c r="P128" s="9">
        <v>1.1798</v>
      </c>
      <c r="Q128" s="9">
        <v>31.213799999999999</v>
      </c>
      <c r="R128" s="9"/>
      <c r="S128" s="11"/>
    </row>
    <row r="129" spans="1:19" ht="15.75">
      <c r="A129" s="13">
        <v>45778</v>
      </c>
      <c r="B129" s="8">
        <f>CHOOSE( CONTROL!$C$32, 5.0677, 5.0628) * CHOOSE(CONTROL!$C$15, $D$11, 100%, $F$11)</f>
        <v>5.0677000000000003</v>
      </c>
      <c r="C129" s="8">
        <f>CHOOSE( CONTROL!$C$32, 5.0781, 5.0732) * CHOOSE(CONTROL!$C$15, $D$11, 100%, $F$11)</f>
        <v>5.0781000000000001</v>
      </c>
      <c r="D129" s="8">
        <f>CHOOSE( CONTROL!$C$32, 5.0568, 5.0518) * CHOOSE( CONTROL!$C$15, $D$11, 100%, $F$11)</f>
        <v>5.0568</v>
      </c>
      <c r="E129" s="12">
        <f>CHOOSE( CONTROL!$C$32, 5.0629, 5.058) * CHOOSE( CONTROL!$C$15, $D$11, 100%, $F$11)</f>
        <v>5.0629</v>
      </c>
      <c r="F129" s="4">
        <f>CHOOSE( CONTROL!$C$32, 6.0426, 6.0377) * CHOOSE(CONTROL!$C$15, $D$11, 100%, $F$11)</f>
        <v>6.0426000000000002</v>
      </c>
      <c r="G129" s="8">
        <f>CHOOSE( CONTROL!$C$32, 4.9167, 4.9119) * CHOOSE( CONTROL!$C$15, $D$11, 100%, $F$11)</f>
        <v>4.9166999999999996</v>
      </c>
      <c r="H129" s="4">
        <f>CHOOSE( CONTROL!$C$32, 5.8139, 5.8091) * CHOOSE(CONTROL!$C$15, $D$11, 100%, $F$11)</f>
        <v>5.8139000000000003</v>
      </c>
      <c r="I129" s="8">
        <f>CHOOSE( CONTROL!$C$32, 4.8802, 4.8755) * CHOOSE(CONTROL!$C$15, $D$11, 100%, $F$11)</f>
        <v>4.8802000000000003</v>
      </c>
      <c r="J129" s="4">
        <f>CHOOSE( CONTROL!$C$32, 4.8511, 4.8464) * CHOOSE(CONTROL!$C$15, $D$11, 100%, $F$11)</f>
        <v>4.8510999999999997</v>
      </c>
      <c r="K129" s="4"/>
      <c r="L129" s="9">
        <v>29.520499999999998</v>
      </c>
      <c r="M129" s="9">
        <v>12.063700000000001</v>
      </c>
      <c r="N129" s="9">
        <v>4.9444999999999997</v>
      </c>
      <c r="O129" s="9">
        <v>0.37459999999999999</v>
      </c>
      <c r="P129" s="9">
        <v>1.2192000000000001</v>
      </c>
      <c r="Q129" s="9">
        <v>32.254300000000001</v>
      </c>
      <c r="R129" s="9"/>
      <c r="S129" s="11"/>
    </row>
    <row r="130" spans="1:19" ht="15.75">
      <c r="A130" s="13">
        <v>45809</v>
      </c>
      <c r="B130" s="8">
        <f>CHOOSE( CONTROL!$C$32, 4.9864, 4.9814) * CHOOSE(CONTROL!$C$15, $D$11, 100%, $F$11)</f>
        <v>4.9863999999999997</v>
      </c>
      <c r="C130" s="8">
        <f>CHOOSE( CONTROL!$C$32, 4.9968, 4.9919) * CHOOSE(CONTROL!$C$15, $D$11, 100%, $F$11)</f>
        <v>4.9968000000000004</v>
      </c>
      <c r="D130" s="8">
        <f>CHOOSE( CONTROL!$C$32, 4.9889, 4.984) * CHOOSE( CONTROL!$C$15, $D$11, 100%, $F$11)</f>
        <v>4.9889000000000001</v>
      </c>
      <c r="E130" s="12">
        <f>CHOOSE( CONTROL!$C$32, 4.9902, 4.9853) * CHOOSE( CONTROL!$C$15, $D$11, 100%, $F$11)</f>
        <v>4.9901999999999997</v>
      </c>
      <c r="F130" s="4">
        <f>CHOOSE( CONTROL!$C$32, 5.9806, 5.9756) * CHOOSE(CONTROL!$C$15, $D$11, 100%, $F$11)</f>
        <v>5.9805999999999999</v>
      </c>
      <c r="G130" s="8">
        <f>CHOOSE( CONTROL!$C$32, 4.8478, 4.843) * CHOOSE( CONTROL!$C$15, $D$11, 100%, $F$11)</f>
        <v>4.8478000000000003</v>
      </c>
      <c r="H130" s="4">
        <f>CHOOSE( CONTROL!$C$32, 5.7535, 5.7486) * CHOOSE(CONTROL!$C$15, $D$11, 100%, $F$11)</f>
        <v>5.7534999999999998</v>
      </c>
      <c r="I130" s="8">
        <f>CHOOSE( CONTROL!$C$32, 4.8201, 4.8154) * CHOOSE(CONTROL!$C$15, $D$11, 100%, $F$11)</f>
        <v>4.8201000000000001</v>
      </c>
      <c r="J130" s="4">
        <f>CHOOSE( CONTROL!$C$32, 4.7732, 4.7685) * CHOOSE(CONTROL!$C$15, $D$11, 100%, $F$11)</f>
        <v>4.7732000000000001</v>
      </c>
      <c r="K130" s="4"/>
      <c r="L130" s="9">
        <v>28.568200000000001</v>
      </c>
      <c r="M130" s="9">
        <v>11.6745</v>
      </c>
      <c r="N130" s="9">
        <v>4.7850000000000001</v>
      </c>
      <c r="O130" s="9">
        <v>0.36249999999999999</v>
      </c>
      <c r="P130" s="9">
        <v>1.1798</v>
      </c>
      <c r="Q130" s="9">
        <v>31.213799999999999</v>
      </c>
      <c r="R130" s="9"/>
      <c r="S130" s="11"/>
    </row>
    <row r="131" spans="1:19" ht="15.75">
      <c r="A131" s="13">
        <v>45839</v>
      </c>
      <c r="B131" s="8">
        <f>CHOOSE( CONTROL!$C$32, 5.2005, 5.1956) * CHOOSE(CONTROL!$C$15, $D$11, 100%, $F$11)</f>
        <v>5.2004999999999999</v>
      </c>
      <c r="C131" s="8">
        <f>CHOOSE( CONTROL!$C$32, 5.2109, 5.206) * CHOOSE(CONTROL!$C$15, $D$11, 100%, $F$11)</f>
        <v>5.2108999999999996</v>
      </c>
      <c r="D131" s="8">
        <f>CHOOSE( CONTROL!$C$32, 5.21, 5.205) * CHOOSE( CONTROL!$C$15, $D$11, 100%, $F$11)</f>
        <v>5.21</v>
      </c>
      <c r="E131" s="12">
        <f>CHOOSE( CONTROL!$C$32, 5.2087, 5.2038) * CHOOSE( CONTROL!$C$15, $D$11, 100%, $F$11)</f>
        <v>5.2087000000000003</v>
      </c>
      <c r="F131" s="4">
        <f>CHOOSE( CONTROL!$C$32, 6.2052, 6.2002) * CHOOSE(CONTROL!$C$15, $D$11, 100%, $F$11)</f>
        <v>6.2051999999999996</v>
      </c>
      <c r="G131" s="8">
        <f>CHOOSE( CONTROL!$C$32, 5.0607, 5.0559) * CHOOSE( CONTROL!$C$15, $D$11, 100%, $F$11)</f>
        <v>5.0606999999999998</v>
      </c>
      <c r="H131" s="4">
        <f>CHOOSE( CONTROL!$C$32, 5.9724, 5.9676) * CHOOSE(CONTROL!$C$15, $D$11, 100%, $F$11)</f>
        <v>5.9724000000000004</v>
      </c>
      <c r="I131" s="8">
        <f>CHOOSE( CONTROL!$C$32, 5.033, 5.0283) * CHOOSE(CONTROL!$C$15, $D$11, 100%, $F$11)</f>
        <v>5.0330000000000004</v>
      </c>
      <c r="J131" s="4">
        <f>CHOOSE( CONTROL!$C$32, 4.9784, 4.9736) * CHOOSE(CONTROL!$C$15, $D$11, 100%, $F$11)</f>
        <v>4.9783999999999997</v>
      </c>
      <c r="K131" s="4"/>
      <c r="L131" s="9">
        <v>29.520499999999998</v>
      </c>
      <c r="M131" s="9">
        <v>12.063700000000001</v>
      </c>
      <c r="N131" s="9">
        <v>4.9444999999999997</v>
      </c>
      <c r="O131" s="9">
        <v>0.37459999999999999</v>
      </c>
      <c r="P131" s="9">
        <v>1.2192000000000001</v>
      </c>
      <c r="Q131" s="9">
        <v>32.254300000000001</v>
      </c>
      <c r="R131" s="9"/>
      <c r="S131" s="11"/>
    </row>
    <row r="132" spans="1:19" ht="15.75">
      <c r="A132" s="13">
        <v>45870</v>
      </c>
      <c r="B132" s="8">
        <f>CHOOSE( CONTROL!$C$32, 4.7998, 4.7949) * CHOOSE(CONTROL!$C$15, $D$11, 100%, $F$11)</f>
        <v>4.7998000000000003</v>
      </c>
      <c r="C132" s="8">
        <f>CHOOSE( CONTROL!$C$32, 4.8103, 4.8053) * CHOOSE(CONTROL!$C$15, $D$11, 100%, $F$11)</f>
        <v>4.8102999999999998</v>
      </c>
      <c r="D132" s="8">
        <f>CHOOSE( CONTROL!$C$32, 4.8104, 4.8055) * CHOOSE( CONTROL!$C$15, $D$11, 100%, $F$11)</f>
        <v>4.8103999999999996</v>
      </c>
      <c r="E132" s="12">
        <f>CHOOSE( CONTROL!$C$32, 4.8088, 4.8038) * CHOOSE( CONTROL!$C$15, $D$11, 100%, $F$11)</f>
        <v>4.8087999999999997</v>
      </c>
      <c r="F132" s="4">
        <f>CHOOSE( CONTROL!$C$32, 5.8123, 5.8074) * CHOOSE(CONTROL!$C$15, $D$11, 100%, $F$11)</f>
        <v>5.8122999999999996</v>
      </c>
      <c r="G132" s="8">
        <f>CHOOSE( CONTROL!$C$32, 4.6653, 4.6605) * CHOOSE( CONTROL!$C$15, $D$11, 100%, $F$11)</f>
        <v>4.6653000000000002</v>
      </c>
      <c r="H132" s="4">
        <f>CHOOSE( CONTROL!$C$32, 5.5894, 5.5846) * CHOOSE(CONTROL!$C$15, $D$11, 100%, $F$11)</f>
        <v>5.5894000000000004</v>
      </c>
      <c r="I132" s="8">
        <f>CHOOSE( CONTROL!$C$32, 4.6399, 4.6351) * CHOOSE(CONTROL!$C$15, $D$11, 100%, $F$11)</f>
        <v>4.6398999999999999</v>
      </c>
      <c r="J132" s="4">
        <f>CHOOSE( CONTROL!$C$32, 4.5944, 4.5897) * CHOOSE(CONTROL!$C$15, $D$11, 100%, $F$11)</f>
        <v>4.5944000000000003</v>
      </c>
      <c r="K132" s="4"/>
      <c r="L132" s="9">
        <v>29.520499999999998</v>
      </c>
      <c r="M132" s="9">
        <v>12.063700000000001</v>
      </c>
      <c r="N132" s="9">
        <v>4.9444999999999997</v>
      </c>
      <c r="O132" s="9">
        <v>0.37459999999999999</v>
      </c>
      <c r="P132" s="9">
        <v>1.2192000000000001</v>
      </c>
      <c r="Q132" s="9">
        <v>32.254300000000001</v>
      </c>
      <c r="R132" s="9"/>
      <c r="S132" s="11"/>
    </row>
    <row r="133" spans="1:19" ht="15.75">
      <c r="A133" s="13">
        <v>45901</v>
      </c>
      <c r="B133" s="8">
        <f>CHOOSE( CONTROL!$C$32, 4.6995, 4.6946) * CHOOSE(CONTROL!$C$15, $D$11, 100%, $F$11)</f>
        <v>4.6994999999999996</v>
      </c>
      <c r="C133" s="8">
        <f>CHOOSE( CONTROL!$C$32, 4.7099, 4.705) * CHOOSE(CONTROL!$C$15, $D$11, 100%, $F$11)</f>
        <v>4.7099000000000002</v>
      </c>
      <c r="D133" s="8">
        <f>CHOOSE( CONTROL!$C$32, 4.7104, 4.7054) * CHOOSE( CONTROL!$C$15, $D$11, 100%, $F$11)</f>
        <v>4.7103999999999999</v>
      </c>
      <c r="E133" s="12">
        <f>CHOOSE( CONTROL!$C$32, 4.7086, 4.7037) * CHOOSE( CONTROL!$C$15, $D$11, 100%, $F$11)</f>
        <v>4.7085999999999997</v>
      </c>
      <c r="F133" s="4">
        <f>CHOOSE( CONTROL!$C$32, 5.712, 5.707) * CHOOSE(CONTROL!$C$15, $D$11, 100%, $F$11)</f>
        <v>5.7119999999999997</v>
      </c>
      <c r="G133" s="8">
        <f>CHOOSE( CONTROL!$C$32, 4.5679, 4.5631) * CHOOSE( CONTROL!$C$15, $D$11, 100%, $F$11)</f>
        <v>4.5678999999999998</v>
      </c>
      <c r="H133" s="4">
        <f>CHOOSE( CONTROL!$C$32, 5.4916, 5.4868) * CHOOSE(CONTROL!$C$15, $D$11, 100%, $F$11)</f>
        <v>5.4916</v>
      </c>
      <c r="I133" s="8">
        <f>CHOOSE( CONTROL!$C$32, 4.5451, 4.5404) * CHOOSE(CONTROL!$C$15, $D$11, 100%, $F$11)</f>
        <v>4.5450999999999997</v>
      </c>
      <c r="J133" s="4">
        <f>CHOOSE( CONTROL!$C$32, 4.4983, 4.4936) * CHOOSE(CONTROL!$C$15, $D$11, 100%, $F$11)</f>
        <v>4.4983000000000004</v>
      </c>
      <c r="K133" s="4"/>
      <c r="L133" s="9">
        <v>28.568200000000001</v>
      </c>
      <c r="M133" s="9">
        <v>11.6745</v>
      </c>
      <c r="N133" s="9">
        <v>4.7850000000000001</v>
      </c>
      <c r="O133" s="9">
        <v>0.36249999999999999</v>
      </c>
      <c r="P133" s="9">
        <v>1.1798</v>
      </c>
      <c r="Q133" s="9">
        <v>31.213799999999999</v>
      </c>
      <c r="R133" s="9"/>
      <c r="S133" s="11"/>
    </row>
    <row r="134" spans="1:19" ht="15.75">
      <c r="A134" s="13">
        <v>45931</v>
      </c>
      <c r="B134" s="8">
        <f>4.9029 * CHOOSE(CONTROL!$C$15, $D$11, 100%, $F$11)</f>
        <v>4.9028999999999998</v>
      </c>
      <c r="C134" s="8">
        <f>4.9133 * CHOOSE(CONTROL!$C$15, $D$11, 100%, $F$11)</f>
        <v>4.9132999999999996</v>
      </c>
      <c r="D134" s="8">
        <f>4.915 * CHOOSE( CONTROL!$C$15, $D$11, 100%, $F$11)</f>
        <v>4.915</v>
      </c>
      <c r="E134" s="12">
        <f>4.9133 * CHOOSE( CONTROL!$C$15, $D$11, 100%, $F$11)</f>
        <v>4.9132999999999996</v>
      </c>
      <c r="F134" s="4">
        <f>5.9154 * CHOOSE(CONTROL!$C$15, $D$11, 100%, $F$11)</f>
        <v>5.9154</v>
      </c>
      <c r="G134" s="8">
        <f>4.7658 * CHOOSE( CONTROL!$C$15, $D$11, 100%, $F$11)</f>
        <v>4.7657999999999996</v>
      </c>
      <c r="H134" s="4">
        <f>5.6899 * CHOOSE(CONTROL!$C$15, $D$11, 100%, $F$11)</f>
        <v>5.6898999999999997</v>
      </c>
      <c r="I134" s="8">
        <f>4.7424 * CHOOSE(CONTROL!$C$15, $D$11, 100%, $F$11)</f>
        <v>4.7423999999999999</v>
      </c>
      <c r="J134" s="4">
        <f>4.6932 * CHOOSE(CONTROL!$C$15, $D$11, 100%, $F$11)</f>
        <v>4.6932</v>
      </c>
      <c r="K134" s="4"/>
      <c r="L134" s="9">
        <v>28.921800000000001</v>
      </c>
      <c r="M134" s="9">
        <v>12.063700000000001</v>
      </c>
      <c r="N134" s="9">
        <v>4.9444999999999997</v>
      </c>
      <c r="O134" s="9">
        <v>0.37459999999999999</v>
      </c>
      <c r="P134" s="9">
        <v>1.2192000000000001</v>
      </c>
      <c r="Q134" s="9">
        <v>32.254300000000001</v>
      </c>
      <c r="R134" s="9"/>
      <c r="S134" s="11"/>
    </row>
    <row r="135" spans="1:19" ht="15.75">
      <c r="A135" s="13">
        <v>45962</v>
      </c>
      <c r="B135" s="8">
        <f>5.2874 * CHOOSE(CONTROL!$C$15, $D$11, 100%, $F$11)</f>
        <v>5.2873999999999999</v>
      </c>
      <c r="C135" s="8">
        <f>5.2979 * CHOOSE(CONTROL!$C$15, $D$11, 100%, $F$11)</f>
        <v>5.2979000000000003</v>
      </c>
      <c r="D135" s="8">
        <f>5.2789 * CHOOSE( CONTROL!$C$15, $D$11, 100%, $F$11)</f>
        <v>5.2789000000000001</v>
      </c>
      <c r="E135" s="12">
        <f>5.2847 * CHOOSE( CONTROL!$C$15, $D$11, 100%, $F$11)</f>
        <v>5.2847</v>
      </c>
      <c r="F135" s="4">
        <f>6.2842 * CHOOSE(CONTROL!$C$15, $D$11, 100%, $F$11)</f>
        <v>6.2842000000000002</v>
      </c>
      <c r="G135" s="8">
        <f>5.1636 * CHOOSE( CONTROL!$C$15, $D$11, 100%, $F$11)</f>
        <v>5.1635999999999997</v>
      </c>
      <c r="H135" s="4">
        <f>6.0495 * CHOOSE(CONTROL!$C$15, $D$11, 100%, $F$11)</f>
        <v>6.0495000000000001</v>
      </c>
      <c r="I135" s="8">
        <f>5.1575 * CHOOSE(CONTROL!$C$15, $D$11, 100%, $F$11)</f>
        <v>5.1574999999999998</v>
      </c>
      <c r="J135" s="4">
        <f>5.0617 * CHOOSE(CONTROL!$C$15, $D$11, 100%, $F$11)</f>
        <v>5.0617000000000001</v>
      </c>
      <c r="K135" s="4"/>
      <c r="L135" s="9">
        <v>26.515499999999999</v>
      </c>
      <c r="M135" s="9">
        <v>11.6745</v>
      </c>
      <c r="N135" s="9">
        <v>4.7850000000000001</v>
      </c>
      <c r="O135" s="9">
        <v>0.36249999999999999</v>
      </c>
      <c r="P135" s="9">
        <v>1.2522</v>
      </c>
      <c r="Q135" s="9">
        <v>31.213799999999999</v>
      </c>
      <c r="R135" s="9"/>
      <c r="S135" s="11"/>
    </row>
    <row r="136" spans="1:19" ht="15.75">
      <c r="A136" s="13">
        <v>45992</v>
      </c>
      <c r="B136" s="8">
        <f>5.2778 * CHOOSE(CONTROL!$C$15, $D$11, 100%, $F$11)</f>
        <v>5.2778</v>
      </c>
      <c r="C136" s="8">
        <f>5.2883 * CHOOSE(CONTROL!$C$15, $D$11, 100%, $F$11)</f>
        <v>5.2882999999999996</v>
      </c>
      <c r="D136" s="8">
        <f>5.2719 * CHOOSE( CONTROL!$C$15, $D$11, 100%, $F$11)</f>
        <v>5.2718999999999996</v>
      </c>
      <c r="E136" s="12">
        <f>5.2768 * CHOOSE( CONTROL!$C$15, $D$11, 100%, $F$11)</f>
        <v>5.2767999999999997</v>
      </c>
      <c r="F136" s="4">
        <f>6.2746 * CHOOSE(CONTROL!$C$15, $D$11, 100%, $F$11)</f>
        <v>6.2746000000000004</v>
      </c>
      <c r="G136" s="8">
        <f>5.1562 * CHOOSE( CONTROL!$C$15, $D$11, 100%, $F$11)</f>
        <v>5.1562000000000001</v>
      </c>
      <c r="H136" s="4">
        <f>6.0401 * CHOOSE(CONTROL!$C$15, $D$11, 100%, $F$11)</f>
        <v>6.0400999999999998</v>
      </c>
      <c r="I136" s="8">
        <f>5.1571 * CHOOSE(CONTROL!$C$15, $D$11, 100%, $F$11)</f>
        <v>5.1570999999999998</v>
      </c>
      <c r="J136" s="4">
        <f>5.0524 * CHOOSE(CONTROL!$C$15, $D$11, 100%, $F$11)</f>
        <v>5.0523999999999996</v>
      </c>
      <c r="K136" s="4"/>
      <c r="L136" s="9">
        <v>27.3993</v>
      </c>
      <c r="M136" s="9">
        <v>12.063700000000001</v>
      </c>
      <c r="N136" s="9">
        <v>4.9444999999999997</v>
      </c>
      <c r="O136" s="9">
        <v>0.37459999999999999</v>
      </c>
      <c r="P136" s="9">
        <v>1.2939000000000001</v>
      </c>
      <c r="Q136" s="9">
        <v>32.254300000000001</v>
      </c>
      <c r="R136" s="9"/>
      <c r="S136" s="11"/>
    </row>
    <row r="137" spans="1:19" ht="15.75">
      <c r="A137" s="13">
        <v>46023</v>
      </c>
      <c r="B137" s="8">
        <f>5.4804 * CHOOSE(CONTROL!$C$15, $D$11, 100%, $F$11)</f>
        <v>5.4804000000000004</v>
      </c>
      <c r="C137" s="8">
        <f>5.4909 * CHOOSE(CONTROL!$C$15, $D$11, 100%, $F$11)</f>
        <v>5.4908999999999999</v>
      </c>
      <c r="D137" s="8">
        <f>5.4895 * CHOOSE( CONTROL!$C$15, $D$11, 100%, $F$11)</f>
        <v>5.4894999999999996</v>
      </c>
      <c r="E137" s="12">
        <f>5.4889 * CHOOSE( CONTROL!$C$15, $D$11, 100%, $F$11)</f>
        <v>5.4889000000000001</v>
      </c>
      <c r="F137" s="4">
        <f>6.5034 * CHOOSE(CONTROL!$C$15, $D$11, 100%, $F$11)</f>
        <v>6.5034000000000001</v>
      </c>
      <c r="G137" s="8">
        <f>5.3705 * CHOOSE( CONTROL!$C$15, $D$11, 100%, $F$11)</f>
        <v>5.3704999999999998</v>
      </c>
      <c r="H137" s="4">
        <f>6.263 * CHOOSE(CONTROL!$C$15, $D$11, 100%, $F$11)</f>
        <v>6.2629999999999999</v>
      </c>
      <c r="I137" s="8">
        <f>5.3578 * CHOOSE(CONTROL!$C$15, $D$11, 100%, $F$11)</f>
        <v>5.3578000000000001</v>
      </c>
      <c r="J137" s="4">
        <f>5.2466 * CHOOSE(CONTROL!$C$15, $D$11, 100%, $F$11)</f>
        <v>5.2465999999999999</v>
      </c>
      <c r="K137" s="4"/>
      <c r="L137" s="9">
        <v>27.3993</v>
      </c>
      <c r="M137" s="9">
        <v>12.063700000000001</v>
      </c>
      <c r="N137" s="9">
        <v>4.9444999999999997</v>
      </c>
      <c r="O137" s="9">
        <v>0.37459999999999999</v>
      </c>
      <c r="P137" s="9">
        <v>1.2939000000000001</v>
      </c>
      <c r="Q137" s="9">
        <v>32.070099999999996</v>
      </c>
      <c r="R137" s="9"/>
      <c r="S137" s="11"/>
    </row>
    <row r="138" spans="1:19" ht="15.75">
      <c r="A138" s="13">
        <v>46054</v>
      </c>
      <c r="B138" s="8">
        <f>5.1265 * CHOOSE(CONTROL!$C$15, $D$11, 100%, $F$11)</f>
        <v>5.1265000000000001</v>
      </c>
      <c r="C138" s="8">
        <f>5.1369 * CHOOSE(CONTROL!$C$15, $D$11, 100%, $F$11)</f>
        <v>5.1368999999999998</v>
      </c>
      <c r="D138" s="8">
        <f>5.1377 * CHOOSE( CONTROL!$C$15, $D$11, 100%, $F$11)</f>
        <v>5.1376999999999997</v>
      </c>
      <c r="E138" s="12">
        <f>5.1363 * CHOOSE( CONTROL!$C$15, $D$11, 100%, $F$11)</f>
        <v>5.1363000000000003</v>
      </c>
      <c r="F138" s="4">
        <f>6.1415 * CHOOSE(CONTROL!$C$15, $D$11, 100%, $F$11)</f>
        <v>6.1414999999999997</v>
      </c>
      <c r="G138" s="8">
        <f>5.0253 * CHOOSE( CONTROL!$C$15, $D$11, 100%, $F$11)</f>
        <v>5.0252999999999997</v>
      </c>
      <c r="H138" s="4">
        <f>5.9104 * CHOOSE(CONTROL!$C$15, $D$11, 100%, $F$11)</f>
        <v>5.9104000000000001</v>
      </c>
      <c r="I138" s="8">
        <f>5.0075 * CHOOSE(CONTROL!$C$15, $D$11, 100%, $F$11)</f>
        <v>5.0075000000000003</v>
      </c>
      <c r="J138" s="4">
        <f>4.9074 * CHOOSE(CONTROL!$C$15, $D$11, 100%, $F$11)</f>
        <v>4.9074</v>
      </c>
      <c r="K138" s="4"/>
      <c r="L138" s="9">
        <v>24.747800000000002</v>
      </c>
      <c r="M138" s="9">
        <v>10.8962</v>
      </c>
      <c r="N138" s="9">
        <v>4.4660000000000002</v>
      </c>
      <c r="O138" s="9">
        <v>0.33829999999999999</v>
      </c>
      <c r="P138" s="9">
        <v>1.1687000000000001</v>
      </c>
      <c r="Q138" s="9">
        <v>28.9666</v>
      </c>
      <c r="R138" s="9"/>
      <c r="S138" s="11"/>
    </row>
    <row r="139" spans="1:19" ht="15.75">
      <c r="A139" s="13">
        <v>46082</v>
      </c>
      <c r="B139" s="8">
        <f>5.0174 * CHOOSE(CONTROL!$C$15, $D$11, 100%, $F$11)</f>
        <v>5.0174000000000003</v>
      </c>
      <c r="C139" s="8">
        <f>5.0279 * CHOOSE(CONTROL!$C$15, $D$11, 100%, $F$11)</f>
        <v>5.0278999999999998</v>
      </c>
      <c r="D139" s="8">
        <f>5.0084 * CHOOSE( CONTROL!$C$15, $D$11, 100%, $F$11)</f>
        <v>5.0084</v>
      </c>
      <c r="E139" s="12">
        <f>5.0144 * CHOOSE( CONTROL!$C$15, $D$11, 100%, $F$11)</f>
        <v>5.0144000000000002</v>
      </c>
      <c r="F139" s="4">
        <f>6.0163 * CHOOSE(CONTROL!$C$15, $D$11, 100%, $F$11)</f>
        <v>6.0163000000000002</v>
      </c>
      <c r="G139" s="8">
        <f>4.8983 * CHOOSE( CONTROL!$C$15, $D$11, 100%, $F$11)</f>
        <v>4.8982999999999999</v>
      </c>
      <c r="H139" s="4">
        <f>5.7883 * CHOOSE(CONTROL!$C$15, $D$11, 100%, $F$11)</f>
        <v>5.7882999999999996</v>
      </c>
      <c r="I139" s="8">
        <f>4.8635 * CHOOSE(CONTROL!$C$15, $D$11, 100%, $F$11)</f>
        <v>4.8635000000000002</v>
      </c>
      <c r="J139" s="4">
        <f>4.803 * CHOOSE(CONTROL!$C$15, $D$11, 100%, $F$11)</f>
        <v>4.8029999999999999</v>
      </c>
      <c r="K139" s="4"/>
      <c r="L139" s="9">
        <v>27.3993</v>
      </c>
      <c r="M139" s="9">
        <v>12.063700000000001</v>
      </c>
      <c r="N139" s="9">
        <v>4.9444999999999997</v>
      </c>
      <c r="O139" s="9">
        <v>0.37459999999999999</v>
      </c>
      <c r="P139" s="9">
        <v>1.2939000000000001</v>
      </c>
      <c r="Q139" s="9">
        <v>32.070099999999996</v>
      </c>
      <c r="R139" s="9"/>
      <c r="S139" s="11"/>
    </row>
    <row r="140" spans="1:19" ht="15.75">
      <c r="A140" s="13">
        <v>46113</v>
      </c>
      <c r="B140" s="8">
        <f>5.0936 * CHOOSE(CONTROL!$C$15, $D$11, 100%, $F$11)</f>
        <v>5.0936000000000003</v>
      </c>
      <c r="C140" s="8">
        <f>5.1041 * CHOOSE(CONTROL!$C$15, $D$11, 100%, $F$11)</f>
        <v>5.1040999999999999</v>
      </c>
      <c r="D140" s="8">
        <f>5.1079 * CHOOSE( CONTROL!$C$15, $D$11, 100%, $F$11)</f>
        <v>5.1078999999999999</v>
      </c>
      <c r="E140" s="12">
        <f>5.1054 * CHOOSE( CONTROL!$C$15, $D$11, 100%, $F$11)</f>
        <v>5.1054000000000004</v>
      </c>
      <c r="F140" s="4">
        <f>6.1009 * CHOOSE(CONTROL!$C$15, $D$11, 100%, $F$11)</f>
        <v>6.1009000000000002</v>
      </c>
      <c r="G140" s="8">
        <f>4.9605 * CHOOSE( CONTROL!$C$15, $D$11, 100%, $F$11)</f>
        <v>4.9604999999999997</v>
      </c>
      <c r="H140" s="4">
        <f>5.8707 * CHOOSE(CONTROL!$C$15, $D$11, 100%, $F$11)</f>
        <v>5.8707000000000003</v>
      </c>
      <c r="I140" s="8">
        <f>4.9266 * CHOOSE(CONTROL!$C$15, $D$11, 100%, $F$11)</f>
        <v>4.9265999999999996</v>
      </c>
      <c r="J140" s="4">
        <f>4.876 * CHOOSE(CONTROL!$C$15, $D$11, 100%, $F$11)</f>
        <v>4.8760000000000003</v>
      </c>
      <c r="K140" s="4"/>
      <c r="L140" s="9">
        <v>27.988800000000001</v>
      </c>
      <c r="M140" s="9">
        <v>11.6745</v>
      </c>
      <c r="N140" s="9">
        <v>4.7850000000000001</v>
      </c>
      <c r="O140" s="9">
        <v>0.36249999999999999</v>
      </c>
      <c r="P140" s="9">
        <v>1.1798</v>
      </c>
      <c r="Q140" s="9">
        <v>31.035599999999999</v>
      </c>
      <c r="R140" s="9"/>
      <c r="S140" s="11"/>
    </row>
    <row r="141" spans="1:19" ht="15.75">
      <c r="A141" s="13">
        <v>46143</v>
      </c>
      <c r="B141" s="8">
        <f>CHOOSE( CONTROL!$C$32, 5.2341, 5.2292) * CHOOSE(CONTROL!$C$15, $D$11, 100%, $F$11)</f>
        <v>5.2340999999999998</v>
      </c>
      <c r="C141" s="8">
        <f>CHOOSE( CONTROL!$C$32, 5.2446, 5.2397) * CHOOSE(CONTROL!$C$15, $D$11, 100%, $F$11)</f>
        <v>5.2446000000000002</v>
      </c>
      <c r="D141" s="8">
        <f>CHOOSE( CONTROL!$C$32, 5.2232, 5.2183) * CHOOSE( CONTROL!$C$15, $D$11, 100%, $F$11)</f>
        <v>5.2232000000000003</v>
      </c>
      <c r="E141" s="12">
        <f>CHOOSE( CONTROL!$C$32, 5.2294, 5.2245) * CHOOSE( CONTROL!$C$15, $D$11, 100%, $F$11)</f>
        <v>5.2294</v>
      </c>
      <c r="F141" s="4">
        <f>CHOOSE( CONTROL!$C$32, 6.209, 6.2041) * CHOOSE(CONTROL!$C$15, $D$11, 100%, $F$11)</f>
        <v>6.2089999999999996</v>
      </c>
      <c r="G141" s="8">
        <f>CHOOSE( CONTROL!$C$32, 5.0789, 5.0741) * CHOOSE( CONTROL!$C$15, $D$11, 100%, $F$11)</f>
        <v>5.0789</v>
      </c>
      <c r="H141" s="4">
        <f>CHOOSE( CONTROL!$C$32, 5.9762, 5.9714) * CHOOSE(CONTROL!$C$15, $D$11, 100%, $F$11)</f>
        <v>5.9762000000000004</v>
      </c>
      <c r="I141" s="8">
        <f>CHOOSE( CONTROL!$C$32, 5.0398, 5.0351) * CHOOSE(CONTROL!$C$15, $D$11, 100%, $F$11)</f>
        <v>5.0397999999999996</v>
      </c>
      <c r="J141" s="4">
        <f>CHOOSE( CONTROL!$C$32, 5.0106, 5.0059) * CHOOSE(CONTROL!$C$15, $D$11, 100%, $F$11)</f>
        <v>5.0106000000000002</v>
      </c>
      <c r="K141" s="4"/>
      <c r="L141" s="9">
        <v>29.520499999999998</v>
      </c>
      <c r="M141" s="9">
        <v>12.063700000000001</v>
      </c>
      <c r="N141" s="9">
        <v>4.9444999999999997</v>
      </c>
      <c r="O141" s="9">
        <v>0.37459999999999999</v>
      </c>
      <c r="P141" s="9">
        <v>1.2192000000000001</v>
      </c>
      <c r="Q141" s="9">
        <v>32.070099999999996</v>
      </c>
      <c r="R141" s="9"/>
      <c r="S141" s="11"/>
    </row>
    <row r="142" spans="1:19" ht="15.75">
      <c r="A142" s="13">
        <v>46174</v>
      </c>
      <c r="B142" s="8">
        <f>CHOOSE( CONTROL!$C$32, 5.1502, 5.1452) * CHOOSE(CONTROL!$C$15, $D$11, 100%, $F$11)</f>
        <v>5.1501999999999999</v>
      </c>
      <c r="C142" s="8">
        <f>CHOOSE( CONTROL!$C$32, 5.1606, 5.1557) * CHOOSE(CONTROL!$C$15, $D$11, 100%, $F$11)</f>
        <v>5.1605999999999996</v>
      </c>
      <c r="D142" s="8">
        <f>CHOOSE( CONTROL!$C$32, 5.1527, 5.1478) * CHOOSE( CONTROL!$C$15, $D$11, 100%, $F$11)</f>
        <v>5.1527000000000003</v>
      </c>
      <c r="E142" s="12">
        <f>CHOOSE( CONTROL!$C$32, 5.154, 5.1491) * CHOOSE( CONTROL!$C$15, $D$11, 100%, $F$11)</f>
        <v>5.1539999999999999</v>
      </c>
      <c r="F142" s="4">
        <f>CHOOSE( CONTROL!$C$32, 6.1444, 6.1394) * CHOOSE(CONTROL!$C$15, $D$11, 100%, $F$11)</f>
        <v>6.1444000000000001</v>
      </c>
      <c r="G142" s="8">
        <f>CHOOSE( CONTROL!$C$32, 5.0075, 5.0027) * CHOOSE( CONTROL!$C$15, $D$11, 100%, $F$11)</f>
        <v>5.0075000000000003</v>
      </c>
      <c r="H142" s="4">
        <f>CHOOSE( CONTROL!$C$32, 5.9131, 5.9083) * CHOOSE(CONTROL!$C$15, $D$11, 100%, $F$11)</f>
        <v>5.9131</v>
      </c>
      <c r="I142" s="8">
        <f>CHOOSE( CONTROL!$C$32, 4.9771, 4.9724) * CHOOSE(CONTROL!$C$15, $D$11, 100%, $F$11)</f>
        <v>4.9771000000000001</v>
      </c>
      <c r="J142" s="4">
        <f>CHOOSE( CONTROL!$C$32, 4.9301, 4.9254) * CHOOSE(CONTROL!$C$15, $D$11, 100%, $F$11)</f>
        <v>4.9301000000000004</v>
      </c>
      <c r="K142" s="4"/>
      <c r="L142" s="9">
        <v>28.568200000000001</v>
      </c>
      <c r="M142" s="9">
        <v>11.6745</v>
      </c>
      <c r="N142" s="9">
        <v>4.7850000000000001</v>
      </c>
      <c r="O142" s="9">
        <v>0.36249999999999999</v>
      </c>
      <c r="P142" s="9">
        <v>1.1798</v>
      </c>
      <c r="Q142" s="9">
        <v>31.035599999999999</v>
      </c>
      <c r="R142" s="9"/>
      <c r="S142" s="11"/>
    </row>
    <row r="143" spans="1:19" ht="15.75">
      <c r="A143" s="13">
        <v>46204</v>
      </c>
      <c r="B143" s="8">
        <f>CHOOSE( CONTROL!$C$32, 5.3713, 5.3664) * CHOOSE(CONTROL!$C$15, $D$11, 100%, $F$11)</f>
        <v>5.3712999999999997</v>
      </c>
      <c r="C143" s="8">
        <f>CHOOSE( CONTROL!$C$32, 5.3818, 5.3768) * CHOOSE(CONTROL!$C$15, $D$11, 100%, $F$11)</f>
        <v>5.3818000000000001</v>
      </c>
      <c r="D143" s="8">
        <f>CHOOSE( CONTROL!$C$32, 5.3808, 5.3758) * CHOOSE( CONTROL!$C$15, $D$11, 100%, $F$11)</f>
        <v>5.3807999999999998</v>
      </c>
      <c r="E143" s="12">
        <f>CHOOSE( CONTROL!$C$32, 5.3796, 5.3746) * CHOOSE( CONTROL!$C$15, $D$11, 100%, $F$11)</f>
        <v>5.3795999999999999</v>
      </c>
      <c r="F143" s="4">
        <f>CHOOSE( CONTROL!$C$32, 6.376, 6.3711) * CHOOSE(CONTROL!$C$15, $D$11, 100%, $F$11)</f>
        <v>6.3760000000000003</v>
      </c>
      <c r="G143" s="8">
        <f>CHOOSE( CONTROL!$C$32, 5.2272, 5.2224) * CHOOSE( CONTROL!$C$15, $D$11, 100%, $F$11)</f>
        <v>5.2271999999999998</v>
      </c>
      <c r="H143" s="4">
        <f>CHOOSE( CONTROL!$C$32, 6.1389, 6.1341) * CHOOSE(CONTROL!$C$15, $D$11, 100%, $F$11)</f>
        <v>6.1388999999999996</v>
      </c>
      <c r="I143" s="8">
        <f>CHOOSE( CONTROL!$C$32, 5.1968, 5.1921) * CHOOSE(CONTROL!$C$15, $D$11, 100%, $F$11)</f>
        <v>5.1967999999999996</v>
      </c>
      <c r="J143" s="4">
        <f>CHOOSE( CONTROL!$C$32, 5.1421, 5.1373) * CHOOSE(CONTROL!$C$15, $D$11, 100%, $F$11)</f>
        <v>5.1421000000000001</v>
      </c>
      <c r="K143" s="4"/>
      <c r="L143" s="9">
        <v>29.520499999999998</v>
      </c>
      <c r="M143" s="9">
        <v>12.063700000000001</v>
      </c>
      <c r="N143" s="9">
        <v>4.9444999999999997</v>
      </c>
      <c r="O143" s="9">
        <v>0.37459999999999999</v>
      </c>
      <c r="P143" s="9">
        <v>1.2192000000000001</v>
      </c>
      <c r="Q143" s="9">
        <v>32.070099999999996</v>
      </c>
      <c r="R143" s="9"/>
      <c r="S143" s="11"/>
    </row>
    <row r="144" spans="1:19" ht="15.75">
      <c r="A144" s="13">
        <v>46235</v>
      </c>
      <c r="B144" s="8">
        <f>CHOOSE( CONTROL!$C$32, 4.9575, 4.9525) * CHOOSE(CONTROL!$C$15, $D$11, 100%, $F$11)</f>
        <v>4.9574999999999996</v>
      </c>
      <c r="C144" s="8">
        <f>CHOOSE( CONTROL!$C$32, 4.9679, 4.963) * CHOOSE(CONTROL!$C$15, $D$11, 100%, $F$11)</f>
        <v>4.9679000000000002</v>
      </c>
      <c r="D144" s="8">
        <f>CHOOSE( CONTROL!$C$32, 4.9681, 4.9631) * CHOOSE( CONTROL!$C$15, $D$11, 100%, $F$11)</f>
        <v>4.9680999999999997</v>
      </c>
      <c r="E144" s="12">
        <f>CHOOSE( CONTROL!$C$32, 4.9664, 4.9615) * CHOOSE( CONTROL!$C$15, $D$11, 100%, $F$11)</f>
        <v>4.9664000000000001</v>
      </c>
      <c r="F144" s="4">
        <f>CHOOSE( CONTROL!$C$32, 5.9699, 5.965) * CHOOSE(CONTROL!$C$15, $D$11, 100%, $F$11)</f>
        <v>5.9699</v>
      </c>
      <c r="G144" s="8">
        <f>CHOOSE( CONTROL!$C$32, 4.8189, 4.8141) * CHOOSE( CONTROL!$C$15, $D$11, 100%, $F$11)</f>
        <v>4.8189000000000002</v>
      </c>
      <c r="H144" s="4">
        <f>CHOOSE( CONTROL!$C$32, 5.7431, 5.7383) * CHOOSE(CONTROL!$C$15, $D$11, 100%, $F$11)</f>
        <v>5.7431000000000001</v>
      </c>
      <c r="I144" s="8">
        <f>CHOOSE( CONTROL!$C$32, 4.791, 4.7863) * CHOOSE(CONTROL!$C$15, $D$11, 100%, $F$11)</f>
        <v>4.7910000000000004</v>
      </c>
      <c r="J144" s="4">
        <f>CHOOSE( CONTROL!$C$32, 4.7455, 4.7408) * CHOOSE(CONTROL!$C$15, $D$11, 100%, $F$11)</f>
        <v>4.7454999999999998</v>
      </c>
      <c r="K144" s="4"/>
      <c r="L144" s="9">
        <v>29.520499999999998</v>
      </c>
      <c r="M144" s="9">
        <v>12.063700000000001</v>
      </c>
      <c r="N144" s="9">
        <v>4.9444999999999997</v>
      </c>
      <c r="O144" s="9">
        <v>0.37459999999999999</v>
      </c>
      <c r="P144" s="9">
        <v>1.2192000000000001</v>
      </c>
      <c r="Q144" s="9">
        <v>32.070099999999996</v>
      </c>
      <c r="R144" s="9"/>
      <c r="S144" s="11"/>
    </row>
    <row r="145" spans="1:19" ht="15.75">
      <c r="A145" s="13">
        <v>46266</v>
      </c>
      <c r="B145" s="8">
        <f>CHOOSE( CONTROL!$C$32, 4.8538, 4.8489) * CHOOSE(CONTROL!$C$15, $D$11, 100%, $F$11)</f>
        <v>4.8537999999999997</v>
      </c>
      <c r="C145" s="8">
        <f>CHOOSE( CONTROL!$C$32, 4.8643, 4.8593) * CHOOSE(CONTROL!$C$15, $D$11, 100%, $F$11)</f>
        <v>4.8643000000000001</v>
      </c>
      <c r="D145" s="8">
        <f>CHOOSE( CONTROL!$C$32, 4.8647, 4.8598) * CHOOSE( CONTROL!$C$15, $D$11, 100%, $F$11)</f>
        <v>4.8647</v>
      </c>
      <c r="E145" s="12">
        <f>CHOOSE( CONTROL!$C$32, 4.863, 4.858) * CHOOSE( CONTROL!$C$15, $D$11, 100%, $F$11)</f>
        <v>4.8630000000000004</v>
      </c>
      <c r="F145" s="4">
        <f>CHOOSE( CONTROL!$C$32, 5.8663, 5.8614) * CHOOSE(CONTROL!$C$15, $D$11, 100%, $F$11)</f>
        <v>5.8662999999999998</v>
      </c>
      <c r="G145" s="8">
        <f>CHOOSE( CONTROL!$C$32, 4.7183, 4.7135) * CHOOSE( CONTROL!$C$15, $D$11, 100%, $F$11)</f>
        <v>4.7183000000000002</v>
      </c>
      <c r="H145" s="4">
        <f>CHOOSE( CONTROL!$C$32, 5.6421, 5.6373) * CHOOSE(CONTROL!$C$15, $D$11, 100%, $F$11)</f>
        <v>5.6421000000000001</v>
      </c>
      <c r="I145" s="8">
        <f>CHOOSE( CONTROL!$C$32, 4.6931, 4.6883) * CHOOSE(CONTROL!$C$15, $D$11, 100%, $F$11)</f>
        <v>4.6931000000000003</v>
      </c>
      <c r="J145" s="4">
        <f>CHOOSE( CONTROL!$C$32, 4.6462, 4.6415) * CHOOSE(CONTROL!$C$15, $D$11, 100%, $F$11)</f>
        <v>4.6462000000000003</v>
      </c>
      <c r="K145" s="4"/>
      <c r="L145" s="9">
        <v>28.568200000000001</v>
      </c>
      <c r="M145" s="9">
        <v>11.6745</v>
      </c>
      <c r="N145" s="9">
        <v>4.7850000000000001</v>
      </c>
      <c r="O145" s="9">
        <v>0.36249999999999999</v>
      </c>
      <c r="P145" s="9">
        <v>1.1798</v>
      </c>
      <c r="Q145" s="9">
        <v>31.035599999999999</v>
      </c>
      <c r="R145" s="9"/>
      <c r="S145" s="11"/>
    </row>
    <row r="146" spans="1:19" ht="15.75">
      <c r="A146" s="13">
        <v>46296</v>
      </c>
      <c r="B146" s="8">
        <f>5.0641 * CHOOSE(CONTROL!$C$15, $D$11, 100%, $F$11)</f>
        <v>5.0640999999999998</v>
      </c>
      <c r="C146" s="8">
        <f>5.0745 * CHOOSE(CONTROL!$C$15, $D$11, 100%, $F$11)</f>
        <v>5.0744999999999996</v>
      </c>
      <c r="D146" s="8">
        <f>5.0762 * CHOOSE( CONTROL!$C$15, $D$11, 100%, $F$11)</f>
        <v>5.0762</v>
      </c>
      <c r="E146" s="12">
        <f>5.0745 * CHOOSE( CONTROL!$C$15, $D$11, 100%, $F$11)</f>
        <v>5.0744999999999996</v>
      </c>
      <c r="F146" s="4">
        <f>6.0766 * CHOOSE(CONTROL!$C$15, $D$11, 100%, $F$11)</f>
        <v>6.0766</v>
      </c>
      <c r="G146" s="8">
        <f>4.9229 * CHOOSE( CONTROL!$C$15, $D$11, 100%, $F$11)</f>
        <v>4.9229000000000003</v>
      </c>
      <c r="H146" s="4">
        <f>5.847 * CHOOSE(CONTROL!$C$15, $D$11, 100%, $F$11)</f>
        <v>5.8470000000000004</v>
      </c>
      <c r="I146" s="8">
        <f>4.8969 * CHOOSE(CONTROL!$C$15, $D$11, 100%, $F$11)</f>
        <v>4.8968999999999996</v>
      </c>
      <c r="J146" s="4">
        <f>4.8477 * CHOOSE(CONTROL!$C$15, $D$11, 100%, $F$11)</f>
        <v>4.8476999999999997</v>
      </c>
      <c r="K146" s="4"/>
      <c r="L146" s="9">
        <v>28.921800000000001</v>
      </c>
      <c r="M146" s="9">
        <v>12.063700000000001</v>
      </c>
      <c r="N146" s="9">
        <v>4.9444999999999997</v>
      </c>
      <c r="O146" s="9">
        <v>0.37459999999999999</v>
      </c>
      <c r="P146" s="9">
        <v>1.2192000000000001</v>
      </c>
      <c r="Q146" s="9">
        <v>32.070099999999996</v>
      </c>
      <c r="R146" s="9"/>
      <c r="S146" s="11"/>
    </row>
    <row r="147" spans="1:19" ht="15.75">
      <c r="A147" s="13">
        <v>46327</v>
      </c>
      <c r="B147" s="8">
        <f>5.4613 * CHOOSE(CONTROL!$C$15, $D$11, 100%, $F$11)</f>
        <v>5.4612999999999996</v>
      </c>
      <c r="C147" s="8">
        <f>5.4717 * CHOOSE(CONTROL!$C$15, $D$11, 100%, $F$11)</f>
        <v>5.4717000000000002</v>
      </c>
      <c r="D147" s="8">
        <f>5.4528 * CHOOSE( CONTROL!$C$15, $D$11, 100%, $F$11)</f>
        <v>5.4527999999999999</v>
      </c>
      <c r="E147" s="12">
        <f>5.4586 * CHOOSE( CONTROL!$C$15, $D$11, 100%, $F$11)</f>
        <v>5.4585999999999997</v>
      </c>
      <c r="F147" s="4">
        <f>6.4581 * CHOOSE(CONTROL!$C$15, $D$11, 100%, $F$11)</f>
        <v>6.4581</v>
      </c>
      <c r="G147" s="8">
        <f>5.333 * CHOOSE( CONTROL!$C$15, $D$11, 100%, $F$11)</f>
        <v>5.3330000000000002</v>
      </c>
      <c r="H147" s="4">
        <f>6.2189 * CHOOSE(CONTROL!$C$15, $D$11, 100%, $F$11)</f>
        <v>6.2188999999999997</v>
      </c>
      <c r="I147" s="8">
        <f>5.3242 * CHOOSE(CONTROL!$C$15, $D$11, 100%, $F$11)</f>
        <v>5.3242000000000003</v>
      </c>
      <c r="J147" s="4">
        <f>5.2282 * CHOOSE(CONTROL!$C$15, $D$11, 100%, $F$11)</f>
        <v>5.2282000000000002</v>
      </c>
      <c r="K147" s="4"/>
      <c r="L147" s="9">
        <v>26.515499999999999</v>
      </c>
      <c r="M147" s="9">
        <v>11.6745</v>
      </c>
      <c r="N147" s="9">
        <v>4.7850000000000001</v>
      </c>
      <c r="O147" s="9">
        <v>0.36249999999999999</v>
      </c>
      <c r="P147" s="9">
        <v>1.2522</v>
      </c>
      <c r="Q147" s="9">
        <v>31.035599999999999</v>
      </c>
      <c r="R147" s="9"/>
      <c r="S147" s="11"/>
    </row>
    <row r="148" spans="1:19" ht="15.75">
      <c r="A148" s="13">
        <v>46357</v>
      </c>
      <c r="B148" s="8">
        <f>5.4514 * CHOOSE(CONTROL!$C$15, $D$11, 100%, $F$11)</f>
        <v>5.4513999999999996</v>
      </c>
      <c r="C148" s="8">
        <f>5.4618 * CHOOSE(CONTROL!$C$15, $D$11, 100%, $F$11)</f>
        <v>5.4618000000000002</v>
      </c>
      <c r="D148" s="8">
        <f>5.4454 * CHOOSE( CONTROL!$C$15, $D$11, 100%, $F$11)</f>
        <v>5.4454000000000002</v>
      </c>
      <c r="E148" s="12">
        <f>5.4503 * CHOOSE( CONTROL!$C$15, $D$11, 100%, $F$11)</f>
        <v>5.4503000000000004</v>
      </c>
      <c r="F148" s="4">
        <f>6.4482 * CHOOSE(CONTROL!$C$15, $D$11, 100%, $F$11)</f>
        <v>6.4481999999999999</v>
      </c>
      <c r="G148" s="8">
        <f>5.3253 * CHOOSE( CONTROL!$C$15, $D$11, 100%, $F$11)</f>
        <v>5.3253000000000004</v>
      </c>
      <c r="H148" s="4">
        <f>6.2093 * CHOOSE(CONTROL!$C$15, $D$11, 100%, $F$11)</f>
        <v>6.2092999999999998</v>
      </c>
      <c r="I148" s="8">
        <f>5.3235 * CHOOSE(CONTROL!$C$15, $D$11, 100%, $F$11)</f>
        <v>5.3235000000000001</v>
      </c>
      <c r="J148" s="4">
        <f>5.2187 * CHOOSE(CONTROL!$C$15, $D$11, 100%, $F$11)</f>
        <v>5.2187000000000001</v>
      </c>
      <c r="K148" s="4"/>
      <c r="L148" s="9">
        <v>27.3993</v>
      </c>
      <c r="M148" s="9">
        <v>12.063700000000001</v>
      </c>
      <c r="N148" s="9">
        <v>4.9444999999999997</v>
      </c>
      <c r="O148" s="9">
        <v>0.37459999999999999</v>
      </c>
      <c r="P148" s="9">
        <v>1.2939000000000001</v>
      </c>
      <c r="Q148" s="9">
        <v>32.070099999999996</v>
      </c>
      <c r="R148" s="9"/>
      <c r="S148" s="11"/>
    </row>
    <row r="149" spans="1:19" ht="15.75">
      <c r="A149" s="13">
        <v>46388</v>
      </c>
      <c r="B149" s="8">
        <f>5.6598 * CHOOSE(CONTROL!$C$15, $D$11, 100%, $F$11)</f>
        <v>5.6597999999999997</v>
      </c>
      <c r="C149" s="8">
        <f>5.6702 * CHOOSE(CONTROL!$C$15, $D$11, 100%, $F$11)</f>
        <v>5.6702000000000004</v>
      </c>
      <c r="D149" s="8">
        <f>5.6688 * CHOOSE( CONTROL!$C$15, $D$11, 100%, $F$11)</f>
        <v>5.6688000000000001</v>
      </c>
      <c r="E149" s="12">
        <f>5.6682 * CHOOSE( CONTROL!$C$15, $D$11, 100%, $F$11)</f>
        <v>5.6681999999999997</v>
      </c>
      <c r="F149" s="4">
        <f>6.6827 * CHOOSE(CONTROL!$C$15, $D$11, 100%, $F$11)</f>
        <v>6.6826999999999996</v>
      </c>
      <c r="G149" s="8">
        <f>5.5453 * CHOOSE( CONTROL!$C$15, $D$11, 100%, $F$11)</f>
        <v>5.5453000000000001</v>
      </c>
      <c r="H149" s="4">
        <f>6.4378 * CHOOSE(CONTROL!$C$15, $D$11, 100%, $F$11)</f>
        <v>6.4378000000000002</v>
      </c>
      <c r="I149" s="8">
        <f>5.5297 * CHOOSE(CONTROL!$C$15, $D$11, 100%, $F$11)</f>
        <v>5.5297000000000001</v>
      </c>
      <c r="J149" s="4">
        <f>5.4184 * CHOOSE(CONTROL!$C$15, $D$11, 100%, $F$11)</f>
        <v>5.4184000000000001</v>
      </c>
      <c r="K149" s="4"/>
      <c r="L149" s="9">
        <v>27.3993</v>
      </c>
      <c r="M149" s="9">
        <v>12.063700000000001</v>
      </c>
      <c r="N149" s="9">
        <v>4.9444999999999997</v>
      </c>
      <c r="O149" s="9">
        <v>0.37459999999999999</v>
      </c>
      <c r="P149" s="9">
        <v>1.2939000000000001</v>
      </c>
      <c r="Q149" s="9">
        <v>31.885999999999999</v>
      </c>
      <c r="R149" s="9"/>
      <c r="S149" s="11"/>
    </row>
    <row r="150" spans="1:19" ht="15.75">
      <c r="A150" s="13">
        <v>46419</v>
      </c>
      <c r="B150" s="8">
        <f>5.2942 * CHOOSE(CONTROL!$C$15, $D$11, 100%, $F$11)</f>
        <v>5.2942</v>
      </c>
      <c r="C150" s="8">
        <f>5.3046 * CHOOSE(CONTROL!$C$15, $D$11, 100%, $F$11)</f>
        <v>5.3045999999999998</v>
      </c>
      <c r="D150" s="8">
        <f>5.3054 * CHOOSE( CONTROL!$C$15, $D$11, 100%, $F$11)</f>
        <v>5.3053999999999997</v>
      </c>
      <c r="E150" s="12">
        <f>5.304 * CHOOSE( CONTROL!$C$15, $D$11, 100%, $F$11)</f>
        <v>5.3040000000000003</v>
      </c>
      <c r="F150" s="4">
        <f>6.3093 * CHOOSE(CONTROL!$C$15, $D$11, 100%, $F$11)</f>
        <v>6.3093000000000004</v>
      </c>
      <c r="G150" s="8">
        <f>5.1888 * CHOOSE( CONTROL!$C$15, $D$11, 100%, $F$11)</f>
        <v>5.1887999999999996</v>
      </c>
      <c r="H150" s="4">
        <f>6.0739 * CHOOSE(CONTROL!$C$15, $D$11, 100%, $F$11)</f>
        <v>6.0739000000000001</v>
      </c>
      <c r="I150" s="8">
        <f>5.1683 * CHOOSE(CONTROL!$C$15, $D$11, 100%, $F$11)</f>
        <v>5.1683000000000003</v>
      </c>
      <c r="J150" s="4">
        <f>5.0681 * CHOOSE(CONTROL!$C$15, $D$11, 100%, $F$11)</f>
        <v>5.0681000000000003</v>
      </c>
      <c r="K150" s="4"/>
      <c r="L150" s="9">
        <v>24.747800000000002</v>
      </c>
      <c r="M150" s="9">
        <v>10.8962</v>
      </c>
      <c r="N150" s="9">
        <v>4.4660000000000002</v>
      </c>
      <c r="O150" s="9">
        <v>0.33829999999999999</v>
      </c>
      <c r="P150" s="9">
        <v>1.1687000000000001</v>
      </c>
      <c r="Q150" s="9">
        <v>28.8002</v>
      </c>
      <c r="R150" s="9"/>
      <c r="S150" s="11"/>
    </row>
    <row r="151" spans="1:19" ht="15.75">
      <c r="A151" s="13">
        <v>46447</v>
      </c>
      <c r="B151" s="8">
        <f>5.1816 * CHOOSE(CONTROL!$C$15, $D$11, 100%, $F$11)</f>
        <v>5.1816000000000004</v>
      </c>
      <c r="C151" s="8">
        <f>5.192 * CHOOSE(CONTROL!$C$15, $D$11, 100%, $F$11)</f>
        <v>5.1920000000000002</v>
      </c>
      <c r="D151" s="8">
        <f>5.1725 * CHOOSE( CONTROL!$C$15, $D$11, 100%, $F$11)</f>
        <v>5.1725000000000003</v>
      </c>
      <c r="E151" s="12">
        <f>5.1785 * CHOOSE( CONTROL!$C$15, $D$11, 100%, $F$11)</f>
        <v>5.1784999999999997</v>
      </c>
      <c r="F151" s="4">
        <f>6.1805 * CHOOSE(CONTROL!$C$15, $D$11, 100%, $F$11)</f>
        <v>6.1805000000000003</v>
      </c>
      <c r="G151" s="8">
        <f>5.0584 * CHOOSE( CONTROL!$C$15, $D$11, 100%, $F$11)</f>
        <v>5.0583999999999998</v>
      </c>
      <c r="H151" s="4">
        <f>5.9483 * CHOOSE(CONTROL!$C$15, $D$11, 100%, $F$11)</f>
        <v>5.9482999999999997</v>
      </c>
      <c r="I151" s="8">
        <f>5.0209 * CHOOSE(CONTROL!$C$15, $D$11, 100%, $F$11)</f>
        <v>5.0209000000000001</v>
      </c>
      <c r="J151" s="4">
        <f>4.9603 * CHOOSE(CONTROL!$C$15, $D$11, 100%, $F$11)</f>
        <v>4.9603000000000002</v>
      </c>
      <c r="K151" s="4"/>
      <c r="L151" s="9">
        <v>27.3993</v>
      </c>
      <c r="M151" s="9">
        <v>12.063700000000001</v>
      </c>
      <c r="N151" s="9">
        <v>4.9444999999999997</v>
      </c>
      <c r="O151" s="9">
        <v>0.37459999999999999</v>
      </c>
      <c r="P151" s="9">
        <v>1.2939000000000001</v>
      </c>
      <c r="Q151" s="9">
        <v>31.885999999999999</v>
      </c>
      <c r="R151" s="9"/>
      <c r="S151" s="11"/>
    </row>
    <row r="152" spans="1:19" ht="15.75">
      <c r="A152" s="13">
        <v>46478</v>
      </c>
      <c r="B152" s="8">
        <f>5.2603 * CHOOSE(CONTROL!$C$15, $D$11, 100%, $F$11)</f>
        <v>5.2603</v>
      </c>
      <c r="C152" s="8">
        <f>5.2707 * CHOOSE(CONTROL!$C$15, $D$11, 100%, $F$11)</f>
        <v>5.2706999999999997</v>
      </c>
      <c r="D152" s="8">
        <f>5.2746 * CHOOSE( CONTROL!$C$15, $D$11, 100%, $F$11)</f>
        <v>5.2746000000000004</v>
      </c>
      <c r="E152" s="12">
        <f>5.2721 * CHOOSE( CONTROL!$C$15, $D$11, 100%, $F$11)</f>
        <v>5.2721</v>
      </c>
      <c r="F152" s="4">
        <f>6.2675 * CHOOSE(CONTROL!$C$15, $D$11, 100%, $F$11)</f>
        <v>6.2675000000000001</v>
      </c>
      <c r="G152" s="8">
        <f>5.123 * CHOOSE( CONTROL!$C$15, $D$11, 100%, $F$11)</f>
        <v>5.1230000000000002</v>
      </c>
      <c r="H152" s="4">
        <f>6.0332 * CHOOSE(CONTROL!$C$15, $D$11, 100%, $F$11)</f>
        <v>6.0331999999999999</v>
      </c>
      <c r="I152" s="8">
        <f>5.0864 * CHOOSE(CONTROL!$C$15, $D$11, 100%, $F$11)</f>
        <v>5.0864000000000003</v>
      </c>
      <c r="J152" s="4">
        <f>5.0356 * CHOOSE(CONTROL!$C$15, $D$11, 100%, $F$11)</f>
        <v>5.0355999999999996</v>
      </c>
      <c r="K152" s="4"/>
      <c r="L152" s="9">
        <v>27.988800000000001</v>
      </c>
      <c r="M152" s="9">
        <v>11.6745</v>
      </c>
      <c r="N152" s="9">
        <v>4.7850000000000001</v>
      </c>
      <c r="O152" s="9">
        <v>0.36249999999999999</v>
      </c>
      <c r="P152" s="9">
        <v>1.1798</v>
      </c>
      <c r="Q152" s="9">
        <v>30.857399999999998</v>
      </c>
      <c r="R152" s="9"/>
      <c r="S152" s="11"/>
    </row>
    <row r="153" spans="1:19" ht="15.75">
      <c r="A153" s="13">
        <v>46508</v>
      </c>
      <c r="B153" s="8">
        <f>CHOOSE( CONTROL!$C$32, 5.4052, 5.4003) * CHOOSE(CONTROL!$C$15, $D$11, 100%, $F$11)</f>
        <v>5.4051999999999998</v>
      </c>
      <c r="C153" s="8">
        <f>CHOOSE( CONTROL!$C$32, 5.4157, 5.4107) * CHOOSE(CONTROL!$C$15, $D$11, 100%, $F$11)</f>
        <v>5.4157000000000002</v>
      </c>
      <c r="D153" s="8">
        <f>CHOOSE( CONTROL!$C$32, 5.3943, 5.3894) * CHOOSE( CONTROL!$C$15, $D$11, 100%, $F$11)</f>
        <v>5.3943000000000003</v>
      </c>
      <c r="E153" s="12">
        <f>CHOOSE( CONTROL!$C$32, 5.4005, 5.3955) * CHOOSE( CONTROL!$C$15, $D$11, 100%, $F$11)</f>
        <v>5.4005000000000001</v>
      </c>
      <c r="F153" s="4">
        <f>CHOOSE( CONTROL!$C$32, 6.3801, 6.3752) * CHOOSE(CONTROL!$C$15, $D$11, 100%, $F$11)</f>
        <v>6.3800999999999997</v>
      </c>
      <c r="G153" s="8">
        <f>CHOOSE( CONTROL!$C$32, 5.2457, 5.2409) * CHOOSE( CONTROL!$C$15, $D$11, 100%, $F$11)</f>
        <v>5.2457000000000003</v>
      </c>
      <c r="H153" s="4">
        <f>CHOOSE( CONTROL!$C$32, 6.1429, 6.1381) * CHOOSE(CONTROL!$C$15, $D$11, 100%, $F$11)</f>
        <v>6.1429</v>
      </c>
      <c r="I153" s="8">
        <f>CHOOSE( CONTROL!$C$32, 5.2038, 5.1991) * CHOOSE(CONTROL!$C$15, $D$11, 100%, $F$11)</f>
        <v>5.2038000000000002</v>
      </c>
      <c r="J153" s="4">
        <f>CHOOSE( CONTROL!$C$32, 5.1745, 5.1698) * CHOOSE(CONTROL!$C$15, $D$11, 100%, $F$11)</f>
        <v>5.1745000000000001</v>
      </c>
      <c r="K153" s="4"/>
      <c r="L153" s="9">
        <v>29.520499999999998</v>
      </c>
      <c r="M153" s="9">
        <v>12.063700000000001</v>
      </c>
      <c r="N153" s="9">
        <v>4.9444999999999997</v>
      </c>
      <c r="O153" s="9">
        <v>0.37459999999999999</v>
      </c>
      <c r="P153" s="9">
        <v>1.2192000000000001</v>
      </c>
      <c r="Q153" s="9">
        <v>31.885999999999999</v>
      </c>
      <c r="R153" s="9"/>
      <c r="S153" s="11"/>
    </row>
    <row r="154" spans="1:19" ht="15.75">
      <c r="A154" s="13">
        <v>46539</v>
      </c>
      <c r="B154" s="8">
        <f>CHOOSE( CONTROL!$C$32, 5.3185, 5.3136) * CHOOSE(CONTROL!$C$15, $D$11, 100%, $F$11)</f>
        <v>5.3185000000000002</v>
      </c>
      <c r="C154" s="8">
        <f>CHOOSE( CONTROL!$C$32, 5.3289, 5.324) * CHOOSE(CONTROL!$C$15, $D$11, 100%, $F$11)</f>
        <v>5.3289</v>
      </c>
      <c r="D154" s="8">
        <f>CHOOSE( CONTROL!$C$32, 5.321, 5.3161) * CHOOSE( CONTROL!$C$15, $D$11, 100%, $F$11)</f>
        <v>5.3209999999999997</v>
      </c>
      <c r="E154" s="12">
        <f>CHOOSE( CONTROL!$C$32, 5.3223, 5.3174) * CHOOSE( CONTROL!$C$15, $D$11, 100%, $F$11)</f>
        <v>5.3223000000000003</v>
      </c>
      <c r="F154" s="4">
        <f>CHOOSE( CONTROL!$C$32, 6.3127, 6.3078) * CHOOSE(CONTROL!$C$15, $D$11, 100%, $F$11)</f>
        <v>6.3127000000000004</v>
      </c>
      <c r="G154" s="8">
        <f>CHOOSE( CONTROL!$C$32, 5.1716, 5.1668) * CHOOSE( CONTROL!$C$15, $D$11, 100%, $F$11)</f>
        <v>5.1715999999999998</v>
      </c>
      <c r="H154" s="4">
        <f>CHOOSE( CONTROL!$C$32, 6.0772, 6.0724) * CHOOSE(CONTROL!$C$15, $D$11, 100%, $F$11)</f>
        <v>6.0772000000000004</v>
      </c>
      <c r="I154" s="8">
        <f>CHOOSE( CONTROL!$C$32, 5.1385, 5.1338) * CHOOSE(CONTROL!$C$15, $D$11, 100%, $F$11)</f>
        <v>5.1384999999999996</v>
      </c>
      <c r="J154" s="4">
        <f>CHOOSE( CONTROL!$C$32, 5.0914, 5.0867) * CHOOSE(CONTROL!$C$15, $D$11, 100%, $F$11)</f>
        <v>5.0914000000000001</v>
      </c>
      <c r="K154" s="4"/>
      <c r="L154" s="9">
        <v>28.568200000000001</v>
      </c>
      <c r="M154" s="9">
        <v>11.6745</v>
      </c>
      <c r="N154" s="9">
        <v>4.7850000000000001</v>
      </c>
      <c r="O154" s="9">
        <v>0.36249999999999999</v>
      </c>
      <c r="P154" s="9">
        <v>1.1798</v>
      </c>
      <c r="Q154" s="9">
        <v>30.857399999999998</v>
      </c>
      <c r="R154" s="9"/>
      <c r="S154" s="11"/>
    </row>
    <row r="155" spans="1:19" ht="15.75">
      <c r="A155" s="13">
        <v>46569</v>
      </c>
      <c r="B155" s="8">
        <f>CHOOSE( CONTROL!$C$32, 5.5469, 5.542) * CHOOSE(CONTROL!$C$15, $D$11, 100%, $F$11)</f>
        <v>5.5468999999999999</v>
      </c>
      <c r="C155" s="8">
        <f>CHOOSE( CONTROL!$C$32, 5.5574, 5.5524) * CHOOSE(CONTROL!$C$15, $D$11, 100%, $F$11)</f>
        <v>5.5574000000000003</v>
      </c>
      <c r="D155" s="8">
        <f>CHOOSE( CONTROL!$C$32, 5.5564, 5.5514) * CHOOSE( CONTROL!$C$15, $D$11, 100%, $F$11)</f>
        <v>5.5564</v>
      </c>
      <c r="E155" s="12">
        <f>CHOOSE( CONTROL!$C$32, 5.5552, 5.5502) * CHOOSE( CONTROL!$C$15, $D$11, 100%, $F$11)</f>
        <v>5.5552000000000001</v>
      </c>
      <c r="F155" s="4">
        <f>CHOOSE( CONTROL!$C$32, 6.5516, 6.5466) * CHOOSE(CONTROL!$C$15, $D$11, 100%, $F$11)</f>
        <v>6.5515999999999996</v>
      </c>
      <c r="G155" s="8">
        <f>CHOOSE( CONTROL!$C$32, 5.3983, 5.3935) * CHOOSE( CONTROL!$C$15, $D$11, 100%, $F$11)</f>
        <v>5.3982999999999999</v>
      </c>
      <c r="H155" s="4">
        <f>CHOOSE( CONTROL!$C$32, 6.31, 6.3052) * CHOOSE(CONTROL!$C$15, $D$11, 100%, $F$11)</f>
        <v>6.31</v>
      </c>
      <c r="I155" s="8">
        <f>CHOOSE( CONTROL!$C$32, 5.3651, 5.3604) * CHOOSE(CONTROL!$C$15, $D$11, 100%, $F$11)</f>
        <v>5.3651</v>
      </c>
      <c r="J155" s="4">
        <f>CHOOSE( CONTROL!$C$32, 5.3103, 5.3056) * CHOOSE(CONTROL!$C$15, $D$11, 100%, $F$11)</f>
        <v>5.3102999999999998</v>
      </c>
      <c r="K155" s="4"/>
      <c r="L155" s="9">
        <v>29.520499999999998</v>
      </c>
      <c r="M155" s="9">
        <v>12.063700000000001</v>
      </c>
      <c r="N155" s="9">
        <v>4.9444999999999997</v>
      </c>
      <c r="O155" s="9">
        <v>0.37459999999999999</v>
      </c>
      <c r="P155" s="9">
        <v>1.2192000000000001</v>
      </c>
      <c r="Q155" s="9">
        <v>31.885999999999999</v>
      </c>
      <c r="R155" s="9"/>
      <c r="S155" s="11"/>
    </row>
    <row r="156" spans="1:19" ht="15.75">
      <c r="A156" s="13">
        <v>46600</v>
      </c>
      <c r="B156" s="8">
        <f>CHOOSE( CONTROL!$C$32, 5.1195, 5.1146) * CHOOSE(CONTROL!$C$15, $D$11, 100%, $F$11)</f>
        <v>5.1195000000000004</v>
      </c>
      <c r="C156" s="8">
        <f>CHOOSE( CONTROL!$C$32, 5.1299, 5.125) * CHOOSE(CONTROL!$C$15, $D$11, 100%, $F$11)</f>
        <v>5.1299000000000001</v>
      </c>
      <c r="D156" s="8">
        <f>CHOOSE( CONTROL!$C$32, 5.1301, 5.1252) * CHOOSE( CONTROL!$C$15, $D$11, 100%, $F$11)</f>
        <v>5.1300999999999997</v>
      </c>
      <c r="E156" s="12">
        <f>CHOOSE( CONTROL!$C$32, 5.1284, 5.1235) * CHOOSE( CONTROL!$C$15, $D$11, 100%, $F$11)</f>
        <v>5.1284000000000001</v>
      </c>
      <c r="F156" s="4">
        <f>CHOOSE( CONTROL!$C$32, 6.132, 6.127) * CHOOSE(CONTROL!$C$15, $D$11, 100%, $F$11)</f>
        <v>6.1319999999999997</v>
      </c>
      <c r="G156" s="8">
        <f>CHOOSE( CONTROL!$C$32, 4.9769, 4.9721) * CHOOSE( CONTROL!$C$15, $D$11, 100%, $F$11)</f>
        <v>4.9768999999999997</v>
      </c>
      <c r="H156" s="4">
        <f>CHOOSE( CONTROL!$C$32, 5.901, 5.8962) * CHOOSE(CONTROL!$C$15, $D$11, 100%, $F$11)</f>
        <v>5.9009999999999998</v>
      </c>
      <c r="I156" s="8">
        <f>CHOOSE( CONTROL!$C$32, 4.9463, 4.9416) * CHOOSE(CONTROL!$C$15, $D$11, 100%, $F$11)</f>
        <v>4.9462999999999999</v>
      </c>
      <c r="J156" s="4">
        <f>CHOOSE( CONTROL!$C$32, 4.9008, 4.896) * CHOOSE(CONTROL!$C$15, $D$11, 100%, $F$11)</f>
        <v>4.9008000000000003</v>
      </c>
      <c r="K156" s="4"/>
      <c r="L156" s="9">
        <v>29.520499999999998</v>
      </c>
      <c r="M156" s="9">
        <v>12.063700000000001</v>
      </c>
      <c r="N156" s="9">
        <v>4.9444999999999997</v>
      </c>
      <c r="O156" s="9">
        <v>0.37459999999999999</v>
      </c>
      <c r="P156" s="9">
        <v>1.2192000000000001</v>
      </c>
      <c r="Q156" s="9">
        <v>31.885999999999999</v>
      </c>
      <c r="R156" s="9"/>
      <c r="S156" s="11"/>
    </row>
    <row r="157" spans="1:19" ht="15.75">
      <c r="A157" s="13">
        <v>46631</v>
      </c>
      <c r="B157" s="8">
        <f>CHOOSE( CONTROL!$C$32, 5.0125, 5.0075) * CHOOSE(CONTROL!$C$15, $D$11, 100%, $F$11)</f>
        <v>5.0125000000000002</v>
      </c>
      <c r="C157" s="8">
        <f>CHOOSE( CONTROL!$C$32, 5.0229, 5.018) * CHOOSE(CONTROL!$C$15, $D$11, 100%, $F$11)</f>
        <v>5.0228999999999999</v>
      </c>
      <c r="D157" s="8">
        <f>CHOOSE( CONTROL!$C$32, 5.0234, 5.0184) * CHOOSE( CONTROL!$C$15, $D$11, 100%, $F$11)</f>
        <v>5.0233999999999996</v>
      </c>
      <c r="E157" s="12">
        <f>CHOOSE( CONTROL!$C$32, 5.0216, 5.0167) * CHOOSE( CONTROL!$C$15, $D$11, 100%, $F$11)</f>
        <v>5.0216000000000003</v>
      </c>
      <c r="F157" s="4">
        <f>CHOOSE( CONTROL!$C$32, 6.025, 6.02) * CHOOSE(CONTROL!$C$15, $D$11, 100%, $F$11)</f>
        <v>6.0250000000000004</v>
      </c>
      <c r="G157" s="8">
        <f>CHOOSE( CONTROL!$C$32, 4.873, 4.8681) * CHOOSE( CONTROL!$C$15, $D$11, 100%, $F$11)</f>
        <v>4.8730000000000002</v>
      </c>
      <c r="H157" s="4">
        <f>CHOOSE( CONTROL!$C$32, 5.7967, 5.7919) * CHOOSE(CONTROL!$C$15, $D$11, 100%, $F$11)</f>
        <v>5.7967000000000004</v>
      </c>
      <c r="I157" s="8">
        <f>CHOOSE( CONTROL!$C$32, 4.8451, 4.8404) * CHOOSE(CONTROL!$C$15, $D$11, 100%, $F$11)</f>
        <v>4.8451000000000004</v>
      </c>
      <c r="J157" s="4">
        <f>CHOOSE( CONTROL!$C$32, 4.7982, 4.7935) * CHOOSE(CONTROL!$C$15, $D$11, 100%, $F$11)</f>
        <v>4.7981999999999996</v>
      </c>
      <c r="K157" s="4"/>
      <c r="L157" s="9">
        <v>28.568200000000001</v>
      </c>
      <c r="M157" s="9">
        <v>11.6745</v>
      </c>
      <c r="N157" s="9">
        <v>4.7850000000000001</v>
      </c>
      <c r="O157" s="9">
        <v>0.36249999999999999</v>
      </c>
      <c r="P157" s="9">
        <v>1.1798</v>
      </c>
      <c r="Q157" s="9">
        <v>30.857399999999998</v>
      </c>
      <c r="R157" s="9"/>
      <c r="S157" s="11"/>
    </row>
    <row r="158" spans="1:19" ht="15.75">
      <c r="A158" s="13">
        <v>46661</v>
      </c>
      <c r="B158" s="8">
        <f>5.2298 * CHOOSE(CONTROL!$C$15, $D$11, 100%, $F$11)</f>
        <v>5.2298</v>
      </c>
      <c r="C158" s="8">
        <f>5.2402 * CHOOSE(CONTROL!$C$15, $D$11, 100%, $F$11)</f>
        <v>5.2401999999999997</v>
      </c>
      <c r="D158" s="8">
        <f>5.2419 * CHOOSE( CONTROL!$C$15, $D$11, 100%, $F$11)</f>
        <v>5.2419000000000002</v>
      </c>
      <c r="E158" s="12">
        <f>5.2402 * CHOOSE( CONTROL!$C$15, $D$11, 100%, $F$11)</f>
        <v>5.2401999999999997</v>
      </c>
      <c r="F158" s="4">
        <f>6.2422 * CHOOSE(CONTROL!$C$15, $D$11, 100%, $F$11)</f>
        <v>6.2422000000000004</v>
      </c>
      <c r="G158" s="8">
        <f>5.0844 * CHOOSE( CONTROL!$C$15, $D$11, 100%, $F$11)</f>
        <v>5.0843999999999996</v>
      </c>
      <c r="H158" s="4">
        <f>6.0085 * CHOOSE(CONTROL!$C$15, $D$11, 100%, $F$11)</f>
        <v>6.0084999999999997</v>
      </c>
      <c r="I158" s="8">
        <f>5.0557 * CHOOSE(CONTROL!$C$15, $D$11, 100%, $F$11)</f>
        <v>5.0556999999999999</v>
      </c>
      <c r="J158" s="4">
        <f>5.0064 * CHOOSE(CONTROL!$C$15, $D$11, 100%, $F$11)</f>
        <v>5.0064000000000002</v>
      </c>
      <c r="K158" s="4"/>
      <c r="L158" s="9">
        <v>28.921800000000001</v>
      </c>
      <c r="M158" s="9">
        <v>12.063700000000001</v>
      </c>
      <c r="N158" s="9">
        <v>4.9444999999999997</v>
      </c>
      <c r="O158" s="9">
        <v>0.37459999999999999</v>
      </c>
      <c r="P158" s="9">
        <v>1.2192000000000001</v>
      </c>
      <c r="Q158" s="9">
        <v>31.885999999999999</v>
      </c>
      <c r="R158" s="9"/>
      <c r="S158" s="11"/>
    </row>
    <row r="159" spans="1:19" ht="15.75">
      <c r="A159" s="13">
        <v>46692</v>
      </c>
      <c r="B159" s="8">
        <f>5.64 * CHOOSE(CONTROL!$C$15, $D$11, 100%, $F$11)</f>
        <v>5.64</v>
      </c>
      <c r="C159" s="8">
        <f>5.6504 * CHOOSE(CONTROL!$C$15, $D$11, 100%, $F$11)</f>
        <v>5.6504000000000003</v>
      </c>
      <c r="D159" s="8">
        <f>5.6315 * CHOOSE( CONTROL!$C$15, $D$11, 100%, $F$11)</f>
        <v>5.6315</v>
      </c>
      <c r="E159" s="12">
        <f>5.6373 * CHOOSE( CONTROL!$C$15, $D$11, 100%, $F$11)</f>
        <v>5.6372999999999998</v>
      </c>
      <c r="F159" s="4">
        <f>6.6368 * CHOOSE(CONTROL!$C$15, $D$11, 100%, $F$11)</f>
        <v>6.6368</v>
      </c>
      <c r="G159" s="8">
        <f>5.5072 * CHOOSE( CONTROL!$C$15, $D$11, 100%, $F$11)</f>
        <v>5.5072000000000001</v>
      </c>
      <c r="H159" s="4">
        <f>6.3931 * CHOOSE(CONTROL!$C$15, $D$11, 100%, $F$11)</f>
        <v>6.3930999999999996</v>
      </c>
      <c r="I159" s="8">
        <f>5.4955 * CHOOSE(CONTROL!$C$15, $D$11, 100%, $F$11)</f>
        <v>5.4954999999999998</v>
      </c>
      <c r="J159" s="4">
        <f>5.3995 * CHOOSE(CONTROL!$C$15, $D$11, 100%, $F$11)</f>
        <v>5.3994999999999997</v>
      </c>
      <c r="K159" s="4"/>
      <c r="L159" s="9">
        <v>26.515499999999999</v>
      </c>
      <c r="M159" s="9">
        <v>11.6745</v>
      </c>
      <c r="N159" s="9">
        <v>4.7850000000000001</v>
      </c>
      <c r="O159" s="9">
        <v>0.36249999999999999</v>
      </c>
      <c r="P159" s="9">
        <v>1.2522</v>
      </c>
      <c r="Q159" s="9">
        <v>30.857399999999998</v>
      </c>
      <c r="R159" s="9"/>
      <c r="S159" s="11"/>
    </row>
    <row r="160" spans="1:19" ht="15.75">
      <c r="A160" s="13">
        <v>46722</v>
      </c>
      <c r="B160" s="8">
        <f>5.6297 * CHOOSE(CONTROL!$C$15, $D$11, 100%, $F$11)</f>
        <v>5.6296999999999997</v>
      </c>
      <c r="C160" s="8">
        <f>5.6402 * CHOOSE(CONTROL!$C$15, $D$11, 100%, $F$11)</f>
        <v>5.6402000000000001</v>
      </c>
      <c r="D160" s="8">
        <f>5.6238 * CHOOSE( CONTROL!$C$15, $D$11, 100%, $F$11)</f>
        <v>5.6238000000000001</v>
      </c>
      <c r="E160" s="12">
        <f>5.6287 * CHOOSE( CONTROL!$C$15, $D$11, 100%, $F$11)</f>
        <v>5.6287000000000003</v>
      </c>
      <c r="F160" s="4">
        <f>6.6265 * CHOOSE(CONTROL!$C$15, $D$11, 100%, $F$11)</f>
        <v>6.6265000000000001</v>
      </c>
      <c r="G160" s="8">
        <f>5.4992 * CHOOSE( CONTROL!$C$15, $D$11, 100%, $F$11)</f>
        <v>5.4992000000000001</v>
      </c>
      <c r="H160" s="4">
        <f>6.3831 * CHOOSE(CONTROL!$C$15, $D$11, 100%, $F$11)</f>
        <v>6.3830999999999998</v>
      </c>
      <c r="I160" s="8">
        <f>5.4945 * CHOOSE(CONTROL!$C$15, $D$11, 100%, $F$11)</f>
        <v>5.4945000000000004</v>
      </c>
      <c r="J160" s="4">
        <f>5.3896 * CHOOSE(CONTROL!$C$15, $D$11, 100%, $F$11)</f>
        <v>5.3895999999999997</v>
      </c>
      <c r="K160" s="4"/>
      <c r="L160" s="9">
        <v>27.3993</v>
      </c>
      <c r="M160" s="9">
        <v>12.063700000000001</v>
      </c>
      <c r="N160" s="9">
        <v>4.9444999999999997</v>
      </c>
      <c r="O160" s="9">
        <v>0.37459999999999999</v>
      </c>
      <c r="P160" s="9">
        <v>1.2939000000000001</v>
      </c>
      <c r="Q160" s="9">
        <v>31.885999999999999</v>
      </c>
      <c r="R160" s="9"/>
      <c r="S160" s="11"/>
    </row>
    <row r="161" spans="1:19" ht="15.75">
      <c r="A161" s="13">
        <v>46753</v>
      </c>
      <c r="B161" s="8">
        <f>5.8441 * CHOOSE(CONTROL!$C$15, $D$11, 100%, $F$11)</f>
        <v>5.8441000000000001</v>
      </c>
      <c r="C161" s="8">
        <f>5.8545 * CHOOSE(CONTROL!$C$15, $D$11, 100%, $F$11)</f>
        <v>5.8544999999999998</v>
      </c>
      <c r="D161" s="8">
        <f>5.8531 * CHOOSE( CONTROL!$C$15, $D$11, 100%, $F$11)</f>
        <v>5.8531000000000004</v>
      </c>
      <c r="E161" s="12">
        <f>5.8525 * CHOOSE( CONTROL!$C$15, $D$11, 100%, $F$11)</f>
        <v>5.8525</v>
      </c>
      <c r="F161" s="4">
        <f>6.867 * CHOOSE(CONTROL!$C$15, $D$11, 100%, $F$11)</f>
        <v>6.867</v>
      </c>
      <c r="G161" s="8">
        <f>5.725 * CHOOSE( CONTROL!$C$15, $D$11, 100%, $F$11)</f>
        <v>5.7249999999999996</v>
      </c>
      <c r="H161" s="4">
        <f>6.6175 * CHOOSE(CONTROL!$C$15, $D$11, 100%, $F$11)</f>
        <v>6.6174999999999997</v>
      </c>
      <c r="I161" s="8">
        <f>5.7064 * CHOOSE(CONTROL!$C$15, $D$11, 100%, $F$11)</f>
        <v>5.7064000000000004</v>
      </c>
      <c r="J161" s="4">
        <f>5.595 * CHOOSE(CONTROL!$C$15, $D$11, 100%, $F$11)</f>
        <v>5.5949999999999998</v>
      </c>
      <c r="K161" s="4"/>
      <c r="L161" s="9">
        <v>27.3993</v>
      </c>
      <c r="M161" s="9">
        <v>12.063700000000001</v>
      </c>
      <c r="N161" s="9">
        <v>4.9444999999999997</v>
      </c>
      <c r="O161" s="9">
        <v>0.37459999999999999</v>
      </c>
      <c r="P161" s="9">
        <v>1.2939000000000001</v>
      </c>
      <c r="Q161" s="9">
        <v>31.701799999999999</v>
      </c>
      <c r="R161" s="9"/>
      <c r="S161" s="11"/>
    </row>
    <row r="162" spans="1:19" ht="15.75">
      <c r="A162" s="13">
        <v>46784</v>
      </c>
      <c r="B162" s="8">
        <f>5.4666 * CHOOSE(CONTROL!$C$15, $D$11, 100%, $F$11)</f>
        <v>5.4665999999999997</v>
      </c>
      <c r="C162" s="8">
        <f>5.477 * CHOOSE(CONTROL!$C$15, $D$11, 100%, $F$11)</f>
        <v>5.4770000000000003</v>
      </c>
      <c r="D162" s="8">
        <f>5.4778 * CHOOSE( CONTROL!$C$15, $D$11, 100%, $F$11)</f>
        <v>5.4778000000000002</v>
      </c>
      <c r="E162" s="12">
        <f>5.4764 * CHOOSE( CONTROL!$C$15, $D$11, 100%, $F$11)</f>
        <v>5.4763999999999999</v>
      </c>
      <c r="F162" s="4">
        <f>6.4817 * CHOOSE(CONTROL!$C$15, $D$11, 100%, $F$11)</f>
        <v>6.4817</v>
      </c>
      <c r="G162" s="8">
        <f>5.3568 * CHOOSE( CONTROL!$C$15, $D$11, 100%, $F$11)</f>
        <v>5.3567999999999998</v>
      </c>
      <c r="H162" s="4">
        <f>6.2419 * CHOOSE(CONTROL!$C$15, $D$11, 100%, $F$11)</f>
        <v>6.2419000000000002</v>
      </c>
      <c r="I162" s="8">
        <f>5.3336 * CHOOSE(CONTROL!$C$15, $D$11, 100%, $F$11)</f>
        <v>5.3335999999999997</v>
      </c>
      <c r="J162" s="4">
        <f>5.2333 * CHOOSE(CONTROL!$C$15, $D$11, 100%, $F$11)</f>
        <v>5.2332999999999998</v>
      </c>
      <c r="K162" s="4"/>
      <c r="L162" s="9">
        <v>25.631599999999999</v>
      </c>
      <c r="M162" s="9">
        <v>11.285299999999999</v>
      </c>
      <c r="N162" s="9">
        <v>4.6254999999999997</v>
      </c>
      <c r="O162" s="9">
        <v>0.35039999999999999</v>
      </c>
      <c r="P162" s="9">
        <v>1.2104999999999999</v>
      </c>
      <c r="Q162" s="9">
        <v>29.656600000000001</v>
      </c>
      <c r="R162" s="9"/>
      <c r="S162" s="11"/>
    </row>
    <row r="163" spans="1:19" ht="15.75">
      <c r="A163" s="13">
        <v>46813</v>
      </c>
      <c r="B163" s="8">
        <f>5.3503 * CHOOSE(CONTROL!$C$15, $D$11, 100%, $F$11)</f>
        <v>5.3502999999999998</v>
      </c>
      <c r="C163" s="8">
        <f>5.3608 * CHOOSE(CONTROL!$C$15, $D$11, 100%, $F$11)</f>
        <v>5.3608000000000002</v>
      </c>
      <c r="D163" s="8">
        <f>5.3412 * CHOOSE( CONTROL!$C$15, $D$11, 100%, $F$11)</f>
        <v>5.3411999999999997</v>
      </c>
      <c r="E163" s="12">
        <f>5.3472 * CHOOSE( CONTROL!$C$15, $D$11, 100%, $F$11)</f>
        <v>5.3472</v>
      </c>
      <c r="F163" s="4">
        <f>6.3492 * CHOOSE(CONTROL!$C$15, $D$11, 100%, $F$11)</f>
        <v>6.3491999999999997</v>
      </c>
      <c r="G163" s="8">
        <f>5.2228 * CHOOSE( CONTROL!$C$15, $D$11, 100%, $F$11)</f>
        <v>5.2228000000000003</v>
      </c>
      <c r="H163" s="4">
        <f>6.1128 * CHOOSE(CONTROL!$C$15, $D$11, 100%, $F$11)</f>
        <v>6.1128</v>
      </c>
      <c r="I163" s="8">
        <f>5.1826 * CHOOSE(CONTROL!$C$15, $D$11, 100%, $F$11)</f>
        <v>5.1825999999999999</v>
      </c>
      <c r="J163" s="4">
        <f>5.1219 * CHOOSE(CONTROL!$C$15, $D$11, 100%, $F$11)</f>
        <v>5.1219000000000001</v>
      </c>
      <c r="K163" s="4"/>
      <c r="L163" s="9">
        <v>27.3993</v>
      </c>
      <c r="M163" s="9">
        <v>12.063700000000001</v>
      </c>
      <c r="N163" s="9">
        <v>4.9444999999999997</v>
      </c>
      <c r="O163" s="9">
        <v>0.37459999999999999</v>
      </c>
      <c r="P163" s="9">
        <v>1.2939000000000001</v>
      </c>
      <c r="Q163" s="9">
        <v>31.701799999999999</v>
      </c>
      <c r="R163" s="9"/>
      <c r="S163" s="11"/>
    </row>
    <row r="164" spans="1:19" ht="15.75">
      <c r="A164" s="13">
        <v>46844</v>
      </c>
      <c r="B164" s="8">
        <f>5.4316 * CHOOSE(CONTROL!$C$15, $D$11, 100%, $F$11)</f>
        <v>5.4316000000000004</v>
      </c>
      <c r="C164" s="8">
        <f>5.442 * CHOOSE(CONTROL!$C$15, $D$11, 100%, $F$11)</f>
        <v>5.4420000000000002</v>
      </c>
      <c r="D164" s="8">
        <f>5.4458 * CHOOSE( CONTROL!$C$15, $D$11, 100%, $F$11)</f>
        <v>5.4458000000000002</v>
      </c>
      <c r="E164" s="12">
        <f>5.4434 * CHOOSE( CONTROL!$C$15, $D$11, 100%, $F$11)</f>
        <v>5.4433999999999996</v>
      </c>
      <c r="F164" s="4">
        <f>6.4388 * CHOOSE(CONTROL!$C$15, $D$11, 100%, $F$11)</f>
        <v>6.4387999999999996</v>
      </c>
      <c r="G164" s="8">
        <f>5.29 * CHOOSE( CONTROL!$C$15, $D$11, 100%, $F$11)</f>
        <v>5.29</v>
      </c>
      <c r="H164" s="4">
        <f>6.2001 * CHOOSE(CONTROL!$C$15, $D$11, 100%, $F$11)</f>
        <v>6.2000999999999999</v>
      </c>
      <c r="I164" s="8">
        <f>5.2506 * CHOOSE(CONTROL!$C$15, $D$11, 100%, $F$11)</f>
        <v>5.2506000000000004</v>
      </c>
      <c r="J164" s="4">
        <f>5.1998 * CHOOSE(CONTROL!$C$15, $D$11, 100%, $F$11)</f>
        <v>5.1997999999999998</v>
      </c>
      <c r="K164" s="4"/>
      <c r="L164" s="9">
        <v>27.988800000000001</v>
      </c>
      <c r="M164" s="9">
        <v>11.6745</v>
      </c>
      <c r="N164" s="9">
        <v>4.7850000000000001</v>
      </c>
      <c r="O164" s="9">
        <v>0.36249999999999999</v>
      </c>
      <c r="P164" s="9">
        <v>1.1798</v>
      </c>
      <c r="Q164" s="9">
        <v>30.679200000000002</v>
      </c>
      <c r="R164" s="9"/>
      <c r="S164" s="11"/>
    </row>
    <row r="165" spans="1:19" ht="15.75">
      <c r="A165" s="13">
        <v>46874</v>
      </c>
      <c r="B165" s="8">
        <f>CHOOSE( CONTROL!$C$32, 5.5811, 5.5762) * CHOOSE(CONTROL!$C$15, $D$11, 100%, $F$11)</f>
        <v>5.5811000000000002</v>
      </c>
      <c r="C165" s="8">
        <f>CHOOSE( CONTROL!$C$32, 5.5915, 5.5866) * CHOOSE(CONTROL!$C$15, $D$11, 100%, $F$11)</f>
        <v>5.5914999999999999</v>
      </c>
      <c r="D165" s="8">
        <f>CHOOSE( CONTROL!$C$32, 5.5702, 5.5652) * CHOOSE( CONTROL!$C$15, $D$11, 100%, $F$11)</f>
        <v>5.5701999999999998</v>
      </c>
      <c r="E165" s="12">
        <f>CHOOSE( CONTROL!$C$32, 5.5763, 5.5714) * CHOOSE( CONTROL!$C$15, $D$11, 100%, $F$11)</f>
        <v>5.5762999999999998</v>
      </c>
      <c r="F165" s="4">
        <f>CHOOSE( CONTROL!$C$32, 6.556, 6.5511) * CHOOSE(CONTROL!$C$15, $D$11, 100%, $F$11)</f>
        <v>6.556</v>
      </c>
      <c r="G165" s="8">
        <f>CHOOSE( CONTROL!$C$32, 5.4171, 5.4123) * CHOOSE( CONTROL!$C$15, $D$11, 100%, $F$11)</f>
        <v>5.4170999999999996</v>
      </c>
      <c r="H165" s="4">
        <f>CHOOSE( CONTROL!$C$32, 6.3143, 6.3095) * CHOOSE(CONTROL!$C$15, $D$11, 100%, $F$11)</f>
        <v>6.3143000000000002</v>
      </c>
      <c r="I165" s="8">
        <f>CHOOSE( CONTROL!$C$32, 5.3724, 5.3677) * CHOOSE(CONTROL!$C$15, $D$11, 100%, $F$11)</f>
        <v>5.3723999999999998</v>
      </c>
      <c r="J165" s="4">
        <f>CHOOSE( CONTROL!$C$32, 5.343, 5.3383) * CHOOSE(CONTROL!$C$15, $D$11, 100%, $F$11)</f>
        <v>5.343</v>
      </c>
      <c r="K165" s="4"/>
      <c r="L165" s="9">
        <v>29.520499999999998</v>
      </c>
      <c r="M165" s="9">
        <v>12.063700000000001</v>
      </c>
      <c r="N165" s="9">
        <v>4.9444999999999997</v>
      </c>
      <c r="O165" s="9">
        <v>0.37459999999999999</v>
      </c>
      <c r="P165" s="9">
        <v>1.2192000000000001</v>
      </c>
      <c r="Q165" s="9">
        <v>31.701799999999999</v>
      </c>
      <c r="R165" s="9"/>
      <c r="S165" s="11"/>
    </row>
    <row r="166" spans="1:19" ht="15.75">
      <c r="A166" s="13">
        <v>46905</v>
      </c>
      <c r="B166" s="8">
        <f>CHOOSE( CONTROL!$C$32, 5.4915, 5.4866) * CHOOSE(CONTROL!$C$15, $D$11, 100%, $F$11)</f>
        <v>5.4915000000000003</v>
      </c>
      <c r="C166" s="8">
        <f>CHOOSE( CONTROL!$C$32, 5.502, 5.497) * CHOOSE(CONTROL!$C$15, $D$11, 100%, $F$11)</f>
        <v>5.5019999999999998</v>
      </c>
      <c r="D166" s="8">
        <f>CHOOSE( CONTROL!$C$32, 5.4941, 5.4891) * CHOOSE( CONTROL!$C$15, $D$11, 100%, $F$11)</f>
        <v>5.4941000000000004</v>
      </c>
      <c r="E166" s="12">
        <f>CHOOSE( CONTROL!$C$32, 5.4954, 5.4904) * CHOOSE( CONTROL!$C$15, $D$11, 100%, $F$11)</f>
        <v>5.4954000000000001</v>
      </c>
      <c r="F166" s="4">
        <f>CHOOSE( CONTROL!$C$32, 6.4857, 6.4808) * CHOOSE(CONTROL!$C$15, $D$11, 100%, $F$11)</f>
        <v>6.4856999999999996</v>
      </c>
      <c r="G166" s="8">
        <f>CHOOSE( CONTROL!$C$32, 5.3402, 5.3354) * CHOOSE( CONTROL!$C$15, $D$11, 100%, $F$11)</f>
        <v>5.3402000000000003</v>
      </c>
      <c r="H166" s="4">
        <f>CHOOSE( CONTROL!$C$32, 6.2459, 6.241) * CHOOSE(CONTROL!$C$15, $D$11, 100%, $F$11)</f>
        <v>6.2458999999999998</v>
      </c>
      <c r="I166" s="8">
        <f>CHOOSE( CONTROL!$C$32, 5.3044, 5.2996) * CHOOSE(CONTROL!$C$15, $D$11, 100%, $F$11)</f>
        <v>5.3044000000000002</v>
      </c>
      <c r="J166" s="4">
        <f>CHOOSE( CONTROL!$C$32, 5.2572, 5.2525) * CHOOSE(CONTROL!$C$15, $D$11, 100%, $F$11)</f>
        <v>5.2572000000000001</v>
      </c>
      <c r="K166" s="4"/>
      <c r="L166" s="9">
        <v>28.568200000000001</v>
      </c>
      <c r="M166" s="9">
        <v>11.6745</v>
      </c>
      <c r="N166" s="9">
        <v>4.7850000000000001</v>
      </c>
      <c r="O166" s="9">
        <v>0.36249999999999999</v>
      </c>
      <c r="P166" s="9">
        <v>1.1798</v>
      </c>
      <c r="Q166" s="9">
        <v>30.679200000000002</v>
      </c>
      <c r="R166" s="9"/>
      <c r="S166" s="11"/>
    </row>
    <row r="167" spans="1:19" ht="15.75">
      <c r="A167" s="13">
        <v>46935</v>
      </c>
      <c r="B167" s="8">
        <f>CHOOSE( CONTROL!$C$32, 5.7274, 5.7225) * CHOOSE(CONTROL!$C$15, $D$11, 100%, $F$11)</f>
        <v>5.7274000000000003</v>
      </c>
      <c r="C167" s="8">
        <f>CHOOSE( CONTROL!$C$32, 5.7378, 5.7329) * CHOOSE(CONTROL!$C$15, $D$11, 100%, $F$11)</f>
        <v>5.7378</v>
      </c>
      <c r="D167" s="8">
        <f>CHOOSE( CONTROL!$C$32, 5.7368, 5.7319) * CHOOSE( CONTROL!$C$15, $D$11, 100%, $F$11)</f>
        <v>5.7367999999999997</v>
      </c>
      <c r="E167" s="12">
        <f>CHOOSE( CONTROL!$C$32, 5.7356, 5.7307) * CHOOSE( CONTROL!$C$15, $D$11, 100%, $F$11)</f>
        <v>5.7355999999999998</v>
      </c>
      <c r="F167" s="4">
        <f>CHOOSE( CONTROL!$C$32, 6.732, 6.7271) * CHOOSE(CONTROL!$C$15, $D$11, 100%, $F$11)</f>
        <v>6.7320000000000002</v>
      </c>
      <c r="G167" s="8">
        <f>CHOOSE( CONTROL!$C$32, 5.5743, 5.5694) * CHOOSE( CONTROL!$C$15, $D$11, 100%, $F$11)</f>
        <v>5.5743</v>
      </c>
      <c r="H167" s="4">
        <f>CHOOSE( CONTROL!$C$32, 6.486, 6.4811) * CHOOSE(CONTROL!$C$15, $D$11, 100%, $F$11)</f>
        <v>6.4859999999999998</v>
      </c>
      <c r="I167" s="8">
        <f>CHOOSE( CONTROL!$C$32, 5.5381, 5.5334) * CHOOSE(CONTROL!$C$15, $D$11, 100%, $F$11)</f>
        <v>5.5381</v>
      </c>
      <c r="J167" s="4">
        <f>CHOOSE( CONTROL!$C$32, 5.4832, 5.4785) * CHOOSE(CONTROL!$C$15, $D$11, 100%, $F$11)</f>
        <v>5.4832000000000001</v>
      </c>
      <c r="K167" s="4"/>
      <c r="L167" s="9">
        <v>29.520499999999998</v>
      </c>
      <c r="M167" s="9">
        <v>12.063700000000001</v>
      </c>
      <c r="N167" s="9">
        <v>4.9444999999999997</v>
      </c>
      <c r="O167" s="9">
        <v>0.37459999999999999</v>
      </c>
      <c r="P167" s="9">
        <v>1.2192000000000001</v>
      </c>
      <c r="Q167" s="9">
        <v>31.701799999999999</v>
      </c>
      <c r="R167" s="9"/>
      <c r="S167" s="11"/>
    </row>
    <row r="168" spans="1:19" ht="15.75">
      <c r="A168" s="13">
        <v>46966</v>
      </c>
      <c r="B168" s="8">
        <f>CHOOSE( CONTROL!$C$32, 5.286, 5.2811) * CHOOSE(CONTROL!$C$15, $D$11, 100%, $F$11)</f>
        <v>5.2859999999999996</v>
      </c>
      <c r="C168" s="8">
        <f>CHOOSE( CONTROL!$C$32, 5.2965, 5.2915) * CHOOSE(CONTROL!$C$15, $D$11, 100%, $F$11)</f>
        <v>5.2965</v>
      </c>
      <c r="D168" s="8">
        <f>CHOOSE( CONTROL!$C$32, 5.2966, 5.2917) * CHOOSE( CONTROL!$C$15, $D$11, 100%, $F$11)</f>
        <v>5.2965999999999998</v>
      </c>
      <c r="E168" s="12">
        <f>CHOOSE( CONTROL!$C$32, 5.295, 5.29) * CHOOSE( CONTROL!$C$15, $D$11, 100%, $F$11)</f>
        <v>5.2949999999999999</v>
      </c>
      <c r="F168" s="4">
        <f>CHOOSE( CONTROL!$C$32, 6.2985, 6.2936) * CHOOSE(CONTROL!$C$15, $D$11, 100%, $F$11)</f>
        <v>6.2984999999999998</v>
      </c>
      <c r="G168" s="8">
        <f>CHOOSE( CONTROL!$C$32, 5.1392, 5.1344) * CHOOSE( CONTROL!$C$15, $D$11, 100%, $F$11)</f>
        <v>5.1391999999999998</v>
      </c>
      <c r="H168" s="4">
        <f>CHOOSE( CONTROL!$C$32, 6.0634, 6.0586) * CHOOSE(CONTROL!$C$15, $D$11, 100%, $F$11)</f>
        <v>6.0633999999999997</v>
      </c>
      <c r="I168" s="8">
        <f>CHOOSE( CONTROL!$C$32, 5.106, 5.1013) * CHOOSE(CONTROL!$C$15, $D$11, 100%, $F$11)</f>
        <v>5.1059999999999999</v>
      </c>
      <c r="J168" s="4">
        <f>CHOOSE( CONTROL!$C$32, 5.0603, 5.0556) * CHOOSE(CONTROL!$C$15, $D$11, 100%, $F$11)</f>
        <v>5.0602999999999998</v>
      </c>
      <c r="K168" s="4"/>
      <c r="L168" s="9">
        <v>29.520499999999998</v>
      </c>
      <c r="M168" s="9">
        <v>12.063700000000001</v>
      </c>
      <c r="N168" s="9">
        <v>4.9444999999999997</v>
      </c>
      <c r="O168" s="9">
        <v>0.37459999999999999</v>
      </c>
      <c r="P168" s="9">
        <v>1.2192000000000001</v>
      </c>
      <c r="Q168" s="9">
        <v>31.701799999999999</v>
      </c>
      <c r="R168" s="9"/>
      <c r="S168" s="11"/>
    </row>
    <row r="169" spans="1:19" ht="15.75">
      <c r="A169" s="13">
        <v>46997</v>
      </c>
      <c r="B169" s="8">
        <f>CHOOSE( CONTROL!$C$32, 5.1755, 5.1706) * CHOOSE(CONTROL!$C$15, $D$11, 100%, $F$11)</f>
        <v>5.1755000000000004</v>
      </c>
      <c r="C169" s="8">
        <f>CHOOSE( CONTROL!$C$32, 5.186, 5.181) * CHOOSE(CONTROL!$C$15, $D$11, 100%, $F$11)</f>
        <v>5.1859999999999999</v>
      </c>
      <c r="D169" s="8">
        <f>CHOOSE( CONTROL!$C$32, 5.1864, 5.1815) * CHOOSE( CONTROL!$C$15, $D$11, 100%, $F$11)</f>
        <v>5.1863999999999999</v>
      </c>
      <c r="E169" s="12">
        <f>CHOOSE( CONTROL!$C$32, 5.1847, 5.1797) * CHOOSE( CONTROL!$C$15, $D$11, 100%, $F$11)</f>
        <v>5.1847000000000003</v>
      </c>
      <c r="F169" s="4">
        <f>CHOOSE( CONTROL!$C$32, 6.188, 6.1831) * CHOOSE(CONTROL!$C$15, $D$11, 100%, $F$11)</f>
        <v>6.1879999999999997</v>
      </c>
      <c r="G169" s="8">
        <f>CHOOSE( CONTROL!$C$32, 5.0319, 5.0271) * CHOOSE( CONTROL!$C$15, $D$11, 100%, $F$11)</f>
        <v>5.0319000000000003</v>
      </c>
      <c r="H169" s="4">
        <f>CHOOSE( CONTROL!$C$32, 5.9556, 5.9508) * CHOOSE(CONTROL!$C$15, $D$11, 100%, $F$11)</f>
        <v>5.9555999999999996</v>
      </c>
      <c r="I169" s="8">
        <f>CHOOSE( CONTROL!$C$32, 5.0015, 4.9967) * CHOOSE(CONTROL!$C$15, $D$11, 100%, $F$11)</f>
        <v>5.0015000000000001</v>
      </c>
      <c r="J169" s="4">
        <f>CHOOSE( CONTROL!$C$32, 4.9544, 4.9497) * CHOOSE(CONTROL!$C$15, $D$11, 100%, $F$11)</f>
        <v>4.9543999999999997</v>
      </c>
      <c r="K169" s="4"/>
      <c r="L169" s="9">
        <v>28.568200000000001</v>
      </c>
      <c r="M169" s="9">
        <v>11.6745</v>
      </c>
      <c r="N169" s="9">
        <v>4.7850000000000001</v>
      </c>
      <c r="O169" s="9">
        <v>0.36249999999999999</v>
      </c>
      <c r="P169" s="9">
        <v>1.1798</v>
      </c>
      <c r="Q169" s="9">
        <v>30.679200000000002</v>
      </c>
      <c r="R169" s="9"/>
      <c r="S169" s="11"/>
    </row>
    <row r="170" spans="1:19" ht="15.75">
      <c r="A170" s="13">
        <v>47027</v>
      </c>
      <c r="B170" s="8">
        <f>5.4001 * CHOOSE(CONTROL!$C$15, $D$11, 100%, $F$11)</f>
        <v>5.4001000000000001</v>
      </c>
      <c r="C170" s="8">
        <f>5.4105 * CHOOSE(CONTROL!$C$15, $D$11, 100%, $F$11)</f>
        <v>5.4104999999999999</v>
      </c>
      <c r="D170" s="8">
        <f>5.4122 * CHOOSE( CONTROL!$C$15, $D$11, 100%, $F$11)</f>
        <v>5.4122000000000003</v>
      </c>
      <c r="E170" s="12">
        <f>5.4105 * CHOOSE( CONTROL!$C$15, $D$11, 100%, $F$11)</f>
        <v>5.4104999999999999</v>
      </c>
      <c r="F170" s="4">
        <f>6.4125 * CHOOSE(CONTROL!$C$15, $D$11, 100%, $F$11)</f>
        <v>6.4124999999999996</v>
      </c>
      <c r="G170" s="8">
        <f>5.2504 * CHOOSE( CONTROL!$C$15, $D$11, 100%, $F$11)</f>
        <v>5.2504</v>
      </c>
      <c r="H170" s="4">
        <f>6.1745 * CHOOSE(CONTROL!$C$15, $D$11, 100%, $F$11)</f>
        <v>6.1745000000000001</v>
      </c>
      <c r="I170" s="8">
        <f>5.219 * CHOOSE(CONTROL!$C$15, $D$11, 100%, $F$11)</f>
        <v>5.2190000000000003</v>
      </c>
      <c r="J170" s="4">
        <f>5.1696 * CHOOSE(CONTROL!$C$15, $D$11, 100%, $F$11)</f>
        <v>5.1696</v>
      </c>
      <c r="K170" s="4"/>
      <c r="L170" s="9">
        <v>28.921800000000001</v>
      </c>
      <c r="M170" s="9">
        <v>12.063700000000001</v>
      </c>
      <c r="N170" s="9">
        <v>4.9444999999999997</v>
      </c>
      <c r="O170" s="9">
        <v>0.37459999999999999</v>
      </c>
      <c r="P170" s="9">
        <v>1.2192000000000001</v>
      </c>
      <c r="Q170" s="9">
        <v>31.701799999999999</v>
      </c>
      <c r="R170" s="9"/>
      <c r="S170" s="11"/>
    </row>
    <row r="171" spans="1:19" ht="15.75">
      <c r="A171" s="13">
        <v>47058</v>
      </c>
      <c r="B171" s="8">
        <f>5.8236 * CHOOSE(CONTROL!$C$15, $D$11, 100%, $F$11)</f>
        <v>5.8235999999999999</v>
      </c>
      <c r="C171" s="8">
        <f>5.8341 * CHOOSE(CONTROL!$C$15, $D$11, 100%, $F$11)</f>
        <v>5.8341000000000003</v>
      </c>
      <c r="D171" s="8">
        <f>5.8151 * CHOOSE( CONTROL!$C$15, $D$11, 100%, $F$11)</f>
        <v>5.8151000000000002</v>
      </c>
      <c r="E171" s="12">
        <f>5.8209 * CHOOSE( CONTROL!$C$15, $D$11, 100%, $F$11)</f>
        <v>5.8209</v>
      </c>
      <c r="F171" s="4">
        <f>6.8205 * CHOOSE(CONTROL!$C$15, $D$11, 100%, $F$11)</f>
        <v>6.8205</v>
      </c>
      <c r="G171" s="8">
        <f>5.6862 * CHOOSE( CONTROL!$C$15, $D$11, 100%, $F$11)</f>
        <v>5.6862000000000004</v>
      </c>
      <c r="H171" s="4">
        <f>6.5721 * CHOOSE(CONTROL!$C$15, $D$11, 100%, $F$11)</f>
        <v>6.5720999999999998</v>
      </c>
      <c r="I171" s="8">
        <f>5.6716 * CHOOSE(CONTROL!$C$15, $D$11, 100%, $F$11)</f>
        <v>5.6715999999999998</v>
      </c>
      <c r="J171" s="4">
        <f>5.5754 * CHOOSE(CONTROL!$C$15, $D$11, 100%, $F$11)</f>
        <v>5.5754000000000001</v>
      </c>
      <c r="K171" s="4"/>
      <c r="L171" s="9">
        <v>26.515499999999999</v>
      </c>
      <c r="M171" s="9">
        <v>11.6745</v>
      </c>
      <c r="N171" s="9">
        <v>4.7850000000000001</v>
      </c>
      <c r="O171" s="9">
        <v>0.36249999999999999</v>
      </c>
      <c r="P171" s="9">
        <v>1.2522</v>
      </c>
      <c r="Q171" s="9">
        <v>30.679200000000002</v>
      </c>
      <c r="R171" s="9"/>
      <c r="S171" s="11"/>
    </row>
    <row r="172" spans="1:19" ht="15.75">
      <c r="A172" s="13">
        <v>47088</v>
      </c>
      <c r="B172" s="8">
        <f>5.8131 * CHOOSE(CONTROL!$C$15, $D$11, 100%, $F$11)</f>
        <v>5.8131000000000004</v>
      </c>
      <c r="C172" s="8">
        <f>5.8235 * CHOOSE(CONTROL!$C$15, $D$11, 100%, $F$11)</f>
        <v>5.8235000000000001</v>
      </c>
      <c r="D172" s="8">
        <f>5.8071 * CHOOSE( CONTROL!$C$15, $D$11, 100%, $F$11)</f>
        <v>5.8071000000000002</v>
      </c>
      <c r="E172" s="12">
        <f>5.812 * CHOOSE( CONTROL!$C$15, $D$11, 100%, $F$11)</f>
        <v>5.8120000000000003</v>
      </c>
      <c r="F172" s="4">
        <f>6.8099 * CHOOSE(CONTROL!$C$15, $D$11, 100%, $F$11)</f>
        <v>6.8098999999999998</v>
      </c>
      <c r="G172" s="8">
        <f>5.6779 * CHOOSE( CONTROL!$C$15, $D$11, 100%, $F$11)</f>
        <v>5.6779000000000002</v>
      </c>
      <c r="H172" s="4">
        <f>6.5618 * CHOOSE(CONTROL!$C$15, $D$11, 100%, $F$11)</f>
        <v>6.5617999999999999</v>
      </c>
      <c r="I172" s="8">
        <f>5.6702 * CHOOSE(CONTROL!$C$15, $D$11, 100%, $F$11)</f>
        <v>5.6702000000000004</v>
      </c>
      <c r="J172" s="4">
        <f>5.5653 * CHOOSE(CONTROL!$C$15, $D$11, 100%, $F$11)</f>
        <v>5.5652999999999997</v>
      </c>
      <c r="K172" s="4"/>
      <c r="L172" s="9">
        <v>27.3993</v>
      </c>
      <c r="M172" s="9">
        <v>12.063700000000001</v>
      </c>
      <c r="N172" s="9">
        <v>4.9444999999999997</v>
      </c>
      <c r="O172" s="9">
        <v>0.37459999999999999</v>
      </c>
      <c r="P172" s="9">
        <v>1.2939000000000001</v>
      </c>
      <c r="Q172" s="9">
        <v>31.701799999999999</v>
      </c>
      <c r="R172" s="9"/>
      <c r="S172" s="11"/>
    </row>
    <row r="173" spans="1:19" ht="15.75">
      <c r="A173" s="13">
        <v>47119</v>
      </c>
      <c r="B173" s="8">
        <f>5.9609 * CHOOSE(CONTROL!$C$15, $D$11, 100%, $F$11)</f>
        <v>5.9608999999999996</v>
      </c>
      <c r="C173" s="8">
        <f>5.9713 * CHOOSE(CONTROL!$C$15, $D$11, 100%, $F$11)</f>
        <v>5.9713000000000003</v>
      </c>
      <c r="D173" s="8">
        <f>5.9699 * CHOOSE( CONTROL!$C$15, $D$11, 100%, $F$11)</f>
        <v>5.9699</v>
      </c>
      <c r="E173" s="12">
        <f>5.9693 * CHOOSE( CONTROL!$C$15, $D$11, 100%, $F$11)</f>
        <v>5.9692999999999996</v>
      </c>
      <c r="F173" s="4">
        <f>6.9838 * CHOOSE(CONTROL!$C$15, $D$11, 100%, $F$11)</f>
        <v>6.9837999999999996</v>
      </c>
      <c r="G173" s="8">
        <f>5.8388 * CHOOSE( CONTROL!$C$15, $D$11, 100%, $F$11)</f>
        <v>5.8388</v>
      </c>
      <c r="H173" s="4">
        <f>6.7313 * CHOOSE(CONTROL!$C$15, $D$11, 100%, $F$11)</f>
        <v>6.7313000000000001</v>
      </c>
      <c r="I173" s="8">
        <f>5.8184 * CHOOSE(CONTROL!$C$15, $D$11, 100%, $F$11)</f>
        <v>5.8183999999999996</v>
      </c>
      <c r="J173" s="4">
        <f>5.7069 * CHOOSE(CONTROL!$C$15, $D$11, 100%, $F$11)</f>
        <v>5.7069000000000001</v>
      </c>
      <c r="K173" s="4"/>
      <c r="L173" s="9">
        <v>27.3993</v>
      </c>
      <c r="M173" s="9">
        <v>12.063700000000001</v>
      </c>
      <c r="N173" s="9">
        <v>4.9444999999999997</v>
      </c>
      <c r="O173" s="9">
        <v>0.37459999999999999</v>
      </c>
      <c r="P173" s="9">
        <v>1.2939000000000001</v>
      </c>
      <c r="Q173" s="9">
        <v>31.517700000000001</v>
      </c>
      <c r="R173" s="9"/>
      <c r="S173" s="11"/>
    </row>
    <row r="174" spans="1:19" ht="15.75">
      <c r="A174" s="13">
        <v>47150</v>
      </c>
      <c r="B174" s="8">
        <f>5.5758 * CHOOSE(CONTROL!$C$15, $D$11, 100%, $F$11)</f>
        <v>5.5758000000000001</v>
      </c>
      <c r="C174" s="8">
        <f>5.5863 * CHOOSE(CONTROL!$C$15, $D$11, 100%, $F$11)</f>
        <v>5.5862999999999996</v>
      </c>
      <c r="D174" s="8">
        <f>5.5871 * CHOOSE( CONTROL!$C$15, $D$11, 100%, $F$11)</f>
        <v>5.5871000000000004</v>
      </c>
      <c r="E174" s="12">
        <f>5.5857 * CHOOSE( CONTROL!$C$15, $D$11, 100%, $F$11)</f>
        <v>5.5857000000000001</v>
      </c>
      <c r="F174" s="4">
        <f>6.5909 * CHOOSE(CONTROL!$C$15, $D$11, 100%, $F$11)</f>
        <v>6.5909000000000004</v>
      </c>
      <c r="G174" s="8">
        <f>5.4633 * CHOOSE( CONTROL!$C$15, $D$11, 100%, $F$11)</f>
        <v>5.4633000000000003</v>
      </c>
      <c r="H174" s="4">
        <f>6.3484 * CHOOSE(CONTROL!$C$15, $D$11, 100%, $F$11)</f>
        <v>6.3483999999999998</v>
      </c>
      <c r="I174" s="8">
        <f>5.4383 * CHOOSE(CONTROL!$C$15, $D$11, 100%, $F$11)</f>
        <v>5.4382999999999999</v>
      </c>
      <c r="J174" s="4">
        <f>5.338 * CHOOSE(CONTROL!$C$15, $D$11, 100%, $F$11)</f>
        <v>5.3380000000000001</v>
      </c>
      <c r="K174" s="4"/>
      <c r="L174" s="9">
        <v>24.747800000000002</v>
      </c>
      <c r="M174" s="9">
        <v>10.8962</v>
      </c>
      <c r="N174" s="9">
        <v>4.4660000000000002</v>
      </c>
      <c r="O174" s="9">
        <v>0.33829999999999999</v>
      </c>
      <c r="P174" s="9">
        <v>1.1687000000000001</v>
      </c>
      <c r="Q174" s="9">
        <v>28.467600000000001</v>
      </c>
      <c r="R174" s="9"/>
      <c r="S174" s="11"/>
    </row>
    <row r="175" spans="1:19" ht="15.75">
      <c r="A175" s="13">
        <v>47178</v>
      </c>
      <c r="B175" s="8">
        <f>5.4572 * CHOOSE(CONTROL!$C$15, $D$11, 100%, $F$11)</f>
        <v>5.4572000000000003</v>
      </c>
      <c r="C175" s="8">
        <f>5.4677 * CHOOSE(CONTROL!$C$15, $D$11, 100%, $F$11)</f>
        <v>5.4676999999999998</v>
      </c>
      <c r="D175" s="8">
        <f>5.4481 * CHOOSE( CONTROL!$C$15, $D$11, 100%, $F$11)</f>
        <v>5.4481000000000002</v>
      </c>
      <c r="E175" s="12">
        <f>5.4541 * CHOOSE( CONTROL!$C$15, $D$11, 100%, $F$11)</f>
        <v>5.4541000000000004</v>
      </c>
      <c r="F175" s="4">
        <f>6.4561 * CHOOSE(CONTROL!$C$15, $D$11, 100%, $F$11)</f>
        <v>6.4561000000000002</v>
      </c>
      <c r="G175" s="8">
        <f>5.327 * CHOOSE( CONTROL!$C$15, $D$11, 100%, $F$11)</f>
        <v>5.327</v>
      </c>
      <c r="H175" s="4">
        <f>6.217 * CHOOSE(CONTROL!$C$15, $D$11, 100%, $F$11)</f>
        <v>6.2169999999999996</v>
      </c>
      <c r="I175" s="8">
        <f>5.2851 * CHOOSE(CONTROL!$C$15, $D$11, 100%, $F$11)</f>
        <v>5.2850999999999999</v>
      </c>
      <c r="J175" s="4">
        <f>5.2244 * CHOOSE(CONTROL!$C$15, $D$11, 100%, $F$11)</f>
        <v>5.2244000000000002</v>
      </c>
      <c r="K175" s="4"/>
      <c r="L175" s="9">
        <v>27.3993</v>
      </c>
      <c r="M175" s="9">
        <v>12.063700000000001</v>
      </c>
      <c r="N175" s="9">
        <v>4.9444999999999997</v>
      </c>
      <c r="O175" s="9">
        <v>0.37459999999999999</v>
      </c>
      <c r="P175" s="9">
        <v>1.2939000000000001</v>
      </c>
      <c r="Q175" s="9">
        <v>31.517700000000001</v>
      </c>
      <c r="R175" s="9"/>
      <c r="S175" s="11"/>
    </row>
    <row r="176" spans="1:19" ht="15.75">
      <c r="A176" s="13">
        <v>47209</v>
      </c>
      <c r="B176" s="8">
        <f>5.5401 * CHOOSE(CONTROL!$C$15, $D$11, 100%, $F$11)</f>
        <v>5.5400999999999998</v>
      </c>
      <c r="C176" s="8">
        <f>5.5505 * CHOOSE(CONTROL!$C$15, $D$11, 100%, $F$11)</f>
        <v>5.5505000000000004</v>
      </c>
      <c r="D176" s="8">
        <f>5.5544 * CHOOSE( CONTROL!$C$15, $D$11, 100%, $F$11)</f>
        <v>5.5544000000000002</v>
      </c>
      <c r="E176" s="12">
        <f>5.5519 * CHOOSE( CONTROL!$C$15, $D$11, 100%, $F$11)</f>
        <v>5.5518999999999998</v>
      </c>
      <c r="F176" s="4">
        <f>6.5473 * CHOOSE(CONTROL!$C$15, $D$11, 100%, $F$11)</f>
        <v>6.5472999999999999</v>
      </c>
      <c r="G176" s="8">
        <f>5.3958 * CHOOSE( CONTROL!$C$15, $D$11, 100%, $F$11)</f>
        <v>5.3958000000000004</v>
      </c>
      <c r="H176" s="4">
        <f>6.3059 * CHOOSE(CONTROL!$C$15, $D$11, 100%, $F$11)</f>
        <v>6.3059000000000003</v>
      </c>
      <c r="I176" s="8">
        <f>5.3546 * CHOOSE(CONTROL!$C$15, $D$11, 100%, $F$11)</f>
        <v>5.3545999999999996</v>
      </c>
      <c r="J176" s="4">
        <f>5.3038 * CHOOSE(CONTROL!$C$15, $D$11, 100%, $F$11)</f>
        <v>5.3037999999999998</v>
      </c>
      <c r="K176" s="4"/>
      <c r="L176" s="9">
        <v>27.988800000000001</v>
      </c>
      <c r="M176" s="9">
        <v>11.6745</v>
      </c>
      <c r="N176" s="9">
        <v>4.7850000000000001</v>
      </c>
      <c r="O176" s="9">
        <v>0.36249999999999999</v>
      </c>
      <c r="P176" s="9">
        <v>1.1798</v>
      </c>
      <c r="Q176" s="9">
        <v>30.501000000000001</v>
      </c>
      <c r="R176" s="9"/>
      <c r="S176" s="11"/>
    </row>
    <row r="177" spans="1:19" ht="15.75">
      <c r="A177" s="13">
        <v>47239</v>
      </c>
      <c r="B177" s="8">
        <f>CHOOSE( CONTROL!$C$32, 5.6925, 5.6876) * CHOOSE(CONTROL!$C$15, $D$11, 100%, $F$11)</f>
        <v>5.6924999999999999</v>
      </c>
      <c r="C177" s="8">
        <f>CHOOSE( CONTROL!$C$32, 5.703, 5.698) * CHOOSE(CONTROL!$C$15, $D$11, 100%, $F$11)</f>
        <v>5.7030000000000003</v>
      </c>
      <c r="D177" s="8">
        <f>CHOOSE( CONTROL!$C$32, 5.6816, 5.6767) * CHOOSE( CONTROL!$C$15, $D$11, 100%, $F$11)</f>
        <v>5.6816000000000004</v>
      </c>
      <c r="E177" s="12">
        <f>CHOOSE( CONTROL!$C$32, 5.6878, 5.6828) * CHOOSE( CONTROL!$C$15, $D$11, 100%, $F$11)</f>
        <v>5.6878000000000002</v>
      </c>
      <c r="F177" s="4">
        <f>CHOOSE( CONTROL!$C$32, 6.6674, 6.6625) * CHOOSE(CONTROL!$C$15, $D$11, 100%, $F$11)</f>
        <v>6.6673999999999998</v>
      </c>
      <c r="G177" s="8">
        <f>CHOOSE( CONTROL!$C$32, 5.5257, 5.5209) * CHOOSE( CONTROL!$C$15, $D$11, 100%, $F$11)</f>
        <v>5.5256999999999996</v>
      </c>
      <c r="H177" s="4">
        <f>CHOOSE( CONTROL!$C$32, 6.423, 6.4182) * CHOOSE(CONTROL!$C$15, $D$11, 100%, $F$11)</f>
        <v>6.423</v>
      </c>
      <c r="I177" s="8">
        <f>CHOOSE( CONTROL!$C$32, 5.4792, 5.4745) * CHOOSE(CONTROL!$C$15, $D$11, 100%, $F$11)</f>
        <v>5.4791999999999996</v>
      </c>
      <c r="J177" s="4">
        <f>CHOOSE( CONTROL!$C$32, 5.4498, 5.4451) * CHOOSE(CONTROL!$C$15, $D$11, 100%, $F$11)</f>
        <v>5.4497999999999998</v>
      </c>
      <c r="K177" s="4"/>
      <c r="L177" s="9">
        <v>29.520499999999998</v>
      </c>
      <c r="M177" s="9">
        <v>12.063700000000001</v>
      </c>
      <c r="N177" s="9">
        <v>4.9444999999999997</v>
      </c>
      <c r="O177" s="9">
        <v>0.37459999999999999</v>
      </c>
      <c r="P177" s="9">
        <v>1.2192000000000001</v>
      </c>
      <c r="Q177" s="9">
        <v>31.517700000000001</v>
      </c>
      <c r="R177" s="9"/>
      <c r="S177" s="11"/>
    </row>
    <row r="178" spans="1:19" ht="15.75">
      <c r="A178" s="13">
        <v>47270</v>
      </c>
      <c r="B178" s="8">
        <f>CHOOSE( CONTROL!$C$32, 5.6012, 5.5962) * CHOOSE(CONTROL!$C$15, $D$11, 100%, $F$11)</f>
        <v>5.6012000000000004</v>
      </c>
      <c r="C178" s="8">
        <f>CHOOSE( CONTROL!$C$32, 5.6116, 5.6067) * CHOOSE(CONTROL!$C$15, $D$11, 100%, $F$11)</f>
        <v>5.6116000000000001</v>
      </c>
      <c r="D178" s="8">
        <f>CHOOSE( CONTROL!$C$32, 5.6037, 5.5988) * CHOOSE( CONTROL!$C$15, $D$11, 100%, $F$11)</f>
        <v>5.6036999999999999</v>
      </c>
      <c r="E178" s="12">
        <f>CHOOSE( CONTROL!$C$32, 5.605, 5.6001) * CHOOSE( CONTROL!$C$15, $D$11, 100%, $F$11)</f>
        <v>5.6050000000000004</v>
      </c>
      <c r="F178" s="4">
        <f>CHOOSE( CONTROL!$C$32, 6.5954, 6.5904) * CHOOSE(CONTROL!$C$15, $D$11, 100%, $F$11)</f>
        <v>6.5953999999999997</v>
      </c>
      <c r="G178" s="8">
        <f>CHOOSE( CONTROL!$C$32, 5.4471, 5.4423) * CHOOSE( CONTROL!$C$15, $D$11, 100%, $F$11)</f>
        <v>5.4470999999999998</v>
      </c>
      <c r="H178" s="4">
        <f>CHOOSE( CONTROL!$C$32, 6.3527, 6.3479) * CHOOSE(CONTROL!$C$15, $D$11, 100%, $F$11)</f>
        <v>6.3526999999999996</v>
      </c>
      <c r="I178" s="8">
        <f>CHOOSE( CONTROL!$C$32, 5.4095, 5.4047) * CHOOSE(CONTROL!$C$15, $D$11, 100%, $F$11)</f>
        <v>5.4095000000000004</v>
      </c>
      <c r="J178" s="4">
        <f>CHOOSE( CONTROL!$C$32, 5.3623, 5.3575) * CHOOSE(CONTROL!$C$15, $D$11, 100%, $F$11)</f>
        <v>5.3623000000000003</v>
      </c>
      <c r="K178" s="4"/>
      <c r="L178" s="9">
        <v>28.568200000000001</v>
      </c>
      <c r="M178" s="9">
        <v>11.6745</v>
      </c>
      <c r="N178" s="9">
        <v>4.7850000000000001</v>
      </c>
      <c r="O178" s="9">
        <v>0.36249999999999999</v>
      </c>
      <c r="P178" s="9">
        <v>1.1798</v>
      </c>
      <c r="Q178" s="9">
        <v>30.501000000000001</v>
      </c>
      <c r="R178" s="9"/>
      <c r="S178" s="11"/>
    </row>
    <row r="179" spans="1:19" ht="15.75">
      <c r="A179" s="13">
        <v>47300</v>
      </c>
      <c r="B179" s="8">
        <f>CHOOSE( CONTROL!$C$32, 5.8417, 5.8368) * CHOOSE(CONTROL!$C$15, $D$11, 100%, $F$11)</f>
        <v>5.8417000000000003</v>
      </c>
      <c r="C179" s="8">
        <f>CHOOSE( CONTROL!$C$32, 5.8522, 5.8472) * CHOOSE(CONTROL!$C$15, $D$11, 100%, $F$11)</f>
        <v>5.8521999999999998</v>
      </c>
      <c r="D179" s="8">
        <f>CHOOSE( CONTROL!$C$32, 5.8512, 5.8462) * CHOOSE( CONTROL!$C$15, $D$11, 100%, $F$11)</f>
        <v>5.8512000000000004</v>
      </c>
      <c r="E179" s="12">
        <f>CHOOSE( CONTROL!$C$32, 5.85, 5.845) * CHOOSE( CONTROL!$C$15, $D$11, 100%, $F$11)</f>
        <v>5.85</v>
      </c>
      <c r="F179" s="4">
        <f>CHOOSE( CONTROL!$C$32, 6.8464, 6.8415) * CHOOSE(CONTROL!$C$15, $D$11, 100%, $F$11)</f>
        <v>6.8464</v>
      </c>
      <c r="G179" s="8">
        <f>CHOOSE( CONTROL!$C$32, 5.6857, 5.6809) * CHOOSE( CONTROL!$C$15, $D$11, 100%, $F$11)</f>
        <v>5.6856999999999998</v>
      </c>
      <c r="H179" s="4">
        <f>CHOOSE( CONTROL!$C$32, 6.5974, 6.5926) * CHOOSE(CONTROL!$C$15, $D$11, 100%, $F$11)</f>
        <v>6.5974000000000004</v>
      </c>
      <c r="I179" s="8">
        <f>CHOOSE( CONTROL!$C$32, 5.6478, 5.643) * CHOOSE(CONTROL!$C$15, $D$11, 100%, $F$11)</f>
        <v>5.6478000000000002</v>
      </c>
      <c r="J179" s="4">
        <f>CHOOSE( CONTROL!$C$32, 5.5928, 5.5881) * CHOOSE(CONTROL!$C$15, $D$11, 100%, $F$11)</f>
        <v>5.5928000000000004</v>
      </c>
      <c r="K179" s="4"/>
      <c r="L179" s="9">
        <v>29.520499999999998</v>
      </c>
      <c r="M179" s="9">
        <v>12.063700000000001</v>
      </c>
      <c r="N179" s="9">
        <v>4.9444999999999997</v>
      </c>
      <c r="O179" s="9">
        <v>0.37459999999999999</v>
      </c>
      <c r="P179" s="9">
        <v>1.2192000000000001</v>
      </c>
      <c r="Q179" s="9">
        <v>31.517700000000001</v>
      </c>
      <c r="R179" s="9"/>
      <c r="S179" s="11"/>
    </row>
    <row r="180" spans="1:19" ht="15.75">
      <c r="A180" s="13">
        <v>47331</v>
      </c>
      <c r="B180" s="8">
        <f>CHOOSE( CONTROL!$C$32, 5.3916, 5.3866) * CHOOSE(CONTROL!$C$15, $D$11, 100%, $F$11)</f>
        <v>5.3916000000000004</v>
      </c>
      <c r="C180" s="8">
        <f>CHOOSE( CONTROL!$C$32, 5.402, 5.3971) * CHOOSE(CONTROL!$C$15, $D$11, 100%, $F$11)</f>
        <v>5.4020000000000001</v>
      </c>
      <c r="D180" s="8">
        <f>CHOOSE( CONTROL!$C$32, 5.4022, 5.3972) * CHOOSE( CONTROL!$C$15, $D$11, 100%, $F$11)</f>
        <v>5.4021999999999997</v>
      </c>
      <c r="E180" s="12">
        <f>CHOOSE( CONTROL!$C$32, 5.4005, 5.3956) * CHOOSE( CONTROL!$C$15, $D$11, 100%, $F$11)</f>
        <v>5.4005000000000001</v>
      </c>
      <c r="F180" s="4">
        <f>CHOOSE( CONTROL!$C$32, 6.404, 6.3991) * CHOOSE(CONTROL!$C$15, $D$11, 100%, $F$11)</f>
        <v>6.4039999999999999</v>
      </c>
      <c r="G180" s="8">
        <f>CHOOSE( CONTROL!$C$32, 5.2421, 5.2373) * CHOOSE( CONTROL!$C$15, $D$11, 100%, $F$11)</f>
        <v>5.2420999999999998</v>
      </c>
      <c r="H180" s="4">
        <f>CHOOSE( CONTROL!$C$32, 6.1662, 6.1614) * CHOOSE(CONTROL!$C$15, $D$11, 100%, $F$11)</f>
        <v>6.1661999999999999</v>
      </c>
      <c r="I180" s="8">
        <f>CHOOSE( CONTROL!$C$32, 5.2072, 5.2024) * CHOOSE(CONTROL!$C$15, $D$11, 100%, $F$11)</f>
        <v>5.2072000000000003</v>
      </c>
      <c r="J180" s="4">
        <f>CHOOSE( CONTROL!$C$32, 5.1614, 5.1567) * CHOOSE(CONTROL!$C$15, $D$11, 100%, $F$11)</f>
        <v>5.1614000000000004</v>
      </c>
      <c r="K180" s="4"/>
      <c r="L180" s="9">
        <v>29.520499999999998</v>
      </c>
      <c r="M180" s="9">
        <v>12.063700000000001</v>
      </c>
      <c r="N180" s="9">
        <v>4.9444999999999997</v>
      </c>
      <c r="O180" s="9">
        <v>0.37459999999999999</v>
      </c>
      <c r="P180" s="9">
        <v>1.2192000000000001</v>
      </c>
      <c r="Q180" s="9">
        <v>31.517700000000001</v>
      </c>
      <c r="R180" s="9"/>
      <c r="S180" s="11"/>
    </row>
    <row r="181" spans="1:19" ht="15.75">
      <c r="A181" s="13">
        <v>47362</v>
      </c>
      <c r="B181" s="8">
        <f>CHOOSE( CONTROL!$C$32, 5.2788, 5.2739) * CHOOSE(CONTROL!$C$15, $D$11, 100%, $F$11)</f>
        <v>5.2788000000000004</v>
      </c>
      <c r="C181" s="8">
        <f>CHOOSE( CONTROL!$C$32, 5.2893, 5.2843) * CHOOSE(CONTROL!$C$15, $D$11, 100%, $F$11)</f>
        <v>5.2892999999999999</v>
      </c>
      <c r="D181" s="8">
        <f>CHOOSE( CONTROL!$C$32, 5.2897, 5.2848) * CHOOSE( CONTROL!$C$15, $D$11, 100%, $F$11)</f>
        <v>5.2896999999999998</v>
      </c>
      <c r="E181" s="12">
        <f>CHOOSE( CONTROL!$C$32, 5.288, 5.283) * CHOOSE( CONTROL!$C$15, $D$11, 100%, $F$11)</f>
        <v>5.2880000000000003</v>
      </c>
      <c r="F181" s="4">
        <f>CHOOSE( CONTROL!$C$32, 6.2913, 6.2864) * CHOOSE(CONTROL!$C$15, $D$11, 100%, $F$11)</f>
        <v>6.2912999999999997</v>
      </c>
      <c r="G181" s="8">
        <f>CHOOSE( CONTROL!$C$32, 5.1326, 5.1278) * CHOOSE( CONTROL!$C$15, $D$11, 100%, $F$11)</f>
        <v>5.1326000000000001</v>
      </c>
      <c r="H181" s="4">
        <f>CHOOSE( CONTROL!$C$32, 6.0563, 6.0515) * CHOOSE(CONTROL!$C$15, $D$11, 100%, $F$11)</f>
        <v>6.0563000000000002</v>
      </c>
      <c r="I181" s="8">
        <f>CHOOSE( CONTROL!$C$32, 5.1005, 5.0958) * CHOOSE(CONTROL!$C$15, $D$11, 100%, $F$11)</f>
        <v>5.1005000000000003</v>
      </c>
      <c r="J181" s="4">
        <f>CHOOSE( CONTROL!$C$32, 5.0534, 5.0487) * CHOOSE(CONTROL!$C$15, $D$11, 100%, $F$11)</f>
        <v>5.0533999999999999</v>
      </c>
      <c r="K181" s="4"/>
      <c r="L181" s="9">
        <v>28.568200000000001</v>
      </c>
      <c r="M181" s="9">
        <v>11.6745</v>
      </c>
      <c r="N181" s="9">
        <v>4.7850000000000001</v>
      </c>
      <c r="O181" s="9">
        <v>0.36249999999999999</v>
      </c>
      <c r="P181" s="9">
        <v>1.1798</v>
      </c>
      <c r="Q181" s="9">
        <v>30.501000000000001</v>
      </c>
      <c r="R181" s="9"/>
      <c r="S181" s="11"/>
    </row>
    <row r="182" spans="1:19" ht="15.75">
      <c r="A182" s="13">
        <v>47392</v>
      </c>
      <c r="B182" s="8">
        <f>5.508 * CHOOSE(CONTROL!$C$15, $D$11, 100%, $F$11)</f>
        <v>5.508</v>
      </c>
      <c r="C182" s="8">
        <f>5.5184 * CHOOSE(CONTROL!$C$15, $D$11, 100%, $F$11)</f>
        <v>5.5183999999999997</v>
      </c>
      <c r="D182" s="8">
        <f>5.5201 * CHOOSE( CONTROL!$C$15, $D$11, 100%, $F$11)</f>
        <v>5.5201000000000002</v>
      </c>
      <c r="E182" s="12">
        <f>5.5184 * CHOOSE( CONTROL!$C$15, $D$11, 100%, $F$11)</f>
        <v>5.5183999999999997</v>
      </c>
      <c r="F182" s="4">
        <f>6.5204 * CHOOSE(CONTROL!$C$15, $D$11, 100%, $F$11)</f>
        <v>6.5204000000000004</v>
      </c>
      <c r="G182" s="8">
        <f>5.3556 * CHOOSE( CONTROL!$C$15, $D$11, 100%, $F$11)</f>
        <v>5.3555999999999999</v>
      </c>
      <c r="H182" s="4">
        <f>6.2797 * CHOOSE(CONTROL!$C$15, $D$11, 100%, $F$11)</f>
        <v>6.2797000000000001</v>
      </c>
      <c r="I182" s="8">
        <f>5.3224 * CHOOSE(CONTROL!$C$15, $D$11, 100%, $F$11)</f>
        <v>5.3224</v>
      </c>
      <c r="J182" s="4">
        <f>5.273 * CHOOSE(CONTROL!$C$15, $D$11, 100%, $F$11)</f>
        <v>5.2729999999999997</v>
      </c>
      <c r="K182" s="4"/>
      <c r="L182" s="9">
        <v>28.921800000000001</v>
      </c>
      <c r="M182" s="9">
        <v>12.063700000000001</v>
      </c>
      <c r="N182" s="9">
        <v>4.9444999999999997</v>
      </c>
      <c r="O182" s="9">
        <v>0.37459999999999999</v>
      </c>
      <c r="P182" s="9">
        <v>1.2192000000000001</v>
      </c>
      <c r="Q182" s="9">
        <v>31.517700000000001</v>
      </c>
      <c r="R182" s="9"/>
      <c r="S182" s="11"/>
    </row>
    <row r="183" spans="1:19" ht="15.75">
      <c r="A183" s="13">
        <v>47423</v>
      </c>
      <c r="B183" s="8">
        <f>5.94 * CHOOSE(CONTROL!$C$15, $D$11, 100%, $F$11)</f>
        <v>5.94</v>
      </c>
      <c r="C183" s="8">
        <f>5.9504 * CHOOSE(CONTROL!$C$15, $D$11, 100%, $F$11)</f>
        <v>5.9504000000000001</v>
      </c>
      <c r="D183" s="8">
        <f>5.9315 * CHOOSE( CONTROL!$C$15, $D$11, 100%, $F$11)</f>
        <v>5.9314999999999998</v>
      </c>
      <c r="E183" s="12">
        <f>5.9373 * CHOOSE( CONTROL!$C$15, $D$11, 100%, $F$11)</f>
        <v>5.9372999999999996</v>
      </c>
      <c r="F183" s="4">
        <f>6.9368 * CHOOSE(CONTROL!$C$15, $D$11, 100%, $F$11)</f>
        <v>6.9367999999999999</v>
      </c>
      <c r="G183" s="8">
        <f>5.7997 * CHOOSE( CONTROL!$C$15, $D$11, 100%, $F$11)</f>
        <v>5.7996999999999996</v>
      </c>
      <c r="H183" s="4">
        <f>6.6856 * CHOOSE(CONTROL!$C$15, $D$11, 100%, $F$11)</f>
        <v>6.6856</v>
      </c>
      <c r="I183" s="8">
        <f>5.7831 * CHOOSE(CONTROL!$C$15, $D$11, 100%, $F$11)</f>
        <v>5.7831000000000001</v>
      </c>
      <c r="J183" s="4">
        <f>5.687 * CHOOSE(CONTROL!$C$15, $D$11, 100%, $F$11)</f>
        <v>5.6870000000000003</v>
      </c>
      <c r="K183" s="4"/>
      <c r="L183" s="9">
        <v>26.515499999999999</v>
      </c>
      <c r="M183" s="9">
        <v>11.6745</v>
      </c>
      <c r="N183" s="9">
        <v>4.7850000000000001</v>
      </c>
      <c r="O183" s="9">
        <v>0.36249999999999999</v>
      </c>
      <c r="P183" s="9">
        <v>1.2522</v>
      </c>
      <c r="Q183" s="9">
        <v>30.501000000000001</v>
      </c>
      <c r="R183" s="9"/>
      <c r="S183" s="11"/>
    </row>
    <row r="184" spans="1:19" ht="15.75">
      <c r="A184" s="13">
        <v>47453</v>
      </c>
      <c r="B184" s="8">
        <f>5.9292 * CHOOSE(CONTROL!$C$15, $D$11, 100%, $F$11)</f>
        <v>5.9291999999999998</v>
      </c>
      <c r="C184" s="8">
        <f>5.9396 * CHOOSE(CONTROL!$C$15, $D$11, 100%, $F$11)</f>
        <v>5.9396000000000004</v>
      </c>
      <c r="D184" s="8">
        <f>5.9233 * CHOOSE( CONTROL!$C$15, $D$11, 100%, $F$11)</f>
        <v>5.9233000000000002</v>
      </c>
      <c r="E184" s="12">
        <f>5.9282 * CHOOSE( CONTROL!$C$15, $D$11, 100%, $F$11)</f>
        <v>5.9282000000000004</v>
      </c>
      <c r="F184" s="4">
        <f>6.926 * CHOOSE(CONTROL!$C$15, $D$11, 100%, $F$11)</f>
        <v>6.9260000000000002</v>
      </c>
      <c r="G184" s="8">
        <f>5.7911 * CHOOSE( CONTROL!$C$15, $D$11, 100%, $F$11)</f>
        <v>5.7911000000000001</v>
      </c>
      <c r="H184" s="4">
        <f>6.6751 * CHOOSE(CONTROL!$C$15, $D$11, 100%, $F$11)</f>
        <v>6.6750999999999996</v>
      </c>
      <c r="I184" s="8">
        <f>5.7816 * CHOOSE(CONTROL!$C$15, $D$11, 100%, $F$11)</f>
        <v>5.7816000000000001</v>
      </c>
      <c r="J184" s="4">
        <f>5.6766 * CHOOSE(CONTROL!$C$15, $D$11, 100%, $F$11)</f>
        <v>5.6765999999999996</v>
      </c>
      <c r="K184" s="4"/>
      <c r="L184" s="9">
        <v>27.3993</v>
      </c>
      <c r="M184" s="9">
        <v>12.063700000000001</v>
      </c>
      <c r="N184" s="9">
        <v>4.9444999999999997</v>
      </c>
      <c r="O184" s="9">
        <v>0.37459999999999999</v>
      </c>
      <c r="P184" s="9">
        <v>1.2939000000000001</v>
      </c>
      <c r="Q184" s="9">
        <v>31.517700000000001</v>
      </c>
      <c r="R184" s="9"/>
      <c r="S184" s="11"/>
    </row>
    <row r="185" spans="1:19" ht="15.75">
      <c r="A185" s="13">
        <v>47484</v>
      </c>
      <c r="B185" s="8">
        <f>6.08 * CHOOSE(CONTROL!$C$15, $D$11, 100%, $F$11)</f>
        <v>6.08</v>
      </c>
      <c r="C185" s="8">
        <f>6.0904 * CHOOSE(CONTROL!$C$15, $D$11, 100%, $F$11)</f>
        <v>6.0903999999999998</v>
      </c>
      <c r="D185" s="8">
        <f>6.089 * CHOOSE( CONTROL!$C$15, $D$11, 100%, $F$11)</f>
        <v>6.0890000000000004</v>
      </c>
      <c r="E185" s="12">
        <f>6.0884 * CHOOSE( CONTROL!$C$15, $D$11, 100%, $F$11)</f>
        <v>6.0884</v>
      </c>
      <c r="F185" s="4">
        <f>7.1029 * CHOOSE(CONTROL!$C$15, $D$11, 100%, $F$11)</f>
        <v>7.1029</v>
      </c>
      <c r="G185" s="8">
        <f>5.9549 * CHOOSE( CONTROL!$C$15, $D$11, 100%, $F$11)</f>
        <v>5.9549000000000003</v>
      </c>
      <c r="H185" s="4">
        <f>6.8474 * CHOOSE(CONTROL!$C$15, $D$11, 100%, $F$11)</f>
        <v>6.8474000000000004</v>
      </c>
      <c r="I185" s="8">
        <f>5.9326 * CHOOSE(CONTROL!$C$15, $D$11, 100%, $F$11)</f>
        <v>5.9325999999999999</v>
      </c>
      <c r="J185" s="4">
        <f>5.8211 * CHOOSE(CONTROL!$C$15, $D$11, 100%, $F$11)</f>
        <v>5.8211000000000004</v>
      </c>
      <c r="K185" s="4"/>
      <c r="L185" s="9">
        <v>27.3993</v>
      </c>
      <c r="M185" s="9">
        <v>12.063700000000001</v>
      </c>
      <c r="N185" s="9">
        <v>4.9444999999999997</v>
      </c>
      <c r="O185" s="9">
        <v>0.37459999999999999</v>
      </c>
      <c r="P185" s="9">
        <v>1.2939000000000001</v>
      </c>
      <c r="Q185" s="9">
        <v>31.333600000000001</v>
      </c>
      <c r="R185" s="9"/>
      <c r="S185" s="11"/>
    </row>
    <row r="186" spans="1:19" ht="15.75">
      <c r="A186" s="13">
        <v>47515</v>
      </c>
      <c r="B186" s="8">
        <f>5.6872 * CHOOSE(CONTROL!$C$15, $D$11, 100%, $F$11)</f>
        <v>5.6871999999999998</v>
      </c>
      <c r="C186" s="8">
        <f>5.6977 * CHOOSE(CONTROL!$C$15, $D$11, 100%, $F$11)</f>
        <v>5.6977000000000002</v>
      </c>
      <c r="D186" s="8">
        <f>5.6985 * CHOOSE( CONTROL!$C$15, $D$11, 100%, $F$11)</f>
        <v>5.6985000000000001</v>
      </c>
      <c r="E186" s="12">
        <f>5.6971 * CHOOSE( CONTROL!$C$15, $D$11, 100%, $F$11)</f>
        <v>5.6970999999999998</v>
      </c>
      <c r="F186" s="4">
        <f>6.7023 * CHOOSE(CONTROL!$C$15, $D$11, 100%, $F$11)</f>
        <v>6.7023000000000001</v>
      </c>
      <c r="G186" s="8">
        <f>5.5719 * CHOOSE( CONTROL!$C$15, $D$11, 100%, $F$11)</f>
        <v>5.5719000000000003</v>
      </c>
      <c r="H186" s="4">
        <f>6.457 * CHOOSE(CONTROL!$C$15, $D$11, 100%, $F$11)</f>
        <v>6.4569999999999999</v>
      </c>
      <c r="I186" s="8">
        <f>5.5451 * CHOOSE(CONTROL!$C$15, $D$11, 100%, $F$11)</f>
        <v>5.5450999999999997</v>
      </c>
      <c r="J186" s="4">
        <f>5.4448 * CHOOSE(CONTROL!$C$15, $D$11, 100%, $F$11)</f>
        <v>5.4447999999999999</v>
      </c>
      <c r="K186" s="4"/>
      <c r="L186" s="9">
        <v>24.747800000000002</v>
      </c>
      <c r="M186" s="9">
        <v>10.8962</v>
      </c>
      <c r="N186" s="9">
        <v>4.4660000000000002</v>
      </c>
      <c r="O186" s="9">
        <v>0.33829999999999999</v>
      </c>
      <c r="P186" s="9">
        <v>1.1687000000000001</v>
      </c>
      <c r="Q186" s="9">
        <v>28.301300000000001</v>
      </c>
      <c r="R186" s="9"/>
      <c r="S186" s="11"/>
    </row>
    <row r="187" spans="1:19" ht="15.75">
      <c r="A187" s="13">
        <v>47543</v>
      </c>
      <c r="B187" s="8">
        <f>5.5663 * CHOOSE(CONTROL!$C$15, $D$11, 100%, $F$11)</f>
        <v>5.5663</v>
      </c>
      <c r="C187" s="8">
        <f>5.5767 * CHOOSE(CONTROL!$C$15, $D$11, 100%, $F$11)</f>
        <v>5.5766999999999998</v>
      </c>
      <c r="D187" s="8">
        <f>5.5572 * CHOOSE( CONTROL!$C$15, $D$11, 100%, $F$11)</f>
        <v>5.5571999999999999</v>
      </c>
      <c r="E187" s="12">
        <f>5.5632 * CHOOSE( CONTROL!$C$15, $D$11, 100%, $F$11)</f>
        <v>5.5632000000000001</v>
      </c>
      <c r="F187" s="4">
        <f>6.5652 * CHOOSE(CONTROL!$C$15, $D$11, 100%, $F$11)</f>
        <v>6.5651999999999999</v>
      </c>
      <c r="G187" s="8">
        <f>5.4333 * CHOOSE( CONTROL!$C$15, $D$11, 100%, $F$11)</f>
        <v>5.4333</v>
      </c>
      <c r="H187" s="4">
        <f>6.3233 * CHOOSE(CONTROL!$C$15, $D$11, 100%, $F$11)</f>
        <v>6.3232999999999997</v>
      </c>
      <c r="I187" s="8">
        <f>5.3897 * CHOOSE(CONTROL!$C$15, $D$11, 100%, $F$11)</f>
        <v>5.3897000000000004</v>
      </c>
      <c r="J187" s="4">
        <f>5.3288 * CHOOSE(CONTROL!$C$15, $D$11, 100%, $F$11)</f>
        <v>5.3288000000000002</v>
      </c>
      <c r="K187" s="4"/>
      <c r="L187" s="9">
        <v>27.3993</v>
      </c>
      <c r="M187" s="9">
        <v>12.063700000000001</v>
      </c>
      <c r="N187" s="9">
        <v>4.9444999999999997</v>
      </c>
      <c r="O187" s="9">
        <v>0.37459999999999999</v>
      </c>
      <c r="P187" s="9">
        <v>1.2939000000000001</v>
      </c>
      <c r="Q187" s="9">
        <v>31.333600000000001</v>
      </c>
      <c r="R187" s="9"/>
      <c r="S187" s="11"/>
    </row>
    <row r="188" spans="1:19" ht="15.75">
      <c r="A188" s="13">
        <v>47574</v>
      </c>
      <c r="B188" s="8">
        <f>5.6508 * CHOOSE(CONTROL!$C$15, $D$11, 100%, $F$11)</f>
        <v>5.6508000000000003</v>
      </c>
      <c r="C188" s="8">
        <f>5.6612 * CHOOSE(CONTROL!$C$15, $D$11, 100%, $F$11)</f>
        <v>5.6612</v>
      </c>
      <c r="D188" s="8">
        <f>5.6651 * CHOOSE( CONTROL!$C$15, $D$11, 100%, $F$11)</f>
        <v>5.6650999999999998</v>
      </c>
      <c r="E188" s="12">
        <f>5.6626 * CHOOSE( CONTROL!$C$15, $D$11, 100%, $F$11)</f>
        <v>5.6626000000000003</v>
      </c>
      <c r="F188" s="4">
        <f>6.6581 * CHOOSE(CONTROL!$C$15, $D$11, 100%, $F$11)</f>
        <v>6.6581000000000001</v>
      </c>
      <c r="G188" s="8">
        <f>5.5037 * CHOOSE( CONTROL!$C$15, $D$11, 100%, $F$11)</f>
        <v>5.5037000000000003</v>
      </c>
      <c r="H188" s="4">
        <f>6.4138 * CHOOSE(CONTROL!$C$15, $D$11, 100%, $F$11)</f>
        <v>6.4138000000000002</v>
      </c>
      <c r="I188" s="8">
        <f>5.4608 * CHOOSE(CONTROL!$C$15, $D$11, 100%, $F$11)</f>
        <v>5.4607999999999999</v>
      </c>
      <c r="J188" s="4">
        <f>5.4098 * CHOOSE(CONTROL!$C$15, $D$11, 100%, $F$11)</f>
        <v>5.4097999999999997</v>
      </c>
      <c r="K188" s="4"/>
      <c r="L188" s="9">
        <v>27.988800000000001</v>
      </c>
      <c r="M188" s="9">
        <v>11.6745</v>
      </c>
      <c r="N188" s="9">
        <v>4.7850000000000001</v>
      </c>
      <c r="O188" s="9">
        <v>0.36249999999999999</v>
      </c>
      <c r="P188" s="9">
        <v>1.1798</v>
      </c>
      <c r="Q188" s="9">
        <v>30.322800000000001</v>
      </c>
      <c r="R188" s="9"/>
      <c r="S188" s="11"/>
    </row>
    <row r="189" spans="1:19" ht="15.75">
      <c r="A189" s="13">
        <v>47604</v>
      </c>
      <c r="B189" s="8">
        <f>CHOOSE( CONTROL!$C$32, 5.8062, 5.8012) * CHOOSE(CONTROL!$C$15, $D$11, 100%, $F$11)</f>
        <v>5.8061999999999996</v>
      </c>
      <c r="C189" s="8">
        <f>CHOOSE( CONTROL!$C$32, 5.8166, 5.8117) * CHOOSE(CONTROL!$C$15, $D$11, 100%, $F$11)</f>
        <v>5.8166000000000002</v>
      </c>
      <c r="D189" s="8">
        <f>CHOOSE( CONTROL!$C$32, 5.7952, 5.7903) * CHOOSE( CONTROL!$C$15, $D$11, 100%, $F$11)</f>
        <v>5.7952000000000004</v>
      </c>
      <c r="E189" s="12">
        <f>CHOOSE( CONTROL!$C$32, 5.8014, 5.7965) * CHOOSE( CONTROL!$C$15, $D$11, 100%, $F$11)</f>
        <v>5.8014000000000001</v>
      </c>
      <c r="F189" s="4">
        <f>CHOOSE( CONTROL!$C$32, 6.7811, 6.7761) * CHOOSE(CONTROL!$C$15, $D$11, 100%, $F$11)</f>
        <v>6.7811000000000003</v>
      </c>
      <c r="G189" s="8">
        <f>CHOOSE( CONTROL!$C$32, 5.6365, 5.6317) * CHOOSE( CONTROL!$C$15, $D$11, 100%, $F$11)</f>
        <v>5.6364999999999998</v>
      </c>
      <c r="H189" s="4">
        <f>CHOOSE( CONTROL!$C$32, 6.5337, 6.5289) * CHOOSE(CONTROL!$C$15, $D$11, 100%, $F$11)</f>
        <v>6.5336999999999996</v>
      </c>
      <c r="I189" s="8">
        <f>CHOOSE( CONTROL!$C$32, 5.5882, 5.5835) * CHOOSE(CONTROL!$C$15, $D$11, 100%, $F$11)</f>
        <v>5.5881999999999996</v>
      </c>
      <c r="J189" s="4">
        <f>CHOOSE( CONTROL!$C$32, 5.5587, 5.554) * CHOOSE(CONTROL!$C$15, $D$11, 100%, $F$11)</f>
        <v>5.5587</v>
      </c>
      <c r="K189" s="4"/>
      <c r="L189" s="9">
        <v>29.520499999999998</v>
      </c>
      <c r="M189" s="9">
        <v>12.063700000000001</v>
      </c>
      <c r="N189" s="9">
        <v>4.9444999999999997</v>
      </c>
      <c r="O189" s="9">
        <v>0.37459999999999999</v>
      </c>
      <c r="P189" s="9">
        <v>1.2192000000000001</v>
      </c>
      <c r="Q189" s="9">
        <v>31.333600000000001</v>
      </c>
      <c r="R189" s="9"/>
      <c r="S189" s="11"/>
    </row>
    <row r="190" spans="1:19" ht="15.75">
      <c r="A190" s="13">
        <v>47635</v>
      </c>
      <c r="B190" s="8">
        <f>CHOOSE( CONTROL!$C$32, 5.713, 5.708) * CHOOSE(CONTROL!$C$15, $D$11, 100%, $F$11)</f>
        <v>5.7130000000000001</v>
      </c>
      <c r="C190" s="8">
        <f>CHOOSE( CONTROL!$C$32, 5.7234, 5.7185) * CHOOSE(CONTROL!$C$15, $D$11, 100%, $F$11)</f>
        <v>5.7233999999999998</v>
      </c>
      <c r="D190" s="8">
        <f>CHOOSE( CONTROL!$C$32, 5.7155, 5.7106) * CHOOSE( CONTROL!$C$15, $D$11, 100%, $F$11)</f>
        <v>5.7154999999999996</v>
      </c>
      <c r="E190" s="12">
        <f>CHOOSE( CONTROL!$C$32, 5.7168, 5.7119) * CHOOSE( CONTROL!$C$15, $D$11, 100%, $F$11)</f>
        <v>5.7168000000000001</v>
      </c>
      <c r="F190" s="4">
        <f>CHOOSE( CONTROL!$C$32, 6.7072, 6.7023) * CHOOSE(CONTROL!$C$15, $D$11, 100%, $F$11)</f>
        <v>6.7072000000000003</v>
      </c>
      <c r="G190" s="8">
        <f>CHOOSE( CONTROL!$C$32, 5.5561, 5.5513) * CHOOSE( CONTROL!$C$15, $D$11, 100%, $F$11)</f>
        <v>5.5560999999999998</v>
      </c>
      <c r="H190" s="4">
        <f>CHOOSE( CONTROL!$C$32, 6.4617, 6.4569) * CHOOSE(CONTROL!$C$15, $D$11, 100%, $F$11)</f>
        <v>6.4617000000000004</v>
      </c>
      <c r="I190" s="8">
        <f>CHOOSE( CONTROL!$C$32, 5.5167, 5.5119) * CHOOSE(CONTROL!$C$15, $D$11, 100%, $F$11)</f>
        <v>5.5167000000000002</v>
      </c>
      <c r="J190" s="4">
        <f>CHOOSE( CONTROL!$C$32, 5.4694, 5.4647) * CHOOSE(CONTROL!$C$15, $D$11, 100%, $F$11)</f>
        <v>5.4694000000000003</v>
      </c>
      <c r="K190" s="4"/>
      <c r="L190" s="9">
        <v>28.568200000000001</v>
      </c>
      <c r="M190" s="9">
        <v>11.6745</v>
      </c>
      <c r="N190" s="9">
        <v>4.7850000000000001</v>
      </c>
      <c r="O190" s="9">
        <v>0.36249999999999999</v>
      </c>
      <c r="P190" s="9">
        <v>1.1798</v>
      </c>
      <c r="Q190" s="9">
        <v>30.322800000000001</v>
      </c>
      <c r="R190" s="9"/>
      <c r="S190" s="11"/>
    </row>
    <row r="191" spans="1:19" ht="15.75">
      <c r="A191" s="13">
        <v>47665</v>
      </c>
      <c r="B191" s="8">
        <f>CHOOSE( CONTROL!$C$32, 5.9584, 5.9534) * CHOOSE(CONTROL!$C$15, $D$11, 100%, $F$11)</f>
        <v>5.9584000000000001</v>
      </c>
      <c r="C191" s="8">
        <f>CHOOSE( CONTROL!$C$32, 5.9688, 5.9639) * CHOOSE(CONTROL!$C$15, $D$11, 100%, $F$11)</f>
        <v>5.9687999999999999</v>
      </c>
      <c r="D191" s="8">
        <f>CHOOSE( CONTROL!$C$32, 5.9678, 5.9629) * CHOOSE( CONTROL!$C$15, $D$11, 100%, $F$11)</f>
        <v>5.9678000000000004</v>
      </c>
      <c r="E191" s="12">
        <f>CHOOSE( CONTROL!$C$32, 5.9666, 5.9617) * CHOOSE( CONTROL!$C$15, $D$11, 100%, $F$11)</f>
        <v>5.9665999999999997</v>
      </c>
      <c r="F191" s="4">
        <f>CHOOSE( CONTROL!$C$32, 6.963, 6.9581) * CHOOSE(CONTROL!$C$15, $D$11, 100%, $F$11)</f>
        <v>6.9630000000000001</v>
      </c>
      <c r="G191" s="8">
        <f>CHOOSE( CONTROL!$C$32, 5.7994, 5.7946) * CHOOSE( CONTROL!$C$15, $D$11, 100%, $F$11)</f>
        <v>5.7994000000000003</v>
      </c>
      <c r="H191" s="4">
        <f>CHOOSE( CONTROL!$C$32, 6.7111, 6.7063) * CHOOSE(CONTROL!$C$15, $D$11, 100%, $F$11)</f>
        <v>6.7111000000000001</v>
      </c>
      <c r="I191" s="8">
        <f>CHOOSE( CONTROL!$C$32, 5.7596, 5.7549) * CHOOSE(CONTROL!$C$15, $D$11, 100%, $F$11)</f>
        <v>5.7595999999999998</v>
      </c>
      <c r="J191" s="4">
        <f>CHOOSE( CONTROL!$C$32, 5.7046, 5.6998) * CHOOSE(CONTROL!$C$15, $D$11, 100%, $F$11)</f>
        <v>5.7046000000000001</v>
      </c>
      <c r="K191" s="4"/>
      <c r="L191" s="9">
        <v>29.520499999999998</v>
      </c>
      <c r="M191" s="9">
        <v>12.063700000000001</v>
      </c>
      <c r="N191" s="9">
        <v>4.9444999999999997</v>
      </c>
      <c r="O191" s="9">
        <v>0.37459999999999999</v>
      </c>
      <c r="P191" s="9">
        <v>1.2192000000000001</v>
      </c>
      <c r="Q191" s="9">
        <v>31.333600000000001</v>
      </c>
      <c r="R191" s="9"/>
      <c r="S191" s="11"/>
    </row>
    <row r="192" spans="1:19" ht="15.75">
      <c r="A192" s="13">
        <v>47696</v>
      </c>
      <c r="B192" s="8">
        <f>CHOOSE( CONTROL!$C$32, 5.4992, 5.4943) * CHOOSE(CONTROL!$C$15, $D$11, 100%, $F$11)</f>
        <v>5.4992000000000001</v>
      </c>
      <c r="C192" s="8">
        <f>CHOOSE( CONTROL!$C$32, 5.5096, 5.5047) * CHOOSE(CONTROL!$C$15, $D$11, 100%, $F$11)</f>
        <v>5.5095999999999998</v>
      </c>
      <c r="D192" s="8">
        <f>CHOOSE( CONTROL!$C$32, 5.5098, 5.5049) * CHOOSE( CONTROL!$C$15, $D$11, 100%, $F$11)</f>
        <v>5.5098000000000003</v>
      </c>
      <c r="E192" s="12">
        <f>CHOOSE( CONTROL!$C$32, 5.5081, 5.5032) * CHOOSE( CONTROL!$C$15, $D$11, 100%, $F$11)</f>
        <v>5.5080999999999998</v>
      </c>
      <c r="F192" s="4">
        <f>CHOOSE( CONTROL!$C$32, 6.5117, 6.5067) * CHOOSE(CONTROL!$C$15, $D$11, 100%, $F$11)</f>
        <v>6.5117000000000003</v>
      </c>
      <c r="G192" s="8">
        <f>CHOOSE( CONTROL!$C$32, 5.347, 5.3422) * CHOOSE( CONTROL!$C$15, $D$11, 100%, $F$11)</f>
        <v>5.3470000000000004</v>
      </c>
      <c r="H192" s="4">
        <f>CHOOSE( CONTROL!$C$32, 6.2711, 6.2663) * CHOOSE(CONTROL!$C$15, $D$11, 100%, $F$11)</f>
        <v>6.2710999999999997</v>
      </c>
      <c r="I192" s="8">
        <f>CHOOSE( CONTROL!$C$32, 5.3103, 5.3056) * CHOOSE(CONTROL!$C$15, $D$11, 100%, $F$11)</f>
        <v>5.3102999999999998</v>
      </c>
      <c r="J192" s="4">
        <f>CHOOSE( CONTROL!$C$32, 5.2646, 5.2599) * CHOOSE(CONTROL!$C$15, $D$11, 100%, $F$11)</f>
        <v>5.2645999999999997</v>
      </c>
      <c r="K192" s="4"/>
      <c r="L192" s="9">
        <v>29.520499999999998</v>
      </c>
      <c r="M192" s="9">
        <v>12.063700000000001</v>
      </c>
      <c r="N192" s="9">
        <v>4.9444999999999997</v>
      </c>
      <c r="O192" s="9">
        <v>0.37459999999999999</v>
      </c>
      <c r="P192" s="9">
        <v>1.2192000000000001</v>
      </c>
      <c r="Q192" s="9">
        <v>31.333600000000001</v>
      </c>
      <c r="R192" s="9"/>
      <c r="S192" s="11"/>
    </row>
    <row r="193" spans="1:19" ht="15.75">
      <c r="A193" s="13">
        <v>47727</v>
      </c>
      <c r="B193" s="8">
        <f>CHOOSE( CONTROL!$C$32, 5.3842, 5.3793) * CHOOSE(CONTROL!$C$15, $D$11, 100%, $F$11)</f>
        <v>5.3841999999999999</v>
      </c>
      <c r="C193" s="8">
        <f>CHOOSE( CONTROL!$C$32, 5.3947, 5.3897) * CHOOSE(CONTROL!$C$15, $D$11, 100%, $F$11)</f>
        <v>5.3947000000000003</v>
      </c>
      <c r="D193" s="8">
        <f>CHOOSE( CONTROL!$C$32, 5.3951, 5.3902) * CHOOSE( CONTROL!$C$15, $D$11, 100%, $F$11)</f>
        <v>5.3951000000000002</v>
      </c>
      <c r="E193" s="12">
        <f>CHOOSE( CONTROL!$C$32, 5.3934, 5.3884) * CHOOSE( CONTROL!$C$15, $D$11, 100%, $F$11)</f>
        <v>5.3933999999999997</v>
      </c>
      <c r="F193" s="4">
        <f>CHOOSE( CONTROL!$C$32, 6.3967, 6.3918) * CHOOSE(CONTROL!$C$15, $D$11, 100%, $F$11)</f>
        <v>6.3967000000000001</v>
      </c>
      <c r="G193" s="8">
        <f>CHOOSE( CONTROL!$C$32, 5.2353, 5.2305) * CHOOSE( CONTROL!$C$15, $D$11, 100%, $F$11)</f>
        <v>5.2352999999999996</v>
      </c>
      <c r="H193" s="4">
        <f>CHOOSE( CONTROL!$C$32, 6.1591, 6.1543) * CHOOSE(CONTROL!$C$15, $D$11, 100%, $F$11)</f>
        <v>6.1590999999999996</v>
      </c>
      <c r="I193" s="8">
        <f>CHOOSE( CONTROL!$C$32, 5.2015, 5.1968) * CHOOSE(CONTROL!$C$15, $D$11, 100%, $F$11)</f>
        <v>5.2015000000000002</v>
      </c>
      <c r="J193" s="4">
        <f>CHOOSE( CONTROL!$C$32, 5.1544, 5.1497) * CHOOSE(CONTROL!$C$15, $D$11, 100%, $F$11)</f>
        <v>5.1543999999999999</v>
      </c>
      <c r="K193" s="4"/>
      <c r="L193" s="9">
        <v>28.568200000000001</v>
      </c>
      <c r="M193" s="9">
        <v>11.6745</v>
      </c>
      <c r="N193" s="9">
        <v>4.7850000000000001</v>
      </c>
      <c r="O193" s="9">
        <v>0.36249999999999999</v>
      </c>
      <c r="P193" s="9">
        <v>1.1798</v>
      </c>
      <c r="Q193" s="9">
        <v>30.322800000000001</v>
      </c>
      <c r="R193" s="9"/>
      <c r="S193" s="11"/>
    </row>
    <row r="194" spans="1:19" ht="15.75">
      <c r="A194" s="13">
        <v>47757</v>
      </c>
      <c r="B194" s="8">
        <f>5.618 * CHOOSE(CONTROL!$C$15, $D$11, 100%, $F$11)</f>
        <v>5.6180000000000003</v>
      </c>
      <c r="C194" s="8">
        <f>5.6285 * CHOOSE(CONTROL!$C$15, $D$11, 100%, $F$11)</f>
        <v>5.6284999999999998</v>
      </c>
      <c r="D194" s="8">
        <f>5.6301 * CHOOSE( CONTROL!$C$15, $D$11, 100%, $F$11)</f>
        <v>5.6300999999999997</v>
      </c>
      <c r="E194" s="12">
        <f>5.6285 * CHOOSE( CONTROL!$C$15, $D$11, 100%, $F$11)</f>
        <v>5.6284999999999998</v>
      </c>
      <c r="F194" s="4">
        <f>6.6305 * CHOOSE(CONTROL!$C$15, $D$11, 100%, $F$11)</f>
        <v>6.6304999999999996</v>
      </c>
      <c r="G194" s="8">
        <f>5.4629 * CHOOSE( CONTROL!$C$15, $D$11, 100%, $F$11)</f>
        <v>5.4629000000000003</v>
      </c>
      <c r="H194" s="4">
        <f>6.387 * CHOOSE(CONTROL!$C$15, $D$11, 100%, $F$11)</f>
        <v>6.3869999999999996</v>
      </c>
      <c r="I194" s="8">
        <f>5.4279 * CHOOSE(CONTROL!$C$15, $D$11, 100%, $F$11)</f>
        <v>5.4279000000000002</v>
      </c>
      <c r="J194" s="4">
        <f>5.3784 * CHOOSE(CONTROL!$C$15, $D$11, 100%, $F$11)</f>
        <v>5.3784000000000001</v>
      </c>
      <c r="K194" s="4"/>
      <c r="L194" s="9">
        <v>28.921800000000001</v>
      </c>
      <c r="M194" s="9">
        <v>12.063700000000001</v>
      </c>
      <c r="N194" s="9">
        <v>4.9444999999999997</v>
      </c>
      <c r="O194" s="9">
        <v>0.37459999999999999</v>
      </c>
      <c r="P194" s="9">
        <v>1.2192000000000001</v>
      </c>
      <c r="Q194" s="9">
        <v>31.333600000000001</v>
      </c>
      <c r="R194" s="9"/>
      <c r="S194" s="11"/>
    </row>
    <row r="195" spans="1:19" ht="15.75">
      <c r="A195" s="13">
        <v>47788</v>
      </c>
      <c r="B195" s="8">
        <f>6.0587 * CHOOSE(CONTROL!$C$15, $D$11, 100%, $F$11)</f>
        <v>6.0587</v>
      </c>
      <c r="C195" s="8">
        <f>6.0691 * CHOOSE(CONTROL!$C$15, $D$11, 100%, $F$11)</f>
        <v>6.0690999999999997</v>
      </c>
      <c r="D195" s="8">
        <f>6.0502 * CHOOSE( CONTROL!$C$15, $D$11, 100%, $F$11)</f>
        <v>6.0502000000000002</v>
      </c>
      <c r="E195" s="12">
        <f>6.056 * CHOOSE( CONTROL!$C$15, $D$11, 100%, $F$11)</f>
        <v>6.056</v>
      </c>
      <c r="F195" s="4">
        <f>7.0555 * CHOOSE(CONTROL!$C$15, $D$11, 100%, $F$11)</f>
        <v>7.0555000000000003</v>
      </c>
      <c r="G195" s="8">
        <f>5.9154 * CHOOSE( CONTROL!$C$15, $D$11, 100%, $F$11)</f>
        <v>5.9154</v>
      </c>
      <c r="H195" s="4">
        <f>6.8013 * CHOOSE(CONTROL!$C$15, $D$11, 100%, $F$11)</f>
        <v>6.8013000000000003</v>
      </c>
      <c r="I195" s="8">
        <f>5.8969 * CHOOSE(CONTROL!$C$15, $D$11, 100%, $F$11)</f>
        <v>5.8968999999999996</v>
      </c>
      <c r="J195" s="4">
        <f>5.8007 * CHOOSE(CONTROL!$C$15, $D$11, 100%, $F$11)</f>
        <v>5.8007</v>
      </c>
      <c r="K195" s="4"/>
      <c r="L195" s="9">
        <v>26.515499999999999</v>
      </c>
      <c r="M195" s="9">
        <v>11.6745</v>
      </c>
      <c r="N195" s="9">
        <v>4.7850000000000001</v>
      </c>
      <c r="O195" s="9">
        <v>0.36249999999999999</v>
      </c>
      <c r="P195" s="9">
        <v>1.2522</v>
      </c>
      <c r="Q195" s="9">
        <v>30.322800000000001</v>
      </c>
      <c r="R195" s="9"/>
      <c r="S195" s="11"/>
    </row>
    <row r="196" spans="1:19" ht="15.75">
      <c r="A196" s="13">
        <v>47818</v>
      </c>
      <c r="B196" s="8">
        <f>6.0477 * CHOOSE(CONTROL!$C$15, $D$11, 100%, $F$11)</f>
        <v>6.0476999999999999</v>
      </c>
      <c r="C196" s="8">
        <f>6.0581 * CHOOSE(CONTROL!$C$15, $D$11, 100%, $F$11)</f>
        <v>6.0580999999999996</v>
      </c>
      <c r="D196" s="8">
        <f>6.0417 * CHOOSE( CONTROL!$C$15, $D$11, 100%, $F$11)</f>
        <v>6.0416999999999996</v>
      </c>
      <c r="E196" s="12">
        <f>6.0466 * CHOOSE( CONTROL!$C$15, $D$11, 100%, $F$11)</f>
        <v>6.0465999999999998</v>
      </c>
      <c r="F196" s="4">
        <f>7.0445 * CHOOSE(CONTROL!$C$15, $D$11, 100%, $F$11)</f>
        <v>7.0445000000000002</v>
      </c>
      <c r="G196" s="8">
        <f>5.9066 * CHOOSE( CONTROL!$C$15, $D$11, 100%, $F$11)</f>
        <v>5.9066000000000001</v>
      </c>
      <c r="H196" s="4">
        <f>6.7905 * CHOOSE(CONTROL!$C$15, $D$11, 100%, $F$11)</f>
        <v>6.7904999999999998</v>
      </c>
      <c r="I196" s="8">
        <f>5.8952 * CHOOSE(CONTROL!$C$15, $D$11, 100%, $F$11)</f>
        <v>5.8952</v>
      </c>
      <c r="J196" s="4">
        <f>5.7901 * CHOOSE(CONTROL!$C$15, $D$11, 100%, $F$11)</f>
        <v>5.7900999999999998</v>
      </c>
      <c r="K196" s="4"/>
      <c r="L196" s="9">
        <v>27.3993</v>
      </c>
      <c r="M196" s="9">
        <v>12.063700000000001</v>
      </c>
      <c r="N196" s="9">
        <v>4.9444999999999997</v>
      </c>
      <c r="O196" s="9">
        <v>0.37459999999999999</v>
      </c>
      <c r="P196" s="9">
        <v>1.2939000000000001</v>
      </c>
      <c r="Q196" s="9">
        <v>31.333600000000001</v>
      </c>
      <c r="R196" s="9"/>
      <c r="S196" s="11"/>
    </row>
    <row r="197" spans="1:19" ht="15.75">
      <c r="A197" s="13">
        <v>47849</v>
      </c>
      <c r="B197" s="8">
        <f>6.2015 * CHOOSE(CONTROL!$C$15, $D$11, 100%, $F$11)</f>
        <v>6.2015000000000002</v>
      </c>
      <c r="C197" s="8">
        <f>6.2119 * CHOOSE(CONTROL!$C$15, $D$11, 100%, $F$11)</f>
        <v>6.2119</v>
      </c>
      <c r="D197" s="8">
        <f>6.2105 * CHOOSE( CONTROL!$C$15, $D$11, 100%, $F$11)</f>
        <v>6.2104999999999997</v>
      </c>
      <c r="E197" s="12">
        <f>6.2099 * CHOOSE( CONTROL!$C$15, $D$11, 100%, $F$11)</f>
        <v>6.2099000000000002</v>
      </c>
      <c r="F197" s="4">
        <f>7.2244 * CHOOSE(CONTROL!$C$15, $D$11, 100%, $F$11)</f>
        <v>7.2244000000000002</v>
      </c>
      <c r="G197" s="8">
        <f>6.0734 * CHOOSE( CONTROL!$C$15, $D$11, 100%, $F$11)</f>
        <v>6.0734000000000004</v>
      </c>
      <c r="H197" s="4">
        <f>6.9659 * CHOOSE(CONTROL!$C$15, $D$11, 100%, $F$11)</f>
        <v>6.9659000000000004</v>
      </c>
      <c r="I197" s="8">
        <f>6.049 * CHOOSE(CONTROL!$C$15, $D$11, 100%, $F$11)</f>
        <v>6.0490000000000004</v>
      </c>
      <c r="J197" s="4">
        <f>5.9375 * CHOOSE(CONTROL!$C$15, $D$11, 100%, $F$11)</f>
        <v>5.9375</v>
      </c>
      <c r="K197" s="4"/>
      <c r="L197" s="9">
        <v>27.3993</v>
      </c>
      <c r="M197" s="9">
        <v>12.063700000000001</v>
      </c>
      <c r="N197" s="9">
        <v>4.9444999999999997</v>
      </c>
      <c r="O197" s="9">
        <v>0.37459999999999999</v>
      </c>
      <c r="P197" s="9">
        <v>1.2939000000000001</v>
      </c>
      <c r="Q197" s="9">
        <v>31.026700000000002</v>
      </c>
      <c r="R197" s="9"/>
      <c r="S197" s="11"/>
    </row>
    <row r="198" spans="1:19" ht="15.75">
      <c r="A198" s="13">
        <v>47880</v>
      </c>
      <c r="B198" s="8">
        <f>5.8009 * CHOOSE(CONTROL!$C$15, $D$11, 100%, $F$11)</f>
        <v>5.8009000000000004</v>
      </c>
      <c r="C198" s="8">
        <f>5.8113 * CHOOSE(CONTROL!$C$15, $D$11, 100%, $F$11)</f>
        <v>5.8113000000000001</v>
      </c>
      <c r="D198" s="8">
        <f>5.8121 * CHOOSE( CONTROL!$C$15, $D$11, 100%, $F$11)</f>
        <v>5.8121</v>
      </c>
      <c r="E198" s="12">
        <f>5.8107 * CHOOSE( CONTROL!$C$15, $D$11, 100%, $F$11)</f>
        <v>5.8106999999999998</v>
      </c>
      <c r="F198" s="4">
        <f>6.816 * CHOOSE(CONTROL!$C$15, $D$11, 100%, $F$11)</f>
        <v>6.8159999999999998</v>
      </c>
      <c r="G198" s="8">
        <f>5.6827 * CHOOSE( CONTROL!$C$15, $D$11, 100%, $F$11)</f>
        <v>5.6826999999999996</v>
      </c>
      <c r="H198" s="4">
        <f>6.5678 * CHOOSE(CONTROL!$C$15, $D$11, 100%, $F$11)</f>
        <v>6.5678000000000001</v>
      </c>
      <c r="I198" s="8">
        <f>5.6541 * CHOOSE(CONTROL!$C$15, $D$11, 100%, $F$11)</f>
        <v>5.6540999999999997</v>
      </c>
      <c r="J198" s="4">
        <f>5.5536 * CHOOSE(CONTROL!$C$15, $D$11, 100%, $F$11)</f>
        <v>5.5536000000000003</v>
      </c>
      <c r="K198" s="4"/>
      <c r="L198" s="9">
        <v>24.747800000000002</v>
      </c>
      <c r="M198" s="9">
        <v>10.8962</v>
      </c>
      <c r="N198" s="9">
        <v>4.4660000000000002</v>
      </c>
      <c r="O198" s="9">
        <v>0.33829999999999999</v>
      </c>
      <c r="P198" s="9">
        <v>1.1687000000000001</v>
      </c>
      <c r="Q198" s="9">
        <v>28.024100000000001</v>
      </c>
      <c r="R198" s="9"/>
      <c r="S198" s="11"/>
    </row>
    <row r="199" spans="1:19" ht="15.75">
      <c r="A199" s="13">
        <v>47908</v>
      </c>
      <c r="B199" s="8">
        <f>5.6775 * CHOOSE(CONTROL!$C$15, $D$11, 100%, $F$11)</f>
        <v>5.6775000000000002</v>
      </c>
      <c r="C199" s="8">
        <f>5.6879 * CHOOSE(CONTROL!$C$15, $D$11, 100%, $F$11)</f>
        <v>5.6879</v>
      </c>
      <c r="D199" s="8">
        <f>5.6684 * CHOOSE( CONTROL!$C$15, $D$11, 100%, $F$11)</f>
        <v>5.6684000000000001</v>
      </c>
      <c r="E199" s="12">
        <f>5.6744 * CHOOSE( CONTROL!$C$15, $D$11, 100%, $F$11)</f>
        <v>5.6744000000000003</v>
      </c>
      <c r="F199" s="4">
        <f>6.6764 * CHOOSE(CONTROL!$C$15, $D$11, 100%, $F$11)</f>
        <v>6.6764000000000001</v>
      </c>
      <c r="G199" s="8">
        <f>5.5417 * CHOOSE( CONTROL!$C$15, $D$11, 100%, $F$11)</f>
        <v>5.5416999999999996</v>
      </c>
      <c r="H199" s="4">
        <f>6.4317 * CHOOSE(CONTROL!$C$15, $D$11, 100%, $F$11)</f>
        <v>6.4317000000000002</v>
      </c>
      <c r="I199" s="8">
        <f>5.4963 * CHOOSE(CONTROL!$C$15, $D$11, 100%, $F$11)</f>
        <v>5.4962999999999997</v>
      </c>
      <c r="J199" s="4">
        <f>5.4354 * CHOOSE(CONTROL!$C$15, $D$11, 100%, $F$11)</f>
        <v>5.4353999999999996</v>
      </c>
      <c r="K199" s="4"/>
      <c r="L199" s="9">
        <v>27.3993</v>
      </c>
      <c r="M199" s="9">
        <v>12.063700000000001</v>
      </c>
      <c r="N199" s="9">
        <v>4.9444999999999997</v>
      </c>
      <c r="O199" s="9">
        <v>0.37459999999999999</v>
      </c>
      <c r="P199" s="9">
        <v>1.2939000000000001</v>
      </c>
      <c r="Q199" s="9">
        <v>31.026700000000002</v>
      </c>
      <c r="R199" s="9"/>
      <c r="S199" s="11"/>
    </row>
    <row r="200" spans="1:19" ht="15.75">
      <c r="A200" s="13">
        <v>47939</v>
      </c>
      <c r="B200" s="8">
        <f>5.7637 * CHOOSE(CONTROL!$C$15, $D$11, 100%, $F$11)</f>
        <v>5.7637</v>
      </c>
      <c r="C200" s="8">
        <f>5.7741 * CHOOSE(CONTROL!$C$15, $D$11, 100%, $F$11)</f>
        <v>5.7740999999999998</v>
      </c>
      <c r="D200" s="8">
        <f>5.778 * CHOOSE( CONTROL!$C$15, $D$11, 100%, $F$11)</f>
        <v>5.7779999999999996</v>
      </c>
      <c r="E200" s="12">
        <f>5.7755 * CHOOSE( CONTROL!$C$15, $D$11, 100%, $F$11)</f>
        <v>5.7755000000000001</v>
      </c>
      <c r="F200" s="4">
        <f>6.771 * CHOOSE(CONTROL!$C$15, $D$11, 100%, $F$11)</f>
        <v>6.7709999999999999</v>
      </c>
      <c r="G200" s="8">
        <f>5.6137 * CHOOSE( CONTROL!$C$15, $D$11, 100%, $F$11)</f>
        <v>5.6136999999999997</v>
      </c>
      <c r="H200" s="4">
        <f>6.5239 * CHOOSE(CONTROL!$C$15, $D$11, 100%, $F$11)</f>
        <v>6.5239000000000003</v>
      </c>
      <c r="I200" s="8">
        <f>5.569 * CHOOSE(CONTROL!$C$15, $D$11, 100%, $F$11)</f>
        <v>5.569</v>
      </c>
      <c r="J200" s="4">
        <f>5.518 * CHOOSE(CONTROL!$C$15, $D$11, 100%, $F$11)</f>
        <v>5.5179999999999998</v>
      </c>
      <c r="K200" s="4"/>
      <c r="L200" s="9">
        <v>27.988800000000001</v>
      </c>
      <c r="M200" s="9">
        <v>11.6745</v>
      </c>
      <c r="N200" s="9">
        <v>4.7850000000000001</v>
      </c>
      <c r="O200" s="9">
        <v>0.36249999999999999</v>
      </c>
      <c r="P200" s="9">
        <v>1.1798</v>
      </c>
      <c r="Q200" s="9">
        <v>30.0258</v>
      </c>
      <c r="R200" s="9"/>
      <c r="S200" s="11"/>
    </row>
    <row r="201" spans="1:19" ht="15.75">
      <c r="A201" s="13">
        <v>47969</v>
      </c>
      <c r="B201" s="8">
        <f>CHOOSE( CONTROL!$C$32, 5.9221, 5.9172) * CHOOSE(CONTROL!$C$15, $D$11, 100%, $F$11)</f>
        <v>5.9221000000000004</v>
      </c>
      <c r="C201" s="8">
        <f>CHOOSE( CONTROL!$C$32, 5.9325, 5.9276) * CHOOSE(CONTROL!$C$15, $D$11, 100%, $F$11)</f>
        <v>5.9325000000000001</v>
      </c>
      <c r="D201" s="8">
        <f>CHOOSE( CONTROL!$C$32, 5.9112, 5.9062) * CHOOSE( CONTROL!$C$15, $D$11, 100%, $F$11)</f>
        <v>5.9112</v>
      </c>
      <c r="E201" s="12">
        <f>CHOOSE( CONTROL!$C$32, 5.9173, 5.9124) * CHOOSE( CONTROL!$C$15, $D$11, 100%, $F$11)</f>
        <v>5.9173</v>
      </c>
      <c r="F201" s="4">
        <f>CHOOSE( CONTROL!$C$32, 6.897, 6.8921) * CHOOSE(CONTROL!$C$15, $D$11, 100%, $F$11)</f>
        <v>6.8970000000000002</v>
      </c>
      <c r="G201" s="8">
        <f>CHOOSE( CONTROL!$C$32, 5.7495, 5.7447) * CHOOSE( CONTROL!$C$15, $D$11, 100%, $F$11)</f>
        <v>5.7495000000000003</v>
      </c>
      <c r="H201" s="4">
        <f>CHOOSE( CONTROL!$C$32, 6.6467, 6.6419) * CHOOSE(CONTROL!$C$15, $D$11, 100%, $F$11)</f>
        <v>6.6467000000000001</v>
      </c>
      <c r="I201" s="8">
        <f>CHOOSE( CONTROL!$C$32, 5.6993, 5.6946) * CHOOSE(CONTROL!$C$15, $D$11, 100%, $F$11)</f>
        <v>5.6993</v>
      </c>
      <c r="J201" s="4">
        <f>CHOOSE( CONTROL!$C$32, 5.6698, 5.6651) * CHOOSE(CONTROL!$C$15, $D$11, 100%, $F$11)</f>
        <v>5.6698000000000004</v>
      </c>
      <c r="K201" s="4"/>
      <c r="L201" s="9">
        <v>29.520499999999998</v>
      </c>
      <c r="M201" s="9">
        <v>12.063700000000001</v>
      </c>
      <c r="N201" s="9">
        <v>4.9444999999999997</v>
      </c>
      <c r="O201" s="9">
        <v>0.37459999999999999</v>
      </c>
      <c r="P201" s="9">
        <v>1.2192000000000001</v>
      </c>
      <c r="Q201" s="9">
        <v>31.026700000000002</v>
      </c>
      <c r="R201" s="9"/>
      <c r="S201" s="11"/>
    </row>
    <row r="202" spans="1:19" ht="15.75">
      <c r="A202" s="13">
        <v>48000</v>
      </c>
      <c r="B202" s="8">
        <f>CHOOSE( CONTROL!$C$32, 5.827, 5.8221) * CHOOSE(CONTROL!$C$15, $D$11, 100%, $F$11)</f>
        <v>5.827</v>
      </c>
      <c r="C202" s="8">
        <f>CHOOSE( CONTROL!$C$32, 5.8375, 5.8325) * CHOOSE(CONTROL!$C$15, $D$11, 100%, $F$11)</f>
        <v>5.8375000000000004</v>
      </c>
      <c r="D202" s="8">
        <f>CHOOSE( CONTROL!$C$32, 5.8296, 5.8246) * CHOOSE( CONTROL!$C$15, $D$11, 100%, $F$11)</f>
        <v>5.8296000000000001</v>
      </c>
      <c r="E202" s="12">
        <f>CHOOSE( CONTROL!$C$32, 5.8309, 5.8259) * CHOOSE( CONTROL!$C$15, $D$11, 100%, $F$11)</f>
        <v>5.8308999999999997</v>
      </c>
      <c r="F202" s="4">
        <f>CHOOSE( CONTROL!$C$32, 6.8212, 6.8163) * CHOOSE(CONTROL!$C$15, $D$11, 100%, $F$11)</f>
        <v>6.8212000000000002</v>
      </c>
      <c r="G202" s="8">
        <f>CHOOSE( CONTROL!$C$32, 5.6673, 5.6625) * CHOOSE( CONTROL!$C$15, $D$11, 100%, $F$11)</f>
        <v>5.6673</v>
      </c>
      <c r="H202" s="4">
        <f>CHOOSE( CONTROL!$C$32, 6.5729, 6.5681) * CHOOSE(CONTROL!$C$15, $D$11, 100%, $F$11)</f>
        <v>6.5728999999999997</v>
      </c>
      <c r="I202" s="8">
        <f>CHOOSE( CONTROL!$C$32, 5.626, 5.6213) * CHOOSE(CONTROL!$C$15, $D$11, 100%, $F$11)</f>
        <v>5.6260000000000003</v>
      </c>
      <c r="J202" s="4">
        <f>CHOOSE( CONTROL!$C$32, 5.5787, 5.574) * CHOOSE(CONTROL!$C$15, $D$11, 100%, $F$11)</f>
        <v>5.5787000000000004</v>
      </c>
      <c r="K202" s="4"/>
      <c r="L202" s="9">
        <v>28.568200000000001</v>
      </c>
      <c r="M202" s="9">
        <v>11.6745</v>
      </c>
      <c r="N202" s="9">
        <v>4.7850000000000001</v>
      </c>
      <c r="O202" s="9">
        <v>0.36249999999999999</v>
      </c>
      <c r="P202" s="9">
        <v>1.1798</v>
      </c>
      <c r="Q202" s="9">
        <v>30.0258</v>
      </c>
      <c r="R202" s="9"/>
      <c r="S202" s="11"/>
    </row>
    <row r="203" spans="1:19" ht="15.75">
      <c r="A203" s="13">
        <v>48030</v>
      </c>
      <c r="B203" s="8">
        <f>CHOOSE( CONTROL!$C$32, 6.0774, 6.0724) * CHOOSE(CONTROL!$C$15, $D$11, 100%, $F$11)</f>
        <v>6.0773999999999999</v>
      </c>
      <c r="C203" s="8">
        <f>CHOOSE( CONTROL!$C$32, 6.0878, 6.0829) * CHOOSE(CONTROL!$C$15, $D$11, 100%, $F$11)</f>
        <v>6.0877999999999997</v>
      </c>
      <c r="D203" s="8">
        <f>CHOOSE( CONTROL!$C$32, 6.0868, 6.0819) * CHOOSE( CONTROL!$C$15, $D$11, 100%, $F$11)</f>
        <v>6.0868000000000002</v>
      </c>
      <c r="E203" s="12">
        <f>CHOOSE( CONTROL!$C$32, 6.0856, 6.0807) * CHOOSE( CONTROL!$C$15, $D$11, 100%, $F$11)</f>
        <v>6.0856000000000003</v>
      </c>
      <c r="F203" s="4">
        <f>CHOOSE( CONTROL!$C$32, 7.082, 7.0771) * CHOOSE(CONTROL!$C$15, $D$11, 100%, $F$11)</f>
        <v>7.0819999999999999</v>
      </c>
      <c r="G203" s="8">
        <f>CHOOSE( CONTROL!$C$32, 5.9154, 5.9106) * CHOOSE( CONTROL!$C$15, $D$11, 100%, $F$11)</f>
        <v>5.9154</v>
      </c>
      <c r="H203" s="4">
        <f>CHOOSE( CONTROL!$C$32, 6.8271, 6.8223) * CHOOSE(CONTROL!$C$15, $D$11, 100%, $F$11)</f>
        <v>6.8270999999999997</v>
      </c>
      <c r="I203" s="8">
        <f>CHOOSE( CONTROL!$C$32, 5.8736, 5.8689) * CHOOSE(CONTROL!$C$15, $D$11, 100%, $F$11)</f>
        <v>5.8735999999999997</v>
      </c>
      <c r="J203" s="4">
        <f>CHOOSE( CONTROL!$C$32, 5.8186, 5.8138) * CHOOSE(CONTROL!$C$15, $D$11, 100%, $F$11)</f>
        <v>5.8186</v>
      </c>
      <c r="K203" s="4"/>
      <c r="L203" s="9">
        <v>29.520499999999998</v>
      </c>
      <c r="M203" s="9">
        <v>12.063700000000001</v>
      </c>
      <c r="N203" s="9">
        <v>4.9444999999999997</v>
      </c>
      <c r="O203" s="9">
        <v>0.37459999999999999</v>
      </c>
      <c r="P203" s="9">
        <v>1.2192000000000001</v>
      </c>
      <c r="Q203" s="9">
        <v>31.026700000000002</v>
      </c>
      <c r="R203" s="9"/>
      <c r="S203" s="11"/>
    </row>
    <row r="204" spans="1:19" ht="15.75">
      <c r="A204" s="13">
        <v>48061</v>
      </c>
      <c r="B204" s="8">
        <f>CHOOSE( CONTROL!$C$32, 5.609, 5.6041) * CHOOSE(CONTROL!$C$15, $D$11, 100%, $F$11)</f>
        <v>5.609</v>
      </c>
      <c r="C204" s="8">
        <f>CHOOSE( CONTROL!$C$32, 5.6194, 5.6145) * CHOOSE(CONTROL!$C$15, $D$11, 100%, $F$11)</f>
        <v>5.6193999999999997</v>
      </c>
      <c r="D204" s="8">
        <f>CHOOSE( CONTROL!$C$32, 5.6196, 5.6147) * CHOOSE( CONTROL!$C$15, $D$11, 100%, $F$11)</f>
        <v>5.6196000000000002</v>
      </c>
      <c r="E204" s="12">
        <f>CHOOSE( CONTROL!$C$32, 5.6179, 5.613) * CHOOSE( CONTROL!$C$15, $D$11, 100%, $F$11)</f>
        <v>5.6178999999999997</v>
      </c>
      <c r="F204" s="4">
        <f>CHOOSE( CONTROL!$C$32, 6.6215, 6.6165) * CHOOSE(CONTROL!$C$15, $D$11, 100%, $F$11)</f>
        <v>6.6215000000000002</v>
      </c>
      <c r="G204" s="8">
        <f>CHOOSE( CONTROL!$C$32, 5.454, 5.4492) * CHOOSE( CONTROL!$C$15, $D$11, 100%, $F$11)</f>
        <v>5.4539999999999997</v>
      </c>
      <c r="H204" s="4">
        <f>CHOOSE( CONTROL!$C$32, 6.3782, 6.3734) * CHOOSE(CONTROL!$C$15, $D$11, 100%, $F$11)</f>
        <v>6.3781999999999996</v>
      </c>
      <c r="I204" s="8">
        <f>CHOOSE( CONTROL!$C$32, 5.4156, 5.4109) * CHOOSE(CONTROL!$C$15, $D$11, 100%, $F$11)</f>
        <v>5.4156000000000004</v>
      </c>
      <c r="J204" s="4">
        <f>CHOOSE( CONTROL!$C$32, 5.3698, 5.365) * CHOOSE(CONTROL!$C$15, $D$11, 100%, $F$11)</f>
        <v>5.3697999999999997</v>
      </c>
      <c r="K204" s="4"/>
      <c r="L204" s="9">
        <v>29.520499999999998</v>
      </c>
      <c r="M204" s="9">
        <v>12.063700000000001</v>
      </c>
      <c r="N204" s="9">
        <v>4.9444999999999997</v>
      </c>
      <c r="O204" s="9">
        <v>0.37459999999999999</v>
      </c>
      <c r="P204" s="9">
        <v>1.2192000000000001</v>
      </c>
      <c r="Q204" s="9">
        <v>31.026700000000002</v>
      </c>
      <c r="R204" s="9"/>
      <c r="S204" s="11"/>
    </row>
    <row r="205" spans="1:19" ht="15.75">
      <c r="A205" s="13">
        <v>48092</v>
      </c>
      <c r="B205" s="8">
        <f>CHOOSE( CONTROL!$C$32, 5.4917, 5.4868) * CHOOSE(CONTROL!$C$15, $D$11, 100%, $F$11)</f>
        <v>5.4916999999999998</v>
      </c>
      <c r="C205" s="8">
        <f>CHOOSE( CONTROL!$C$32, 5.5021, 5.4972) * CHOOSE(CONTROL!$C$15, $D$11, 100%, $F$11)</f>
        <v>5.5021000000000004</v>
      </c>
      <c r="D205" s="8">
        <f>CHOOSE( CONTROL!$C$32, 5.5026, 5.4977) * CHOOSE( CONTROL!$C$15, $D$11, 100%, $F$11)</f>
        <v>5.5026000000000002</v>
      </c>
      <c r="E205" s="12">
        <f>CHOOSE( CONTROL!$C$32, 5.5008, 5.4959) * CHOOSE( CONTROL!$C$15, $D$11, 100%, $F$11)</f>
        <v>5.5007999999999999</v>
      </c>
      <c r="F205" s="4">
        <f>CHOOSE( CONTROL!$C$32, 6.5042, 6.4992) * CHOOSE(CONTROL!$C$15, $D$11, 100%, $F$11)</f>
        <v>6.5042</v>
      </c>
      <c r="G205" s="8">
        <f>CHOOSE( CONTROL!$C$32, 5.3401, 5.3353) * CHOOSE( CONTROL!$C$15, $D$11, 100%, $F$11)</f>
        <v>5.3400999999999996</v>
      </c>
      <c r="H205" s="4">
        <f>CHOOSE( CONTROL!$C$32, 6.2638, 6.259) * CHOOSE(CONTROL!$C$15, $D$11, 100%, $F$11)</f>
        <v>6.2637999999999998</v>
      </c>
      <c r="I205" s="8">
        <f>CHOOSE( CONTROL!$C$32, 5.3046, 5.2998) * CHOOSE(CONTROL!$C$15, $D$11, 100%, $F$11)</f>
        <v>5.3045999999999998</v>
      </c>
      <c r="J205" s="4">
        <f>CHOOSE( CONTROL!$C$32, 5.2574, 5.2527) * CHOOSE(CONTROL!$C$15, $D$11, 100%, $F$11)</f>
        <v>5.2573999999999996</v>
      </c>
      <c r="K205" s="4"/>
      <c r="L205" s="9">
        <v>28.568200000000001</v>
      </c>
      <c r="M205" s="9">
        <v>11.6745</v>
      </c>
      <c r="N205" s="9">
        <v>4.7850000000000001</v>
      </c>
      <c r="O205" s="9">
        <v>0.36249999999999999</v>
      </c>
      <c r="P205" s="9">
        <v>1.1798</v>
      </c>
      <c r="Q205" s="9">
        <v>30.0258</v>
      </c>
      <c r="R205" s="9"/>
      <c r="S205" s="11"/>
    </row>
    <row r="206" spans="1:19" ht="15.75">
      <c r="A206" s="13">
        <v>48122</v>
      </c>
      <c r="B206" s="8">
        <f>5.7303 * CHOOSE(CONTROL!$C$15, $D$11, 100%, $F$11)</f>
        <v>5.7302999999999997</v>
      </c>
      <c r="C206" s="8">
        <f>5.7407 * CHOOSE(CONTROL!$C$15, $D$11, 100%, $F$11)</f>
        <v>5.7407000000000004</v>
      </c>
      <c r="D206" s="8">
        <f>5.7424 * CHOOSE( CONTROL!$C$15, $D$11, 100%, $F$11)</f>
        <v>5.7423999999999999</v>
      </c>
      <c r="E206" s="12">
        <f>5.7407 * CHOOSE( CONTROL!$C$15, $D$11, 100%, $F$11)</f>
        <v>5.7407000000000004</v>
      </c>
      <c r="F206" s="4">
        <f>6.7428 * CHOOSE(CONTROL!$C$15, $D$11, 100%, $F$11)</f>
        <v>6.7427999999999999</v>
      </c>
      <c r="G206" s="8">
        <f>5.5723 * CHOOSE( CONTROL!$C$15, $D$11, 100%, $F$11)</f>
        <v>5.5723000000000003</v>
      </c>
      <c r="H206" s="4">
        <f>6.4964 * CHOOSE(CONTROL!$C$15, $D$11, 100%, $F$11)</f>
        <v>6.4964000000000004</v>
      </c>
      <c r="I206" s="8">
        <f>5.5356 * CHOOSE(CONTROL!$C$15, $D$11, 100%, $F$11)</f>
        <v>5.5355999999999996</v>
      </c>
      <c r="J206" s="4">
        <f>5.486 * CHOOSE(CONTROL!$C$15, $D$11, 100%, $F$11)</f>
        <v>5.4859999999999998</v>
      </c>
      <c r="K206" s="4"/>
      <c r="L206" s="9">
        <v>28.921800000000001</v>
      </c>
      <c r="M206" s="9">
        <v>12.063700000000001</v>
      </c>
      <c r="N206" s="9">
        <v>4.9444999999999997</v>
      </c>
      <c r="O206" s="9">
        <v>0.37459999999999999</v>
      </c>
      <c r="P206" s="9">
        <v>1.2192000000000001</v>
      </c>
      <c r="Q206" s="9">
        <v>31.026700000000002</v>
      </c>
      <c r="R206" s="9"/>
      <c r="S206" s="11"/>
    </row>
    <row r="207" spans="1:19" ht="15.75">
      <c r="A207" s="13">
        <v>48153</v>
      </c>
      <c r="B207" s="8">
        <f>6.1798 * CHOOSE(CONTROL!$C$15, $D$11, 100%, $F$11)</f>
        <v>6.1798000000000002</v>
      </c>
      <c r="C207" s="8">
        <f>6.1902 * CHOOSE(CONTROL!$C$15, $D$11, 100%, $F$11)</f>
        <v>6.1901999999999999</v>
      </c>
      <c r="D207" s="8">
        <f>6.1713 * CHOOSE( CONTROL!$C$15, $D$11, 100%, $F$11)</f>
        <v>6.1712999999999996</v>
      </c>
      <c r="E207" s="12">
        <f>6.1771 * CHOOSE( CONTROL!$C$15, $D$11, 100%, $F$11)</f>
        <v>6.1771000000000003</v>
      </c>
      <c r="F207" s="4">
        <f>7.1766 * CHOOSE(CONTROL!$C$15, $D$11, 100%, $F$11)</f>
        <v>7.1765999999999996</v>
      </c>
      <c r="G207" s="8">
        <f>6.0334 * CHOOSE( CONTROL!$C$15, $D$11, 100%, $F$11)</f>
        <v>6.0334000000000003</v>
      </c>
      <c r="H207" s="4">
        <f>6.9193 * CHOOSE(CONTROL!$C$15, $D$11, 100%, $F$11)</f>
        <v>6.9192999999999998</v>
      </c>
      <c r="I207" s="8">
        <f>6.013 * CHOOSE(CONTROL!$C$15, $D$11, 100%, $F$11)</f>
        <v>6.0129999999999999</v>
      </c>
      <c r="J207" s="4">
        <f>5.9167 * CHOOSE(CONTROL!$C$15, $D$11, 100%, $F$11)</f>
        <v>5.9166999999999996</v>
      </c>
      <c r="K207" s="4"/>
      <c r="L207" s="9">
        <v>26.515499999999999</v>
      </c>
      <c r="M207" s="9">
        <v>11.6745</v>
      </c>
      <c r="N207" s="9">
        <v>4.7850000000000001</v>
      </c>
      <c r="O207" s="9">
        <v>0.36249999999999999</v>
      </c>
      <c r="P207" s="9">
        <v>1.2522</v>
      </c>
      <c r="Q207" s="9">
        <v>30.0258</v>
      </c>
      <c r="R207" s="9"/>
      <c r="S207" s="11"/>
    </row>
    <row r="208" spans="1:19" ht="15.75">
      <c r="A208" s="13">
        <v>48183</v>
      </c>
      <c r="B208" s="8">
        <f>6.1686 * CHOOSE(CONTROL!$C$15, $D$11, 100%, $F$11)</f>
        <v>6.1685999999999996</v>
      </c>
      <c r="C208" s="8">
        <f>6.179 * CHOOSE(CONTROL!$C$15, $D$11, 100%, $F$11)</f>
        <v>6.1790000000000003</v>
      </c>
      <c r="D208" s="8">
        <f>6.1626 * CHOOSE( CONTROL!$C$15, $D$11, 100%, $F$11)</f>
        <v>6.1626000000000003</v>
      </c>
      <c r="E208" s="12">
        <f>6.1675 * CHOOSE( CONTROL!$C$15, $D$11, 100%, $F$11)</f>
        <v>6.1675000000000004</v>
      </c>
      <c r="F208" s="4">
        <f>7.1654 * CHOOSE(CONTROL!$C$15, $D$11, 100%, $F$11)</f>
        <v>7.1654</v>
      </c>
      <c r="G208" s="8">
        <f>6.0244 * CHOOSE( CONTROL!$C$15, $D$11, 100%, $F$11)</f>
        <v>6.0244</v>
      </c>
      <c r="H208" s="4">
        <f>6.9084 * CHOOSE(CONTROL!$C$15, $D$11, 100%, $F$11)</f>
        <v>6.9084000000000003</v>
      </c>
      <c r="I208" s="8">
        <f>6.011 * CHOOSE(CONTROL!$C$15, $D$11, 100%, $F$11)</f>
        <v>6.0110000000000001</v>
      </c>
      <c r="J208" s="4">
        <f>5.906 * CHOOSE(CONTROL!$C$15, $D$11, 100%, $F$11)</f>
        <v>5.9059999999999997</v>
      </c>
      <c r="K208" s="4"/>
      <c r="L208" s="9">
        <v>27.3993</v>
      </c>
      <c r="M208" s="9">
        <v>12.063700000000001</v>
      </c>
      <c r="N208" s="9">
        <v>4.9444999999999997</v>
      </c>
      <c r="O208" s="9">
        <v>0.37459999999999999</v>
      </c>
      <c r="P208" s="9">
        <v>1.2939000000000001</v>
      </c>
      <c r="Q208" s="9">
        <v>31.026700000000002</v>
      </c>
      <c r="R208" s="9"/>
      <c r="S208" s="11"/>
    </row>
    <row r="209" spans="1:19" ht="15.75">
      <c r="A209" s="13">
        <v>48214</v>
      </c>
      <c r="B209" s="8">
        <f>6.3254 * CHOOSE(CONTROL!$C$15, $D$11, 100%, $F$11)</f>
        <v>6.3254000000000001</v>
      </c>
      <c r="C209" s="8">
        <f>6.3358 * CHOOSE(CONTROL!$C$15, $D$11, 100%, $F$11)</f>
        <v>6.3357999999999999</v>
      </c>
      <c r="D209" s="8">
        <f>6.3344 * CHOOSE( CONTROL!$C$15, $D$11, 100%, $F$11)</f>
        <v>6.3343999999999996</v>
      </c>
      <c r="E209" s="12">
        <f>6.3338 * CHOOSE( CONTROL!$C$15, $D$11, 100%, $F$11)</f>
        <v>6.3338000000000001</v>
      </c>
      <c r="F209" s="4">
        <f>7.3483 * CHOOSE(CONTROL!$C$15, $D$11, 100%, $F$11)</f>
        <v>7.3483000000000001</v>
      </c>
      <c r="G209" s="8">
        <f>6.1942 * CHOOSE( CONTROL!$C$15, $D$11, 100%, $F$11)</f>
        <v>6.1942000000000004</v>
      </c>
      <c r="H209" s="4">
        <f>7.0867 * CHOOSE(CONTROL!$C$15, $D$11, 100%, $F$11)</f>
        <v>7.0867000000000004</v>
      </c>
      <c r="I209" s="8">
        <f>6.1679 * CHOOSE(CONTROL!$C$15, $D$11, 100%, $F$11)</f>
        <v>6.1679000000000004</v>
      </c>
      <c r="J209" s="4">
        <f>6.0562 * CHOOSE(CONTROL!$C$15, $D$11, 100%, $F$11)</f>
        <v>6.0561999999999996</v>
      </c>
      <c r="K209" s="4"/>
      <c r="L209" s="9">
        <v>27.3993</v>
      </c>
      <c r="M209" s="9">
        <v>12.063700000000001</v>
      </c>
      <c r="N209" s="9">
        <v>4.9444999999999997</v>
      </c>
      <c r="O209" s="9">
        <v>0.37459999999999999</v>
      </c>
      <c r="P209" s="9">
        <v>1.2939000000000001</v>
      </c>
      <c r="Q209" s="9">
        <v>30.8704</v>
      </c>
      <c r="R209" s="9"/>
      <c r="S209" s="11"/>
    </row>
    <row r="210" spans="1:19" ht="15.75">
      <c r="A210" s="13">
        <v>48245</v>
      </c>
      <c r="B210" s="8">
        <f>5.9168 * CHOOSE(CONTROL!$C$15, $D$11, 100%, $F$11)</f>
        <v>5.9168000000000003</v>
      </c>
      <c r="C210" s="8">
        <f>5.9272 * CHOOSE(CONTROL!$C$15, $D$11, 100%, $F$11)</f>
        <v>5.9272</v>
      </c>
      <c r="D210" s="8">
        <f>5.928 * CHOOSE( CONTROL!$C$15, $D$11, 100%, $F$11)</f>
        <v>5.9279999999999999</v>
      </c>
      <c r="E210" s="12">
        <f>5.9266 * CHOOSE( CONTROL!$C$15, $D$11, 100%, $F$11)</f>
        <v>5.9265999999999996</v>
      </c>
      <c r="F210" s="4">
        <f>6.9319 * CHOOSE(CONTROL!$C$15, $D$11, 100%, $F$11)</f>
        <v>6.9318999999999997</v>
      </c>
      <c r="G210" s="8">
        <f>5.7957 * CHOOSE( CONTROL!$C$15, $D$11, 100%, $F$11)</f>
        <v>5.7957000000000001</v>
      </c>
      <c r="H210" s="4">
        <f>6.6808 * CHOOSE(CONTROL!$C$15, $D$11, 100%, $F$11)</f>
        <v>6.6807999999999996</v>
      </c>
      <c r="I210" s="8">
        <f>5.7652 * CHOOSE(CONTROL!$C$15, $D$11, 100%, $F$11)</f>
        <v>5.7652000000000001</v>
      </c>
      <c r="J210" s="4">
        <f>5.6647 * CHOOSE(CONTROL!$C$15, $D$11, 100%, $F$11)</f>
        <v>5.6646999999999998</v>
      </c>
      <c r="K210" s="4"/>
      <c r="L210" s="9">
        <v>25.631599999999999</v>
      </c>
      <c r="M210" s="9">
        <v>11.285299999999999</v>
      </c>
      <c r="N210" s="9">
        <v>4.6254999999999997</v>
      </c>
      <c r="O210" s="9">
        <v>0.35039999999999999</v>
      </c>
      <c r="P210" s="9">
        <v>1.2104999999999999</v>
      </c>
      <c r="Q210" s="9">
        <v>28.878799999999998</v>
      </c>
      <c r="R210" s="9"/>
      <c r="S210" s="11"/>
    </row>
    <row r="211" spans="1:19" ht="15.75">
      <c r="A211" s="13">
        <v>48274</v>
      </c>
      <c r="B211" s="8">
        <f>5.7909 * CHOOSE(CONTROL!$C$15, $D$11, 100%, $F$11)</f>
        <v>5.7908999999999997</v>
      </c>
      <c r="C211" s="8">
        <f>5.8014 * CHOOSE(CONTROL!$C$15, $D$11, 100%, $F$11)</f>
        <v>5.8014000000000001</v>
      </c>
      <c r="D211" s="8">
        <f>5.7819 * CHOOSE( CONTROL!$C$15, $D$11, 100%, $F$11)</f>
        <v>5.7819000000000003</v>
      </c>
      <c r="E211" s="12">
        <f>5.7879 * CHOOSE( CONTROL!$C$15, $D$11, 100%, $F$11)</f>
        <v>5.7878999999999996</v>
      </c>
      <c r="F211" s="4">
        <f>6.7899 * CHOOSE(CONTROL!$C$15, $D$11, 100%, $F$11)</f>
        <v>6.7899000000000003</v>
      </c>
      <c r="G211" s="8">
        <f>5.6523 * CHOOSE( CONTROL!$C$15, $D$11, 100%, $F$11)</f>
        <v>5.6523000000000003</v>
      </c>
      <c r="H211" s="4">
        <f>6.5423 * CHOOSE(CONTROL!$C$15, $D$11, 100%, $F$11)</f>
        <v>6.5423</v>
      </c>
      <c r="I211" s="8">
        <f>5.605 * CHOOSE(CONTROL!$C$15, $D$11, 100%, $F$11)</f>
        <v>5.6050000000000004</v>
      </c>
      <c r="J211" s="4">
        <f>5.5441 * CHOOSE(CONTROL!$C$15, $D$11, 100%, $F$11)</f>
        <v>5.5441000000000003</v>
      </c>
      <c r="K211" s="4"/>
      <c r="L211" s="9">
        <v>27.3993</v>
      </c>
      <c r="M211" s="9">
        <v>12.063700000000001</v>
      </c>
      <c r="N211" s="9">
        <v>4.9444999999999997</v>
      </c>
      <c r="O211" s="9">
        <v>0.37459999999999999</v>
      </c>
      <c r="P211" s="9">
        <v>1.2939000000000001</v>
      </c>
      <c r="Q211" s="9">
        <v>30.8704</v>
      </c>
      <c r="R211" s="9"/>
      <c r="S211" s="11"/>
    </row>
    <row r="212" spans="1:19" ht="15.75">
      <c r="A212" s="13">
        <v>48305</v>
      </c>
      <c r="B212" s="8">
        <f>5.8789 * CHOOSE(CONTROL!$C$15, $D$11, 100%, $F$11)</f>
        <v>5.8788999999999998</v>
      </c>
      <c r="C212" s="8">
        <f>5.8893 * CHOOSE(CONTROL!$C$15, $D$11, 100%, $F$11)</f>
        <v>5.8893000000000004</v>
      </c>
      <c r="D212" s="8">
        <f>5.8932 * CHOOSE( CONTROL!$C$15, $D$11, 100%, $F$11)</f>
        <v>5.8932000000000002</v>
      </c>
      <c r="E212" s="12">
        <f>5.8907 * CHOOSE( CONTROL!$C$15, $D$11, 100%, $F$11)</f>
        <v>5.8906999999999998</v>
      </c>
      <c r="F212" s="4">
        <f>6.8861 * CHOOSE(CONTROL!$C$15, $D$11, 100%, $F$11)</f>
        <v>6.8860999999999999</v>
      </c>
      <c r="G212" s="8">
        <f>5.726 * CHOOSE( CONTROL!$C$15, $D$11, 100%, $F$11)</f>
        <v>5.726</v>
      </c>
      <c r="H212" s="4">
        <f>6.6362 * CHOOSE(CONTROL!$C$15, $D$11, 100%, $F$11)</f>
        <v>6.6361999999999997</v>
      </c>
      <c r="I212" s="8">
        <f>5.6794 * CHOOSE(CONTROL!$C$15, $D$11, 100%, $F$11)</f>
        <v>5.6794000000000002</v>
      </c>
      <c r="J212" s="4">
        <f>5.6284 * CHOOSE(CONTROL!$C$15, $D$11, 100%, $F$11)</f>
        <v>5.6284000000000001</v>
      </c>
      <c r="K212" s="4"/>
      <c r="L212" s="9">
        <v>27.988800000000001</v>
      </c>
      <c r="M212" s="9">
        <v>11.6745</v>
      </c>
      <c r="N212" s="9">
        <v>4.7850000000000001</v>
      </c>
      <c r="O212" s="9">
        <v>0.36249999999999999</v>
      </c>
      <c r="P212" s="9">
        <v>1.1798</v>
      </c>
      <c r="Q212" s="9">
        <v>29.874600000000001</v>
      </c>
      <c r="R212" s="9"/>
      <c r="S212" s="11"/>
    </row>
    <row r="213" spans="1:19" ht="15.75">
      <c r="A213" s="13">
        <v>48335</v>
      </c>
      <c r="B213" s="8">
        <f>CHOOSE( CONTROL!$C$32, 6.0403, 6.0354) * CHOOSE(CONTROL!$C$15, $D$11, 100%, $F$11)</f>
        <v>6.0403000000000002</v>
      </c>
      <c r="C213" s="8">
        <f>CHOOSE( CONTROL!$C$32, 6.0508, 6.0458) * CHOOSE(CONTROL!$C$15, $D$11, 100%, $F$11)</f>
        <v>6.0507999999999997</v>
      </c>
      <c r="D213" s="8">
        <f>CHOOSE( CONTROL!$C$32, 6.0294, 6.0245) * CHOOSE( CONTROL!$C$15, $D$11, 100%, $F$11)</f>
        <v>6.0293999999999999</v>
      </c>
      <c r="E213" s="12">
        <f>CHOOSE( CONTROL!$C$32, 6.0356, 6.0306) * CHOOSE( CONTROL!$C$15, $D$11, 100%, $F$11)</f>
        <v>6.0355999999999996</v>
      </c>
      <c r="F213" s="4">
        <f>CHOOSE( CONTROL!$C$32, 7.0152, 7.0103) * CHOOSE(CONTROL!$C$15, $D$11, 100%, $F$11)</f>
        <v>7.0152000000000001</v>
      </c>
      <c r="G213" s="8">
        <f>CHOOSE( CONTROL!$C$32, 5.8648, 5.86) * CHOOSE( CONTROL!$C$15, $D$11, 100%, $F$11)</f>
        <v>5.8647999999999998</v>
      </c>
      <c r="H213" s="4">
        <f>CHOOSE( CONTROL!$C$32, 6.762, 6.7572) * CHOOSE(CONTROL!$C$15, $D$11, 100%, $F$11)</f>
        <v>6.7619999999999996</v>
      </c>
      <c r="I213" s="8">
        <f>CHOOSE( CONTROL!$C$32, 5.8127, 5.808) * CHOOSE(CONTROL!$C$15, $D$11, 100%, $F$11)</f>
        <v>5.8127000000000004</v>
      </c>
      <c r="J213" s="4">
        <f>CHOOSE( CONTROL!$C$32, 5.7831, 5.7784) * CHOOSE(CONTROL!$C$15, $D$11, 100%, $F$11)</f>
        <v>5.7831000000000001</v>
      </c>
      <c r="K213" s="4"/>
      <c r="L213" s="9">
        <v>29.520499999999998</v>
      </c>
      <c r="M213" s="9">
        <v>12.063700000000001</v>
      </c>
      <c r="N213" s="9">
        <v>4.9444999999999997</v>
      </c>
      <c r="O213" s="9">
        <v>0.37459999999999999</v>
      </c>
      <c r="P213" s="9">
        <v>1.2192000000000001</v>
      </c>
      <c r="Q213" s="9">
        <v>30.8704</v>
      </c>
      <c r="R213" s="9"/>
      <c r="S213" s="11"/>
    </row>
    <row r="214" spans="1:19" ht="15.75">
      <c r="A214" s="13">
        <v>48366</v>
      </c>
      <c r="B214" s="8">
        <f>CHOOSE( CONTROL!$C$32, 5.9434, 5.9384) * CHOOSE(CONTROL!$C$15, $D$11, 100%, $F$11)</f>
        <v>5.9433999999999996</v>
      </c>
      <c r="C214" s="8">
        <f>CHOOSE( CONTROL!$C$32, 5.9538, 5.9489) * CHOOSE(CONTROL!$C$15, $D$11, 100%, $F$11)</f>
        <v>5.9538000000000002</v>
      </c>
      <c r="D214" s="8">
        <f>CHOOSE( CONTROL!$C$32, 5.9459, 5.941) * CHOOSE( CONTROL!$C$15, $D$11, 100%, $F$11)</f>
        <v>5.9459</v>
      </c>
      <c r="E214" s="12">
        <f>CHOOSE( CONTROL!$C$32, 5.9472, 5.9423) * CHOOSE( CONTROL!$C$15, $D$11, 100%, $F$11)</f>
        <v>5.9471999999999996</v>
      </c>
      <c r="F214" s="4">
        <f>CHOOSE( CONTROL!$C$32, 6.9376, 6.9327) * CHOOSE(CONTROL!$C$15, $D$11, 100%, $F$11)</f>
        <v>6.9375999999999998</v>
      </c>
      <c r="G214" s="8">
        <f>CHOOSE( CONTROL!$C$32, 5.7807, 5.7759) * CHOOSE( CONTROL!$C$15, $D$11, 100%, $F$11)</f>
        <v>5.7807000000000004</v>
      </c>
      <c r="H214" s="4">
        <f>CHOOSE( CONTROL!$C$32, 6.6863, 6.6815) * CHOOSE(CONTROL!$C$15, $D$11, 100%, $F$11)</f>
        <v>6.6863000000000001</v>
      </c>
      <c r="I214" s="8">
        <f>CHOOSE( CONTROL!$C$32, 5.7376, 5.7328) * CHOOSE(CONTROL!$C$15, $D$11, 100%, $F$11)</f>
        <v>5.7375999999999996</v>
      </c>
      <c r="J214" s="4">
        <f>CHOOSE( CONTROL!$C$32, 5.6902, 5.6855) * CHOOSE(CONTROL!$C$15, $D$11, 100%, $F$11)</f>
        <v>5.6901999999999999</v>
      </c>
      <c r="K214" s="4"/>
      <c r="L214" s="9">
        <v>28.568200000000001</v>
      </c>
      <c r="M214" s="9">
        <v>11.6745</v>
      </c>
      <c r="N214" s="9">
        <v>4.7850000000000001</v>
      </c>
      <c r="O214" s="9">
        <v>0.36249999999999999</v>
      </c>
      <c r="P214" s="9">
        <v>1.1798</v>
      </c>
      <c r="Q214" s="9">
        <v>29.874600000000001</v>
      </c>
      <c r="R214" s="9"/>
      <c r="S214" s="11"/>
    </row>
    <row r="215" spans="1:19" ht="15.75">
      <c r="A215" s="13">
        <v>48396</v>
      </c>
      <c r="B215" s="8">
        <f>CHOOSE( CONTROL!$C$32, 6.1987, 6.1938) * CHOOSE(CONTROL!$C$15, $D$11, 100%, $F$11)</f>
        <v>6.1986999999999997</v>
      </c>
      <c r="C215" s="8">
        <f>CHOOSE( CONTROL!$C$32, 6.2091, 6.2042) * CHOOSE(CONTROL!$C$15, $D$11, 100%, $F$11)</f>
        <v>6.2091000000000003</v>
      </c>
      <c r="D215" s="8">
        <f>CHOOSE( CONTROL!$C$32, 6.2081, 6.2032) * CHOOSE( CONTROL!$C$15, $D$11, 100%, $F$11)</f>
        <v>6.2081</v>
      </c>
      <c r="E215" s="12">
        <f>CHOOSE( CONTROL!$C$32, 6.2069, 6.202) * CHOOSE( CONTROL!$C$15, $D$11, 100%, $F$11)</f>
        <v>6.2069000000000001</v>
      </c>
      <c r="F215" s="4">
        <f>CHOOSE( CONTROL!$C$32, 7.2033, 7.1984) * CHOOSE(CONTROL!$C$15, $D$11, 100%, $F$11)</f>
        <v>7.2032999999999996</v>
      </c>
      <c r="G215" s="8">
        <f>CHOOSE( CONTROL!$C$32, 6.0337, 6.0289) * CHOOSE( CONTROL!$C$15, $D$11, 100%, $F$11)</f>
        <v>6.0336999999999996</v>
      </c>
      <c r="H215" s="4">
        <f>CHOOSE( CONTROL!$C$32, 6.9454, 6.9406) * CHOOSE(CONTROL!$C$15, $D$11, 100%, $F$11)</f>
        <v>6.9454000000000002</v>
      </c>
      <c r="I215" s="8">
        <f>CHOOSE( CONTROL!$C$32, 5.99, 5.9852) * CHOOSE(CONTROL!$C$15, $D$11, 100%, $F$11)</f>
        <v>5.99</v>
      </c>
      <c r="J215" s="4">
        <f>CHOOSE( CONTROL!$C$32, 5.9348, 5.9301) * CHOOSE(CONTROL!$C$15, $D$11, 100%, $F$11)</f>
        <v>5.9348000000000001</v>
      </c>
      <c r="K215" s="4"/>
      <c r="L215" s="9">
        <v>29.520499999999998</v>
      </c>
      <c r="M215" s="9">
        <v>12.063700000000001</v>
      </c>
      <c r="N215" s="9">
        <v>4.9444999999999997</v>
      </c>
      <c r="O215" s="9">
        <v>0.37459999999999999</v>
      </c>
      <c r="P215" s="9">
        <v>1.2192000000000001</v>
      </c>
      <c r="Q215" s="9">
        <v>30.8704</v>
      </c>
      <c r="R215" s="9"/>
      <c r="S215" s="11"/>
    </row>
    <row r="216" spans="1:19" ht="15.75">
      <c r="A216" s="13">
        <v>48427</v>
      </c>
      <c r="B216" s="8">
        <f>CHOOSE( CONTROL!$C$32, 5.721, 5.716) * CHOOSE(CONTROL!$C$15, $D$11, 100%, $F$11)</f>
        <v>5.7210000000000001</v>
      </c>
      <c r="C216" s="8">
        <f>CHOOSE( CONTROL!$C$32, 5.7314, 5.7265) * CHOOSE(CONTROL!$C$15, $D$11, 100%, $F$11)</f>
        <v>5.7313999999999998</v>
      </c>
      <c r="D216" s="8">
        <f>CHOOSE( CONTROL!$C$32, 5.7316, 5.7266) * CHOOSE( CONTROL!$C$15, $D$11, 100%, $F$11)</f>
        <v>5.7316000000000003</v>
      </c>
      <c r="E216" s="12">
        <f>CHOOSE( CONTROL!$C$32, 5.7299, 5.725) * CHOOSE( CONTROL!$C$15, $D$11, 100%, $F$11)</f>
        <v>5.7298999999999998</v>
      </c>
      <c r="F216" s="4">
        <f>CHOOSE( CONTROL!$C$32, 6.7334, 6.7285) * CHOOSE(CONTROL!$C$15, $D$11, 100%, $F$11)</f>
        <v>6.7333999999999996</v>
      </c>
      <c r="G216" s="8">
        <f>CHOOSE( CONTROL!$C$32, 5.5632, 5.5583) * CHOOSE( CONTROL!$C$15, $D$11, 100%, $F$11)</f>
        <v>5.5632000000000001</v>
      </c>
      <c r="H216" s="4">
        <f>CHOOSE( CONTROL!$C$32, 6.4873, 6.4825) * CHOOSE(CONTROL!$C$15, $D$11, 100%, $F$11)</f>
        <v>6.4873000000000003</v>
      </c>
      <c r="I216" s="8">
        <f>CHOOSE( CONTROL!$C$32, 5.5229, 5.5182) * CHOOSE(CONTROL!$C$15, $D$11, 100%, $F$11)</f>
        <v>5.5228999999999999</v>
      </c>
      <c r="J216" s="4">
        <f>CHOOSE( CONTROL!$C$32, 5.4771, 5.4723) * CHOOSE(CONTROL!$C$15, $D$11, 100%, $F$11)</f>
        <v>5.4771000000000001</v>
      </c>
      <c r="K216" s="4"/>
      <c r="L216" s="9">
        <v>29.520499999999998</v>
      </c>
      <c r="M216" s="9">
        <v>12.063700000000001</v>
      </c>
      <c r="N216" s="9">
        <v>4.9444999999999997</v>
      </c>
      <c r="O216" s="9">
        <v>0.37459999999999999</v>
      </c>
      <c r="P216" s="9">
        <v>1.2192000000000001</v>
      </c>
      <c r="Q216" s="9">
        <v>30.8704</v>
      </c>
      <c r="R216" s="9"/>
      <c r="S216" s="11"/>
    </row>
    <row r="217" spans="1:19" ht="15.75">
      <c r="A217" s="13">
        <v>48458</v>
      </c>
      <c r="B217" s="8">
        <f>CHOOSE( CONTROL!$C$32, 5.6013, 5.5964) * CHOOSE(CONTROL!$C$15, $D$11, 100%, $F$11)</f>
        <v>5.6013000000000002</v>
      </c>
      <c r="C217" s="8">
        <f>CHOOSE( CONTROL!$C$32, 5.6118, 5.6068) * CHOOSE(CONTROL!$C$15, $D$11, 100%, $F$11)</f>
        <v>5.6117999999999997</v>
      </c>
      <c r="D217" s="8">
        <f>CHOOSE( CONTROL!$C$32, 5.6122, 5.6073) * CHOOSE( CONTROL!$C$15, $D$11, 100%, $F$11)</f>
        <v>5.6121999999999996</v>
      </c>
      <c r="E217" s="12">
        <f>CHOOSE( CONTROL!$C$32, 5.6105, 5.6055) * CHOOSE( CONTROL!$C$15, $D$11, 100%, $F$11)</f>
        <v>5.6105</v>
      </c>
      <c r="F217" s="4">
        <f>CHOOSE( CONTROL!$C$32, 6.6138, 6.6089) * CHOOSE(CONTROL!$C$15, $D$11, 100%, $F$11)</f>
        <v>6.6138000000000003</v>
      </c>
      <c r="G217" s="8">
        <f>CHOOSE( CONTROL!$C$32, 5.447, 5.4422) * CHOOSE( CONTROL!$C$15, $D$11, 100%, $F$11)</f>
        <v>5.4470000000000001</v>
      </c>
      <c r="H217" s="4">
        <f>CHOOSE( CONTROL!$C$32, 6.3707, 6.3659) * CHOOSE(CONTROL!$C$15, $D$11, 100%, $F$11)</f>
        <v>6.3707000000000003</v>
      </c>
      <c r="I217" s="8">
        <f>CHOOSE( CONTROL!$C$32, 5.4097, 5.4049) * CHOOSE(CONTROL!$C$15, $D$11, 100%, $F$11)</f>
        <v>5.4097</v>
      </c>
      <c r="J217" s="4">
        <f>CHOOSE( CONTROL!$C$32, 5.3624, 5.3577) * CHOOSE(CONTROL!$C$15, $D$11, 100%, $F$11)</f>
        <v>5.3624000000000001</v>
      </c>
      <c r="K217" s="4"/>
      <c r="L217" s="9">
        <v>28.568200000000001</v>
      </c>
      <c r="M217" s="9">
        <v>11.6745</v>
      </c>
      <c r="N217" s="9">
        <v>4.7850000000000001</v>
      </c>
      <c r="O217" s="9">
        <v>0.36249999999999999</v>
      </c>
      <c r="P217" s="9">
        <v>1.1798</v>
      </c>
      <c r="Q217" s="9">
        <v>29.874600000000001</v>
      </c>
      <c r="R217" s="9"/>
      <c r="S217" s="11"/>
    </row>
    <row r="218" spans="1:19" ht="15.75">
      <c r="A218" s="13">
        <v>48488</v>
      </c>
      <c r="B218" s="8">
        <f>5.8448 * CHOOSE(CONTROL!$C$15, $D$11, 100%, $F$11)</f>
        <v>5.8448000000000002</v>
      </c>
      <c r="C218" s="8">
        <f>5.8552 * CHOOSE(CONTROL!$C$15, $D$11, 100%, $F$11)</f>
        <v>5.8552</v>
      </c>
      <c r="D218" s="8">
        <f>5.8569 * CHOOSE( CONTROL!$C$15, $D$11, 100%, $F$11)</f>
        <v>5.8569000000000004</v>
      </c>
      <c r="E218" s="12">
        <f>5.8552 * CHOOSE( CONTROL!$C$15, $D$11, 100%, $F$11)</f>
        <v>5.8552</v>
      </c>
      <c r="F218" s="4">
        <f>6.8573 * CHOOSE(CONTROL!$C$15, $D$11, 100%, $F$11)</f>
        <v>6.8573000000000004</v>
      </c>
      <c r="G218" s="8">
        <f>5.6839 * CHOOSE( CONTROL!$C$15, $D$11, 100%, $F$11)</f>
        <v>5.6839000000000004</v>
      </c>
      <c r="H218" s="4">
        <f>6.608 * CHOOSE(CONTROL!$C$15, $D$11, 100%, $F$11)</f>
        <v>6.6079999999999997</v>
      </c>
      <c r="I218" s="8">
        <f>5.6453 * CHOOSE(CONTROL!$C$15, $D$11, 100%, $F$11)</f>
        <v>5.6452999999999998</v>
      </c>
      <c r="J218" s="4">
        <f>5.5957 * CHOOSE(CONTROL!$C$15, $D$11, 100%, $F$11)</f>
        <v>5.5956999999999999</v>
      </c>
      <c r="K218" s="4"/>
      <c r="L218" s="9">
        <v>28.921800000000001</v>
      </c>
      <c r="M218" s="9">
        <v>12.063700000000001</v>
      </c>
      <c r="N218" s="9">
        <v>4.9444999999999997</v>
      </c>
      <c r="O218" s="9">
        <v>0.37459999999999999</v>
      </c>
      <c r="P218" s="9">
        <v>1.2192000000000001</v>
      </c>
      <c r="Q218" s="9">
        <v>30.8704</v>
      </c>
      <c r="R218" s="9"/>
      <c r="S218" s="11"/>
    </row>
    <row r="219" spans="1:19" ht="15.75">
      <c r="A219" s="13">
        <v>48519</v>
      </c>
      <c r="B219" s="8">
        <f>6.3033 * CHOOSE(CONTROL!$C$15, $D$11, 100%, $F$11)</f>
        <v>6.3033000000000001</v>
      </c>
      <c r="C219" s="8">
        <f>6.3137 * CHOOSE(CONTROL!$C$15, $D$11, 100%, $F$11)</f>
        <v>6.3136999999999999</v>
      </c>
      <c r="D219" s="8">
        <f>6.2948 * CHOOSE( CONTROL!$C$15, $D$11, 100%, $F$11)</f>
        <v>6.2948000000000004</v>
      </c>
      <c r="E219" s="12">
        <f>6.3006 * CHOOSE( CONTROL!$C$15, $D$11, 100%, $F$11)</f>
        <v>6.3006000000000002</v>
      </c>
      <c r="F219" s="4">
        <f>7.3001 * CHOOSE(CONTROL!$C$15, $D$11, 100%, $F$11)</f>
        <v>7.3000999999999996</v>
      </c>
      <c r="G219" s="8">
        <f>6.1538 * CHOOSE( CONTROL!$C$15, $D$11, 100%, $F$11)</f>
        <v>6.1538000000000004</v>
      </c>
      <c r="H219" s="4">
        <f>7.0397 * CHOOSE(CONTROL!$C$15, $D$11, 100%, $F$11)</f>
        <v>7.0396999999999998</v>
      </c>
      <c r="I219" s="8">
        <f>6.1314 * CHOOSE(CONTROL!$C$15, $D$11, 100%, $F$11)</f>
        <v>6.1314000000000002</v>
      </c>
      <c r="J219" s="4">
        <f>6.035 * CHOOSE(CONTROL!$C$15, $D$11, 100%, $F$11)</f>
        <v>6.0350000000000001</v>
      </c>
      <c r="K219" s="4"/>
      <c r="L219" s="9">
        <v>26.515499999999999</v>
      </c>
      <c r="M219" s="9">
        <v>11.6745</v>
      </c>
      <c r="N219" s="9">
        <v>4.7850000000000001</v>
      </c>
      <c r="O219" s="9">
        <v>0.36249999999999999</v>
      </c>
      <c r="P219" s="9">
        <v>1.2522</v>
      </c>
      <c r="Q219" s="9">
        <v>29.874600000000001</v>
      </c>
      <c r="R219" s="9"/>
      <c r="S219" s="11"/>
    </row>
    <row r="220" spans="1:19" ht="15.75">
      <c r="A220" s="13">
        <v>48549</v>
      </c>
      <c r="B220" s="8">
        <f>6.2918 * CHOOSE(CONTROL!$C$15, $D$11, 100%, $F$11)</f>
        <v>6.2918000000000003</v>
      </c>
      <c r="C220" s="8">
        <f>6.3023 * CHOOSE(CONTROL!$C$15, $D$11, 100%, $F$11)</f>
        <v>6.3022999999999998</v>
      </c>
      <c r="D220" s="8">
        <f>6.2859 * CHOOSE( CONTROL!$C$15, $D$11, 100%, $F$11)</f>
        <v>6.2858999999999998</v>
      </c>
      <c r="E220" s="12">
        <f>6.2908 * CHOOSE( CONTROL!$C$15, $D$11, 100%, $F$11)</f>
        <v>6.2907999999999999</v>
      </c>
      <c r="F220" s="4">
        <f>7.2886 * CHOOSE(CONTROL!$C$15, $D$11, 100%, $F$11)</f>
        <v>7.2885999999999997</v>
      </c>
      <c r="G220" s="8">
        <f>6.1446 * CHOOSE( CONTROL!$C$15, $D$11, 100%, $F$11)</f>
        <v>6.1445999999999996</v>
      </c>
      <c r="H220" s="4">
        <f>7.0285 * CHOOSE(CONTROL!$C$15, $D$11, 100%, $F$11)</f>
        <v>7.0285000000000002</v>
      </c>
      <c r="I220" s="8">
        <f>6.1292 * CHOOSE(CONTROL!$C$15, $D$11, 100%, $F$11)</f>
        <v>6.1292</v>
      </c>
      <c r="J220" s="4">
        <f>6.0241 * CHOOSE(CONTROL!$C$15, $D$11, 100%, $F$11)</f>
        <v>6.0240999999999998</v>
      </c>
      <c r="K220" s="4"/>
      <c r="L220" s="9">
        <v>27.3993</v>
      </c>
      <c r="M220" s="9">
        <v>12.063700000000001</v>
      </c>
      <c r="N220" s="9">
        <v>4.9444999999999997</v>
      </c>
      <c r="O220" s="9">
        <v>0.37459999999999999</v>
      </c>
      <c r="P220" s="9">
        <v>1.2939000000000001</v>
      </c>
      <c r="Q220" s="9">
        <v>30.8704</v>
      </c>
      <c r="R220" s="9"/>
      <c r="S220" s="11"/>
    </row>
    <row r="221" spans="1:19" ht="15.75">
      <c r="A221" s="13">
        <v>48580</v>
      </c>
      <c r="B221" s="8">
        <f>6.4518 * CHOOSE(CONTROL!$C$15, $D$11, 100%, $F$11)</f>
        <v>6.4518000000000004</v>
      </c>
      <c r="C221" s="8">
        <f>6.4622 * CHOOSE(CONTROL!$C$15, $D$11, 100%, $F$11)</f>
        <v>6.4622000000000002</v>
      </c>
      <c r="D221" s="8">
        <f>6.4608 * CHOOSE( CONTROL!$C$15, $D$11, 100%, $F$11)</f>
        <v>6.4607999999999999</v>
      </c>
      <c r="E221" s="12">
        <f>6.4602 * CHOOSE( CONTROL!$C$15, $D$11, 100%, $F$11)</f>
        <v>6.4602000000000004</v>
      </c>
      <c r="F221" s="4">
        <f>7.4747 * CHOOSE(CONTROL!$C$15, $D$11, 100%, $F$11)</f>
        <v>7.4747000000000003</v>
      </c>
      <c r="G221" s="8">
        <f>6.3174 * CHOOSE( CONTROL!$C$15, $D$11, 100%, $F$11)</f>
        <v>6.3174000000000001</v>
      </c>
      <c r="H221" s="4">
        <f>7.2099 * CHOOSE(CONTROL!$C$15, $D$11, 100%, $F$11)</f>
        <v>7.2099000000000002</v>
      </c>
      <c r="I221" s="8">
        <f>6.289 * CHOOSE(CONTROL!$C$15, $D$11, 100%, $F$11)</f>
        <v>6.2889999999999997</v>
      </c>
      <c r="J221" s="4">
        <f>6.1774 * CHOOSE(CONTROL!$C$15, $D$11, 100%, $F$11)</f>
        <v>6.1773999999999996</v>
      </c>
      <c r="K221" s="4"/>
      <c r="L221" s="9">
        <v>27.3993</v>
      </c>
      <c r="M221" s="9">
        <v>12.063700000000001</v>
      </c>
      <c r="N221" s="9">
        <v>4.9444999999999997</v>
      </c>
      <c r="O221" s="9">
        <v>0.37459999999999999</v>
      </c>
      <c r="P221" s="9">
        <v>1.2939000000000001</v>
      </c>
      <c r="Q221" s="9">
        <v>30.773700000000002</v>
      </c>
      <c r="R221" s="9"/>
      <c r="S221" s="11"/>
    </row>
    <row r="222" spans="1:19" ht="15.75">
      <c r="A222" s="13">
        <v>48611</v>
      </c>
      <c r="B222" s="8">
        <f>6.035 * CHOOSE(CONTROL!$C$15, $D$11, 100%, $F$11)</f>
        <v>6.0350000000000001</v>
      </c>
      <c r="C222" s="8">
        <f>6.0455 * CHOOSE(CONTROL!$C$15, $D$11, 100%, $F$11)</f>
        <v>6.0454999999999997</v>
      </c>
      <c r="D222" s="8">
        <f>6.0463 * CHOOSE( CONTROL!$C$15, $D$11, 100%, $F$11)</f>
        <v>6.0462999999999996</v>
      </c>
      <c r="E222" s="12">
        <f>6.0449 * CHOOSE( CONTROL!$C$15, $D$11, 100%, $F$11)</f>
        <v>6.0449000000000002</v>
      </c>
      <c r="F222" s="4">
        <f>7.0501 * CHOOSE(CONTROL!$C$15, $D$11, 100%, $F$11)</f>
        <v>7.0500999999999996</v>
      </c>
      <c r="G222" s="8">
        <f>5.9109 * CHOOSE( CONTROL!$C$15, $D$11, 100%, $F$11)</f>
        <v>5.9108999999999998</v>
      </c>
      <c r="H222" s="4">
        <f>6.796 * CHOOSE(CONTROL!$C$15, $D$11, 100%, $F$11)</f>
        <v>6.7960000000000003</v>
      </c>
      <c r="I222" s="8">
        <f>5.8786 * CHOOSE(CONTROL!$C$15, $D$11, 100%, $F$11)</f>
        <v>5.8785999999999996</v>
      </c>
      <c r="J222" s="4">
        <f>5.778 * CHOOSE(CONTROL!$C$15, $D$11, 100%, $F$11)</f>
        <v>5.7779999999999996</v>
      </c>
      <c r="K222" s="4"/>
      <c r="L222" s="9">
        <v>24.747800000000002</v>
      </c>
      <c r="M222" s="9">
        <v>10.8962</v>
      </c>
      <c r="N222" s="9">
        <v>4.4660000000000002</v>
      </c>
      <c r="O222" s="9">
        <v>0.33829999999999999</v>
      </c>
      <c r="P222" s="9">
        <v>1.1687000000000001</v>
      </c>
      <c r="Q222" s="9">
        <v>27.7956</v>
      </c>
      <c r="R222" s="9"/>
      <c r="S222" s="11"/>
    </row>
    <row r="223" spans="1:19" ht="15.75">
      <c r="A223" s="13">
        <v>48639</v>
      </c>
      <c r="B223" s="8">
        <f>5.9067 * CHOOSE(CONTROL!$C$15, $D$11, 100%, $F$11)</f>
        <v>5.9066999999999998</v>
      </c>
      <c r="C223" s="8">
        <f>5.9171 * CHOOSE(CONTROL!$C$15, $D$11, 100%, $F$11)</f>
        <v>5.9170999999999996</v>
      </c>
      <c r="D223" s="8">
        <f>5.8976 * CHOOSE( CONTROL!$C$15, $D$11, 100%, $F$11)</f>
        <v>5.8975999999999997</v>
      </c>
      <c r="E223" s="12">
        <f>5.9036 * CHOOSE( CONTROL!$C$15, $D$11, 100%, $F$11)</f>
        <v>5.9036</v>
      </c>
      <c r="F223" s="4">
        <f>6.9056 * CHOOSE(CONTROL!$C$15, $D$11, 100%, $F$11)</f>
        <v>6.9055999999999997</v>
      </c>
      <c r="G223" s="8">
        <f>5.7651 * CHOOSE( CONTROL!$C$15, $D$11, 100%, $F$11)</f>
        <v>5.7651000000000003</v>
      </c>
      <c r="H223" s="4">
        <f>6.6551 * CHOOSE(CONTROL!$C$15, $D$11, 100%, $F$11)</f>
        <v>6.6551</v>
      </c>
      <c r="I223" s="8">
        <f>5.716 * CHOOSE(CONTROL!$C$15, $D$11, 100%, $F$11)</f>
        <v>5.7160000000000002</v>
      </c>
      <c r="J223" s="4">
        <f>5.655 * CHOOSE(CONTROL!$C$15, $D$11, 100%, $F$11)</f>
        <v>5.6550000000000002</v>
      </c>
      <c r="K223" s="4"/>
      <c r="L223" s="9">
        <v>27.3993</v>
      </c>
      <c r="M223" s="9">
        <v>12.063700000000001</v>
      </c>
      <c r="N223" s="9">
        <v>4.9444999999999997</v>
      </c>
      <c r="O223" s="9">
        <v>0.37459999999999999</v>
      </c>
      <c r="P223" s="9">
        <v>1.2939000000000001</v>
      </c>
      <c r="Q223" s="9">
        <v>30.773700000000002</v>
      </c>
      <c r="R223" s="9"/>
      <c r="S223" s="11"/>
    </row>
    <row r="224" spans="1:19" ht="15.75">
      <c r="A224" s="13">
        <v>48670</v>
      </c>
      <c r="B224" s="8">
        <f>5.9964 * CHOOSE(CONTROL!$C$15, $D$11, 100%, $F$11)</f>
        <v>5.9964000000000004</v>
      </c>
      <c r="C224" s="8">
        <f>6.0068 * CHOOSE(CONTROL!$C$15, $D$11, 100%, $F$11)</f>
        <v>6.0068000000000001</v>
      </c>
      <c r="D224" s="8">
        <f>6.0106 * CHOOSE( CONTROL!$C$15, $D$11, 100%, $F$11)</f>
        <v>6.0106000000000002</v>
      </c>
      <c r="E224" s="12">
        <f>6.0082 * CHOOSE( CONTROL!$C$15, $D$11, 100%, $F$11)</f>
        <v>6.0082000000000004</v>
      </c>
      <c r="F224" s="4">
        <f>7.0036 * CHOOSE(CONTROL!$C$15, $D$11, 100%, $F$11)</f>
        <v>7.0035999999999996</v>
      </c>
      <c r="G224" s="8">
        <f>5.8405 * CHOOSE( CONTROL!$C$15, $D$11, 100%, $F$11)</f>
        <v>5.8404999999999996</v>
      </c>
      <c r="H224" s="4">
        <f>6.7507 * CHOOSE(CONTROL!$C$15, $D$11, 100%, $F$11)</f>
        <v>6.7507000000000001</v>
      </c>
      <c r="I224" s="8">
        <f>5.7921 * CHOOSE(CONTROL!$C$15, $D$11, 100%, $F$11)</f>
        <v>5.7920999999999996</v>
      </c>
      <c r="J224" s="4">
        <f>5.741 * CHOOSE(CONTROL!$C$15, $D$11, 100%, $F$11)</f>
        <v>5.7409999999999997</v>
      </c>
      <c r="K224" s="4"/>
      <c r="L224" s="9">
        <v>27.988800000000001</v>
      </c>
      <c r="M224" s="9">
        <v>11.6745</v>
      </c>
      <c r="N224" s="9">
        <v>4.7850000000000001</v>
      </c>
      <c r="O224" s="9">
        <v>0.36249999999999999</v>
      </c>
      <c r="P224" s="9">
        <v>1.1798</v>
      </c>
      <c r="Q224" s="9">
        <v>29.780999999999999</v>
      </c>
      <c r="R224" s="9"/>
      <c r="S224" s="11"/>
    </row>
    <row r="225" spans="1:19" ht="15.75">
      <c r="A225" s="13">
        <v>48700</v>
      </c>
      <c r="B225" s="8">
        <f>CHOOSE( CONTROL!$C$32, 6.1609, 6.156) * CHOOSE(CONTROL!$C$15, $D$11, 100%, $F$11)</f>
        <v>6.1608999999999998</v>
      </c>
      <c r="C225" s="8">
        <f>CHOOSE( CONTROL!$C$32, 6.1714, 6.1664) * CHOOSE(CONTROL!$C$15, $D$11, 100%, $F$11)</f>
        <v>6.1714000000000002</v>
      </c>
      <c r="D225" s="8">
        <f>CHOOSE( CONTROL!$C$32, 6.15, 6.1451) * CHOOSE( CONTROL!$C$15, $D$11, 100%, $F$11)</f>
        <v>6.15</v>
      </c>
      <c r="E225" s="12">
        <f>CHOOSE( CONTROL!$C$32, 6.1562, 6.1512) * CHOOSE( CONTROL!$C$15, $D$11, 100%, $F$11)</f>
        <v>6.1562000000000001</v>
      </c>
      <c r="F225" s="4">
        <f>CHOOSE( CONTROL!$C$32, 7.1358, 7.1309) * CHOOSE(CONTROL!$C$15, $D$11, 100%, $F$11)</f>
        <v>7.1357999999999997</v>
      </c>
      <c r="G225" s="8">
        <f>CHOOSE( CONTROL!$C$32, 5.9823, 5.9775) * CHOOSE( CONTROL!$C$15, $D$11, 100%, $F$11)</f>
        <v>5.9823000000000004</v>
      </c>
      <c r="H225" s="4">
        <f>CHOOSE( CONTROL!$C$32, 6.8796, 6.8748) * CHOOSE(CONTROL!$C$15, $D$11, 100%, $F$11)</f>
        <v>6.8795999999999999</v>
      </c>
      <c r="I225" s="8">
        <f>CHOOSE( CONTROL!$C$32, 5.9283, 5.9236) * CHOOSE(CONTROL!$C$15, $D$11, 100%, $F$11)</f>
        <v>5.9283000000000001</v>
      </c>
      <c r="J225" s="4">
        <f>CHOOSE( CONTROL!$C$32, 5.8987, 5.8939) * CHOOSE(CONTROL!$C$15, $D$11, 100%, $F$11)</f>
        <v>5.8986999999999998</v>
      </c>
      <c r="K225" s="4"/>
      <c r="L225" s="9">
        <v>29.520499999999998</v>
      </c>
      <c r="M225" s="9">
        <v>12.063700000000001</v>
      </c>
      <c r="N225" s="9">
        <v>4.9444999999999997</v>
      </c>
      <c r="O225" s="9">
        <v>0.37459999999999999</v>
      </c>
      <c r="P225" s="9">
        <v>1.2192000000000001</v>
      </c>
      <c r="Q225" s="9">
        <v>30.773700000000002</v>
      </c>
      <c r="R225" s="9"/>
      <c r="S225" s="11"/>
    </row>
    <row r="226" spans="1:19" ht="15.75">
      <c r="A226" s="13">
        <v>48731</v>
      </c>
      <c r="B226" s="8">
        <f>CHOOSE( CONTROL!$C$32, 6.0621, 6.0571) * CHOOSE(CONTROL!$C$15, $D$11, 100%, $F$11)</f>
        <v>6.0621</v>
      </c>
      <c r="C226" s="8">
        <f>CHOOSE( CONTROL!$C$32, 6.0725, 6.0676) * CHOOSE(CONTROL!$C$15, $D$11, 100%, $F$11)</f>
        <v>6.0724999999999998</v>
      </c>
      <c r="D226" s="8">
        <f>CHOOSE( CONTROL!$C$32, 6.0646, 6.0597) * CHOOSE( CONTROL!$C$15, $D$11, 100%, $F$11)</f>
        <v>6.0646000000000004</v>
      </c>
      <c r="E226" s="12">
        <f>CHOOSE( CONTROL!$C$32, 6.0659, 6.061) * CHOOSE( CONTROL!$C$15, $D$11, 100%, $F$11)</f>
        <v>6.0659000000000001</v>
      </c>
      <c r="F226" s="4">
        <f>CHOOSE( CONTROL!$C$32, 7.0563, 7.0513) * CHOOSE(CONTROL!$C$15, $D$11, 100%, $F$11)</f>
        <v>7.0563000000000002</v>
      </c>
      <c r="G226" s="8">
        <f>CHOOSE( CONTROL!$C$32, 5.8964, 5.8916) * CHOOSE( CONTROL!$C$15, $D$11, 100%, $F$11)</f>
        <v>5.8963999999999999</v>
      </c>
      <c r="H226" s="4">
        <f>CHOOSE( CONTROL!$C$32, 6.802, 6.7972) * CHOOSE(CONTROL!$C$15, $D$11, 100%, $F$11)</f>
        <v>6.8019999999999996</v>
      </c>
      <c r="I226" s="8">
        <f>CHOOSE( CONTROL!$C$32, 5.8513, 5.8466) * CHOOSE(CONTROL!$C$15, $D$11, 100%, $F$11)</f>
        <v>5.8513000000000002</v>
      </c>
      <c r="J226" s="4">
        <f>CHOOSE( CONTROL!$C$32, 5.8039, 5.7992) * CHOOSE(CONTROL!$C$15, $D$11, 100%, $F$11)</f>
        <v>5.8038999999999996</v>
      </c>
      <c r="K226" s="4"/>
      <c r="L226" s="9">
        <v>28.568200000000001</v>
      </c>
      <c r="M226" s="9">
        <v>11.6745</v>
      </c>
      <c r="N226" s="9">
        <v>4.7850000000000001</v>
      </c>
      <c r="O226" s="9">
        <v>0.36249999999999999</v>
      </c>
      <c r="P226" s="9">
        <v>1.1798</v>
      </c>
      <c r="Q226" s="9">
        <v>29.780999999999999</v>
      </c>
      <c r="R226" s="9"/>
      <c r="S226" s="11"/>
    </row>
    <row r="227" spans="1:19" ht="15.75">
      <c r="A227" s="13">
        <v>48761</v>
      </c>
      <c r="B227" s="8">
        <f>CHOOSE( CONTROL!$C$32, 6.3225, 6.3175) * CHOOSE(CONTROL!$C$15, $D$11, 100%, $F$11)</f>
        <v>6.3224999999999998</v>
      </c>
      <c r="C227" s="8">
        <f>CHOOSE( CONTROL!$C$32, 6.3329, 6.328) * CHOOSE(CONTROL!$C$15, $D$11, 100%, $F$11)</f>
        <v>6.3329000000000004</v>
      </c>
      <c r="D227" s="8">
        <f>CHOOSE( CONTROL!$C$32, 6.3319, 6.327) * CHOOSE( CONTROL!$C$15, $D$11, 100%, $F$11)</f>
        <v>6.3319000000000001</v>
      </c>
      <c r="E227" s="12">
        <f>CHOOSE( CONTROL!$C$32, 6.3307, 6.3258) * CHOOSE( CONTROL!$C$15, $D$11, 100%, $F$11)</f>
        <v>6.3307000000000002</v>
      </c>
      <c r="F227" s="4">
        <f>CHOOSE( CONTROL!$C$32, 7.3271, 7.3222) * CHOOSE(CONTROL!$C$15, $D$11, 100%, $F$11)</f>
        <v>7.3270999999999997</v>
      </c>
      <c r="G227" s="8">
        <f>CHOOSE( CONTROL!$C$32, 6.1543, 6.1495) * CHOOSE( CONTROL!$C$15, $D$11, 100%, $F$11)</f>
        <v>6.1543000000000001</v>
      </c>
      <c r="H227" s="4">
        <f>CHOOSE( CONTROL!$C$32, 7.066, 7.0612) * CHOOSE(CONTROL!$C$15, $D$11, 100%, $F$11)</f>
        <v>7.0659999999999998</v>
      </c>
      <c r="I227" s="8">
        <f>CHOOSE( CONTROL!$C$32, 6.1086, 6.1039) * CHOOSE(CONTROL!$C$15, $D$11, 100%, $F$11)</f>
        <v>6.1086</v>
      </c>
      <c r="J227" s="4">
        <f>CHOOSE( CONTROL!$C$32, 6.0534, 6.0487) * CHOOSE(CONTROL!$C$15, $D$11, 100%, $F$11)</f>
        <v>6.0533999999999999</v>
      </c>
      <c r="K227" s="4"/>
      <c r="L227" s="9">
        <v>29.520499999999998</v>
      </c>
      <c r="M227" s="9">
        <v>12.063700000000001</v>
      </c>
      <c r="N227" s="9">
        <v>4.9444999999999997</v>
      </c>
      <c r="O227" s="9">
        <v>0.37459999999999999</v>
      </c>
      <c r="P227" s="9">
        <v>1.2192000000000001</v>
      </c>
      <c r="Q227" s="9">
        <v>30.773700000000002</v>
      </c>
      <c r="R227" s="9"/>
      <c r="S227" s="11"/>
    </row>
    <row r="228" spans="1:19" ht="15.75">
      <c r="A228" s="13">
        <v>48792</v>
      </c>
      <c r="B228" s="8">
        <f>CHOOSE( CONTROL!$C$32, 5.8352, 5.8303) * CHOOSE(CONTROL!$C$15, $D$11, 100%, $F$11)</f>
        <v>5.8352000000000004</v>
      </c>
      <c r="C228" s="8">
        <f>CHOOSE( CONTROL!$C$32, 5.8456, 5.8407) * CHOOSE(CONTROL!$C$15, $D$11, 100%, $F$11)</f>
        <v>5.8456000000000001</v>
      </c>
      <c r="D228" s="8">
        <f>CHOOSE( CONTROL!$C$32, 5.8458, 5.8409) * CHOOSE( CONTROL!$C$15, $D$11, 100%, $F$11)</f>
        <v>5.8457999999999997</v>
      </c>
      <c r="E228" s="12">
        <f>CHOOSE( CONTROL!$C$32, 5.8441, 5.8392) * CHOOSE( CONTROL!$C$15, $D$11, 100%, $F$11)</f>
        <v>5.8441000000000001</v>
      </c>
      <c r="F228" s="4">
        <f>CHOOSE( CONTROL!$C$32, 6.8477, 6.8427) * CHOOSE(CONTROL!$C$15, $D$11, 100%, $F$11)</f>
        <v>6.8476999999999997</v>
      </c>
      <c r="G228" s="8">
        <f>CHOOSE( CONTROL!$C$32, 5.6745, 5.6697) * CHOOSE( CONTROL!$C$15, $D$11, 100%, $F$11)</f>
        <v>5.6745000000000001</v>
      </c>
      <c r="H228" s="4">
        <f>CHOOSE( CONTROL!$C$32, 6.5987, 6.5939) * CHOOSE(CONTROL!$C$15, $D$11, 100%, $F$11)</f>
        <v>6.5987</v>
      </c>
      <c r="I228" s="8">
        <f>CHOOSE( CONTROL!$C$32, 5.6324, 5.6277) * CHOOSE(CONTROL!$C$15, $D$11, 100%, $F$11)</f>
        <v>5.6323999999999996</v>
      </c>
      <c r="J228" s="4">
        <f>CHOOSE( CONTROL!$C$32, 5.5865, 5.5818) * CHOOSE(CONTROL!$C$15, $D$11, 100%, $F$11)</f>
        <v>5.5865</v>
      </c>
      <c r="K228" s="4"/>
      <c r="L228" s="9">
        <v>29.520499999999998</v>
      </c>
      <c r="M228" s="9">
        <v>12.063700000000001</v>
      </c>
      <c r="N228" s="9">
        <v>4.9444999999999997</v>
      </c>
      <c r="O228" s="9">
        <v>0.37459999999999999</v>
      </c>
      <c r="P228" s="9">
        <v>1.2192000000000001</v>
      </c>
      <c r="Q228" s="9">
        <v>30.773700000000002</v>
      </c>
      <c r="R228" s="9"/>
      <c r="S228" s="11"/>
    </row>
    <row r="229" spans="1:19" ht="15.75">
      <c r="A229" s="13">
        <v>48823</v>
      </c>
      <c r="B229" s="8">
        <f>CHOOSE( CONTROL!$C$32, 5.7132, 5.7082) * CHOOSE(CONTROL!$C$15, $D$11, 100%, $F$11)</f>
        <v>5.7131999999999996</v>
      </c>
      <c r="C229" s="8">
        <f>CHOOSE( CONTROL!$C$32, 5.7236, 5.7187) * CHOOSE(CONTROL!$C$15, $D$11, 100%, $F$11)</f>
        <v>5.7236000000000002</v>
      </c>
      <c r="D229" s="8">
        <f>CHOOSE( CONTROL!$C$32, 5.7241, 5.7191) * CHOOSE( CONTROL!$C$15, $D$11, 100%, $F$11)</f>
        <v>5.7241</v>
      </c>
      <c r="E229" s="12">
        <f>CHOOSE( CONTROL!$C$32, 5.7223, 5.7174) * CHOOSE( CONTROL!$C$15, $D$11, 100%, $F$11)</f>
        <v>5.7222999999999997</v>
      </c>
      <c r="F229" s="4">
        <f>CHOOSE( CONTROL!$C$32, 6.7256, 6.7207) * CHOOSE(CONTROL!$C$15, $D$11, 100%, $F$11)</f>
        <v>6.7256</v>
      </c>
      <c r="G229" s="8">
        <f>CHOOSE( CONTROL!$C$32, 5.556, 5.5512) * CHOOSE( CONTROL!$C$15, $D$11, 100%, $F$11)</f>
        <v>5.556</v>
      </c>
      <c r="H229" s="4">
        <f>CHOOSE( CONTROL!$C$32, 6.4797, 6.4749) * CHOOSE(CONTROL!$C$15, $D$11, 100%, $F$11)</f>
        <v>6.4797000000000002</v>
      </c>
      <c r="I229" s="8">
        <f>CHOOSE( CONTROL!$C$32, 5.5169, 5.5121) * CHOOSE(CONTROL!$C$15, $D$11, 100%, $F$11)</f>
        <v>5.5168999999999997</v>
      </c>
      <c r="J229" s="4">
        <f>CHOOSE( CONTROL!$C$32, 5.4696, 5.4649) * CHOOSE(CONTROL!$C$15, $D$11, 100%, $F$11)</f>
        <v>5.4695999999999998</v>
      </c>
      <c r="K229" s="4"/>
      <c r="L229" s="9">
        <v>28.568200000000001</v>
      </c>
      <c r="M229" s="9">
        <v>11.6745</v>
      </c>
      <c r="N229" s="9">
        <v>4.7850000000000001</v>
      </c>
      <c r="O229" s="9">
        <v>0.36249999999999999</v>
      </c>
      <c r="P229" s="9">
        <v>1.1798</v>
      </c>
      <c r="Q229" s="9">
        <v>29.780999999999999</v>
      </c>
      <c r="R229" s="9"/>
      <c r="S229" s="11"/>
    </row>
    <row r="230" spans="1:19" ht="15.75">
      <c r="A230" s="13">
        <v>48853</v>
      </c>
      <c r="B230" s="8">
        <f>5.9616 * CHOOSE(CONTROL!$C$15, $D$11, 100%, $F$11)</f>
        <v>5.9615999999999998</v>
      </c>
      <c r="C230" s="8">
        <f>5.972 * CHOOSE(CONTROL!$C$15, $D$11, 100%, $F$11)</f>
        <v>5.9720000000000004</v>
      </c>
      <c r="D230" s="8">
        <f>5.9737 * CHOOSE( CONTROL!$C$15, $D$11, 100%, $F$11)</f>
        <v>5.9737</v>
      </c>
      <c r="E230" s="12">
        <f>5.972 * CHOOSE( CONTROL!$C$15, $D$11, 100%, $F$11)</f>
        <v>5.9720000000000004</v>
      </c>
      <c r="F230" s="4">
        <f>6.9741 * CHOOSE(CONTROL!$C$15, $D$11, 100%, $F$11)</f>
        <v>6.9741</v>
      </c>
      <c r="G230" s="8">
        <f>5.7978 * CHOOSE( CONTROL!$C$15, $D$11, 100%, $F$11)</f>
        <v>5.7977999999999996</v>
      </c>
      <c r="H230" s="4">
        <f>6.7219 * CHOOSE(CONTROL!$C$15, $D$11, 100%, $F$11)</f>
        <v>6.7218999999999998</v>
      </c>
      <c r="I230" s="8">
        <f>5.7573 * CHOOSE(CONTROL!$C$15, $D$11, 100%, $F$11)</f>
        <v>5.7572999999999999</v>
      </c>
      <c r="J230" s="4">
        <f>5.7076 * CHOOSE(CONTROL!$C$15, $D$11, 100%, $F$11)</f>
        <v>5.7076000000000002</v>
      </c>
      <c r="K230" s="4"/>
      <c r="L230" s="9">
        <v>28.921800000000001</v>
      </c>
      <c r="M230" s="9">
        <v>12.063700000000001</v>
      </c>
      <c r="N230" s="9">
        <v>4.9444999999999997</v>
      </c>
      <c r="O230" s="9">
        <v>0.37459999999999999</v>
      </c>
      <c r="P230" s="9">
        <v>1.2192000000000001</v>
      </c>
      <c r="Q230" s="9">
        <v>30.773700000000002</v>
      </c>
      <c r="R230" s="9"/>
      <c r="S230" s="11"/>
    </row>
    <row r="231" spans="1:19" ht="15.75">
      <c r="A231" s="13">
        <v>48884</v>
      </c>
      <c r="B231" s="8">
        <f>6.4292 * CHOOSE(CONTROL!$C$15, $D$11, 100%, $F$11)</f>
        <v>6.4291999999999998</v>
      </c>
      <c r="C231" s="8">
        <f>6.4397 * CHOOSE(CONTROL!$C$15, $D$11, 100%, $F$11)</f>
        <v>6.4397000000000002</v>
      </c>
      <c r="D231" s="8">
        <f>6.4207 * CHOOSE( CONTROL!$C$15, $D$11, 100%, $F$11)</f>
        <v>6.4207000000000001</v>
      </c>
      <c r="E231" s="12">
        <f>6.4265 * CHOOSE( CONTROL!$C$15, $D$11, 100%, $F$11)</f>
        <v>6.4264999999999999</v>
      </c>
      <c r="F231" s="4">
        <f>7.4261 * CHOOSE(CONTROL!$C$15, $D$11, 100%, $F$11)</f>
        <v>7.4260999999999999</v>
      </c>
      <c r="G231" s="8">
        <f>6.2766 * CHOOSE( CONTROL!$C$15, $D$11, 100%, $F$11)</f>
        <v>6.2766000000000002</v>
      </c>
      <c r="H231" s="4">
        <f>7.1625 * CHOOSE(CONTROL!$C$15, $D$11, 100%, $F$11)</f>
        <v>7.1624999999999996</v>
      </c>
      <c r="I231" s="8">
        <f>6.2522 * CHOOSE(CONTROL!$C$15, $D$11, 100%, $F$11)</f>
        <v>6.2522000000000002</v>
      </c>
      <c r="J231" s="4">
        <f>6.1557 * CHOOSE(CONTROL!$C$15, $D$11, 100%, $F$11)</f>
        <v>6.1557000000000004</v>
      </c>
      <c r="K231" s="4"/>
      <c r="L231" s="9">
        <v>26.515499999999999</v>
      </c>
      <c r="M231" s="9">
        <v>11.6745</v>
      </c>
      <c r="N231" s="9">
        <v>4.7850000000000001</v>
      </c>
      <c r="O231" s="9">
        <v>0.36249999999999999</v>
      </c>
      <c r="P231" s="9">
        <v>1.2522</v>
      </c>
      <c r="Q231" s="9">
        <v>29.780999999999999</v>
      </c>
      <c r="R231" s="9"/>
      <c r="S231" s="11"/>
    </row>
    <row r="232" spans="1:19" ht="15.75">
      <c r="A232" s="13">
        <v>48914</v>
      </c>
      <c r="B232" s="8">
        <f>6.4176 * CHOOSE(CONTROL!$C$15, $D$11, 100%, $F$11)</f>
        <v>6.4176000000000002</v>
      </c>
      <c r="C232" s="8">
        <f>6.428 * CHOOSE(CONTROL!$C$15, $D$11, 100%, $F$11)</f>
        <v>6.4279999999999999</v>
      </c>
      <c r="D232" s="8">
        <f>6.4116 * CHOOSE( CONTROL!$C$15, $D$11, 100%, $F$11)</f>
        <v>6.4116</v>
      </c>
      <c r="E232" s="12">
        <f>6.4165 * CHOOSE( CONTROL!$C$15, $D$11, 100%, $F$11)</f>
        <v>6.4165000000000001</v>
      </c>
      <c r="F232" s="4">
        <f>7.4144 * CHOOSE(CONTROL!$C$15, $D$11, 100%, $F$11)</f>
        <v>7.4143999999999997</v>
      </c>
      <c r="G232" s="8">
        <f>6.2672 * CHOOSE( CONTROL!$C$15, $D$11, 100%, $F$11)</f>
        <v>6.2671999999999999</v>
      </c>
      <c r="H232" s="4">
        <f>7.1511 * CHOOSE(CONTROL!$C$15, $D$11, 100%, $F$11)</f>
        <v>7.1510999999999996</v>
      </c>
      <c r="I232" s="8">
        <f>6.2497 * CHOOSE(CONTROL!$C$15, $D$11, 100%, $F$11)</f>
        <v>6.2496999999999998</v>
      </c>
      <c r="J232" s="4">
        <f>6.1446 * CHOOSE(CONTROL!$C$15, $D$11, 100%, $F$11)</f>
        <v>6.1445999999999996</v>
      </c>
      <c r="K232" s="4"/>
      <c r="L232" s="9">
        <v>27.3993</v>
      </c>
      <c r="M232" s="9">
        <v>12.063700000000001</v>
      </c>
      <c r="N232" s="9">
        <v>4.9444999999999997</v>
      </c>
      <c r="O232" s="9">
        <v>0.37459999999999999</v>
      </c>
      <c r="P232" s="9">
        <v>1.2939000000000001</v>
      </c>
      <c r="Q232" s="9">
        <v>30.773700000000002</v>
      </c>
      <c r="R232" s="9"/>
      <c r="S232" s="11"/>
    </row>
    <row r="233" spans="1:19" ht="15.75">
      <c r="A233" s="13">
        <v>48945</v>
      </c>
      <c r="B233" s="8">
        <f>6.5807 * CHOOSE(CONTROL!$C$15, $D$11, 100%, $F$11)</f>
        <v>6.5807000000000002</v>
      </c>
      <c r="C233" s="8">
        <f>6.5912 * CHOOSE(CONTROL!$C$15, $D$11, 100%, $F$11)</f>
        <v>6.5911999999999997</v>
      </c>
      <c r="D233" s="8">
        <f>6.5898 * CHOOSE( CONTROL!$C$15, $D$11, 100%, $F$11)</f>
        <v>6.5898000000000003</v>
      </c>
      <c r="E233" s="12">
        <f>6.5892 * CHOOSE( CONTROL!$C$15, $D$11, 100%, $F$11)</f>
        <v>6.5891999999999999</v>
      </c>
      <c r="F233" s="4">
        <f>7.6037 * CHOOSE(CONTROL!$C$15, $D$11, 100%, $F$11)</f>
        <v>7.6036999999999999</v>
      </c>
      <c r="G233" s="8">
        <f>6.4431 * CHOOSE( CONTROL!$C$15, $D$11, 100%, $F$11)</f>
        <v>6.4431000000000003</v>
      </c>
      <c r="H233" s="4">
        <f>7.3356 * CHOOSE(CONTROL!$C$15, $D$11, 100%, $F$11)</f>
        <v>7.3356000000000003</v>
      </c>
      <c r="I233" s="8">
        <f>6.4127 * CHOOSE(CONTROL!$C$15, $D$11, 100%, $F$11)</f>
        <v>6.4127000000000001</v>
      </c>
      <c r="J233" s="4">
        <f>6.3009 * CHOOSE(CONTROL!$C$15, $D$11, 100%, $F$11)</f>
        <v>6.3009000000000004</v>
      </c>
      <c r="K233" s="4"/>
      <c r="L233" s="9">
        <v>27.3993</v>
      </c>
      <c r="M233" s="9">
        <v>12.063700000000001</v>
      </c>
      <c r="N233" s="9">
        <v>4.9444999999999997</v>
      </c>
      <c r="O233" s="9">
        <v>0.37459999999999999</v>
      </c>
      <c r="P233" s="9">
        <v>1.2939000000000001</v>
      </c>
      <c r="Q233" s="9">
        <v>30.7105</v>
      </c>
      <c r="R233" s="9"/>
      <c r="S233" s="11"/>
    </row>
    <row r="234" spans="1:19" ht="15.75">
      <c r="A234" s="13">
        <v>48976</v>
      </c>
      <c r="B234" s="8">
        <f>6.1556 * CHOOSE(CONTROL!$C$15, $D$11, 100%, $F$11)</f>
        <v>6.1555999999999997</v>
      </c>
      <c r="C234" s="8">
        <f>6.1661 * CHOOSE(CONTROL!$C$15, $D$11, 100%, $F$11)</f>
        <v>6.1661000000000001</v>
      </c>
      <c r="D234" s="8">
        <f>6.1669 * CHOOSE( CONTROL!$C$15, $D$11, 100%, $F$11)</f>
        <v>6.1669</v>
      </c>
      <c r="E234" s="12">
        <f>6.1655 * CHOOSE( CONTROL!$C$15, $D$11, 100%, $F$11)</f>
        <v>6.1654999999999998</v>
      </c>
      <c r="F234" s="4">
        <f>7.1707 * CHOOSE(CONTROL!$C$15, $D$11, 100%, $F$11)</f>
        <v>7.1707000000000001</v>
      </c>
      <c r="G234" s="8">
        <f>6.0285 * CHOOSE( CONTROL!$C$15, $D$11, 100%, $F$11)</f>
        <v>6.0285000000000002</v>
      </c>
      <c r="H234" s="4">
        <f>6.9136 * CHOOSE(CONTROL!$C$15, $D$11, 100%, $F$11)</f>
        <v>6.9135999999999997</v>
      </c>
      <c r="I234" s="8">
        <f>5.9942 * CHOOSE(CONTROL!$C$15, $D$11, 100%, $F$11)</f>
        <v>5.9942000000000002</v>
      </c>
      <c r="J234" s="4">
        <f>5.8936 * CHOOSE(CONTROL!$C$15, $D$11, 100%, $F$11)</f>
        <v>5.8936000000000002</v>
      </c>
      <c r="K234" s="4"/>
      <c r="L234" s="9">
        <v>24.747800000000002</v>
      </c>
      <c r="M234" s="9">
        <v>10.8962</v>
      </c>
      <c r="N234" s="9">
        <v>4.4660000000000002</v>
      </c>
      <c r="O234" s="9">
        <v>0.33829999999999999</v>
      </c>
      <c r="P234" s="9">
        <v>1.1687000000000001</v>
      </c>
      <c r="Q234" s="9">
        <v>27.738499999999998</v>
      </c>
      <c r="R234" s="9"/>
      <c r="S234" s="11"/>
    </row>
    <row r="235" spans="1:19" ht="15.75">
      <c r="A235" s="13">
        <v>49004</v>
      </c>
      <c r="B235" s="8">
        <f>6.0247 * CHOOSE(CONTROL!$C$15, $D$11, 100%, $F$11)</f>
        <v>6.0247000000000002</v>
      </c>
      <c r="C235" s="8">
        <f>6.0351 * CHOOSE(CONTROL!$C$15, $D$11, 100%, $F$11)</f>
        <v>6.0350999999999999</v>
      </c>
      <c r="D235" s="8">
        <f>6.0156 * CHOOSE( CONTROL!$C$15, $D$11, 100%, $F$11)</f>
        <v>6.0156000000000001</v>
      </c>
      <c r="E235" s="12">
        <f>6.0216 * CHOOSE( CONTROL!$C$15, $D$11, 100%, $F$11)</f>
        <v>6.0216000000000003</v>
      </c>
      <c r="F235" s="4">
        <f>7.0236 * CHOOSE(CONTROL!$C$15, $D$11, 100%, $F$11)</f>
        <v>7.0236000000000001</v>
      </c>
      <c r="G235" s="8">
        <f>5.8802 * CHOOSE( CONTROL!$C$15, $D$11, 100%, $F$11)</f>
        <v>5.8802000000000003</v>
      </c>
      <c r="H235" s="4">
        <f>6.7702 * CHOOSE(CONTROL!$C$15, $D$11, 100%, $F$11)</f>
        <v>6.7702</v>
      </c>
      <c r="I235" s="8">
        <f>5.8291 * CHOOSE(CONTROL!$C$15, $D$11, 100%, $F$11)</f>
        <v>5.8291000000000004</v>
      </c>
      <c r="J235" s="4">
        <f>5.7681 * CHOOSE(CONTROL!$C$15, $D$11, 100%, $F$11)</f>
        <v>5.7680999999999996</v>
      </c>
      <c r="K235" s="4"/>
      <c r="L235" s="9">
        <v>27.3993</v>
      </c>
      <c r="M235" s="9">
        <v>12.063700000000001</v>
      </c>
      <c r="N235" s="9">
        <v>4.9444999999999997</v>
      </c>
      <c r="O235" s="9">
        <v>0.37459999999999999</v>
      </c>
      <c r="P235" s="9">
        <v>1.2939000000000001</v>
      </c>
      <c r="Q235" s="9">
        <v>30.7105</v>
      </c>
      <c r="R235" s="9"/>
      <c r="S235" s="11"/>
    </row>
    <row r="236" spans="1:19" ht="15.75">
      <c r="A236" s="13">
        <v>49035</v>
      </c>
      <c r="B236" s="8">
        <f>6.1162 * CHOOSE(CONTROL!$C$15, $D$11, 100%, $F$11)</f>
        <v>6.1162000000000001</v>
      </c>
      <c r="C236" s="8">
        <f>6.1266 * CHOOSE(CONTROL!$C$15, $D$11, 100%, $F$11)</f>
        <v>6.1265999999999998</v>
      </c>
      <c r="D236" s="8">
        <f>6.1305 * CHOOSE( CONTROL!$C$15, $D$11, 100%, $F$11)</f>
        <v>6.1304999999999996</v>
      </c>
      <c r="E236" s="12">
        <f>6.128 * CHOOSE( CONTROL!$C$15, $D$11, 100%, $F$11)</f>
        <v>6.1280000000000001</v>
      </c>
      <c r="F236" s="4">
        <f>7.1234 * CHOOSE(CONTROL!$C$15, $D$11, 100%, $F$11)</f>
        <v>7.1234000000000002</v>
      </c>
      <c r="G236" s="8">
        <f>5.9573 * CHOOSE( CONTROL!$C$15, $D$11, 100%, $F$11)</f>
        <v>5.9573</v>
      </c>
      <c r="H236" s="4">
        <f>6.8675 * CHOOSE(CONTROL!$C$15, $D$11, 100%, $F$11)</f>
        <v>6.8674999999999997</v>
      </c>
      <c r="I236" s="8">
        <f>5.9069 * CHOOSE(CONTROL!$C$15, $D$11, 100%, $F$11)</f>
        <v>5.9069000000000003</v>
      </c>
      <c r="J236" s="4">
        <f>5.8558 * CHOOSE(CONTROL!$C$15, $D$11, 100%, $F$11)</f>
        <v>5.8558000000000003</v>
      </c>
      <c r="K236" s="4"/>
      <c r="L236" s="9">
        <v>27.988800000000001</v>
      </c>
      <c r="M236" s="9">
        <v>11.6745</v>
      </c>
      <c r="N236" s="9">
        <v>4.7850000000000001</v>
      </c>
      <c r="O236" s="9">
        <v>0.36249999999999999</v>
      </c>
      <c r="P236" s="9">
        <v>1.1798</v>
      </c>
      <c r="Q236" s="9">
        <v>29.719799999999999</v>
      </c>
      <c r="R236" s="9"/>
      <c r="S236" s="11"/>
    </row>
    <row r="237" spans="1:19" ht="15.75">
      <c r="A237" s="13">
        <v>49065</v>
      </c>
      <c r="B237" s="8">
        <f>CHOOSE( CONTROL!$C$32, 6.284, 6.279) * CHOOSE(CONTROL!$C$15, $D$11, 100%, $F$11)</f>
        <v>6.2839999999999998</v>
      </c>
      <c r="C237" s="8">
        <f>CHOOSE( CONTROL!$C$32, 6.2944, 6.2895) * CHOOSE(CONTROL!$C$15, $D$11, 100%, $F$11)</f>
        <v>6.2944000000000004</v>
      </c>
      <c r="D237" s="8">
        <f>CHOOSE( CONTROL!$C$32, 6.273, 6.2681) * CHOOSE( CONTROL!$C$15, $D$11, 100%, $F$11)</f>
        <v>6.2729999999999997</v>
      </c>
      <c r="E237" s="12">
        <f>CHOOSE( CONTROL!$C$32, 6.2792, 6.2743) * CHOOSE( CONTROL!$C$15, $D$11, 100%, $F$11)</f>
        <v>6.2792000000000003</v>
      </c>
      <c r="F237" s="4">
        <f>CHOOSE( CONTROL!$C$32, 7.2589, 7.2539) * CHOOSE(CONTROL!$C$15, $D$11, 100%, $F$11)</f>
        <v>7.2588999999999997</v>
      </c>
      <c r="G237" s="8">
        <f>CHOOSE( CONTROL!$C$32, 6.1023, 6.0974) * CHOOSE( CONTROL!$C$15, $D$11, 100%, $F$11)</f>
        <v>6.1022999999999996</v>
      </c>
      <c r="H237" s="4">
        <f>CHOOSE( CONTROL!$C$32, 6.9995, 6.9947) * CHOOSE(CONTROL!$C$15, $D$11, 100%, $F$11)</f>
        <v>6.9995000000000003</v>
      </c>
      <c r="I237" s="8">
        <f>CHOOSE( CONTROL!$C$32, 6.0462, 6.0415) * CHOOSE(CONTROL!$C$15, $D$11, 100%, $F$11)</f>
        <v>6.0461999999999998</v>
      </c>
      <c r="J237" s="4">
        <f>CHOOSE( CONTROL!$C$32, 6.0165, 6.0118) * CHOOSE(CONTROL!$C$15, $D$11, 100%, $F$11)</f>
        <v>6.0164999999999997</v>
      </c>
      <c r="K237" s="4"/>
      <c r="L237" s="9">
        <v>29.520499999999998</v>
      </c>
      <c r="M237" s="9">
        <v>12.063700000000001</v>
      </c>
      <c r="N237" s="9">
        <v>4.9444999999999997</v>
      </c>
      <c r="O237" s="9">
        <v>0.37459999999999999</v>
      </c>
      <c r="P237" s="9">
        <v>1.2192000000000001</v>
      </c>
      <c r="Q237" s="9">
        <v>30.7105</v>
      </c>
      <c r="R237" s="9"/>
      <c r="S237" s="11"/>
    </row>
    <row r="238" spans="1:19" ht="15.75">
      <c r="A238" s="13">
        <v>49096</v>
      </c>
      <c r="B238" s="8">
        <f>CHOOSE( CONTROL!$C$32, 6.1831, 6.1782) * CHOOSE(CONTROL!$C$15, $D$11, 100%, $F$11)</f>
        <v>6.1830999999999996</v>
      </c>
      <c r="C238" s="8">
        <f>CHOOSE( CONTROL!$C$32, 6.1935, 6.1886) * CHOOSE(CONTROL!$C$15, $D$11, 100%, $F$11)</f>
        <v>6.1935000000000002</v>
      </c>
      <c r="D238" s="8">
        <f>CHOOSE( CONTROL!$C$32, 6.1856, 6.1807) * CHOOSE( CONTROL!$C$15, $D$11, 100%, $F$11)</f>
        <v>6.1856</v>
      </c>
      <c r="E238" s="12">
        <f>CHOOSE( CONTROL!$C$32, 6.1869, 6.182) * CHOOSE( CONTROL!$C$15, $D$11, 100%, $F$11)</f>
        <v>6.1868999999999996</v>
      </c>
      <c r="F238" s="4">
        <f>CHOOSE( CONTROL!$C$32, 7.1773, 7.1724) * CHOOSE(CONTROL!$C$15, $D$11, 100%, $F$11)</f>
        <v>7.1772999999999998</v>
      </c>
      <c r="G238" s="8">
        <f>CHOOSE( CONTROL!$C$32, 6.0144, 6.0095) * CHOOSE( CONTROL!$C$15, $D$11, 100%, $F$11)</f>
        <v>6.0144000000000002</v>
      </c>
      <c r="H238" s="4">
        <f>CHOOSE( CONTROL!$C$32, 6.92, 6.9152) * CHOOSE(CONTROL!$C$15, $D$11, 100%, $F$11)</f>
        <v>6.92</v>
      </c>
      <c r="I238" s="8">
        <f>CHOOSE( CONTROL!$C$32, 5.9674, 5.9626) * CHOOSE(CONTROL!$C$15, $D$11, 100%, $F$11)</f>
        <v>5.9673999999999996</v>
      </c>
      <c r="J238" s="4">
        <f>CHOOSE( CONTROL!$C$32, 5.9199, 5.9152) * CHOOSE(CONTROL!$C$15, $D$11, 100%, $F$11)</f>
        <v>5.9199000000000002</v>
      </c>
      <c r="K238" s="4"/>
      <c r="L238" s="9">
        <v>28.568200000000001</v>
      </c>
      <c r="M238" s="9">
        <v>11.6745</v>
      </c>
      <c r="N238" s="9">
        <v>4.7850000000000001</v>
      </c>
      <c r="O238" s="9">
        <v>0.36249999999999999</v>
      </c>
      <c r="P238" s="9">
        <v>1.1798</v>
      </c>
      <c r="Q238" s="9">
        <v>29.719799999999999</v>
      </c>
      <c r="R238" s="9"/>
      <c r="S238" s="11"/>
    </row>
    <row r="239" spans="1:19" ht="15.75">
      <c r="A239" s="13">
        <v>49126</v>
      </c>
      <c r="B239" s="8">
        <f>CHOOSE( CONTROL!$C$32, 6.4487, 6.4438) * CHOOSE(CONTROL!$C$15, $D$11, 100%, $F$11)</f>
        <v>6.4486999999999997</v>
      </c>
      <c r="C239" s="8">
        <f>CHOOSE( CONTROL!$C$32, 6.4592, 6.4542) * CHOOSE(CONTROL!$C$15, $D$11, 100%, $F$11)</f>
        <v>6.4592000000000001</v>
      </c>
      <c r="D239" s="8">
        <f>CHOOSE( CONTROL!$C$32, 6.4582, 6.4532) * CHOOSE( CONTROL!$C$15, $D$11, 100%, $F$11)</f>
        <v>6.4581999999999997</v>
      </c>
      <c r="E239" s="12">
        <f>CHOOSE( CONTROL!$C$32, 6.457, 6.452) * CHOOSE( CONTROL!$C$15, $D$11, 100%, $F$11)</f>
        <v>6.4569999999999999</v>
      </c>
      <c r="F239" s="4">
        <f>CHOOSE( CONTROL!$C$32, 7.4534, 7.4484) * CHOOSE(CONTROL!$C$15, $D$11, 100%, $F$11)</f>
        <v>7.4534000000000002</v>
      </c>
      <c r="G239" s="8">
        <f>CHOOSE( CONTROL!$C$32, 6.2774, 6.2726) * CHOOSE( CONTROL!$C$15, $D$11, 100%, $F$11)</f>
        <v>6.2774000000000001</v>
      </c>
      <c r="H239" s="4">
        <f>CHOOSE( CONTROL!$C$32, 7.1891, 7.1843) * CHOOSE(CONTROL!$C$15, $D$11, 100%, $F$11)</f>
        <v>7.1890999999999998</v>
      </c>
      <c r="I239" s="8">
        <f>CHOOSE( CONTROL!$C$32, 6.2297, 6.2249) * CHOOSE(CONTROL!$C$15, $D$11, 100%, $F$11)</f>
        <v>6.2297000000000002</v>
      </c>
      <c r="J239" s="4">
        <f>CHOOSE( CONTROL!$C$32, 6.1744, 6.1697) * CHOOSE(CONTROL!$C$15, $D$11, 100%, $F$11)</f>
        <v>6.1744000000000003</v>
      </c>
      <c r="K239" s="4"/>
      <c r="L239" s="9">
        <v>29.520499999999998</v>
      </c>
      <c r="M239" s="9">
        <v>12.063700000000001</v>
      </c>
      <c r="N239" s="9">
        <v>4.9444999999999997</v>
      </c>
      <c r="O239" s="9">
        <v>0.37459999999999999</v>
      </c>
      <c r="P239" s="9">
        <v>1.2192000000000001</v>
      </c>
      <c r="Q239" s="9">
        <v>30.7105</v>
      </c>
      <c r="R239" s="9"/>
      <c r="S239" s="11"/>
    </row>
    <row r="240" spans="1:19" ht="15.75">
      <c r="A240" s="13">
        <v>49157</v>
      </c>
      <c r="B240" s="8">
        <f>CHOOSE( CONTROL!$C$32, 5.9517, 5.9468) * CHOOSE(CONTROL!$C$15, $D$11, 100%, $F$11)</f>
        <v>5.9516999999999998</v>
      </c>
      <c r="C240" s="8">
        <f>CHOOSE( CONTROL!$C$32, 5.9621, 5.9572) * CHOOSE(CONTROL!$C$15, $D$11, 100%, $F$11)</f>
        <v>5.9621000000000004</v>
      </c>
      <c r="D240" s="8">
        <f>CHOOSE( CONTROL!$C$32, 5.9623, 5.9574) * CHOOSE( CONTROL!$C$15, $D$11, 100%, $F$11)</f>
        <v>5.9622999999999999</v>
      </c>
      <c r="E240" s="12">
        <f>CHOOSE( CONTROL!$C$32, 5.9606, 5.9557) * CHOOSE( CONTROL!$C$15, $D$11, 100%, $F$11)</f>
        <v>5.9606000000000003</v>
      </c>
      <c r="F240" s="4">
        <f>CHOOSE( CONTROL!$C$32, 6.9642, 6.9592) * CHOOSE(CONTROL!$C$15, $D$11, 100%, $F$11)</f>
        <v>6.9641999999999999</v>
      </c>
      <c r="G240" s="8">
        <f>CHOOSE( CONTROL!$C$32, 5.7881, 5.7833) * CHOOSE( CONTROL!$C$15, $D$11, 100%, $F$11)</f>
        <v>5.7881</v>
      </c>
      <c r="H240" s="4">
        <f>CHOOSE( CONTROL!$C$32, 6.7122, 6.7074) * CHOOSE(CONTROL!$C$15, $D$11, 100%, $F$11)</f>
        <v>6.7122000000000002</v>
      </c>
      <c r="I240" s="8">
        <f>CHOOSE( CONTROL!$C$32, 5.7441, 5.7394) * CHOOSE(CONTROL!$C$15, $D$11, 100%, $F$11)</f>
        <v>5.7441000000000004</v>
      </c>
      <c r="J240" s="4">
        <f>CHOOSE( CONTROL!$C$32, 5.6982, 5.6934) * CHOOSE(CONTROL!$C$15, $D$11, 100%, $F$11)</f>
        <v>5.6981999999999999</v>
      </c>
      <c r="K240" s="4"/>
      <c r="L240" s="9">
        <v>29.520499999999998</v>
      </c>
      <c r="M240" s="9">
        <v>12.063700000000001</v>
      </c>
      <c r="N240" s="9">
        <v>4.9444999999999997</v>
      </c>
      <c r="O240" s="9">
        <v>0.37459999999999999</v>
      </c>
      <c r="P240" s="9">
        <v>1.2192000000000001</v>
      </c>
      <c r="Q240" s="9">
        <v>30.7105</v>
      </c>
      <c r="R240" s="9"/>
      <c r="S240" s="11"/>
    </row>
    <row r="241" spans="1:19" ht="15.75">
      <c r="A241" s="13">
        <v>49188</v>
      </c>
      <c r="B241" s="8">
        <f>CHOOSE( CONTROL!$C$32, 5.8272, 5.8223) * CHOOSE(CONTROL!$C$15, $D$11, 100%, $F$11)</f>
        <v>5.8272000000000004</v>
      </c>
      <c r="C241" s="8">
        <f>CHOOSE( CONTROL!$C$32, 5.8377, 5.8327) * CHOOSE(CONTROL!$C$15, $D$11, 100%, $F$11)</f>
        <v>5.8376999999999999</v>
      </c>
      <c r="D241" s="8">
        <f>CHOOSE( CONTROL!$C$32, 5.8381, 5.8332) * CHOOSE( CONTROL!$C$15, $D$11, 100%, $F$11)</f>
        <v>5.8380999999999998</v>
      </c>
      <c r="E241" s="12">
        <f>CHOOSE( CONTROL!$C$32, 5.8364, 5.8314) * CHOOSE( CONTROL!$C$15, $D$11, 100%, $F$11)</f>
        <v>5.8364000000000003</v>
      </c>
      <c r="F241" s="4">
        <f>CHOOSE( CONTROL!$C$32, 6.8397, 6.8348) * CHOOSE(CONTROL!$C$15, $D$11, 100%, $F$11)</f>
        <v>6.8396999999999997</v>
      </c>
      <c r="G241" s="8">
        <f>CHOOSE( CONTROL!$C$32, 5.6672, 5.6623) * CHOOSE( CONTROL!$C$15, $D$11, 100%, $F$11)</f>
        <v>5.6672000000000002</v>
      </c>
      <c r="H241" s="4">
        <f>CHOOSE( CONTROL!$C$32, 6.5909, 6.5861) * CHOOSE(CONTROL!$C$15, $D$11, 100%, $F$11)</f>
        <v>6.5909000000000004</v>
      </c>
      <c r="I241" s="8">
        <f>CHOOSE( CONTROL!$C$32, 5.6262, 5.6215) * CHOOSE(CONTROL!$C$15, $D$11, 100%, $F$11)</f>
        <v>5.6261999999999999</v>
      </c>
      <c r="J241" s="4">
        <f>CHOOSE( CONTROL!$C$32, 5.5789, 5.5742) * CHOOSE(CONTROL!$C$15, $D$11, 100%, $F$11)</f>
        <v>5.5789</v>
      </c>
      <c r="K241" s="4"/>
      <c r="L241" s="9">
        <v>28.568200000000001</v>
      </c>
      <c r="M241" s="9">
        <v>11.6745</v>
      </c>
      <c r="N241" s="9">
        <v>4.7850000000000001</v>
      </c>
      <c r="O241" s="9">
        <v>0.36249999999999999</v>
      </c>
      <c r="P241" s="9">
        <v>1.1798</v>
      </c>
      <c r="Q241" s="9">
        <v>29.719799999999999</v>
      </c>
      <c r="R241" s="9"/>
      <c r="S241" s="11"/>
    </row>
    <row r="242" spans="1:19" ht="15.75">
      <c r="A242" s="13">
        <v>49218</v>
      </c>
      <c r="B242" s="8">
        <f>6.0807 * CHOOSE(CONTROL!$C$15, $D$11, 100%, $F$11)</f>
        <v>6.0807000000000002</v>
      </c>
      <c r="C242" s="8">
        <f>6.0912 * CHOOSE(CONTROL!$C$15, $D$11, 100%, $F$11)</f>
        <v>6.0911999999999997</v>
      </c>
      <c r="D242" s="8">
        <f>6.0928 * CHOOSE( CONTROL!$C$15, $D$11, 100%, $F$11)</f>
        <v>6.0928000000000004</v>
      </c>
      <c r="E242" s="12">
        <f>6.0912 * CHOOSE( CONTROL!$C$15, $D$11, 100%, $F$11)</f>
        <v>6.0911999999999997</v>
      </c>
      <c r="F242" s="4">
        <f>7.0932 * CHOOSE(CONTROL!$C$15, $D$11, 100%, $F$11)</f>
        <v>7.0932000000000004</v>
      </c>
      <c r="G242" s="8">
        <f>5.9139 * CHOOSE( CONTROL!$C$15, $D$11, 100%, $F$11)</f>
        <v>5.9138999999999999</v>
      </c>
      <c r="H242" s="4">
        <f>6.838 * CHOOSE(CONTROL!$C$15, $D$11, 100%, $F$11)</f>
        <v>6.8380000000000001</v>
      </c>
      <c r="I242" s="8">
        <f>5.8715 * CHOOSE(CONTROL!$C$15, $D$11, 100%, $F$11)</f>
        <v>5.8715000000000002</v>
      </c>
      <c r="J242" s="4">
        <f>5.8218 * CHOOSE(CONTROL!$C$15, $D$11, 100%, $F$11)</f>
        <v>5.8217999999999996</v>
      </c>
      <c r="K242" s="4"/>
      <c r="L242" s="9">
        <v>28.921800000000001</v>
      </c>
      <c r="M242" s="9">
        <v>12.063700000000001</v>
      </c>
      <c r="N242" s="9">
        <v>4.9444999999999997</v>
      </c>
      <c r="O242" s="9">
        <v>0.37459999999999999</v>
      </c>
      <c r="P242" s="9">
        <v>1.2192000000000001</v>
      </c>
      <c r="Q242" s="9">
        <v>30.7105</v>
      </c>
      <c r="R242" s="9"/>
      <c r="S242" s="11"/>
    </row>
    <row r="243" spans="1:19" ht="15.75">
      <c r="A243" s="13">
        <v>49249</v>
      </c>
      <c r="B243" s="8">
        <f>6.5577 * CHOOSE(CONTROL!$C$15, $D$11, 100%, $F$11)</f>
        <v>6.5576999999999996</v>
      </c>
      <c r="C243" s="8">
        <f>6.5682 * CHOOSE(CONTROL!$C$15, $D$11, 100%, $F$11)</f>
        <v>6.5682</v>
      </c>
      <c r="D243" s="8">
        <f>6.5492 * CHOOSE( CONTROL!$C$15, $D$11, 100%, $F$11)</f>
        <v>6.5491999999999999</v>
      </c>
      <c r="E243" s="12">
        <f>6.555 * CHOOSE( CONTROL!$C$15, $D$11, 100%, $F$11)</f>
        <v>6.5549999999999997</v>
      </c>
      <c r="F243" s="4">
        <f>7.5545 * CHOOSE(CONTROL!$C$15, $D$11, 100%, $F$11)</f>
        <v>7.5545</v>
      </c>
      <c r="G243" s="8">
        <f>6.4018 * CHOOSE( CONTROL!$C$15, $D$11, 100%, $F$11)</f>
        <v>6.4017999999999997</v>
      </c>
      <c r="H243" s="4">
        <f>7.2877 * CHOOSE(CONTROL!$C$15, $D$11, 100%, $F$11)</f>
        <v>7.2877000000000001</v>
      </c>
      <c r="I243" s="8">
        <f>6.3753 * CHOOSE(CONTROL!$C$15, $D$11, 100%, $F$11)</f>
        <v>6.3753000000000002</v>
      </c>
      <c r="J243" s="4">
        <f>6.2789 * CHOOSE(CONTROL!$C$15, $D$11, 100%, $F$11)</f>
        <v>6.2789000000000001</v>
      </c>
      <c r="K243" s="4"/>
      <c r="L243" s="9">
        <v>26.515499999999999</v>
      </c>
      <c r="M243" s="9">
        <v>11.6745</v>
      </c>
      <c r="N243" s="9">
        <v>4.7850000000000001</v>
      </c>
      <c r="O243" s="9">
        <v>0.36249999999999999</v>
      </c>
      <c r="P243" s="9">
        <v>1.2522</v>
      </c>
      <c r="Q243" s="9">
        <v>29.719799999999999</v>
      </c>
      <c r="R243" s="9"/>
      <c r="S243" s="11"/>
    </row>
    <row r="244" spans="1:19" ht="15.75">
      <c r="A244" s="13">
        <v>49279</v>
      </c>
      <c r="B244" s="8">
        <f>6.5458 * CHOOSE(CONTROL!$C$15, $D$11, 100%, $F$11)</f>
        <v>6.5457999999999998</v>
      </c>
      <c r="C244" s="8">
        <f>6.5562 * CHOOSE(CONTROL!$C$15, $D$11, 100%, $F$11)</f>
        <v>6.5561999999999996</v>
      </c>
      <c r="D244" s="8">
        <f>6.5399 * CHOOSE( CONTROL!$C$15, $D$11, 100%, $F$11)</f>
        <v>6.5399000000000003</v>
      </c>
      <c r="E244" s="12">
        <f>6.5448 * CHOOSE( CONTROL!$C$15, $D$11, 100%, $F$11)</f>
        <v>6.5448000000000004</v>
      </c>
      <c r="F244" s="4">
        <f>7.5426 * CHOOSE(CONTROL!$C$15, $D$11, 100%, $F$11)</f>
        <v>7.5426000000000002</v>
      </c>
      <c r="G244" s="8">
        <f>6.3922 * CHOOSE( CONTROL!$C$15, $D$11, 100%, $F$11)</f>
        <v>6.3921999999999999</v>
      </c>
      <c r="H244" s="4">
        <f>7.2761 * CHOOSE(CONTROL!$C$15, $D$11, 100%, $F$11)</f>
        <v>7.2760999999999996</v>
      </c>
      <c r="I244" s="8">
        <f>6.3727 * CHOOSE(CONTROL!$C$15, $D$11, 100%, $F$11)</f>
        <v>6.3727</v>
      </c>
      <c r="J244" s="4">
        <f>6.2674 * CHOOSE(CONTROL!$C$15, $D$11, 100%, $F$11)</f>
        <v>6.2674000000000003</v>
      </c>
      <c r="K244" s="4"/>
      <c r="L244" s="9">
        <v>27.3993</v>
      </c>
      <c r="M244" s="9">
        <v>12.063700000000001</v>
      </c>
      <c r="N244" s="9">
        <v>4.9444999999999997</v>
      </c>
      <c r="O244" s="9">
        <v>0.37459999999999999</v>
      </c>
      <c r="P244" s="9">
        <v>1.2939000000000001</v>
      </c>
      <c r="Q244" s="9">
        <v>30.7105</v>
      </c>
      <c r="R244" s="9"/>
      <c r="S244" s="11"/>
    </row>
    <row r="245" spans="1:19" ht="15.75">
      <c r="A245" s="13">
        <v>49310</v>
      </c>
      <c r="B245" s="8">
        <f>6.7123 * CHOOSE(CONTROL!$C$15, $D$11, 100%, $F$11)</f>
        <v>6.7122999999999999</v>
      </c>
      <c r="C245" s="8">
        <f>6.7227 * CHOOSE(CONTROL!$C$15, $D$11, 100%, $F$11)</f>
        <v>6.7226999999999997</v>
      </c>
      <c r="D245" s="8">
        <f>6.7213 * CHOOSE( CONTROL!$C$15, $D$11, 100%, $F$11)</f>
        <v>6.7213000000000003</v>
      </c>
      <c r="E245" s="12">
        <f>6.7207 * CHOOSE( CONTROL!$C$15, $D$11, 100%, $F$11)</f>
        <v>6.7206999999999999</v>
      </c>
      <c r="F245" s="4">
        <f>7.7352 * CHOOSE(CONTROL!$C$15, $D$11, 100%, $F$11)</f>
        <v>7.7351999999999999</v>
      </c>
      <c r="G245" s="8">
        <f>6.5713 * CHOOSE( CONTROL!$C$15, $D$11, 100%, $F$11)</f>
        <v>6.5712999999999999</v>
      </c>
      <c r="H245" s="4">
        <f>7.4638 * CHOOSE(CONTROL!$C$15, $D$11, 100%, $F$11)</f>
        <v>7.4638</v>
      </c>
      <c r="I245" s="8">
        <f>6.5387 * CHOOSE(CONTROL!$C$15, $D$11, 100%, $F$11)</f>
        <v>6.5387000000000004</v>
      </c>
      <c r="J245" s="4">
        <f>6.4269 * CHOOSE(CONTROL!$C$15, $D$11, 100%, $F$11)</f>
        <v>6.4268999999999998</v>
      </c>
      <c r="K245" s="4"/>
      <c r="L245" s="9">
        <v>27.3993</v>
      </c>
      <c r="M245" s="9">
        <v>12.063700000000001</v>
      </c>
      <c r="N245" s="9">
        <v>4.9444999999999997</v>
      </c>
      <c r="O245" s="9">
        <v>0.37459999999999999</v>
      </c>
      <c r="P245" s="9">
        <v>1.2939000000000001</v>
      </c>
      <c r="Q245" s="9">
        <v>30.645399999999999</v>
      </c>
      <c r="R245" s="9"/>
      <c r="S245" s="11"/>
    </row>
    <row r="246" spans="1:19" ht="15.75">
      <c r="A246" s="13">
        <v>49341</v>
      </c>
      <c r="B246" s="8">
        <f>6.2786 * CHOOSE(CONTROL!$C$15, $D$11, 100%, $F$11)</f>
        <v>6.2786</v>
      </c>
      <c r="C246" s="8">
        <f>6.2891 * CHOOSE(CONTROL!$C$15, $D$11, 100%, $F$11)</f>
        <v>6.2891000000000004</v>
      </c>
      <c r="D246" s="8">
        <f>6.2899 * CHOOSE( CONTROL!$C$15, $D$11, 100%, $F$11)</f>
        <v>6.2899000000000003</v>
      </c>
      <c r="E246" s="12">
        <f>6.2885 * CHOOSE( CONTROL!$C$15, $D$11, 100%, $F$11)</f>
        <v>6.2885</v>
      </c>
      <c r="F246" s="4">
        <f>7.2937 * CHOOSE(CONTROL!$C$15, $D$11, 100%, $F$11)</f>
        <v>7.2937000000000003</v>
      </c>
      <c r="G246" s="8">
        <f>6.1484 * CHOOSE( CONTROL!$C$15, $D$11, 100%, $F$11)</f>
        <v>6.1483999999999996</v>
      </c>
      <c r="H246" s="4">
        <f>7.0335 * CHOOSE(CONTROL!$C$15, $D$11, 100%, $F$11)</f>
        <v>7.0335000000000001</v>
      </c>
      <c r="I246" s="8">
        <f>6.1121 * CHOOSE(CONTROL!$C$15, $D$11, 100%, $F$11)</f>
        <v>6.1120999999999999</v>
      </c>
      <c r="J246" s="4">
        <f>6.0114 * CHOOSE(CONTROL!$C$15, $D$11, 100%, $F$11)</f>
        <v>6.0114000000000001</v>
      </c>
      <c r="K246" s="4"/>
      <c r="L246" s="9">
        <v>24.747800000000002</v>
      </c>
      <c r="M246" s="9">
        <v>10.8962</v>
      </c>
      <c r="N246" s="9">
        <v>4.4660000000000002</v>
      </c>
      <c r="O246" s="9">
        <v>0.33829999999999999</v>
      </c>
      <c r="P246" s="9">
        <v>1.1687000000000001</v>
      </c>
      <c r="Q246" s="9">
        <v>27.6797</v>
      </c>
      <c r="R246" s="9"/>
      <c r="S246" s="11"/>
    </row>
    <row r="247" spans="1:19" ht="15.75">
      <c r="A247" s="13">
        <v>49369</v>
      </c>
      <c r="B247" s="8">
        <f>6.1451 * CHOOSE(CONTROL!$C$15, $D$11, 100%, $F$11)</f>
        <v>6.1451000000000002</v>
      </c>
      <c r="C247" s="8">
        <f>6.1555 * CHOOSE(CONTROL!$C$15, $D$11, 100%, $F$11)</f>
        <v>6.1555</v>
      </c>
      <c r="D247" s="8">
        <f>6.136 * CHOOSE( CONTROL!$C$15, $D$11, 100%, $F$11)</f>
        <v>6.1360000000000001</v>
      </c>
      <c r="E247" s="12">
        <f>6.142 * CHOOSE( CONTROL!$C$15, $D$11, 100%, $F$11)</f>
        <v>6.1420000000000003</v>
      </c>
      <c r="F247" s="4">
        <f>7.144 * CHOOSE(CONTROL!$C$15, $D$11, 100%, $F$11)</f>
        <v>7.1440000000000001</v>
      </c>
      <c r="G247" s="8">
        <f>5.9975 * CHOOSE( CONTROL!$C$15, $D$11, 100%, $F$11)</f>
        <v>5.9974999999999996</v>
      </c>
      <c r="H247" s="4">
        <f>6.8875 * CHOOSE(CONTROL!$C$15, $D$11, 100%, $F$11)</f>
        <v>6.8875000000000002</v>
      </c>
      <c r="I247" s="8">
        <f>5.9446 * CHOOSE(CONTROL!$C$15, $D$11, 100%, $F$11)</f>
        <v>5.9446000000000003</v>
      </c>
      <c r="J247" s="4">
        <f>5.8835 * CHOOSE(CONTROL!$C$15, $D$11, 100%, $F$11)</f>
        <v>5.8834999999999997</v>
      </c>
      <c r="K247" s="4"/>
      <c r="L247" s="9">
        <v>27.3993</v>
      </c>
      <c r="M247" s="9">
        <v>12.063700000000001</v>
      </c>
      <c r="N247" s="9">
        <v>4.9444999999999997</v>
      </c>
      <c r="O247" s="9">
        <v>0.37459999999999999</v>
      </c>
      <c r="P247" s="9">
        <v>1.2939000000000001</v>
      </c>
      <c r="Q247" s="9">
        <v>30.645399999999999</v>
      </c>
      <c r="R247" s="9"/>
      <c r="S247" s="11"/>
    </row>
    <row r="248" spans="1:19" ht="15.75">
      <c r="A248" s="13">
        <v>49400</v>
      </c>
      <c r="B248" s="8">
        <f>6.2384 * CHOOSE(CONTROL!$C$15, $D$11, 100%, $F$11)</f>
        <v>6.2384000000000004</v>
      </c>
      <c r="C248" s="8">
        <f>6.2489 * CHOOSE(CONTROL!$C$15, $D$11, 100%, $F$11)</f>
        <v>6.2488999999999999</v>
      </c>
      <c r="D248" s="8">
        <f>6.2527 * CHOOSE( CONTROL!$C$15, $D$11, 100%, $F$11)</f>
        <v>6.2526999999999999</v>
      </c>
      <c r="E248" s="12">
        <f>6.2502 * CHOOSE( CONTROL!$C$15, $D$11, 100%, $F$11)</f>
        <v>6.2502000000000004</v>
      </c>
      <c r="F248" s="4">
        <f>7.2457 * CHOOSE(CONTROL!$C$15, $D$11, 100%, $F$11)</f>
        <v>7.2457000000000003</v>
      </c>
      <c r="G248" s="8">
        <f>6.0765 * CHOOSE( CONTROL!$C$15, $D$11, 100%, $F$11)</f>
        <v>6.0765000000000002</v>
      </c>
      <c r="H248" s="4">
        <f>6.9866 * CHOOSE(CONTROL!$C$15, $D$11, 100%, $F$11)</f>
        <v>6.9866000000000001</v>
      </c>
      <c r="I248" s="8">
        <f>6.0241 * CHOOSE(CONTROL!$C$15, $D$11, 100%, $F$11)</f>
        <v>6.0240999999999998</v>
      </c>
      <c r="J248" s="4">
        <f>5.9729 * CHOOSE(CONTROL!$C$15, $D$11, 100%, $F$11)</f>
        <v>5.9729000000000001</v>
      </c>
      <c r="K248" s="4"/>
      <c r="L248" s="9">
        <v>27.988800000000001</v>
      </c>
      <c r="M248" s="9">
        <v>11.6745</v>
      </c>
      <c r="N248" s="9">
        <v>4.7850000000000001</v>
      </c>
      <c r="O248" s="9">
        <v>0.36249999999999999</v>
      </c>
      <c r="P248" s="9">
        <v>1.1798</v>
      </c>
      <c r="Q248" s="9">
        <v>29.6568</v>
      </c>
      <c r="R248" s="9"/>
      <c r="S248" s="11"/>
    </row>
    <row r="249" spans="1:19" ht="15.75">
      <c r="A249" s="13">
        <v>49430</v>
      </c>
      <c r="B249" s="8">
        <f>CHOOSE( CONTROL!$C$32, 6.4094, 6.4045) * CHOOSE(CONTROL!$C$15, $D$11, 100%, $F$11)</f>
        <v>6.4093999999999998</v>
      </c>
      <c r="C249" s="8">
        <f>CHOOSE( CONTROL!$C$32, 6.4199, 6.4149) * CHOOSE(CONTROL!$C$15, $D$11, 100%, $F$11)</f>
        <v>6.4199000000000002</v>
      </c>
      <c r="D249" s="8">
        <f>CHOOSE( CONTROL!$C$32, 6.3985, 6.3936) * CHOOSE( CONTROL!$C$15, $D$11, 100%, $F$11)</f>
        <v>6.3985000000000003</v>
      </c>
      <c r="E249" s="12">
        <f>CHOOSE( CONTROL!$C$32, 6.4047, 6.3997) * CHOOSE( CONTROL!$C$15, $D$11, 100%, $F$11)</f>
        <v>6.4047000000000001</v>
      </c>
      <c r="F249" s="4">
        <f>CHOOSE( CONTROL!$C$32, 7.3843, 7.3794) * CHOOSE(CONTROL!$C$15, $D$11, 100%, $F$11)</f>
        <v>7.3842999999999996</v>
      </c>
      <c r="G249" s="8">
        <f>CHOOSE( CONTROL!$C$32, 6.2246, 6.2198) * CHOOSE( CONTROL!$C$15, $D$11, 100%, $F$11)</f>
        <v>6.2245999999999997</v>
      </c>
      <c r="H249" s="4">
        <f>CHOOSE( CONTROL!$C$32, 7.1218, 7.117) * CHOOSE(CONTROL!$C$15, $D$11, 100%, $F$11)</f>
        <v>7.1218000000000004</v>
      </c>
      <c r="I249" s="8">
        <f>CHOOSE( CONTROL!$C$32, 6.1665, 6.1618) * CHOOSE(CONTROL!$C$15, $D$11, 100%, $F$11)</f>
        <v>6.1665000000000001</v>
      </c>
      <c r="J249" s="4">
        <f>CHOOSE( CONTROL!$C$32, 6.1368, 6.132) * CHOOSE(CONTROL!$C$15, $D$11, 100%, $F$11)</f>
        <v>6.1368</v>
      </c>
      <c r="K249" s="4"/>
      <c r="L249" s="9">
        <v>29.520499999999998</v>
      </c>
      <c r="M249" s="9">
        <v>12.063700000000001</v>
      </c>
      <c r="N249" s="9">
        <v>4.9444999999999997</v>
      </c>
      <c r="O249" s="9">
        <v>0.37459999999999999</v>
      </c>
      <c r="P249" s="9">
        <v>1.2192000000000001</v>
      </c>
      <c r="Q249" s="9">
        <v>30.645399999999999</v>
      </c>
      <c r="R249" s="9"/>
      <c r="S249" s="11"/>
    </row>
    <row r="250" spans="1:19" ht="15.75">
      <c r="A250" s="14">
        <v>49461</v>
      </c>
      <c r="B250" s="8">
        <f>CHOOSE( CONTROL!$C$32, 6.3066, 6.3016) * CHOOSE(CONTROL!$C$15, $D$11, 100%, $F$11)</f>
        <v>6.3066000000000004</v>
      </c>
      <c r="C250" s="8">
        <f>CHOOSE( CONTROL!$C$32, 6.317, 6.3121) * CHOOSE(CONTROL!$C$15, $D$11, 100%, $F$11)</f>
        <v>6.3170000000000002</v>
      </c>
      <c r="D250" s="8">
        <f>CHOOSE( CONTROL!$C$32, 6.3091, 6.3042) * CHOOSE( CONTROL!$C$15, $D$11, 100%, $F$11)</f>
        <v>6.3090999999999999</v>
      </c>
      <c r="E250" s="12">
        <f>CHOOSE( CONTROL!$C$32, 6.3104, 6.3055) * CHOOSE( CONTROL!$C$15, $D$11, 100%, $F$11)</f>
        <v>6.3103999999999996</v>
      </c>
      <c r="F250" s="4">
        <f>CHOOSE( CONTROL!$C$32, 7.3008, 7.2958) * CHOOSE(CONTROL!$C$15, $D$11, 100%, $F$11)</f>
        <v>7.3007999999999997</v>
      </c>
      <c r="G250" s="8">
        <f>CHOOSE( CONTROL!$C$32, 6.1347, 6.1299) * CHOOSE( CONTROL!$C$15, $D$11, 100%, $F$11)</f>
        <v>6.1346999999999996</v>
      </c>
      <c r="H250" s="4">
        <f>CHOOSE( CONTROL!$C$32, 7.0403, 7.0355) * CHOOSE(CONTROL!$C$15, $D$11, 100%, $F$11)</f>
        <v>7.0403000000000002</v>
      </c>
      <c r="I250" s="8">
        <f>CHOOSE( CONTROL!$C$32, 6.0857, 6.081) * CHOOSE(CONTROL!$C$15, $D$11, 100%, $F$11)</f>
        <v>6.0857000000000001</v>
      </c>
      <c r="J250" s="4">
        <f>CHOOSE( CONTROL!$C$32, 6.0382, 6.0335) * CHOOSE(CONTROL!$C$15, $D$11, 100%, $F$11)</f>
        <v>6.0381999999999998</v>
      </c>
      <c r="K250" s="4"/>
      <c r="L250" s="9">
        <v>28.568200000000001</v>
      </c>
      <c r="M250" s="9">
        <v>11.6745</v>
      </c>
      <c r="N250" s="9">
        <v>4.7850000000000001</v>
      </c>
      <c r="O250" s="9">
        <v>0.36249999999999999</v>
      </c>
      <c r="P250" s="9">
        <v>1.1798</v>
      </c>
      <c r="Q250" s="9">
        <v>29.6568</v>
      </c>
      <c r="R250" s="9"/>
      <c r="S250" s="11"/>
    </row>
    <row r="251" spans="1:19" ht="15.75">
      <c r="A251" s="14">
        <v>49491</v>
      </c>
      <c r="B251" s="8">
        <f>CHOOSE( CONTROL!$C$32, 6.5775, 6.5726) * CHOOSE(CONTROL!$C$15, $D$11, 100%, $F$11)</f>
        <v>6.5774999999999997</v>
      </c>
      <c r="C251" s="8">
        <f>CHOOSE( CONTROL!$C$32, 6.5879, 6.583) * CHOOSE(CONTROL!$C$15, $D$11, 100%, $F$11)</f>
        <v>6.5879000000000003</v>
      </c>
      <c r="D251" s="8">
        <f>CHOOSE( CONTROL!$C$32, 6.5869, 6.582) * CHOOSE( CONTROL!$C$15, $D$11, 100%, $F$11)</f>
        <v>6.5869</v>
      </c>
      <c r="E251" s="12">
        <f>CHOOSE( CONTROL!$C$32, 6.5857, 6.5808) * CHOOSE( CONTROL!$C$15, $D$11, 100%, $F$11)</f>
        <v>6.5857000000000001</v>
      </c>
      <c r="F251" s="4">
        <f>CHOOSE( CONTROL!$C$32, 7.5821, 7.5772) * CHOOSE(CONTROL!$C$15, $D$11, 100%, $F$11)</f>
        <v>7.5820999999999996</v>
      </c>
      <c r="G251" s="8">
        <f>CHOOSE( CONTROL!$C$32, 6.4029, 6.3981) * CHOOSE( CONTROL!$C$15, $D$11, 100%, $F$11)</f>
        <v>6.4028999999999998</v>
      </c>
      <c r="H251" s="4">
        <f>CHOOSE( CONTROL!$C$32, 7.3146, 7.3098) * CHOOSE(CONTROL!$C$15, $D$11, 100%, $F$11)</f>
        <v>7.3146000000000004</v>
      </c>
      <c r="I251" s="8">
        <f>CHOOSE( CONTROL!$C$32, 6.3531, 6.3484) * CHOOSE(CONTROL!$C$15, $D$11, 100%, $F$11)</f>
        <v>6.3531000000000004</v>
      </c>
      <c r="J251" s="4">
        <f>CHOOSE( CONTROL!$C$32, 6.2978, 6.2931) * CHOOSE(CONTROL!$C$15, $D$11, 100%, $F$11)</f>
        <v>6.2977999999999996</v>
      </c>
      <c r="K251" s="4"/>
      <c r="L251" s="9">
        <v>29.520499999999998</v>
      </c>
      <c r="M251" s="9">
        <v>12.063700000000001</v>
      </c>
      <c r="N251" s="9">
        <v>4.9444999999999997</v>
      </c>
      <c r="O251" s="9">
        <v>0.37459999999999999</v>
      </c>
      <c r="P251" s="9">
        <v>1.2192000000000001</v>
      </c>
      <c r="Q251" s="9">
        <v>30.645399999999999</v>
      </c>
      <c r="R251" s="9"/>
      <c r="S251" s="11"/>
    </row>
    <row r="252" spans="1:19" ht="15.75">
      <c r="A252" s="14">
        <v>49522</v>
      </c>
      <c r="B252" s="8">
        <f>CHOOSE( CONTROL!$C$32, 6.0705, 6.0656) * CHOOSE(CONTROL!$C$15, $D$11, 100%, $F$11)</f>
        <v>6.0705</v>
      </c>
      <c r="C252" s="8">
        <f>CHOOSE( CONTROL!$C$32, 6.081, 6.076) * CHOOSE(CONTROL!$C$15, $D$11, 100%, $F$11)</f>
        <v>6.0810000000000004</v>
      </c>
      <c r="D252" s="8">
        <f>CHOOSE( CONTROL!$C$32, 6.0811, 6.0762) * CHOOSE( CONTROL!$C$15, $D$11, 100%, $F$11)</f>
        <v>6.0811000000000002</v>
      </c>
      <c r="E252" s="12">
        <f>CHOOSE( CONTROL!$C$32, 6.0795, 6.0745) * CHOOSE( CONTROL!$C$15, $D$11, 100%, $F$11)</f>
        <v>6.0795000000000003</v>
      </c>
      <c r="F252" s="4">
        <f>CHOOSE( CONTROL!$C$32, 7.083, 7.0781) * CHOOSE(CONTROL!$C$15, $D$11, 100%, $F$11)</f>
        <v>7.0830000000000002</v>
      </c>
      <c r="G252" s="8">
        <f>CHOOSE( CONTROL!$C$32, 5.9039, 5.8991) * CHOOSE( CONTROL!$C$15, $D$11, 100%, $F$11)</f>
        <v>5.9039000000000001</v>
      </c>
      <c r="H252" s="4">
        <f>CHOOSE( CONTROL!$C$32, 6.8281, 6.8233) * CHOOSE(CONTROL!$C$15, $D$11, 100%, $F$11)</f>
        <v>6.8281000000000001</v>
      </c>
      <c r="I252" s="8">
        <f>CHOOSE( CONTROL!$C$32, 5.8581, 5.8533) * CHOOSE(CONTROL!$C$15, $D$11, 100%, $F$11)</f>
        <v>5.8581000000000003</v>
      </c>
      <c r="J252" s="4">
        <f>CHOOSE( CONTROL!$C$32, 5.812, 5.8073) * CHOOSE(CONTROL!$C$15, $D$11, 100%, $F$11)</f>
        <v>5.8120000000000003</v>
      </c>
      <c r="K252" s="4"/>
      <c r="L252" s="9">
        <v>29.520499999999998</v>
      </c>
      <c r="M252" s="9">
        <v>12.063700000000001</v>
      </c>
      <c r="N252" s="9">
        <v>4.9444999999999997</v>
      </c>
      <c r="O252" s="9">
        <v>0.37459999999999999</v>
      </c>
      <c r="P252" s="9">
        <v>1.2192000000000001</v>
      </c>
      <c r="Q252" s="9">
        <v>30.645399999999999</v>
      </c>
      <c r="R252" s="9"/>
      <c r="S252" s="11"/>
    </row>
    <row r="253" spans="1:19" ht="15.75">
      <c r="A253" s="14">
        <v>49553</v>
      </c>
      <c r="B253" s="8">
        <f>CHOOSE( CONTROL!$C$32, 5.9436, 5.9386) * CHOOSE(CONTROL!$C$15, $D$11, 100%, $F$11)</f>
        <v>5.9436</v>
      </c>
      <c r="C253" s="8">
        <f>CHOOSE( CONTROL!$C$32, 5.954, 5.9491) * CHOOSE(CONTROL!$C$15, $D$11, 100%, $F$11)</f>
        <v>5.9539999999999997</v>
      </c>
      <c r="D253" s="8">
        <f>CHOOSE( CONTROL!$C$32, 5.9545, 5.9495) * CHOOSE( CONTROL!$C$15, $D$11, 100%, $F$11)</f>
        <v>5.9545000000000003</v>
      </c>
      <c r="E253" s="12">
        <f>CHOOSE( CONTROL!$C$32, 5.9527, 5.9478) * CHOOSE( CONTROL!$C$15, $D$11, 100%, $F$11)</f>
        <v>5.9527000000000001</v>
      </c>
      <c r="F253" s="4">
        <f>CHOOSE( CONTROL!$C$32, 6.9561, 6.9511) * CHOOSE(CONTROL!$C$15, $D$11, 100%, $F$11)</f>
        <v>6.9561000000000002</v>
      </c>
      <c r="G253" s="8">
        <f>CHOOSE( CONTROL!$C$32, 5.7806, 5.7758) * CHOOSE( CONTROL!$C$15, $D$11, 100%, $F$11)</f>
        <v>5.7805999999999997</v>
      </c>
      <c r="H253" s="4">
        <f>CHOOSE( CONTROL!$C$32, 6.7043, 6.6995) * CHOOSE(CONTROL!$C$15, $D$11, 100%, $F$11)</f>
        <v>6.7042999999999999</v>
      </c>
      <c r="I253" s="8">
        <f>CHOOSE( CONTROL!$C$32, 5.7378, 5.733) * CHOOSE(CONTROL!$C$15, $D$11, 100%, $F$11)</f>
        <v>5.7378</v>
      </c>
      <c r="J253" s="4">
        <f>CHOOSE( CONTROL!$C$32, 5.6904, 5.6857) * CHOOSE(CONTROL!$C$15, $D$11, 100%, $F$11)</f>
        <v>5.6904000000000003</v>
      </c>
      <c r="K253" s="4"/>
      <c r="L253" s="9">
        <v>28.568200000000001</v>
      </c>
      <c r="M253" s="9">
        <v>11.6745</v>
      </c>
      <c r="N253" s="9">
        <v>4.7850000000000001</v>
      </c>
      <c r="O253" s="9">
        <v>0.36249999999999999</v>
      </c>
      <c r="P253" s="9">
        <v>1.1798</v>
      </c>
      <c r="Q253" s="9">
        <v>29.6568</v>
      </c>
      <c r="R253" s="9"/>
      <c r="S253" s="11"/>
    </row>
    <row r="254" spans="1:19" ht="15.75">
      <c r="A254" s="14">
        <v>49583</v>
      </c>
      <c r="B254" s="8">
        <f>6.2022 * CHOOSE(CONTROL!$C$15, $D$11, 100%, $F$11)</f>
        <v>6.2022000000000004</v>
      </c>
      <c r="C254" s="8">
        <f>6.2127 * CHOOSE(CONTROL!$C$15, $D$11, 100%, $F$11)</f>
        <v>6.2126999999999999</v>
      </c>
      <c r="D254" s="8">
        <f>6.2144 * CHOOSE( CONTROL!$C$15, $D$11, 100%, $F$11)</f>
        <v>6.2144000000000004</v>
      </c>
      <c r="E254" s="12">
        <f>6.2127 * CHOOSE( CONTROL!$C$15, $D$11, 100%, $F$11)</f>
        <v>6.2126999999999999</v>
      </c>
      <c r="F254" s="4">
        <f>7.2147 * CHOOSE(CONTROL!$C$15, $D$11, 100%, $F$11)</f>
        <v>7.2146999999999997</v>
      </c>
      <c r="G254" s="8">
        <f>6.0324 * CHOOSE( CONTROL!$C$15, $D$11, 100%, $F$11)</f>
        <v>6.0324</v>
      </c>
      <c r="H254" s="4">
        <f>6.9565 * CHOOSE(CONTROL!$C$15, $D$11, 100%, $F$11)</f>
        <v>6.9565000000000001</v>
      </c>
      <c r="I254" s="8">
        <f>5.988 * CHOOSE(CONTROL!$C$15, $D$11, 100%, $F$11)</f>
        <v>5.9880000000000004</v>
      </c>
      <c r="J254" s="4">
        <f>5.9382 * CHOOSE(CONTROL!$C$15, $D$11, 100%, $F$11)</f>
        <v>5.9382000000000001</v>
      </c>
      <c r="K254" s="4"/>
      <c r="L254" s="9">
        <v>28.921800000000001</v>
      </c>
      <c r="M254" s="9">
        <v>12.063700000000001</v>
      </c>
      <c r="N254" s="9">
        <v>4.9444999999999997</v>
      </c>
      <c r="O254" s="9">
        <v>0.37459999999999999</v>
      </c>
      <c r="P254" s="9">
        <v>1.2192000000000001</v>
      </c>
      <c r="Q254" s="9">
        <v>30.645399999999999</v>
      </c>
      <c r="R254" s="9"/>
      <c r="S254" s="11"/>
    </row>
    <row r="255" spans="1:19" ht="15.75">
      <c r="A255" s="14">
        <v>49614</v>
      </c>
      <c r="B255" s="8">
        <f>6.6888 * CHOOSE(CONTROL!$C$15, $D$11, 100%, $F$11)</f>
        <v>6.6887999999999996</v>
      </c>
      <c r="C255" s="8">
        <f>6.6992 * CHOOSE(CONTROL!$C$15, $D$11, 100%, $F$11)</f>
        <v>6.6992000000000003</v>
      </c>
      <c r="D255" s="8">
        <f>6.6803 * CHOOSE( CONTROL!$C$15, $D$11, 100%, $F$11)</f>
        <v>6.6802999999999999</v>
      </c>
      <c r="E255" s="12">
        <f>6.6861 * CHOOSE( CONTROL!$C$15, $D$11, 100%, $F$11)</f>
        <v>6.6860999999999997</v>
      </c>
      <c r="F255" s="4">
        <f>7.6856 * CHOOSE(CONTROL!$C$15, $D$11, 100%, $F$11)</f>
        <v>7.6856</v>
      </c>
      <c r="G255" s="8">
        <f>6.5296 * CHOOSE( CONTROL!$C$15, $D$11, 100%, $F$11)</f>
        <v>6.5296000000000003</v>
      </c>
      <c r="H255" s="4">
        <f>7.4155 * CHOOSE(CONTROL!$C$15, $D$11, 100%, $F$11)</f>
        <v>7.4154999999999998</v>
      </c>
      <c r="I255" s="8">
        <f>6.501 * CHOOSE(CONTROL!$C$15, $D$11, 100%, $F$11)</f>
        <v>6.5010000000000003</v>
      </c>
      <c r="J255" s="4">
        <f>6.4044 * CHOOSE(CONTROL!$C$15, $D$11, 100%, $F$11)</f>
        <v>6.4043999999999999</v>
      </c>
      <c r="K255" s="4"/>
      <c r="L255" s="9">
        <v>26.515499999999999</v>
      </c>
      <c r="M255" s="9">
        <v>11.6745</v>
      </c>
      <c r="N255" s="9">
        <v>4.7850000000000001</v>
      </c>
      <c r="O255" s="9">
        <v>0.36249999999999999</v>
      </c>
      <c r="P255" s="9">
        <v>1.2522</v>
      </c>
      <c r="Q255" s="9">
        <v>29.6568</v>
      </c>
      <c r="R255" s="9"/>
      <c r="S255" s="11"/>
    </row>
    <row r="256" spans="1:19" ht="15.75">
      <c r="A256" s="14">
        <v>49644</v>
      </c>
      <c r="B256" s="8">
        <f>6.6766 * CHOOSE(CONTROL!$C$15, $D$11, 100%, $F$11)</f>
        <v>6.6765999999999996</v>
      </c>
      <c r="C256" s="8">
        <f>6.6871 * CHOOSE(CONTROL!$C$15, $D$11, 100%, $F$11)</f>
        <v>6.6871</v>
      </c>
      <c r="D256" s="8">
        <f>6.6707 * CHOOSE( CONTROL!$C$15, $D$11, 100%, $F$11)</f>
        <v>6.6707000000000001</v>
      </c>
      <c r="E256" s="12">
        <f>6.6756 * CHOOSE( CONTROL!$C$15, $D$11, 100%, $F$11)</f>
        <v>6.6756000000000002</v>
      </c>
      <c r="F256" s="4">
        <f>7.6734 * CHOOSE(CONTROL!$C$15, $D$11, 100%, $F$11)</f>
        <v>7.6734</v>
      </c>
      <c r="G256" s="8">
        <f>6.5197 * CHOOSE( CONTROL!$C$15, $D$11, 100%, $F$11)</f>
        <v>6.5197000000000003</v>
      </c>
      <c r="H256" s="4">
        <f>7.4036 * CHOOSE(CONTROL!$C$15, $D$11, 100%, $F$11)</f>
        <v>7.4036</v>
      </c>
      <c r="I256" s="8">
        <f>6.4981 * CHOOSE(CONTROL!$C$15, $D$11, 100%, $F$11)</f>
        <v>6.4981</v>
      </c>
      <c r="J256" s="4">
        <f>6.3928 * CHOOSE(CONTROL!$C$15, $D$11, 100%, $F$11)</f>
        <v>6.3928000000000003</v>
      </c>
      <c r="K256" s="4"/>
      <c r="L256" s="9">
        <v>27.3993</v>
      </c>
      <c r="M256" s="9">
        <v>12.063700000000001</v>
      </c>
      <c r="N256" s="9">
        <v>4.9444999999999997</v>
      </c>
      <c r="O256" s="9">
        <v>0.37459999999999999</v>
      </c>
      <c r="P256" s="9">
        <v>1.2939000000000001</v>
      </c>
      <c r="Q256" s="9">
        <v>30.645399999999999</v>
      </c>
      <c r="R256" s="9"/>
      <c r="S256" s="11"/>
    </row>
    <row r="257" spans="1:19" ht="15.75">
      <c r="A257" s="14">
        <v>49675</v>
      </c>
      <c r="B257" s="8">
        <f>6.9316 * CHOOSE(CONTROL!$C$15, $D$11, 100%, $F$11)</f>
        <v>6.9316000000000004</v>
      </c>
      <c r="C257" s="8">
        <f>6.9421 * CHOOSE(CONTROL!$C$15, $D$11, 100%, $F$11)</f>
        <v>6.9420999999999999</v>
      </c>
      <c r="D257" s="8">
        <f>6.9406 * CHOOSE( CONTROL!$C$15, $D$11, 100%, $F$11)</f>
        <v>6.9405999999999999</v>
      </c>
      <c r="E257" s="12">
        <f>6.94 * CHOOSE( CONTROL!$C$15, $D$11, 100%, $F$11)</f>
        <v>6.94</v>
      </c>
      <c r="F257" s="4">
        <f>7.9545 * CHOOSE(CONTROL!$C$15, $D$11, 100%, $F$11)</f>
        <v>7.9545000000000003</v>
      </c>
      <c r="G257" s="8">
        <f>6.7851 * CHOOSE( CONTROL!$C$15, $D$11, 100%, $F$11)</f>
        <v>6.7850999999999999</v>
      </c>
      <c r="H257" s="4">
        <f>7.6776 * CHOOSE(CONTROL!$C$15, $D$11, 100%, $F$11)</f>
        <v>7.6776</v>
      </c>
      <c r="I257" s="8">
        <f>6.749 * CHOOSE(CONTROL!$C$15, $D$11, 100%, $F$11)</f>
        <v>6.7489999999999997</v>
      </c>
      <c r="J257" s="4">
        <f>6.6371 * CHOOSE(CONTROL!$C$15, $D$11, 100%, $F$11)</f>
        <v>6.6371000000000002</v>
      </c>
      <c r="K257" s="4"/>
      <c r="L257" s="9">
        <v>27.3993</v>
      </c>
      <c r="M257" s="9">
        <v>12.063700000000001</v>
      </c>
      <c r="N257" s="9">
        <v>4.9444999999999997</v>
      </c>
      <c r="O257" s="9">
        <v>0.37459999999999999</v>
      </c>
      <c r="P257" s="9">
        <v>1.2939000000000001</v>
      </c>
      <c r="Q257" s="9">
        <v>30.580300000000001</v>
      </c>
      <c r="R257" s="9"/>
      <c r="S257" s="11"/>
    </row>
    <row r="258" spans="1:19" ht="15.75">
      <c r="A258" s="14">
        <v>49706</v>
      </c>
      <c r="B258" s="8">
        <f>6.4838 * CHOOSE(CONTROL!$C$15, $D$11, 100%, $F$11)</f>
        <v>6.4837999999999996</v>
      </c>
      <c r="C258" s="8">
        <f>6.4943 * CHOOSE(CONTROL!$C$15, $D$11, 100%, $F$11)</f>
        <v>6.4943</v>
      </c>
      <c r="D258" s="8">
        <f>6.4951 * CHOOSE( CONTROL!$C$15, $D$11, 100%, $F$11)</f>
        <v>6.4950999999999999</v>
      </c>
      <c r="E258" s="12">
        <f>6.4937 * CHOOSE( CONTROL!$C$15, $D$11, 100%, $F$11)</f>
        <v>6.4936999999999996</v>
      </c>
      <c r="F258" s="4">
        <f>7.4989 * CHOOSE(CONTROL!$C$15, $D$11, 100%, $F$11)</f>
        <v>7.4988999999999999</v>
      </c>
      <c r="G258" s="8">
        <f>6.3484 * CHOOSE( CONTROL!$C$15, $D$11, 100%, $F$11)</f>
        <v>6.3483999999999998</v>
      </c>
      <c r="H258" s="4">
        <f>7.2335 * CHOOSE(CONTROL!$C$15, $D$11, 100%, $F$11)</f>
        <v>7.2335000000000003</v>
      </c>
      <c r="I258" s="8">
        <f>6.3088 * CHOOSE(CONTROL!$C$15, $D$11, 100%, $F$11)</f>
        <v>6.3087999999999997</v>
      </c>
      <c r="J258" s="4">
        <f>6.208 * CHOOSE(CONTROL!$C$15, $D$11, 100%, $F$11)</f>
        <v>6.2080000000000002</v>
      </c>
      <c r="K258" s="4"/>
      <c r="L258" s="9">
        <v>25.631599999999999</v>
      </c>
      <c r="M258" s="9">
        <v>11.285299999999999</v>
      </c>
      <c r="N258" s="9">
        <v>4.6254999999999997</v>
      </c>
      <c r="O258" s="9">
        <v>0.35039999999999999</v>
      </c>
      <c r="P258" s="9">
        <v>1.2104999999999999</v>
      </c>
      <c r="Q258" s="9">
        <v>28.607299999999999</v>
      </c>
      <c r="R258" s="9"/>
      <c r="S258" s="11"/>
    </row>
    <row r="259" spans="1:19" ht="15.75">
      <c r="A259" s="14">
        <v>49735</v>
      </c>
      <c r="B259" s="8">
        <f>6.3459 * CHOOSE(CONTROL!$C$15, $D$11, 100%, $F$11)</f>
        <v>6.3459000000000003</v>
      </c>
      <c r="C259" s="8">
        <f>6.3563 * CHOOSE(CONTROL!$C$15, $D$11, 100%, $F$11)</f>
        <v>6.3563000000000001</v>
      </c>
      <c r="D259" s="8">
        <f>6.3368 * CHOOSE( CONTROL!$C$15, $D$11, 100%, $F$11)</f>
        <v>6.3368000000000002</v>
      </c>
      <c r="E259" s="12">
        <f>6.3428 * CHOOSE( CONTROL!$C$15, $D$11, 100%, $F$11)</f>
        <v>6.3428000000000004</v>
      </c>
      <c r="F259" s="4">
        <f>7.3448 * CHOOSE(CONTROL!$C$15, $D$11, 100%, $F$11)</f>
        <v>7.3448000000000002</v>
      </c>
      <c r="G259" s="8">
        <f>6.1933 * CHOOSE( CONTROL!$C$15, $D$11, 100%, $F$11)</f>
        <v>6.1932999999999998</v>
      </c>
      <c r="H259" s="4">
        <f>7.0833 * CHOOSE(CONTROL!$C$15, $D$11, 100%, $F$11)</f>
        <v>7.0833000000000004</v>
      </c>
      <c r="I259" s="8">
        <f>6.1371 * CHOOSE(CONTROL!$C$15, $D$11, 100%, $F$11)</f>
        <v>6.1371000000000002</v>
      </c>
      <c r="J259" s="4">
        <f>6.0759 * CHOOSE(CONTROL!$C$15, $D$11, 100%, $F$11)</f>
        <v>6.0758999999999999</v>
      </c>
      <c r="K259" s="4"/>
      <c r="L259" s="9">
        <v>27.3993</v>
      </c>
      <c r="M259" s="9">
        <v>12.063700000000001</v>
      </c>
      <c r="N259" s="9">
        <v>4.9444999999999997</v>
      </c>
      <c r="O259" s="9">
        <v>0.37459999999999999</v>
      </c>
      <c r="P259" s="9">
        <v>1.2939000000000001</v>
      </c>
      <c r="Q259" s="9">
        <v>30.580300000000001</v>
      </c>
      <c r="R259" s="9"/>
      <c r="S259" s="11"/>
    </row>
    <row r="260" spans="1:19" ht="15.75">
      <c r="A260" s="14">
        <v>49766</v>
      </c>
      <c r="B260" s="8">
        <f>6.4423 * CHOOSE(CONTROL!$C$15, $D$11, 100%, $F$11)</f>
        <v>6.4423000000000004</v>
      </c>
      <c r="C260" s="8">
        <f>6.4527 * CHOOSE(CONTROL!$C$15, $D$11, 100%, $F$11)</f>
        <v>6.4527000000000001</v>
      </c>
      <c r="D260" s="8">
        <f>6.4566 * CHOOSE( CONTROL!$C$15, $D$11, 100%, $F$11)</f>
        <v>6.4565999999999999</v>
      </c>
      <c r="E260" s="12">
        <f>6.4541 * CHOOSE( CONTROL!$C$15, $D$11, 100%, $F$11)</f>
        <v>6.4541000000000004</v>
      </c>
      <c r="F260" s="4">
        <f>7.4495 * CHOOSE(CONTROL!$C$15, $D$11, 100%, $F$11)</f>
        <v>7.4494999999999996</v>
      </c>
      <c r="G260" s="8">
        <f>6.2752 * CHOOSE( CONTROL!$C$15, $D$11, 100%, $F$11)</f>
        <v>6.2751999999999999</v>
      </c>
      <c r="H260" s="4">
        <f>7.1853 * CHOOSE(CONTROL!$C$15, $D$11, 100%, $F$11)</f>
        <v>7.1852999999999998</v>
      </c>
      <c r="I260" s="8">
        <f>6.2196 * CHOOSE(CONTROL!$C$15, $D$11, 100%, $F$11)</f>
        <v>6.2195999999999998</v>
      </c>
      <c r="J260" s="4">
        <f>6.1682 * CHOOSE(CONTROL!$C$15, $D$11, 100%, $F$11)</f>
        <v>6.1681999999999997</v>
      </c>
      <c r="K260" s="4"/>
      <c r="L260" s="9">
        <v>27.988800000000001</v>
      </c>
      <c r="M260" s="9">
        <v>11.6745</v>
      </c>
      <c r="N260" s="9">
        <v>4.7850000000000001</v>
      </c>
      <c r="O260" s="9">
        <v>0.36249999999999999</v>
      </c>
      <c r="P260" s="9">
        <v>1.1798</v>
      </c>
      <c r="Q260" s="9">
        <v>29.593800000000002</v>
      </c>
      <c r="R260" s="9"/>
      <c r="S260" s="11"/>
    </row>
    <row r="261" spans="1:19" ht="15.75">
      <c r="A261" s="14">
        <v>49796</v>
      </c>
      <c r="B261" s="8">
        <f>CHOOSE( CONTROL!$C$32, 6.6187, 6.6138) * CHOOSE(CONTROL!$C$15, $D$11, 100%, $F$11)</f>
        <v>6.6186999999999996</v>
      </c>
      <c r="C261" s="8">
        <f>CHOOSE( CONTROL!$C$32, 6.6292, 6.6242) * CHOOSE(CONTROL!$C$15, $D$11, 100%, $F$11)</f>
        <v>6.6292</v>
      </c>
      <c r="D261" s="8">
        <f>CHOOSE( CONTROL!$C$32, 6.6078, 6.6029) * CHOOSE( CONTROL!$C$15, $D$11, 100%, $F$11)</f>
        <v>6.6078000000000001</v>
      </c>
      <c r="E261" s="12">
        <f>CHOOSE( CONTROL!$C$32, 6.614, 6.609) * CHOOSE( CONTROL!$C$15, $D$11, 100%, $F$11)</f>
        <v>6.6139999999999999</v>
      </c>
      <c r="F261" s="4">
        <f>CHOOSE( CONTROL!$C$32, 7.5936, 7.5887) * CHOOSE(CONTROL!$C$15, $D$11, 100%, $F$11)</f>
        <v>7.5936000000000003</v>
      </c>
      <c r="G261" s="8">
        <f>CHOOSE( CONTROL!$C$32, 6.4286, 6.4238) * CHOOSE( CONTROL!$C$15, $D$11, 100%, $F$11)</f>
        <v>6.4286000000000003</v>
      </c>
      <c r="H261" s="4">
        <f>CHOOSE( CONTROL!$C$32, 7.3258, 7.321) * CHOOSE(CONTROL!$C$15, $D$11, 100%, $F$11)</f>
        <v>7.3258000000000001</v>
      </c>
      <c r="I261" s="8">
        <f>CHOOSE( CONTROL!$C$32, 6.3672, 6.3625) * CHOOSE(CONTROL!$C$15, $D$11, 100%, $F$11)</f>
        <v>6.3672000000000004</v>
      </c>
      <c r="J261" s="4">
        <f>CHOOSE( CONTROL!$C$32, 6.3373, 6.3326) * CHOOSE(CONTROL!$C$15, $D$11, 100%, $F$11)</f>
        <v>6.3372999999999999</v>
      </c>
      <c r="K261" s="4"/>
      <c r="L261" s="9">
        <v>29.520499999999998</v>
      </c>
      <c r="M261" s="9">
        <v>12.063700000000001</v>
      </c>
      <c r="N261" s="9">
        <v>4.9444999999999997</v>
      </c>
      <c r="O261" s="9">
        <v>0.37459999999999999</v>
      </c>
      <c r="P261" s="9">
        <v>1.2192000000000001</v>
      </c>
      <c r="Q261" s="9">
        <v>30.580300000000001</v>
      </c>
      <c r="R261" s="9"/>
      <c r="S261" s="11"/>
    </row>
    <row r="262" spans="1:19" ht="15.75">
      <c r="A262" s="14">
        <v>49827</v>
      </c>
      <c r="B262" s="8">
        <f>CHOOSE( CONTROL!$C$32, 6.5125, 6.5075) * CHOOSE(CONTROL!$C$15, $D$11, 100%, $F$11)</f>
        <v>6.5125000000000002</v>
      </c>
      <c r="C262" s="8">
        <f>CHOOSE( CONTROL!$C$32, 6.5229, 6.518) * CHOOSE(CONTROL!$C$15, $D$11, 100%, $F$11)</f>
        <v>6.5228999999999999</v>
      </c>
      <c r="D262" s="8">
        <f>CHOOSE( CONTROL!$C$32, 6.515, 6.5101) * CHOOSE( CONTROL!$C$15, $D$11, 100%, $F$11)</f>
        <v>6.5149999999999997</v>
      </c>
      <c r="E262" s="12">
        <f>CHOOSE( CONTROL!$C$32, 6.5163, 6.5114) * CHOOSE( CONTROL!$C$15, $D$11, 100%, $F$11)</f>
        <v>6.5163000000000002</v>
      </c>
      <c r="F262" s="4">
        <f>CHOOSE( CONTROL!$C$32, 7.5067, 7.5018) * CHOOSE(CONTROL!$C$15, $D$11, 100%, $F$11)</f>
        <v>7.5067000000000004</v>
      </c>
      <c r="G262" s="8">
        <f>CHOOSE( CONTROL!$C$32, 6.3354, 6.3306) * CHOOSE( CONTROL!$C$15, $D$11, 100%, $F$11)</f>
        <v>6.3353999999999999</v>
      </c>
      <c r="H262" s="4">
        <f>CHOOSE( CONTROL!$C$32, 7.2411, 7.2363) * CHOOSE(CONTROL!$C$15, $D$11, 100%, $F$11)</f>
        <v>7.2411000000000003</v>
      </c>
      <c r="I262" s="8">
        <f>CHOOSE( CONTROL!$C$32, 6.2831, 6.2784) * CHOOSE(CONTROL!$C$15, $D$11, 100%, $F$11)</f>
        <v>6.2831000000000001</v>
      </c>
      <c r="J262" s="4">
        <f>CHOOSE( CONTROL!$C$32, 6.2355, 6.2308) * CHOOSE(CONTROL!$C$15, $D$11, 100%, $F$11)</f>
        <v>6.2355</v>
      </c>
      <c r="K262" s="4"/>
      <c r="L262" s="9">
        <v>28.568200000000001</v>
      </c>
      <c r="M262" s="9">
        <v>11.6745</v>
      </c>
      <c r="N262" s="9">
        <v>4.7850000000000001</v>
      </c>
      <c r="O262" s="9">
        <v>0.36249999999999999</v>
      </c>
      <c r="P262" s="9">
        <v>1.1798</v>
      </c>
      <c r="Q262" s="9">
        <v>29.593800000000002</v>
      </c>
      <c r="R262" s="9"/>
      <c r="S262" s="11"/>
    </row>
    <row r="263" spans="1:19" ht="15.75">
      <c r="A263" s="14">
        <v>49857</v>
      </c>
      <c r="B263" s="8">
        <f>CHOOSE( CONTROL!$C$32, 6.7923, 6.7874) * CHOOSE(CONTROL!$C$15, $D$11, 100%, $F$11)</f>
        <v>6.7923</v>
      </c>
      <c r="C263" s="8">
        <f>CHOOSE( CONTROL!$C$32, 6.8027, 6.7978) * CHOOSE(CONTROL!$C$15, $D$11, 100%, $F$11)</f>
        <v>6.8026999999999997</v>
      </c>
      <c r="D263" s="8">
        <f>CHOOSE( CONTROL!$C$32, 6.8017, 6.7968) * CHOOSE( CONTROL!$C$15, $D$11, 100%, $F$11)</f>
        <v>6.8017000000000003</v>
      </c>
      <c r="E263" s="12">
        <f>CHOOSE( CONTROL!$C$32, 6.8005, 6.7956) * CHOOSE( CONTROL!$C$15, $D$11, 100%, $F$11)</f>
        <v>6.8005000000000004</v>
      </c>
      <c r="F263" s="4">
        <f>CHOOSE( CONTROL!$C$32, 7.7969, 7.792) * CHOOSE(CONTROL!$C$15, $D$11, 100%, $F$11)</f>
        <v>7.7968999999999999</v>
      </c>
      <c r="G263" s="8">
        <f>CHOOSE( CONTROL!$C$32, 6.6123, 6.6075) * CHOOSE( CONTROL!$C$15, $D$11, 100%, $F$11)</f>
        <v>6.6123000000000003</v>
      </c>
      <c r="H263" s="4">
        <f>CHOOSE( CONTROL!$C$32, 7.524, 7.5192) * CHOOSE(CONTROL!$C$15, $D$11, 100%, $F$11)</f>
        <v>7.524</v>
      </c>
      <c r="I263" s="8">
        <f>CHOOSE( CONTROL!$C$32, 6.559, 6.5543) * CHOOSE(CONTROL!$C$15, $D$11, 100%, $F$11)</f>
        <v>6.5590000000000002</v>
      </c>
      <c r="J263" s="4">
        <f>CHOOSE( CONTROL!$C$32, 6.5036, 6.4989) * CHOOSE(CONTROL!$C$15, $D$11, 100%, $F$11)</f>
        <v>6.5035999999999996</v>
      </c>
      <c r="K263" s="4"/>
      <c r="L263" s="9">
        <v>29.520499999999998</v>
      </c>
      <c r="M263" s="9">
        <v>12.063700000000001</v>
      </c>
      <c r="N263" s="9">
        <v>4.9444999999999997</v>
      </c>
      <c r="O263" s="9">
        <v>0.37459999999999999</v>
      </c>
      <c r="P263" s="9">
        <v>1.2192000000000001</v>
      </c>
      <c r="Q263" s="9">
        <v>30.580300000000001</v>
      </c>
      <c r="R263" s="9"/>
      <c r="S263" s="11"/>
    </row>
    <row r="264" spans="1:19" ht="15.75">
      <c r="A264" s="14">
        <v>49888</v>
      </c>
      <c r="B264" s="8">
        <f>CHOOSE( CONTROL!$C$32, 6.2687, 6.2638) * CHOOSE(CONTROL!$C$15, $D$11, 100%, $F$11)</f>
        <v>6.2686999999999999</v>
      </c>
      <c r="C264" s="8">
        <f>CHOOSE( CONTROL!$C$32, 6.2792, 6.2742) * CHOOSE(CONTROL!$C$15, $D$11, 100%, $F$11)</f>
        <v>6.2792000000000003</v>
      </c>
      <c r="D264" s="8">
        <f>CHOOSE( CONTROL!$C$32, 6.2793, 6.2744) * CHOOSE( CONTROL!$C$15, $D$11, 100%, $F$11)</f>
        <v>6.2793000000000001</v>
      </c>
      <c r="E264" s="12">
        <f>CHOOSE( CONTROL!$C$32, 6.2777, 6.2727) * CHOOSE( CONTROL!$C$15, $D$11, 100%, $F$11)</f>
        <v>6.2777000000000003</v>
      </c>
      <c r="F264" s="4">
        <f>CHOOSE( CONTROL!$C$32, 7.2812, 7.2763) * CHOOSE(CONTROL!$C$15, $D$11, 100%, $F$11)</f>
        <v>7.2812000000000001</v>
      </c>
      <c r="G264" s="8">
        <f>CHOOSE( CONTROL!$C$32, 6.0971, 6.0923) * CHOOSE( CONTROL!$C$15, $D$11, 100%, $F$11)</f>
        <v>6.0971000000000002</v>
      </c>
      <c r="H264" s="4">
        <f>CHOOSE( CONTROL!$C$32, 7.0213, 7.0165) * CHOOSE(CONTROL!$C$15, $D$11, 100%, $F$11)</f>
        <v>7.0213000000000001</v>
      </c>
      <c r="I264" s="8">
        <f>CHOOSE( CONTROL!$C$32, 6.0481, 6.0433) * CHOOSE(CONTROL!$C$15, $D$11, 100%, $F$11)</f>
        <v>6.0480999999999998</v>
      </c>
      <c r="J264" s="4">
        <f>CHOOSE( CONTROL!$C$32, 6.0019, 5.9972) * CHOOSE(CONTROL!$C$15, $D$11, 100%, $F$11)</f>
        <v>6.0019</v>
      </c>
      <c r="K264" s="4"/>
      <c r="L264" s="9">
        <v>29.520499999999998</v>
      </c>
      <c r="M264" s="9">
        <v>12.063700000000001</v>
      </c>
      <c r="N264" s="9">
        <v>4.9444999999999997</v>
      </c>
      <c r="O264" s="9">
        <v>0.37459999999999999</v>
      </c>
      <c r="P264" s="9">
        <v>1.2192000000000001</v>
      </c>
      <c r="Q264" s="9">
        <v>30.580300000000001</v>
      </c>
      <c r="R264" s="9"/>
      <c r="S264" s="11"/>
    </row>
    <row r="265" spans="1:19" ht="15.75">
      <c r="A265" s="14">
        <v>49919</v>
      </c>
      <c r="B265" s="8">
        <f>CHOOSE( CONTROL!$C$32, 6.1376, 6.1327) * CHOOSE(CONTROL!$C$15, $D$11, 100%, $F$11)</f>
        <v>6.1375999999999999</v>
      </c>
      <c r="C265" s="8">
        <f>CHOOSE( CONTROL!$C$32, 6.1481, 6.1431) * CHOOSE(CONTROL!$C$15, $D$11, 100%, $F$11)</f>
        <v>6.1481000000000003</v>
      </c>
      <c r="D265" s="8">
        <f>CHOOSE( CONTROL!$C$32, 6.1485, 6.1436) * CHOOSE( CONTROL!$C$15, $D$11, 100%, $F$11)</f>
        <v>6.1485000000000003</v>
      </c>
      <c r="E265" s="12">
        <f>CHOOSE( CONTROL!$C$32, 6.1468, 6.1418) * CHOOSE( CONTROL!$C$15, $D$11, 100%, $F$11)</f>
        <v>6.1467999999999998</v>
      </c>
      <c r="F265" s="4">
        <f>CHOOSE( CONTROL!$C$32, 7.1501, 7.1452) * CHOOSE(CONTROL!$C$15, $D$11, 100%, $F$11)</f>
        <v>7.1501000000000001</v>
      </c>
      <c r="G265" s="8">
        <f>CHOOSE( CONTROL!$C$32, 5.9697, 5.9649) * CHOOSE( CONTROL!$C$15, $D$11, 100%, $F$11)</f>
        <v>5.9696999999999996</v>
      </c>
      <c r="H265" s="4">
        <f>CHOOSE( CONTROL!$C$32, 6.8935, 6.8887) * CHOOSE(CONTROL!$C$15, $D$11, 100%, $F$11)</f>
        <v>6.8935000000000004</v>
      </c>
      <c r="I265" s="8">
        <f>CHOOSE( CONTROL!$C$32, 5.9238, 5.9191) * CHOOSE(CONTROL!$C$15, $D$11, 100%, $F$11)</f>
        <v>5.9238</v>
      </c>
      <c r="J265" s="4">
        <f>CHOOSE( CONTROL!$C$32, 5.8763, 5.8716) * CHOOSE(CONTROL!$C$15, $D$11, 100%, $F$11)</f>
        <v>5.8762999999999996</v>
      </c>
      <c r="K265" s="4"/>
      <c r="L265" s="9">
        <v>28.568200000000001</v>
      </c>
      <c r="M265" s="9">
        <v>11.6745</v>
      </c>
      <c r="N265" s="9">
        <v>4.7850000000000001</v>
      </c>
      <c r="O265" s="9">
        <v>0.36249999999999999</v>
      </c>
      <c r="P265" s="9">
        <v>1.1798</v>
      </c>
      <c r="Q265" s="9">
        <v>29.593800000000002</v>
      </c>
      <c r="R265" s="9"/>
      <c r="S265" s="11"/>
    </row>
    <row r="266" spans="1:19" ht="15.75">
      <c r="A266" s="14">
        <v>49949</v>
      </c>
      <c r="B266" s="8">
        <f>6.4049 * CHOOSE(CONTROL!$C$15, $D$11, 100%, $F$11)</f>
        <v>6.4048999999999996</v>
      </c>
      <c r="C266" s="8">
        <f>6.4154 * CHOOSE(CONTROL!$C$15, $D$11, 100%, $F$11)</f>
        <v>6.4154</v>
      </c>
      <c r="D266" s="8">
        <f>6.417 * CHOOSE( CONTROL!$C$15, $D$11, 100%, $F$11)</f>
        <v>6.4169999999999998</v>
      </c>
      <c r="E266" s="12">
        <f>6.4154 * CHOOSE( CONTROL!$C$15, $D$11, 100%, $F$11)</f>
        <v>6.4154</v>
      </c>
      <c r="F266" s="4">
        <f>7.4174 * CHOOSE(CONTROL!$C$15, $D$11, 100%, $F$11)</f>
        <v>7.4173999999999998</v>
      </c>
      <c r="G266" s="8">
        <f>6.2299 * CHOOSE( CONTROL!$C$15, $D$11, 100%, $F$11)</f>
        <v>6.2298999999999998</v>
      </c>
      <c r="H266" s="4">
        <f>7.154 * CHOOSE(CONTROL!$C$15, $D$11, 100%, $F$11)</f>
        <v>7.1539999999999999</v>
      </c>
      <c r="I266" s="8">
        <f>6.1823 * CHOOSE(CONTROL!$C$15, $D$11, 100%, $F$11)</f>
        <v>6.1822999999999997</v>
      </c>
      <c r="J266" s="4">
        <f>6.1324 * CHOOSE(CONTROL!$C$15, $D$11, 100%, $F$11)</f>
        <v>6.1323999999999996</v>
      </c>
      <c r="K266" s="4"/>
      <c r="L266" s="9">
        <v>28.921800000000001</v>
      </c>
      <c r="M266" s="9">
        <v>12.063700000000001</v>
      </c>
      <c r="N266" s="9">
        <v>4.9444999999999997</v>
      </c>
      <c r="O266" s="9">
        <v>0.37459999999999999</v>
      </c>
      <c r="P266" s="9">
        <v>1.2192000000000001</v>
      </c>
      <c r="Q266" s="9">
        <v>30.580300000000001</v>
      </c>
      <c r="R266" s="9"/>
      <c r="S266" s="11"/>
    </row>
    <row r="267" spans="1:19" ht="15.75">
      <c r="A267" s="14">
        <v>49980</v>
      </c>
      <c r="B267" s="8">
        <f>6.9074 * CHOOSE(CONTROL!$C$15, $D$11, 100%, $F$11)</f>
        <v>6.9074</v>
      </c>
      <c r="C267" s="8">
        <f>6.9178 * CHOOSE(CONTROL!$C$15, $D$11, 100%, $F$11)</f>
        <v>6.9177999999999997</v>
      </c>
      <c r="D267" s="8">
        <f>6.8989 * CHOOSE( CONTROL!$C$15, $D$11, 100%, $F$11)</f>
        <v>6.8989000000000003</v>
      </c>
      <c r="E267" s="12">
        <f>6.9047 * CHOOSE( CONTROL!$C$15, $D$11, 100%, $F$11)</f>
        <v>6.9047000000000001</v>
      </c>
      <c r="F267" s="4">
        <f>7.9042 * CHOOSE(CONTROL!$C$15, $D$11, 100%, $F$11)</f>
        <v>7.9042000000000003</v>
      </c>
      <c r="G267" s="8">
        <f>6.7426 * CHOOSE( CONTROL!$C$15, $D$11, 100%, $F$11)</f>
        <v>6.7426000000000004</v>
      </c>
      <c r="H267" s="4">
        <f>7.6285 * CHOOSE(CONTROL!$C$15, $D$11, 100%, $F$11)</f>
        <v>7.6284999999999998</v>
      </c>
      <c r="I267" s="8">
        <f>6.7105 * CHOOSE(CONTROL!$C$15, $D$11, 100%, $F$11)</f>
        <v>6.7104999999999997</v>
      </c>
      <c r="J267" s="4">
        <f>6.6139 * CHOOSE(CONTROL!$C$15, $D$11, 100%, $F$11)</f>
        <v>6.6139000000000001</v>
      </c>
      <c r="K267" s="4"/>
      <c r="L267" s="9">
        <v>26.515499999999999</v>
      </c>
      <c r="M267" s="9">
        <v>11.6745</v>
      </c>
      <c r="N267" s="9">
        <v>4.7850000000000001</v>
      </c>
      <c r="O267" s="9">
        <v>0.36249999999999999</v>
      </c>
      <c r="P267" s="9">
        <v>1.2522</v>
      </c>
      <c r="Q267" s="9">
        <v>29.593800000000002</v>
      </c>
      <c r="R267" s="9"/>
      <c r="S267" s="11"/>
    </row>
    <row r="268" spans="1:19" ht="15.75">
      <c r="A268" s="14">
        <v>50010</v>
      </c>
      <c r="B268" s="8">
        <f>6.8948 * CHOOSE(CONTROL!$C$15, $D$11, 100%, $F$11)</f>
        <v>6.8948</v>
      </c>
      <c r="C268" s="8">
        <f>6.9053 * CHOOSE(CONTROL!$C$15, $D$11, 100%, $F$11)</f>
        <v>6.9053000000000004</v>
      </c>
      <c r="D268" s="8">
        <f>6.8889 * CHOOSE( CONTROL!$C$15, $D$11, 100%, $F$11)</f>
        <v>6.8888999999999996</v>
      </c>
      <c r="E268" s="12">
        <f>6.8938 * CHOOSE( CONTROL!$C$15, $D$11, 100%, $F$11)</f>
        <v>6.8937999999999997</v>
      </c>
      <c r="F268" s="4">
        <f>7.8916 * CHOOSE(CONTROL!$C$15, $D$11, 100%, $F$11)</f>
        <v>7.8916000000000004</v>
      </c>
      <c r="G268" s="8">
        <f>6.7324 * CHOOSE( CONTROL!$C$15, $D$11, 100%, $F$11)</f>
        <v>6.7324000000000002</v>
      </c>
      <c r="H268" s="4">
        <f>7.6163 * CHOOSE(CONTROL!$C$15, $D$11, 100%, $F$11)</f>
        <v>7.6162999999999998</v>
      </c>
      <c r="I268" s="8">
        <f>6.7073 * CHOOSE(CONTROL!$C$15, $D$11, 100%, $F$11)</f>
        <v>6.7073</v>
      </c>
      <c r="J268" s="4">
        <f>6.6019 * CHOOSE(CONTROL!$C$15, $D$11, 100%, $F$11)</f>
        <v>6.6018999999999997</v>
      </c>
      <c r="K268" s="4"/>
      <c r="L268" s="9">
        <v>27.3993</v>
      </c>
      <c r="M268" s="9">
        <v>12.063700000000001</v>
      </c>
      <c r="N268" s="9">
        <v>4.9444999999999997</v>
      </c>
      <c r="O268" s="9">
        <v>0.37459999999999999</v>
      </c>
      <c r="P268" s="9">
        <v>1.2939000000000001</v>
      </c>
      <c r="Q268" s="9">
        <v>30.580300000000001</v>
      </c>
      <c r="R268" s="9"/>
      <c r="S268" s="11"/>
    </row>
    <row r="269" spans="1:19" ht="15.75">
      <c r="A269" s="14">
        <v>50041</v>
      </c>
      <c r="B269" s="8">
        <f>7.1581 * CHOOSE(CONTROL!$C$15, $D$11, 100%, $F$11)</f>
        <v>7.1581000000000001</v>
      </c>
      <c r="C269" s="8">
        <f>7.1686 * CHOOSE(CONTROL!$C$15, $D$11, 100%, $F$11)</f>
        <v>7.1685999999999996</v>
      </c>
      <c r="D269" s="8">
        <f>7.1671 * CHOOSE( CONTROL!$C$15, $D$11, 100%, $F$11)</f>
        <v>7.1670999999999996</v>
      </c>
      <c r="E269" s="12">
        <f>7.1665 * CHOOSE( CONTROL!$C$15, $D$11, 100%, $F$11)</f>
        <v>7.1665000000000001</v>
      </c>
      <c r="F269" s="4">
        <f>8.1811 * CHOOSE(CONTROL!$C$15, $D$11, 100%, $F$11)</f>
        <v>8.1811000000000007</v>
      </c>
      <c r="G269" s="8">
        <f>7.0059 * CHOOSE( CONTROL!$C$15, $D$11, 100%, $F$11)</f>
        <v>7.0058999999999996</v>
      </c>
      <c r="H269" s="4">
        <f>7.8984 * CHOOSE(CONTROL!$C$15, $D$11, 100%, $F$11)</f>
        <v>7.8983999999999996</v>
      </c>
      <c r="I269" s="8">
        <f>6.9662 * CHOOSE(CONTROL!$C$15, $D$11, 100%, $F$11)</f>
        <v>6.9661999999999997</v>
      </c>
      <c r="J269" s="4">
        <f>6.8542 * CHOOSE(CONTROL!$C$15, $D$11, 100%, $F$11)</f>
        <v>6.8541999999999996</v>
      </c>
      <c r="K269" s="4"/>
      <c r="L269" s="9">
        <v>27.3993</v>
      </c>
      <c r="M269" s="9">
        <v>12.063700000000001</v>
      </c>
      <c r="N269" s="9">
        <v>4.9444999999999997</v>
      </c>
      <c r="O269" s="9">
        <v>0.37459999999999999</v>
      </c>
      <c r="P269" s="9">
        <v>1.2939000000000001</v>
      </c>
      <c r="Q269" s="9">
        <v>30.5152</v>
      </c>
      <c r="R269" s="9"/>
      <c r="S269" s="11"/>
    </row>
    <row r="270" spans="1:19" ht="15.75">
      <c r="A270" s="14">
        <v>50072</v>
      </c>
      <c r="B270" s="8">
        <f>6.6957 * CHOOSE(CONTROL!$C$15, $D$11, 100%, $F$11)</f>
        <v>6.6957000000000004</v>
      </c>
      <c r="C270" s="8">
        <f>6.7061 * CHOOSE(CONTROL!$C$15, $D$11, 100%, $F$11)</f>
        <v>6.7061000000000002</v>
      </c>
      <c r="D270" s="8">
        <f>6.7069 * CHOOSE( CONTROL!$C$15, $D$11, 100%, $F$11)</f>
        <v>6.7069000000000001</v>
      </c>
      <c r="E270" s="12">
        <f>6.7055 * CHOOSE( CONTROL!$C$15, $D$11, 100%, $F$11)</f>
        <v>6.7054999999999998</v>
      </c>
      <c r="F270" s="4">
        <f>7.7108 * CHOOSE(CONTROL!$C$15, $D$11, 100%, $F$11)</f>
        <v>7.7107999999999999</v>
      </c>
      <c r="G270" s="8">
        <f>6.5549 * CHOOSE( CONTROL!$C$15, $D$11, 100%, $F$11)</f>
        <v>6.5548999999999999</v>
      </c>
      <c r="H270" s="4">
        <f>7.44 * CHOOSE(CONTROL!$C$15, $D$11, 100%, $F$11)</f>
        <v>7.44</v>
      </c>
      <c r="I270" s="8">
        <f>6.5119 * CHOOSE(CONTROL!$C$15, $D$11, 100%, $F$11)</f>
        <v>6.5118999999999998</v>
      </c>
      <c r="J270" s="4">
        <f>6.4111 * CHOOSE(CONTROL!$C$15, $D$11, 100%, $F$11)</f>
        <v>6.4111000000000002</v>
      </c>
      <c r="K270" s="4"/>
      <c r="L270" s="9">
        <v>24.747800000000002</v>
      </c>
      <c r="M270" s="9">
        <v>10.8962</v>
      </c>
      <c r="N270" s="9">
        <v>4.4660000000000002</v>
      </c>
      <c r="O270" s="9">
        <v>0.33829999999999999</v>
      </c>
      <c r="P270" s="9">
        <v>1.1687000000000001</v>
      </c>
      <c r="Q270" s="9">
        <v>27.562100000000001</v>
      </c>
      <c r="R270" s="9"/>
      <c r="S270" s="11"/>
    </row>
    <row r="271" spans="1:19" ht="15.75">
      <c r="A271" s="14">
        <v>50100</v>
      </c>
      <c r="B271" s="8">
        <f>6.5533 * CHOOSE(CONTROL!$C$15, $D$11, 100%, $F$11)</f>
        <v>6.5533000000000001</v>
      </c>
      <c r="C271" s="8">
        <f>6.5637 * CHOOSE(CONTROL!$C$15, $D$11, 100%, $F$11)</f>
        <v>6.5636999999999999</v>
      </c>
      <c r="D271" s="8">
        <f>6.5442 * CHOOSE( CONTROL!$C$15, $D$11, 100%, $F$11)</f>
        <v>6.5442</v>
      </c>
      <c r="E271" s="12">
        <f>6.5502 * CHOOSE( CONTROL!$C$15, $D$11, 100%, $F$11)</f>
        <v>6.5502000000000002</v>
      </c>
      <c r="F271" s="4">
        <f>7.5522 * CHOOSE(CONTROL!$C$15, $D$11, 100%, $F$11)</f>
        <v>7.5522</v>
      </c>
      <c r="G271" s="8">
        <f>6.3954 * CHOOSE( CONTROL!$C$15, $D$11, 100%, $F$11)</f>
        <v>6.3954000000000004</v>
      </c>
      <c r="H271" s="4">
        <f>7.2854 * CHOOSE(CONTROL!$C$15, $D$11, 100%, $F$11)</f>
        <v>7.2854000000000001</v>
      </c>
      <c r="I271" s="8">
        <f>6.3359 * CHOOSE(CONTROL!$C$15, $D$11, 100%, $F$11)</f>
        <v>6.3358999999999996</v>
      </c>
      <c r="J271" s="4">
        <f>6.2746 * CHOOSE(CONTROL!$C$15, $D$11, 100%, $F$11)</f>
        <v>6.2746000000000004</v>
      </c>
      <c r="K271" s="4"/>
      <c r="L271" s="9">
        <v>27.3993</v>
      </c>
      <c r="M271" s="9">
        <v>12.063700000000001</v>
      </c>
      <c r="N271" s="9">
        <v>4.9444999999999997</v>
      </c>
      <c r="O271" s="9">
        <v>0.37459999999999999</v>
      </c>
      <c r="P271" s="9">
        <v>1.2939000000000001</v>
      </c>
      <c r="Q271" s="9">
        <v>30.5152</v>
      </c>
      <c r="R271" s="9"/>
      <c r="S271" s="11"/>
    </row>
    <row r="272" spans="1:19" ht="15.75">
      <c r="A272" s="14">
        <v>50131</v>
      </c>
      <c r="B272" s="8">
        <f>6.6528 * CHOOSE(CONTROL!$C$15, $D$11, 100%, $F$11)</f>
        <v>6.6528</v>
      </c>
      <c r="C272" s="8">
        <f>6.6632 * CHOOSE(CONTROL!$C$15, $D$11, 100%, $F$11)</f>
        <v>6.6631999999999998</v>
      </c>
      <c r="D272" s="8">
        <f>6.6671 * CHOOSE( CONTROL!$C$15, $D$11, 100%, $F$11)</f>
        <v>6.6670999999999996</v>
      </c>
      <c r="E272" s="12">
        <f>6.6646 * CHOOSE( CONTROL!$C$15, $D$11, 100%, $F$11)</f>
        <v>6.6646000000000001</v>
      </c>
      <c r="F272" s="4">
        <f>7.6601 * CHOOSE(CONTROL!$C$15, $D$11, 100%, $F$11)</f>
        <v>7.6600999999999999</v>
      </c>
      <c r="G272" s="8">
        <f>6.4804 * CHOOSE( CONTROL!$C$15, $D$11, 100%, $F$11)</f>
        <v>6.4804000000000004</v>
      </c>
      <c r="H272" s="4">
        <f>7.3906 * CHOOSE(CONTROL!$C$15, $D$11, 100%, $F$11)</f>
        <v>7.3906000000000001</v>
      </c>
      <c r="I272" s="8">
        <f>6.4214 * CHOOSE(CONTROL!$C$15, $D$11, 100%, $F$11)</f>
        <v>6.4214000000000002</v>
      </c>
      <c r="J272" s="4">
        <f>6.37 * CHOOSE(CONTROL!$C$15, $D$11, 100%, $F$11)</f>
        <v>6.37</v>
      </c>
      <c r="K272" s="4"/>
      <c r="L272" s="9">
        <v>27.988800000000001</v>
      </c>
      <c r="M272" s="9">
        <v>11.6745</v>
      </c>
      <c r="N272" s="9">
        <v>4.7850000000000001</v>
      </c>
      <c r="O272" s="9">
        <v>0.36249999999999999</v>
      </c>
      <c r="P272" s="9">
        <v>1.1798</v>
      </c>
      <c r="Q272" s="9">
        <v>29.530799999999999</v>
      </c>
      <c r="R272" s="9"/>
      <c r="S272" s="11"/>
    </row>
    <row r="273" spans="1:19" ht="15.75">
      <c r="A273" s="14">
        <v>50161</v>
      </c>
      <c r="B273" s="8">
        <f>CHOOSE( CONTROL!$C$32, 6.8349, 6.8299) * CHOOSE(CONTROL!$C$15, $D$11, 100%, $F$11)</f>
        <v>6.8349000000000002</v>
      </c>
      <c r="C273" s="8">
        <f>CHOOSE( CONTROL!$C$32, 6.8453, 6.8404) * CHOOSE(CONTROL!$C$15, $D$11, 100%, $F$11)</f>
        <v>6.8452999999999999</v>
      </c>
      <c r="D273" s="8">
        <f>CHOOSE( CONTROL!$C$32, 6.824, 6.819) * CHOOSE( CONTROL!$C$15, $D$11, 100%, $F$11)</f>
        <v>6.8239999999999998</v>
      </c>
      <c r="E273" s="12">
        <f>CHOOSE( CONTROL!$C$32, 6.8301, 6.8252) * CHOOSE( CONTROL!$C$15, $D$11, 100%, $F$11)</f>
        <v>6.8300999999999998</v>
      </c>
      <c r="F273" s="4">
        <f>CHOOSE( CONTROL!$C$32, 7.8098, 7.8048) * CHOOSE(CONTROL!$C$15, $D$11, 100%, $F$11)</f>
        <v>7.8098000000000001</v>
      </c>
      <c r="G273" s="8">
        <f>CHOOSE( CONTROL!$C$32, 6.6393, 6.6345) * CHOOSE( CONTROL!$C$15, $D$11, 100%, $F$11)</f>
        <v>6.6393000000000004</v>
      </c>
      <c r="H273" s="4">
        <f>CHOOSE( CONTROL!$C$32, 7.5365, 7.5317) * CHOOSE(CONTROL!$C$15, $D$11, 100%, $F$11)</f>
        <v>7.5365000000000002</v>
      </c>
      <c r="I273" s="8">
        <f>CHOOSE( CONTROL!$C$32, 6.5744, 6.5697) * CHOOSE(CONTROL!$C$15, $D$11, 100%, $F$11)</f>
        <v>6.5743999999999998</v>
      </c>
      <c r="J273" s="4">
        <f>CHOOSE( CONTROL!$C$32, 6.5444, 6.5397) * CHOOSE(CONTROL!$C$15, $D$11, 100%, $F$11)</f>
        <v>6.5444000000000004</v>
      </c>
      <c r="K273" s="4"/>
      <c r="L273" s="9">
        <v>29.520499999999998</v>
      </c>
      <c r="M273" s="9">
        <v>12.063700000000001</v>
      </c>
      <c r="N273" s="9">
        <v>4.9444999999999997</v>
      </c>
      <c r="O273" s="9">
        <v>0.37459999999999999</v>
      </c>
      <c r="P273" s="9">
        <v>1.2192000000000001</v>
      </c>
      <c r="Q273" s="9">
        <v>30.5152</v>
      </c>
      <c r="R273" s="9"/>
      <c r="S273" s="11"/>
    </row>
    <row r="274" spans="1:19" ht="15.75">
      <c r="A274" s="14">
        <v>50192</v>
      </c>
      <c r="B274" s="8">
        <f>CHOOSE( CONTROL!$C$32, 6.7251, 6.7202) * CHOOSE(CONTROL!$C$15, $D$11, 100%, $F$11)</f>
        <v>6.7251000000000003</v>
      </c>
      <c r="C274" s="8">
        <f>CHOOSE( CONTROL!$C$32, 6.7356, 6.7306) * CHOOSE(CONTROL!$C$15, $D$11, 100%, $F$11)</f>
        <v>6.7355999999999998</v>
      </c>
      <c r="D274" s="8">
        <f>CHOOSE( CONTROL!$C$32, 6.7277, 6.7227) * CHOOSE( CONTROL!$C$15, $D$11, 100%, $F$11)</f>
        <v>6.7276999999999996</v>
      </c>
      <c r="E274" s="12">
        <f>CHOOSE( CONTROL!$C$32, 6.729, 6.724) * CHOOSE( CONTROL!$C$15, $D$11, 100%, $F$11)</f>
        <v>6.7290000000000001</v>
      </c>
      <c r="F274" s="4">
        <f>CHOOSE( CONTROL!$C$32, 7.7193, 7.7144) * CHOOSE(CONTROL!$C$15, $D$11, 100%, $F$11)</f>
        <v>7.7192999999999996</v>
      </c>
      <c r="G274" s="8">
        <f>CHOOSE( CONTROL!$C$32, 6.5427, 6.5379) * CHOOSE( CONTROL!$C$15, $D$11, 100%, $F$11)</f>
        <v>6.5427</v>
      </c>
      <c r="H274" s="4">
        <f>CHOOSE( CONTROL!$C$32, 7.4484, 7.4435) * CHOOSE(CONTROL!$C$15, $D$11, 100%, $F$11)</f>
        <v>7.4484000000000004</v>
      </c>
      <c r="I274" s="8">
        <f>CHOOSE( CONTROL!$C$32, 6.487, 6.4823) * CHOOSE(CONTROL!$C$15, $D$11, 100%, $F$11)</f>
        <v>6.4870000000000001</v>
      </c>
      <c r="J274" s="4">
        <f>CHOOSE( CONTROL!$C$32, 6.4393, 6.4345) * CHOOSE(CONTROL!$C$15, $D$11, 100%, $F$11)</f>
        <v>6.4393000000000002</v>
      </c>
      <c r="K274" s="4"/>
      <c r="L274" s="9">
        <v>28.568200000000001</v>
      </c>
      <c r="M274" s="9">
        <v>11.6745</v>
      </c>
      <c r="N274" s="9">
        <v>4.7850000000000001</v>
      </c>
      <c r="O274" s="9">
        <v>0.36249999999999999</v>
      </c>
      <c r="P274" s="9">
        <v>1.1798</v>
      </c>
      <c r="Q274" s="9">
        <v>29.530799999999999</v>
      </c>
      <c r="R274" s="9"/>
      <c r="S274" s="11"/>
    </row>
    <row r="275" spans="1:19" ht="15.75">
      <c r="A275" s="14">
        <v>50222</v>
      </c>
      <c r="B275" s="8">
        <f>CHOOSE( CONTROL!$C$32, 7.0141, 7.0092) * CHOOSE(CONTROL!$C$15, $D$11, 100%, $F$11)</f>
        <v>7.0141</v>
      </c>
      <c r="C275" s="8">
        <f>CHOOSE( CONTROL!$C$32, 7.0245, 7.0196) * CHOOSE(CONTROL!$C$15, $D$11, 100%, $F$11)</f>
        <v>7.0244999999999997</v>
      </c>
      <c r="D275" s="8">
        <f>CHOOSE( CONTROL!$C$32, 7.0235, 7.0186) * CHOOSE( CONTROL!$C$15, $D$11, 100%, $F$11)</f>
        <v>7.0235000000000003</v>
      </c>
      <c r="E275" s="12">
        <f>CHOOSE( CONTROL!$C$32, 7.0223, 7.0174) * CHOOSE( CONTROL!$C$15, $D$11, 100%, $F$11)</f>
        <v>7.0223000000000004</v>
      </c>
      <c r="F275" s="4">
        <f>CHOOSE( CONTROL!$C$32, 8.0187, 8.0138) * CHOOSE(CONTROL!$C$15, $D$11, 100%, $F$11)</f>
        <v>8.0187000000000008</v>
      </c>
      <c r="G275" s="8">
        <f>CHOOSE( CONTROL!$C$32, 6.8285, 6.8237) * CHOOSE( CONTROL!$C$15, $D$11, 100%, $F$11)</f>
        <v>6.8285</v>
      </c>
      <c r="H275" s="4">
        <f>CHOOSE( CONTROL!$C$32, 7.7402, 7.7354) * CHOOSE(CONTROL!$C$15, $D$11, 100%, $F$11)</f>
        <v>7.7401999999999997</v>
      </c>
      <c r="I275" s="8">
        <f>CHOOSE( CONTROL!$C$32, 6.7717, 6.7669) * CHOOSE(CONTROL!$C$15, $D$11, 100%, $F$11)</f>
        <v>6.7717000000000001</v>
      </c>
      <c r="J275" s="4">
        <f>CHOOSE( CONTROL!$C$32, 6.7162, 6.7114) * CHOOSE(CONTROL!$C$15, $D$11, 100%, $F$11)</f>
        <v>6.7161999999999997</v>
      </c>
      <c r="K275" s="4"/>
      <c r="L275" s="9">
        <v>29.520499999999998</v>
      </c>
      <c r="M275" s="9">
        <v>12.063700000000001</v>
      </c>
      <c r="N275" s="9">
        <v>4.9444999999999997</v>
      </c>
      <c r="O275" s="9">
        <v>0.37459999999999999</v>
      </c>
      <c r="P275" s="9">
        <v>1.2192000000000001</v>
      </c>
      <c r="Q275" s="9">
        <v>30.5152</v>
      </c>
      <c r="R275" s="9"/>
      <c r="S275" s="11"/>
    </row>
    <row r="276" spans="1:19" ht="15.75">
      <c r="A276" s="14">
        <v>50253</v>
      </c>
      <c r="B276" s="8">
        <f>CHOOSE( CONTROL!$C$32, 6.4734, 6.4685) * CHOOSE(CONTROL!$C$15, $D$11, 100%, $F$11)</f>
        <v>6.4733999999999998</v>
      </c>
      <c r="C276" s="8">
        <f>CHOOSE( CONTROL!$C$32, 6.4839, 6.4789) * CHOOSE(CONTROL!$C$15, $D$11, 100%, $F$11)</f>
        <v>6.4839000000000002</v>
      </c>
      <c r="D276" s="8">
        <f>CHOOSE( CONTROL!$C$32, 6.484, 6.4791) * CHOOSE( CONTROL!$C$15, $D$11, 100%, $F$11)</f>
        <v>6.484</v>
      </c>
      <c r="E276" s="12">
        <f>CHOOSE( CONTROL!$C$32, 6.4824, 6.4774) * CHOOSE( CONTROL!$C$15, $D$11, 100%, $F$11)</f>
        <v>6.4824000000000002</v>
      </c>
      <c r="F276" s="4">
        <f>CHOOSE( CONTROL!$C$32, 7.4859, 7.481) * CHOOSE(CONTROL!$C$15, $D$11, 100%, $F$11)</f>
        <v>7.4859</v>
      </c>
      <c r="G276" s="8">
        <f>CHOOSE( CONTROL!$C$32, 6.2966, 6.2918) * CHOOSE( CONTROL!$C$15, $D$11, 100%, $F$11)</f>
        <v>6.2965999999999998</v>
      </c>
      <c r="H276" s="4">
        <f>CHOOSE( CONTROL!$C$32, 7.2208, 7.216) * CHOOSE(CONTROL!$C$15, $D$11, 100%, $F$11)</f>
        <v>7.2207999999999997</v>
      </c>
      <c r="I276" s="8">
        <f>CHOOSE( CONTROL!$C$32, 6.2443, 6.2396) * CHOOSE(CONTROL!$C$15, $D$11, 100%, $F$11)</f>
        <v>6.2443</v>
      </c>
      <c r="J276" s="4">
        <f>CHOOSE( CONTROL!$C$32, 6.1981, 6.1934) * CHOOSE(CONTROL!$C$15, $D$11, 100%, $F$11)</f>
        <v>6.1981000000000002</v>
      </c>
      <c r="K276" s="4"/>
      <c r="L276" s="9">
        <v>29.520499999999998</v>
      </c>
      <c r="M276" s="9">
        <v>12.063700000000001</v>
      </c>
      <c r="N276" s="9">
        <v>4.9444999999999997</v>
      </c>
      <c r="O276" s="9">
        <v>0.37459999999999999</v>
      </c>
      <c r="P276" s="9">
        <v>1.2192000000000001</v>
      </c>
      <c r="Q276" s="9">
        <v>30.5152</v>
      </c>
      <c r="R276" s="9"/>
      <c r="S276" s="11"/>
    </row>
    <row r="277" spans="1:19" ht="15.75">
      <c r="A277" s="14">
        <v>50284</v>
      </c>
      <c r="B277" s="8">
        <f>CHOOSE( CONTROL!$C$32, 6.338, 6.3331) * CHOOSE(CONTROL!$C$15, $D$11, 100%, $F$11)</f>
        <v>6.3380000000000001</v>
      </c>
      <c r="C277" s="8">
        <f>CHOOSE( CONTROL!$C$32, 6.3485, 6.3435) * CHOOSE(CONTROL!$C$15, $D$11, 100%, $F$11)</f>
        <v>6.3484999999999996</v>
      </c>
      <c r="D277" s="8">
        <f>CHOOSE( CONTROL!$C$32, 6.3489, 6.344) * CHOOSE( CONTROL!$C$15, $D$11, 100%, $F$11)</f>
        <v>6.3489000000000004</v>
      </c>
      <c r="E277" s="12">
        <f>CHOOSE( CONTROL!$C$32, 6.3472, 6.3422) * CHOOSE( CONTROL!$C$15, $D$11, 100%, $F$11)</f>
        <v>6.3472</v>
      </c>
      <c r="F277" s="4">
        <f>CHOOSE( CONTROL!$C$32, 7.3505, 7.3456) * CHOOSE(CONTROL!$C$15, $D$11, 100%, $F$11)</f>
        <v>7.3505000000000003</v>
      </c>
      <c r="G277" s="8">
        <f>CHOOSE( CONTROL!$C$32, 6.1651, 6.1603) * CHOOSE( CONTROL!$C$15, $D$11, 100%, $F$11)</f>
        <v>6.1650999999999998</v>
      </c>
      <c r="H277" s="4">
        <f>CHOOSE( CONTROL!$C$32, 7.0888, 7.084) * CHOOSE(CONTROL!$C$15, $D$11, 100%, $F$11)</f>
        <v>7.0888</v>
      </c>
      <c r="I277" s="8">
        <f>CHOOSE( CONTROL!$C$32, 6.1159, 6.1112) * CHOOSE(CONTROL!$C$15, $D$11, 100%, $F$11)</f>
        <v>6.1158999999999999</v>
      </c>
      <c r="J277" s="4">
        <f>CHOOSE( CONTROL!$C$32, 6.0683, 6.0636) * CHOOSE(CONTROL!$C$15, $D$11, 100%, $F$11)</f>
        <v>6.0682999999999998</v>
      </c>
      <c r="K277" s="4"/>
      <c r="L277" s="9">
        <v>28.568200000000001</v>
      </c>
      <c r="M277" s="9">
        <v>11.6745</v>
      </c>
      <c r="N277" s="9">
        <v>4.7850000000000001</v>
      </c>
      <c r="O277" s="9">
        <v>0.36249999999999999</v>
      </c>
      <c r="P277" s="9">
        <v>1.1798</v>
      </c>
      <c r="Q277" s="9">
        <v>29.530799999999999</v>
      </c>
      <c r="R277" s="9"/>
      <c r="S277" s="11"/>
    </row>
    <row r="278" spans="1:19" ht="15.75">
      <c r="A278" s="14">
        <v>50314</v>
      </c>
      <c r="B278" s="8">
        <f>6.6142 * CHOOSE(CONTROL!$C$15, $D$11, 100%, $F$11)</f>
        <v>6.6142000000000003</v>
      </c>
      <c r="C278" s="8">
        <f>6.6247 * CHOOSE(CONTROL!$C$15, $D$11, 100%, $F$11)</f>
        <v>6.6246999999999998</v>
      </c>
      <c r="D278" s="8">
        <f>6.6263 * CHOOSE( CONTROL!$C$15, $D$11, 100%, $F$11)</f>
        <v>6.6262999999999996</v>
      </c>
      <c r="E278" s="12">
        <f>6.6247 * CHOOSE( CONTROL!$C$15, $D$11, 100%, $F$11)</f>
        <v>6.6246999999999998</v>
      </c>
      <c r="F278" s="4">
        <f>7.6267 * CHOOSE(CONTROL!$C$15, $D$11, 100%, $F$11)</f>
        <v>7.6266999999999996</v>
      </c>
      <c r="G278" s="8">
        <f>6.4339 * CHOOSE( CONTROL!$C$15, $D$11, 100%, $F$11)</f>
        <v>6.4339000000000004</v>
      </c>
      <c r="H278" s="4">
        <f>7.358 * CHOOSE(CONTROL!$C$15, $D$11, 100%, $F$11)</f>
        <v>7.3579999999999997</v>
      </c>
      <c r="I278" s="8">
        <f>6.383 * CHOOSE(CONTROL!$C$15, $D$11, 100%, $F$11)</f>
        <v>6.383</v>
      </c>
      <c r="J278" s="4">
        <f>6.333 * CHOOSE(CONTROL!$C$15, $D$11, 100%, $F$11)</f>
        <v>6.3330000000000002</v>
      </c>
      <c r="K278" s="4"/>
      <c r="L278" s="9">
        <v>28.921800000000001</v>
      </c>
      <c r="M278" s="9">
        <v>12.063700000000001</v>
      </c>
      <c r="N278" s="9">
        <v>4.9444999999999997</v>
      </c>
      <c r="O278" s="9">
        <v>0.37459999999999999</v>
      </c>
      <c r="P278" s="9">
        <v>1.2192000000000001</v>
      </c>
      <c r="Q278" s="9">
        <v>30.5152</v>
      </c>
      <c r="R278" s="9"/>
      <c r="S278" s="11"/>
    </row>
    <row r="279" spans="1:19" ht="15.75">
      <c r="A279" s="14">
        <v>50345</v>
      </c>
      <c r="B279" s="8">
        <f>7.1331 * CHOOSE(CONTROL!$C$15, $D$11, 100%, $F$11)</f>
        <v>7.1330999999999998</v>
      </c>
      <c r="C279" s="8">
        <f>7.1435 * CHOOSE(CONTROL!$C$15, $D$11, 100%, $F$11)</f>
        <v>7.1435000000000004</v>
      </c>
      <c r="D279" s="8">
        <f>7.1246 * CHOOSE( CONTROL!$C$15, $D$11, 100%, $F$11)</f>
        <v>7.1246</v>
      </c>
      <c r="E279" s="12">
        <f>7.1304 * CHOOSE( CONTROL!$C$15, $D$11, 100%, $F$11)</f>
        <v>7.1303999999999998</v>
      </c>
      <c r="F279" s="4">
        <f>8.1299 * CHOOSE(CONTROL!$C$15, $D$11, 100%, $F$11)</f>
        <v>8.1298999999999992</v>
      </c>
      <c r="G279" s="8">
        <f>6.9627 * CHOOSE( CONTROL!$C$15, $D$11, 100%, $F$11)</f>
        <v>6.9626999999999999</v>
      </c>
      <c r="H279" s="4">
        <f>7.8486 * CHOOSE(CONTROL!$C$15, $D$11, 100%, $F$11)</f>
        <v>7.8486000000000002</v>
      </c>
      <c r="I279" s="8">
        <f>6.9269 * CHOOSE(CONTROL!$C$15, $D$11, 100%, $F$11)</f>
        <v>6.9268999999999998</v>
      </c>
      <c r="J279" s="4">
        <f>6.8302 * CHOOSE(CONTROL!$C$15, $D$11, 100%, $F$11)</f>
        <v>6.8301999999999996</v>
      </c>
      <c r="K279" s="4"/>
      <c r="L279" s="9">
        <v>26.515499999999999</v>
      </c>
      <c r="M279" s="9">
        <v>11.6745</v>
      </c>
      <c r="N279" s="9">
        <v>4.7850000000000001</v>
      </c>
      <c r="O279" s="9">
        <v>0.36249999999999999</v>
      </c>
      <c r="P279" s="9">
        <v>1.2522</v>
      </c>
      <c r="Q279" s="9">
        <v>29.530799999999999</v>
      </c>
      <c r="R279" s="9"/>
      <c r="S279" s="11"/>
    </row>
    <row r="280" spans="1:19" ht="15.75">
      <c r="A280" s="14">
        <v>50375</v>
      </c>
      <c r="B280" s="8">
        <f>7.1201 * CHOOSE(CONTROL!$C$15, $D$11, 100%, $F$11)</f>
        <v>7.1200999999999999</v>
      </c>
      <c r="C280" s="8">
        <f>7.1306 * CHOOSE(CONTROL!$C$15, $D$11, 100%, $F$11)</f>
        <v>7.1306000000000003</v>
      </c>
      <c r="D280" s="8">
        <f>7.1142 * CHOOSE( CONTROL!$C$15, $D$11, 100%, $F$11)</f>
        <v>7.1142000000000003</v>
      </c>
      <c r="E280" s="12">
        <f>7.1191 * CHOOSE( CONTROL!$C$15, $D$11, 100%, $F$11)</f>
        <v>7.1191000000000004</v>
      </c>
      <c r="F280" s="4">
        <f>8.117 * CHOOSE(CONTROL!$C$15, $D$11, 100%, $F$11)</f>
        <v>8.1170000000000009</v>
      </c>
      <c r="G280" s="8">
        <f>6.952 * CHOOSE( CONTROL!$C$15, $D$11, 100%, $F$11)</f>
        <v>6.952</v>
      </c>
      <c r="H280" s="4">
        <f>7.8359 * CHOOSE(CONTROL!$C$15, $D$11, 100%, $F$11)</f>
        <v>7.8358999999999996</v>
      </c>
      <c r="I280" s="8">
        <f>6.9233 * CHOOSE(CONTROL!$C$15, $D$11, 100%, $F$11)</f>
        <v>6.9233000000000002</v>
      </c>
      <c r="J280" s="4">
        <f>6.8178 * CHOOSE(CONTROL!$C$15, $D$11, 100%, $F$11)</f>
        <v>6.8178000000000001</v>
      </c>
      <c r="K280" s="4"/>
      <c r="L280" s="9">
        <v>27.3993</v>
      </c>
      <c r="M280" s="9">
        <v>12.063700000000001</v>
      </c>
      <c r="N280" s="9">
        <v>4.9444999999999997</v>
      </c>
      <c r="O280" s="9">
        <v>0.37459999999999999</v>
      </c>
      <c r="P280" s="9">
        <v>1.2939000000000001</v>
      </c>
      <c r="Q280" s="9">
        <v>30.5152</v>
      </c>
      <c r="R280" s="9"/>
      <c r="S280" s="11"/>
    </row>
    <row r="281" spans="1:19" ht="15.75">
      <c r="A281" s="13">
        <v>50436</v>
      </c>
      <c r="B281" s="8">
        <f>7.3921 * CHOOSE(CONTROL!$C$15, $D$11, 100%, $F$11)</f>
        <v>7.3921000000000001</v>
      </c>
      <c r="C281" s="8">
        <f>7.4025 * CHOOSE(CONTROL!$C$15, $D$11, 100%, $F$11)</f>
        <v>7.4024999999999999</v>
      </c>
      <c r="D281" s="8">
        <f>7.4011 * CHOOSE( CONTROL!$C$15, $D$11, 100%, $F$11)</f>
        <v>7.4010999999999996</v>
      </c>
      <c r="E281" s="12">
        <f>7.4005 * CHOOSE( CONTROL!$C$15, $D$11, 100%, $F$11)</f>
        <v>7.4005000000000001</v>
      </c>
      <c r="F281" s="4">
        <f>8.415 * CHOOSE(CONTROL!$C$15, $D$11, 100%, $F$11)</f>
        <v>8.4149999999999991</v>
      </c>
      <c r="G281" s="8">
        <f>7.2339 * CHOOSE( CONTROL!$C$15, $D$11, 100%, $F$11)</f>
        <v>7.2339000000000002</v>
      </c>
      <c r="H281" s="4">
        <f>8.1264 * CHOOSE(CONTROL!$C$15, $D$11, 100%, $F$11)</f>
        <v>8.1264000000000003</v>
      </c>
      <c r="I281" s="8">
        <f>7.1905 * CHOOSE(CONTROL!$C$15, $D$11, 100%, $F$11)</f>
        <v>7.1905000000000001</v>
      </c>
      <c r="J281" s="4">
        <f>7.0783 * CHOOSE(CONTROL!$C$15, $D$11, 100%, $F$11)</f>
        <v>7.0782999999999996</v>
      </c>
      <c r="K281" s="4"/>
      <c r="L281" s="9">
        <v>27.3993</v>
      </c>
      <c r="M281" s="9">
        <v>12.063700000000001</v>
      </c>
      <c r="N281" s="9">
        <v>4.9444999999999997</v>
      </c>
      <c r="O281" s="9">
        <v>0.37459999999999999</v>
      </c>
      <c r="P281" s="9">
        <v>1.2939000000000001</v>
      </c>
      <c r="Q281" s="9">
        <v>30.451899999999998</v>
      </c>
      <c r="R281" s="9"/>
      <c r="S281" s="11"/>
    </row>
    <row r="282" spans="1:19" ht="15.75">
      <c r="A282" s="13">
        <v>50464</v>
      </c>
      <c r="B282" s="8">
        <f>6.9145 * CHOOSE(CONTROL!$C$15, $D$11, 100%, $F$11)</f>
        <v>6.9145000000000003</v>
      </c>
      <c r="C282" s="8">
        <f>6.925 * CHOOSE(CONTROL!$C$15, $D$11, 100%, $F$11)</f>
        <v>6.9249999999999998</v>
      </c>
      <c r="D282" s="8">
        <f>6.9258 * CHOOSE( CONTROL!$C$15, $D$11, 100%, $F$11)</f>
        <v>6.9257999999999997</v>
      </c>
      <c r="E282" s="12">
        <f>6.9244 * CHOOSE( CONTROL!$C$15, $D$11, 100%, $F$11)</f>
        <v>6.9244000000000003</v>
      </c>
      <c r="F282" s="4">
        <f>7.9296 * CHOOSE(CONTROL!$C$15, $D$11, 100%, $F$11)</f>
        <v>7.9295999999999998</v>
      </c>
      <c r="G282" s="8">
        <f>6.7682 * CHOOSE( CONTROL!$C$15, $D$11, 100%, $F$11)</f>
        <v>6.7682000000000002</v>
      </c>
      <c r="H282" s="4">
        <f>7.6533 * CHOOSE(CONTROL!$C$15, $D$11, 100%, $F$11)</f>
        <v>7.6532999999999998</v>
      </c>
      <c r="I282" s="8">
        <f>6.7217 * CHOOSE(CONTROL!$C$15, $D$11, 100%, $F$11)</f>
        <v>6.7217000000000002</v>
      </c>
      <c r="J282" s="4">
        <f>6.6207 * CHOOSE(CONTROL!$C$15, $D$11, 100%, $F$11)</f>
        <v>6.6207000000000003</v>
      </c>
      <c r="K282" s="4"/>
      <c r="L282" s="9">
        <v>24.747800000000002</v>
      </c>
      <c r="M282" s="9">
        <v>10.8962</v>
      </c>
      <c r="N282" s="9">
        <v>4.4660000000000002</v>
      </c>
      <c r="O282" s="9">
        <v>0.33829999999999999</v>
      </c>
      <c r="P282" s="9">
        <v>1.1687000000000001</v>
      </c>
      <c r="Q282" s="9">
        <v>27.504999999999999</v>
      </c>
      <c r="R282" s="9"/>
      <c r="S282" s="11"/>
    </row>
    <row r="283" spans="1:19" ht="15.75">
      <c r="A283" s="13">
        <v>50495</v>
      </c>
      <c r="B283" s="8">
        <f>6.7674 * CHOOSE(CONTROL!$C$15, $D$11, 100%, $F$11)</f>
        <v>6.7674000000000003</v>
      </c>
      <c r="C283" s="8">
        <f>6.7779 * CHOOSE(CONTROL!$C$15, $D$11, 100%, $F$11)</f>
        <v>6.7778999999999998</v>
      </c>
      <c r="D283" s="8">
        <f>6.7584 * CHOOSE( CONTROL!$C$15, $D$11, 100%, $F$11)</f>
        <v>6.7584</v>
      </c>
      <c r="E283" s="12">
        <f>6.7644 * CHOOSE( CONTROL!$C$15, $D$11, 100%, $F$11)</f>
        <v>6.7644000000000002</v>
      </c>
      <c r="F283" s="4">
        <f>7.7663 * CHOOSE(CONTROL!$C$15, $D$11, 100%, $F$11)</f>
        <v>7.7663000000000002</v>
      </c>
      <c r="G283" s="8">
        <f>6.6042 * CHOOSE( CONTROL!$C$15, $D$11, 100%, $F$11)</f>
        <v>6.6041999999999996</v>
      </c>
      <c r="H283" s="4">
        <f>7.4942 * CHOOSE(CONTROL!$C$15, $D$11, 100%, $F$11)</f>
        <v>7.4942000000000002</v>
      </c>
      <c r="I283" s="8">
        <f>6.5412 * CHOOSE(CONTROL!$C$15, $D$11, 100%, $F$11)</f>
        <v>6.5411999999999999</v>
      </c>
      <c r="J283" s="4">
        <f>6.4798 * CHOOSE(CONTROL!$C$15, $D$11, 100%, $F$11)</f>
        <v>6.4798</v>
      </c>
      <c r="K283" s="4"/>
      <c r="L283" s="9">
        <v>27.3993</v>
      </c>
      <c r="M283" s="9">
        <v>12.063700000000001</v>
      </c>
      <c r="N283" s="9">
        <v>4.9444999999999997</v>
      </c>
      <c r="O283" s="9">
        <v>0.37459999999999999</v>
      </c>
      <c r="P283" s="9">
        <v>1.2939000000000001</v>
      </c>
      <c r="Q283" s="9">
        <v>30.451899999999998</v>
      </c>
      <c r="R283" s="9"/>
      <c r="S283" s="11"/>
    </row>
    <row r="284" spans="1:19" ht="15.75">
      <c r="A284" s="13">
        <v>50525</v>
      </c>
      <c r="B284" s="8">
        <f>6.8702 * CHOOSE(CONTROL!$C$15, $D$11, 100%, $F$11)</f>
        <v>6.8701999999999996</v>
      </c>
      <c r="C284" s="8">
        <f>6.8806 * CHOOSE(CONTROL!$C$15, $D$11, 100%, $F$11)</f>
        <v>6.8806000000000003</v>
      </c>
      <c r="D284" s="8">
        <f>6.8845 * CHOOSE( CONTROL!$C$15, $D$11, 100%, $F$11)</f>
        <v>6.8845000000000001</v>
      </c>
      <c r="E284" s="12">
        <f>6.882 * CHOOSE( CONTROL!$C$15, $D$11, 100%, $F$11)</f>
        <v>6.8819999999999997</v>
      </c>
      <c r="F284" s="4">
        <f>7.8775 * CHOOSE(CONTROL!$C$15, $D$11, 100%, $F$11)</f>
        <v>7.8775000000000004</v>
      </c>
      <c r="G284" s="8">
        <f>6.6923 * CHOOSE( CONTROL!$C$15, $D$11, 100%, $F$11)</f>
        <v>6.6923000000000004</v>
      </c>
      <c r="H284" s="4">
        <f>7.6025 * CHOOSE(CONTROL!$C$15, $D$11, 100%, $F$11)</f>
        <v>7.6025</v>
      </c>
      <c r="I284" s="8">
        <f>6.6298 * CHOOSE(CONTROL!$C$15, $D$11, 100%, $F$11)</f>
        <v>6.6298000000000004</v>
      </c>
      <c r="J284" s="4">
        <f>6.5783 * CHOOSE(CONTROL!$C$15, $D$11, 100%, $F$11)</f>
        <v>6.5782999999999996</v>
      </c>
      <c r="K284" s="4"/>
      <c r="L284" s="9">
        <v>27.988800000000001</v>
      </c>
      <c r="M284" s="9">
        <v>11.6745</v>
      </c>
      <c r="N284" s="9">
        <v>4.7850000000000001</v>
      </c>
      <c r="O284" s="9">
        <v>0.36249999999999999</v>
      </c>
      <c r="P284" s="9">
        <v>1.1798</v>
      </c>
      <c r="Q284" s="9">
        <v>29.4696</v>
      </c>
      <c r="R284" s="9"/>
      <c r="S284" s="11"/>
    </row>
    <row r="285" spans="1:19" ht="15.75">
      <c r="A285" s="13">
        <v>50556</v>
      </c>
      <c r="B285" s="8">
        <f>CHOOSE( CONTROL!$C$32, 7.0581, 7.0531) * CHOOSE(CONTROL!$C$15, $D$11, 100%, $F$11)</f>
        <v>7.0580999999999996</v>
      </c>
      <c r="C285" s="8">
        <f>CHOOSE( CONTROL!$C$32, 7.0685, 7.0636) * CHOOSE(CONTROL!$C$15, $D$11, 100%, $F$11)</f>
        <v>7.0685000000000002</v>
      </c>
      <c r="D285" s="8">
        <f>CHOOSE( CONTROL!$C$32, 7.0472, 7.0422) * CHOOSE( CONTROL!$C$15, $D$11, 100%, $F$11)</f>
        <v>7.0472000000000001</v>
      </c>
      <c r="E285" s="12">
        <f>CHOOSE( CONTROL!$C$32, 7.0533, 7.0484) * CHOOSE( CONTROL!$C$15, $D$11, 100%, $F$11)</f>
        <v>7.0533000000000001</v>
      </c>
      <c r="F285" s="4">
        <f>CHOOSE( CONTROL!$C$32, 8.033, 8.028) * CHOOSE(CONTROL!$C$15, $D$11, 100%, $F$11)</f>
        <v>8.0329999999999995</v>
      </c>
      <c r="G285" s="8">
        <f>CHOOSE( CONTROL!$C$32, 6.8568, 6.852) * CHOOSE( CONTROL!$C$15, $D$11, 100%, $F$11)</f>
        <v>6.8567999999999998</v>
      </c>
      <c r="H285" s="4">
        <f>CHOOSE( CONTROL!$C$32, 7.7541, 7.7493) * CHOOSE(CONTROL!$C$15, $D$11, 100%, $F$11)</f>
        <v>7.7541000000000002</v>
      </c>
      <c r="I285" s="8">
        <f>CHOOSE( CONTROL!$C$32, 6.7884, 6.7836) * CHOOSE(CONTROL!$C$15, $D$11, 100%, $F$11)</f>
        <v>6.7884000000000002</v>
      </c>
      <c r="J285" s="4">
        <f>CHOOSE( CONTROL!$C$32, 6.7583, 6.7536) * CHOOSE(CONTROL!$C$15, $D$11, 100%, $F$11)</f>
        <v>6.7583000000000002</v>
      </c>
      <c r="K285" s="4"/>
      <c r="L285" s="9">
        <v>29.520499999999998</v>
      </c>
      <c r="M285" s="9">
        <v>12.063700000000001</v>
      </c>
      <c r="N285" s="9">
        <v>4.9444999999999997</v>
      </c>
      <c r="O285" s="9">
        <v>0.37459999999999999</v>
      </c>
      <c r="P285" s="9">
        <v>1.2192000000000001</v>
      </c>
      <c r="Q285" s="9">
        <v>30.451899999999998</v>
      </c>
      <c r="R285" s="9"/>
      <c r="S285" s="11"/>
    </row>
    <row r="286" spans="1:19" ht="15.75">
      <c r="A286" s="13">
        <v>50586</v>
      </c>
      <c r="B286" s="8">
        <f>CHOOSE( CONTROL!$C$32, 6.9448, 6.9398) * CHOOSE(CONTROL!$C$15, $D$11, 100%, $F$11)</f>
        <v>6.9447999999999999</v>
      </c>
      <c r="C286" s="8">
        <f>CHOOSE( CONTROL!$C$32, 6.9552, 6.9503) * CHOOSE(CONTROL!$C$15, $D$11, 100%, $F$11)</f>
        <v>6.9551999999999996</v>
      </c>
      <c r="D286" s="8">
        <f>CHOOSE( CONTROL!$C$32, 6.9473, 6.9424) * CHOOSE( CONTROL!$C$15, $D$11, 100%, $F$11)</f>
        <v>6.9473000000000003</v>
      </c>
      <c r="E286" s="12">
        <f>CHOOSE( CONTROL!$C$32, 6.9486, 6.9437) * CHOOSE( CONTROL!$C$15, $D$11, 100%, $F$11)</f>
        <v>6.9485999999999999</v>
      </c>
      <c r="F286" s="4">
        <f>CHOOSE( CONTROL!$C$32, 7.939, 7.934) * CHOOSE(CONTROL!$C$15, $D$11, 100%, $F$11)</f>
        <v>7.9390000000000001</v>
      </c>
      <c r="G286" s="8">
        <f>CHOOSE( CONTROL!$C$32, 6.7568, 6.752) * CHOOSE( CONTROL!$C$15, $D$11, 100%, $F$11)</f>
        <v>6.7568000000000001</v>
      </c>
      <c r="H286" s="4">
        <f>CHOOSE( CONTROL!$C$32, 7.6624, 7.6576) * CHOOSE(CONTROL!$C$15, $D$11, 100%, $F$11)</f>
        <v>7.6623999999999999</v>
      </c>
      <c r="I286" s="8">
        <f>CHOOSE( CONTROL!$C$32, 6.6976, 6.6928) * CHOOSE(CONTROL!$C$15, $D$11, 100%, $F$11)</f>
        <v>6.6976000000000004</v>
      </c>
      <c r="J286" s="4">
        <f>CHOOSE( CONTROL!$C$32, 6.6497, 6.645) * CHOOSE(CONTROL!$C$15, $D$11, 100%, $F$11)</f>
        <v>6.6497000000000002</v>
      </c>
      <c r="K286" s="4"/>
      <c r="L286" s="9">
        <v>28.568200000000001</v>
      </c>
      <c r="M286" s="9">
        <v>11.6745</v>
      </c>
      <c r="N286" s="9">
        <v>4.7850000000000001</v>
      </c>
      <c r="O286" s="9">
        <v>0.36249999999999999</v>
      </c>
      <c r="P286" s="9">
        <v>1.1798</v>
      </c>
      <c r="Q286" s="9">
        <v>29.4696</v>
      </c>
      <c r="R286" s="9"/>
      <c r="S286" s="11"/>
    </row>
    <row r="287" spans="1:19" ht="15.75">
      <c r="A287" s="13">
        <v>50617</v>
      </c>
      <c r="B287" s="8">
        <f>CHOOSE( CONTROL!$C$32, 7.2432, 7.2382) * CHOOSE(CONTROL!$C$15, $D$11, 100%, $F$11)</f>
        <v>7.2431999999999999</v>
      </c>
      <c r="C287" s="8">
        <f>CHOOSE( CONTROL!$C$32, 7.2536, 7.2487) * CHOOSE(CONTROL!$C$15, $D$11, 100%, $F$11)</f>
        <v>7.2535999999999996</v>
      </c>
      <c r="D287" s="8">
        <f>CHOOSE( CONTROL!$C$32, 7.2526, 7.2477) * CHOOSE( CONTROL!$C$15, $D$11, 100%, $F$11)</f>
        <v>7.2526000000000002</v>
      </c>
      <c r="E287" s="12">
        <f>CHOOSE( CONTROL!$C$32, 7.2514, 7.2465) * CHOOSE( CONTROL!$C$15, $D$11, 100%, $F$11)</f>
        <v>7.2514000000000003</v>
      </c>
      <c r="F287" s="4">
        <f>CHOOSE( CONTROL!$C$32, 8.2478, 8.2429) * CHOOSE(CONTROL!$C$15, $D$11, 100%, $F$11)</f>
        <v>8.2477999999999998</v>
      </c>
      <c r="G287" s="8">
        <f>CHOOSE( CONTROL!$C$32, 7.0518, 7.047) * CHOOSE( CONTROL!$C$15, $D$11, 100%, $F$11)</f>
        <v>7.0518000000000001</v>
      </c>
      <c r="H287" s="4">
        <f>CHOOSE( CONTROL!$C$32, 7.9635, 7.9587) * CHOOSE(CONTROL!$C$15, $D$11, 100%, $F$11)</f>
        <v>7.9634999999999998</v>
      </c>
      <c r="I287" s="8">
        <f>CHOOSE( CONTROL!$C$32, 6.9913, 6.9865) * CHOOSE(CONTROL!$C$15, $D$11, 100%, $F$11)</f>
        <v>6.9912999999999998</v>
      </c>
      <c r="J287" s="4">
        <f>CHOOSE( CONTROL!$C$32, 6.9356, 6.9309) * CHOOSE(CONTROL!$C$15, $D$11, 100%, $F$11)</f>
        <v>6.9356</v>
      </c>
      <c r="K287" s="4"/>
      <c r="L287" s="9">
        <v>29.520499999999998</v>
      </c>
      <c r="M287" s="9">
        <v>12.063700000000001</v>
      </c>
      <c r="N287" s="9">
        <v>4.9444999999999997</v>
      </c>
      <c r="O287" s="9">
        <v>0.37459999999999999</v>
      </c>
      <c r="P287" s="9">
        <v>1.2192000000000001</v>
      </c>
      <c r="Q287" s="9">
        <v>30.451899999999998</v>
      </c>
      <c r="R287" s="9"/>
      <c r="S287" s="11"/>
    </row>
    <row r="288" spans="1:19" ht="15.75">
      <c r="A288" s="13">
        <v>50648</v>
      </c>
      <c r="B288" s="8">
        <f>CHOOSE( CONTROL!$C$32, 6.6848, 6.6799) * CHOOSE(CONTROL!$C$15, $D$11, 100%, $F$11)</f>
        <v>6.6848000000000001</v>
      </c>
      <c r="C288" s="8">
        <f>CHOOSE( CONTROL!$C$32, 6.6952, 6.6903) * CHOOSE(CONTROL!$C$15, $D$11, 100%, $F$11)</f>
        <v>6.6951999999999998</v>
      </c>
      <c r="D288" s="8">
        <f>CHOOSE( CONTROL!$C$32, 6.6954, 6.6905) * CHOOSE( CONTROL!$C$15, $D$11, 100%, $F$11)</f>
        <v>6.6954000000000002</v>
      </c>
      <c r="E288" s="12">
        <f>CHOOSE( CONTROL!$C$32, 6.6937, 6.6888) * CHOOSE( CONTROL!$C$15, $D$11, 100%, $F$11)</f>
        <v>6.6936999999999998</v>
      </c>
      <c r="F288" s="4">
        <f>CHOOSE( CONTROL!$C$32, 7.6973, 7.6923) * CHOOSE(CONTROL!$C$15, $D$11, 100%, $F$11)</f>
        <v>7.6973000000000003</v>
      </c>
      <c r="G288" s="8">
        <f>CHOOSE( CONTROL!$C$32, 6.5027, 6.4979) * CHOOSE( CONTROL!$C$15, $D$11, 100%, $F$11)</f>
        <v>6.5026999999999999</v>
      </c>
      <c r="H288" s="4">
        <f>CHOOSE( CONTROL!$C$32, 7.4268, 7.422) * CHOOSE(CONTROL!$C$15, $D$11, 100%, $F$11)</f>
        <v>7.4268000000000001</v>
      </c>
      <c r="I288" s="8">
        <f>CHOOSE( CONTROL!$C$32, 6.447, 6.4422) * CHOOSE(CONTROL!$C$15, $D$11, 100%, $F$11)</f>
        <v>6.4470000000000001</v>
      </c>
      <c r="J288" s="4">
        <f>CHOOSE( CONTROL!$C$32, 6.4006, 6.3959) * CHOOSE(CONTROL!$C$15, $D$11, 100%, $F$11)</f>
        <v>6.4005999999999998</v>
      </c>
      <c r="K288" s="4"/>
      <c r="L288" s="9">
        <v>29.520499999999998</v>
      </c>
      <c r="M288" s="9">
        <v>12.063700000000001</v>
      </c>
      <c r="N288" s="9">
        <v>4.9444999999999997</v>
      </c>
      <c r="O288" s="9">
        <v>0.37459999999999999</v>
      </c>
      <c r="P288" s="9">
        <v>1.2192000000000001</v>
      </c>
      <c r="Q288" s="9">
        <v>30.451899999999998</v>
      </c>
      <c r="R288" s="9"/>
      <c r="S288" s="11"/>
    </row>
    <row r="289" spans="1:19" ht="15.75">
      <c r="A289" s="13">
        <v>50678</v>
      </c>
      <c r="B289" s="8">
        <f>CHOOSE( CONTROL!$C$32, 6.545, 6.5401) * CHOOSE(CONTROL!$C$15, $D$11, 100%, $F$11)</f>
        <v>6.5449999999999999</v>
      </c>
      <c r="C289" s="8">
        <f>CHOOSE( CONTROL!$C$32, 6.5554, 6.5505) * CHOOSE(CONTROL!$C$15, $D$11, 100%, $F$11)</f>
        <v>6.5553999999999997</v>
      </c>
      <c r="D289" s="8">
        <f>CHOOSE( CONTROL!$C$32, 6.5559, 6.5509) * CHOOSE( CONTROL!$C$15, $D$11, 100%, $F$11)</f>
        <v>6.5559000000000003</v>
      </c>
      <c r="E289" s="12">
        <f>CHOOSE( CONTROL!$C$32, 6.5541, 6.5492) * CHOOSE( CONTROL!$C$15, $D$11, 100%, $F$11)</f>
        <v>6.5541</v>
      </c>
      <c r="F289" s="4">
        <f>CHOOSE( CONTROL!$C$32, 7.5575, 7.5525) * CHOOSE(CONTROL!$C$15, $D$11, 100%, $F$11)</f>
        <v>7.5575000000000001</v>
      </c>
      <c r="G289" s="8">
        <f>CHOOSE( CONTROL!$C$32, 6.3668, 6.362) * CHOOSE( CONTROL!$C$15, $D$11, 100%, $F$11)</f>
        <v>6.3667999999999996</v>
      </c>
      <c r="H289" s="4">
        <f>CHOOSE( CONTROL!$C$32, 7.2906, 7.2857) * CHOOSE(CONTROL!$C$15, $D$11, 100%, $F$11)</f>
        <v>7.2906000000000004</v>
      </c>
      <c r="I289" s="8">
        <f>CHOOSE( CONTROL!$C$32, 6.3143, 6.3096) * CHOOSE(CONTROL!$C$15, $D$11, 100%, $F$11)</f>
        <v>6.3143000000000002</v>
      </c>
      <c r="J289" s="4">
        <f>CHOOSE( CONTROL!$C$32, 6.2667, 6.2619) * CHOOSE(CONTROL!$C$15, $D$11, 100%, $F$11)</f>
        <v>6.2667000000000002</v>
      </c>
      <c r="K289" s="4"/>
      <c r="L289" s="9">
        <v>28.568200000000001</v>
      </c>
      <c r="M289" s="9">
        <v>11.6745</v>
      </c>
      <c r="N289" s="9">
        <v>4.7850000000000001</v>
      </c>
      <c r="O289" s="9">
        <v>0.36249999999999999</v>
      </c>
      <c r="P289" s="9">
        <v>1.1798</v>
      </c>
      <c r="Q289" s="9">
        <v>29.4696</v>
      </c>
      <c r="R289" s="9"/>
      <c r="S289" s="11"/>
    </row>
    <row r="290" spans="1:19" ht="15.75">
      <c r="A290" s="13">
        <v>50709</v>
      </c>
      <c r="B290" s="8">
        <f>6.8304 * CHOOSE(CONTROL!$C$15, $D$11, 100%, $F$11)</f>
        <v>6.8304</v>
      </c>
      <c r="C290" s="8">
        <f>6.8408 * CHOOSE(CONTROL!$C$15, $D$11, 100%, $F$11)</f>
        <v>6.8407999999999998</v>
      </c>
      <c r="D290" s="8">
        <f>6.8425 * CHOOSE( CONTROL!$C$15, $D$11, 100%, $F$11)</f>
        <v>6.8425000000000002</v>
      </c>
      <c r="E290" s="12">
        <f>6.8408 * CHOOSE( CONTROL!$C$15, $D$11, 100%, $F$11)</f>
        <v>6.8407999999999998</v>
      </c>
      <c r="F290" s="4">
        <f>7.8428 * CHOOSE(CONTROL!$C$15, $D$11, 100%, $F$11)</f>
        <v>7.8428000000000004</v>
      </c>
      <c r="G290" s="8">
        <f>6.6446 * CHOOSE( CONTROL!$C$15, $D$11, 100%, $F$11)</f>
        <v>6.6445999999999996</v>
      </c>
      <c r="H290" s="4">
        <f>7.5687 * CHOOSE(CONTROL!$C$15, $D$11, 100%, $F$11)</f>
        <v>7.5686999999999998</v>
      </c>
      <c r="I290" s="8">
        <f>6.5902 * CHOOSE(CONTROL!$C$15, $D$11, 100%, $F$11)</f>
        <v>6.5902000000000003</v>
      </c>
      <c r="J290" s="4">
        <f>6.5401 * CHOOSE(CONTROL!$C$15, $D$11, 100%, $F$11)</f>
        <v>6.5400999999999998</v>
      </c>
      <c r="K290" s="4"/>
      <c r="L290" s="9">
        <v>28.921800000000001</v>
      </c>
      <c r="M290" s="9">
        <v>12.063700000000001</v>
      </c>
      <c r="N290" s="9">
        <v>4.9444999999999997</v>
      </c>
      <c r="O290" s="9">
        <v>0.37459999999999999</v>
      </c>
      <c r="P290" s="9">
        <v>1.2192000000000001</v>
      </c>
      <c r="Q290" s="9">
        <v>30.451899999999998</v>
      </c>
      <c r="R290" s="9"/>
      <c r="S290" s="11"/>
    </row>
    <row r="291" spans="1:19" ht="15.75">
      <c r="A291" s="13">
        <v>50739</v>
      </c>
      <c r="B291" s="8">
        <f>7.3662 * CHOOSE(CONTROL!$C$15, $D$11, 100%, $F$11)</f>
        <v>7.3662000000000001</v>
      </c>
      <c r="C291" s="8">
        <f>7.3767 * CHOOSE(CONTROL!$C$15, $D$11, 100%, $F$11)</f>
        <v>7.3766999999999996</v>
      </c>
      <c r="D291" s="8">
        <f>7.3577 * CHOOSE( CONTROL!$C$15, $D$11, 100%, $F$11)</f>
        <v>7.3577000000000004</v>
      </c>
      <c r="E291" s="12">
        <f>7.3635 * CHOOSE( CONTROL!$C$15, $D$11, 100%, $F$11)</f>
        <v>7.3635000000000002</v>
      </c>
      <c r="F291" s="4">
        <f>8.363 * CHOOSE(CONTROL!$C$15, $D$11, 100%, $F$11)</f>
        <v>8.3629999999999995</v>
      </c>
      <c r="G291" s="8">
        <f>7.1899 * CHOOSE( CONTROL!$C$15, $D$11, 100%, $F$11)</f>
        <v>7.1898999999999997</v>
      </c>
      <c r="H291" s="4">
        <f>8.0758 * CHOOSE(CONTROL!$C$15, $D$11, 100%, $F$11)</f>
        <v>8.0757999999999992</v>
      </c>
      <c r="I291" s="8">
        <f>7.1504 * CHOOSE(CONTROL!$C$15, $D$11, 100%, $F$11)</f>
        <v>7.1504000000000003</v>
      </c>
      <c r="J291" s="4">
        <f>7.0536 * CHOOSE(CONTROL!$C$15, $D$11, 100%, $F$11)</f>
        <v>7.0536000000000003</v>
      </c>
      <c r="K291" s="4"/>
      <c r="L291" s="9">
        <v>26.515499999999999</v>
      </c>
      <c r="M291" s="9">
        <v>11.6745</v>
      </c>
      <c r="N291" s="9">
        <v>4.7850000000000001</v>
      </c>
      <c r="O291" s="9">
        <v>0.36249999999999999</v>
      </c>
      <c r="P291" s="9">
        <v>1.2522</v>
      </c>
      <c r="Q291" s="9">
        <v>29.4696</v>
      </c>
      <c r="R291" s="9"/>
      <c r="S291" s="11"/>
    </row>
    <row r="292" spans="1:19" ht="15.75">
      <c r="A292" s="13">
        <v>50770</v>
      </c>
      <c r="B292" s="8">
        <f>7.3528 * CHOOSE(CONTROL!$C$15, $D$11, 100%, $F$11)</f>
        <v>7.3528000000000002</v>
      </c>
      <c r="C292" s="8">
        <f>7.3633 * CHOOSE(CONTROL!$C$15, $D$11, 100%, $F$11)</f>
        <v>7.3632999999999997</v>
      </c>
      <c r="D292" s="8">
        <f>7.3469 * CHOOSE( CONTROL!$C$15, $D$11, 100%, $F$11)</f>
        <v>7.3468999999999998</v>
      </c>
      <c r="E292" s="12">
        <f>7.3518 * CHOOSE( CONTROL!$C$15, $D$11, 100%, $F$11)</f>
        <v>7.3517999999999999</v>
      </c>
      <c r="F292" s="4">
        <f>8.3497 * CHOOSE(CONTROL!$C$15, $D$11, 100%, $F$11)</f>
        <v>8.3497000000000003</v>
      </c>
      <c r="G292" s="8">
        <f>7.1788 * CHOOSE( CONTROL!$C$15, $D$11, 100%, $F$11)</f>
        <v>7.1787999999999998</v>
      </c>
      <c r="H292" s="4">
        <f>8.0628 * CHOOSE(CONTROL!$C$15, $D$11, 100%, $F$11)</f>
        <v>8.0627999999999993</v>
      </c>
      <c r="I292" s="8">
        <f>7.1464 * CHOOSE(CONTROL!$C$15, $D$11, 100%, $F$11)</f>
        <v>7.1463999999999999</v>
      </c>
      <c r="J292" s="4">
        <f>7.0407 * CHOOSE(CONTROL!$C$15, $D$11, 100%, $F$11)</f>
        <v>7.0407000000000002</v>
      </c>
      <c r="K292" s="4"/>
      <c r="L292" s="9">
        <v>27.3993</v>
      </c>
      <c r="M292" s="9">
        <v>12.063700000000001</v>
      </c>
      <c r="N292" s="9">
        <v>4.9444999999999997</v>
      </c>
      <c r="O292" s="9">
        <v>0.37459999999999999</v>
      </c>
      <c r="P292" s="9">
        <v>1.2939000000000001</v>
      </c>
      <c r="Q292" s="9">
        <v>30.451899999999998</v>
      </c>
      <c r="R292" s="9"/>
      <c r="S292" s="11"/>
    </row>
    <row r="293" spans="1:19" ht="15.75">
      <c r="A293" s="13">
        <v>50801</v>
      </c>
      <c r="B293" s="8">
        <f>7.6337 * CHOOSE(CONTROL!$C$15, $D$11, 100%, $F$11)</f>
        <v>7.6337000000000002</v>
      </c>
      <c r="C293" s="8">
        <f>7.6441 * CHOOSE(CONTROL!$C$15, $D$11, 100%, $F$11)</f>
        <v>7.6440999999999999</v>
      </c>
      <c r="D293" s="8">
        <f>7.6427 * CHOOSE( CONTROL!$C$15, $D$11, 100%, $F$11)</f>
        <v>7.6426999999999996</v>
      </c>
      <c r="E293" s="12">
        <f>7.6421 * CHOOSE( CONTROL!$C$15, $D$11, 100%, $F$11)</f>
        <v>7.6421000000000001</v>
      </c>
      <c r="F293" s="4">
        <f>8.6566 * CHOOSE(CONTROL!$C$15, $D$11, 100%, $F$11)</f>
        <v>8.6565999999999992</v>
      </c>
      <c r="G293" s="8">
        <f>7.4694 * CHOOSE( CONTROL!$C$15, $D$11, 100%, $F$11)</f>
        <v>7.4694000000000003</v>
      </c>
      <c r="H293" s="4">
        <f>8.3619 * CHOOSE(CONTROL!$C$15, $D$11, 100%, $F$11)</f>
        <v>8.3619000000000003</v>
      </c>
      <c r="I293" s="8">
        <f>7.4221 * CHOOSE(CONTROL!$C$15, $D$11, 100%, $F$11)</f>
        <v>7.4221000000000004</v>
      </c>
      <c r="J293" s="4">
        <f>7.3098 * CHOOSE(CONTROL!$C$15, $D$11, 100%, $F$11)</f>
        <v>7.3098000000000001</v>
      </c>
      <c r="K293" s="4"/>
      <c r="L293" s="9">
        <v>27.3993</v>
      </c>
      <c r="M293" s="9">
        <v>12.063700000000001</v>
      </c>
      <c r="N293" s="9">
        <v>4.9444999999999997</v>
      </c>
      <c r="O293" s="9">
        <v>0.37459999999999999</v>
      </c>
      <c r="P293" s="9">
        <v>1.2939000000000001</v>
      </c>
      <c r="Q293" s="9">
        <v>30.386800000000001</v>
      </c>
      <c r="R293" s="9"/>
      <c r="S293" s="11"/>
    </row>
    <row r="294" spans="1:19" ht="15.75">
      <c r="A294" s="13">
        <v>50829</v>
      </c>
      <c r="B294" s="8">
        <f>7.1405 * CHOOSE(CONTROL!$C$15, $D$11, 100%, $F$11)</f>
        <v>7.1405000000000003</v>
      </c>
      <c r="C294" s="8">
        <f>7.1509 * CHOOSE(CONTROL!$C$15, $D$11, 100%, $F$11)</f>
        <v>7.1509</v>
      </c>
      <c r="D294" s="8">
        <f>7.1517 * CHOOSE( CONTROL!$C$15, $D$11, 100%, $F$11)</f>
        <v>7.1516999999999999</v>
      </c>
      <c r="E294" s="12">
        <f>7.1503 * CHOOSE( CONTROL!$C$15, $D$11, 100%, $F$11)</f>
        <v>7.1502999999999997</v>
      </c>
      <c r="F294" s="4">
        <f>8.1556 * CHOOSE(CONTROL!$C$15, $D$11, 100%, $F$11)</f>
        <v>8.1555999999999997</v>
      </c>
      <c r="G294" s="8">
        <f>6.9885 * CHOOSE( CONTROL!$C$15, $D$11, 100%, $F$11)</f>
        <v>6.9885000000000002</v>
      </c>
      <c r="H294" s="4">
        <f>7.8736 * CHOOSE(CONTROL!$C$15, $D$11, 100%, $F$11)</f>
        <v>7.8735999999999997</v>
      </c>
      <c r="I294" s="8">
        <f>6.9383 * CHOOSE(CONTROL!$C$15, $D$11, 100%, $F$11)</f>
        <v>6.9382999999999999</v>
      </c>
      <c r="J294" s="4">
        <f>6.8373 * CHOOSE(CONTROL!$C$15, $D$11, 100%, $F$11)</f>
        <v>6.8372999999999999</v>
      </c>
      <c r="K294" s="4"/>
      <c r="L294" s="9">
        <v>24.747800000000002</v>
      </c>
      <c r="M294" s="9">
        <v>10.8962</v>
      </c>
      <c r="N294" s="9">
        <v>4.4660000000000002</v>
      </c>
      <c r="O294" s="9">
        <v>0.33829999999999999</v>
      </c>
      <c r="P294" s="9">
        <v>1.1687000000000001</v>
      </c>
      <c r="Q294" s="9">
        <v>27.446200000000001</v>
      </c>
      <c r="R294" s="9"/>
      <c r="S294" s="11"/>
    </row>
    <row r="295" spans="1:19" ht="15.75">
      <c r="A295" s="13">
        <v>50860</v>
      </c>
      <c r="B295" s="8">
        <f>6.9886 * CHOOSE(CONTROL!$C$15, $D$11, 100%, $F$11)</f>
        <v>6.9885999999999999</v>
      </c>
      <c r="C295" s="8">
        <f>6.999 * CHOOSE(CONTROL!$C$15, $D$11, 100%, $F$11)</f>
        <v>6.9989999999999997</v>
      </c>
      <c r="D295" s="8">
        <f>6.9795 * CHOOSE( CONTROL!$C$15, $D$11, 100%, $F$11)</f>
        <v>6.9794999999999998</v>
      </c>
      <c r="E295" s="12">
        <f>6.9855 * CHOOSE( CONTROL!$C$15, $D$11, 100%, $F$11)</f>
        <v>6.9855</v>
      </c>
      <c r="F295" s="4">
        <f>7.9875 * CHOOSE(CONTROL!$C$15, $D$11, 100%, $F$11)</f>
        <v>7.9874999999999998</v>
      </c>
      <c r="G295" s="8">
        <f>6.8198 * CHOOSE( CONTROL!$C$15, $D$11, 100%, $F$11)</f>
        <v>6.8197999999999999</v>
      </c>
      <c r="H295" s="4">
        <f>7.7097 * CHOOSE(CONTROL!$C$15, $D$11, 100%, $F$11)</f>
        <v>7.7096999999999998</v>
      </c>
      <c r="I295" s="8">
        <f>6.7532 * CHOOSE(CONTROL!$C$15, $D$11, 100%, $F$11)</f>
        <v>6.7531999999999996</v>
      </c>
      <c r="J295" s="4">
        <f>6.6917 * CHOOSE(CONTROL!$C$15, $D$11, 100%, $F$11)</f>
        <v>6.6917</v>
      </c>
      <c r="K295" s="4"/>
      <c r="L295" s="9">
        <v>27.3993</v>
      </c>
      <c r="M295" s="9">
        <v>12.063700000000001</v>
      </c>
      <c r="N295" s="9">
        <v>4.9444999999999997</v>
      </c>
      <c r="O295" s="9">
        <v>0.37459999999999999</v>
      </c>
      <c r="P295" s="9">
        <v>1.2939000000000001</v>
      </c>
      <c r="Q295" s="9">
        <v>30.386800000000001</v>
      </c>
      <c r="R295" s="9"/>
      <c r="S295" s="11"/>
    </row>
    <row r="296" spans="1:19" ht="15.75">
      <c r="A296" s="13">
        <v>50890</v>
      </c>
      <c r="B296" s="8">
        <f>7.0947 * CHOOSE(CONTROL!$C$15, $D$11, 100%, $F$11)</f>
        <v>7.0946999999999996</v>
      </c>
      <c r="C296" s="8">
        <f>7.1052 * CHOOSE(CONTROL!$C$15, $D$11, 100%, $F$11)</f>
        <v>7.1052</v>
      </c>
      <c r="D296" s="8">
        <f>7.109 * CHOOSE( CONTROL!$C$15, $D$11, 100%, $F$11)</f>
        <v>7.109</v>
      </c>
      <c r="E296" s="12">
        <f>7.1065 * CHOOSE( CONTROL!$C$15, $D$11, 100%, $F$11)</f>
        <v>7.1064999999999996</v>
      </c>
      <c r="F296" s="4">
        <f>8.102 * CHOOSE(CONTROL!$C$15, $D$11, 100%, $F$11)</f>
        <v>8.1020000000000003</v>
      </c>
      <c r="G296" s="8">
        <f>6.9112 * CHOOSE( CONTROL!$C$15, $D$11, 100%, $F$11)</f>
        <v>6.9112</v>
      </c>
      <c r="H296" s="4">
        <f>7.8213 * CHOOSE(CONTROL!$C$15, $D$11, 100%, $F$11)</f>
        <v>7.8212999999999999</v>
      </c>
      <c r="I296" s="8">
        <f>6.845 * CHOOSE(CONTROL!$C$15, $D$11, 100%, $F$11)</f>
        <v>6.8449999999999998</v>
      </c>
      <c r="J296" s="4">
        <f>6.7934 * CHOOSE(CONTROL!$C$15, $D$11, 100%, $F$11)</f>
        <v>6.7934000000000001</v>
      </c>
      <c r="K296" s="4"/>
      <c r="L296" s="9">
        <v>27.988800000000001</v>
      </c>
      <c r="M296" s="9">
        <v>11.6745</v>
      </c>
      <c r="N296" s="9">
        <v>4.7850000000000001</v>
      </c>
      <c r="O296" s="9">
        <v>0.36249999999999999</v>
      </c>
      <c r="P296" s="9">
        <v>1.1798</v>
      </c>
      <c r="Q296" s="9">
        <v>29.406600000000001</v>
      </c>
      <c r="R296" s="9"/>
      <c r="S296" s="11"/>
    </row>
    <row r="297" spans="1:19" ht="15.75">
      <c r="A297" s="13">
        <v>50921</v>
      </c>
      <c r="B297" s="8">
        <f>CHOOSE( CONTROL!$C$32, 7.2886, 7.2836) * CHOOSE(CONTROL!$C$15, $D$11, 100%, $F$11)</f>
        <v>7.2885999999999997</v>
      </c>
      <c r="C297" s="8">
        <f>CHOOSE( CONTROL!$C$32, 7.299, 7.2941) * CHOOSE(CONTROL!$C$15, $D$11, 100%, $F$11)</f>
        <v>7.2990000000000004</v>
      </c>
      <c r="D297" s="8">
        <f>CHOOSE( CONTROL!$C$32, 7.2777, 7.2727) * CHOOSE( CONTROL!$C$15, $D$11, 100%, $F$11)</f>
        <v>7.2777000000000003</v>
      </c>
      <c r="E297" s="12">
        <f>CHOOSE( CONTROL!$C$32, 7.2838, 7.2789) * CHOOSE( CONTROL!$C$15, $D$11, 100%, $F$11)</f>
        <v>7.2838000000000003</v>
      </c>
      <c r="F297" s="4">
        <f>CHOOSE( CONTROL!$C$32, 8.2635, 8.2585) * CHOOSE(CONTROL!$C$15, $D$11, 100%, $F$11)</f>
        <v>8.2635000000000005</v>
      </c>
      <c r="G297" s="8">
        <f>CHOOSE( CONTROL!$C$32, 7.0815, 7.0767) * CHOOSE( CONTROL!$C$15, $D$11, 100%, $F$11)</f>
        <v>7.0815000000000001</v>
      </c>
      <c r="H297" s="4">
        <f>CHOOSE( CONTROL!$C$32, 7.9788, 7.9739) * CHOOSE(CONTROL!$C$15, $D$11, 100%, $F$11)</f>
        <v>7.9787999999999997</v>
      </c>
      <c r="I297" s="8">
        <f>CHOOSE( CONTROL!$C$32, 7.0093, 7.0046) * CHOOSE(CONTROL!$C$15, $D$11, 100%, $F$11)</f>
        <v>7.0092999999999996</v>
      </c>
      <c r="J297" s="4">
        <f>CHOOSE( CONTROL!$C$32, 6.9792, 6.9744) * CHOOSE(CONTROL!$C$15, $D$11, 100%, $F$11)</f>
        <v>6.9791999999999996</v>
      </c>
      <c r="K297" s="4"/>
      <c r="L297" s="9">
        <v>29.520499999999998</v>
      </c>
      <c r="M297" s="9">
        <v>12.063700000000001</v>
      </c>
      <c r="N297" s="9">
        <v>4.9444999999999997</v>
      </c>
      <c r="O297" s="9">
        <v>0.37459999999999999</v>
      </c>
      <c r="P297" s="9">
        <v>1.2192000000000001</v>
      </c>
      <c r="Q297" s="9">
        <v>30.386800000000001</v>
      </c>
      <c r="R297" s="9"/>
      <c r="S297" s="11"/>
    </row>
    <row r="298" spans="1:19" ht="15.75">
      <c r="A298" s="13">
        <v>50951</v>
      </c>
      <c r="B298" s="8">
        <f>CHOOSE( CONTROL!$C$32, 7.1715, 7.1666) * CHOOSE(CONTROL!$C$15, $D$11, 100%, $F$11)</f>
        <v>7.1715</v>
      </c>
      <c r="C298" s="8">
        <f>CHOOSE( CONTROL!$C$32, 7.182, 7.1771) * CHOOSE(CONTROL!$C$15, $D$11, 100%, $F$11)</f>
        <v>7.1820000000000004</v>
      </c>
      <c r="D298" s="8">
        <f>CHOOSE( CONTROL!$C$32, 7.1741, 7.1692) * CHOOSE( CONTROL!$C$15, $D$11, 100%, $F$11)</f>
        <v>7.1741000000000001</v>
      </c>
      <c r="E298" s="12">
        <f>CHOOSE( CONTROL!$C$32, 7.1754, 7.1705) * CHOOSE( CONTROL!$C$15, $D$11, 100%, $F$11)</f>
        <v>7.1753999999999998</v>
      </c>
      <c r="F298" s="4">
        <f>CHOOSE( CONTROL!$C$32, 8.1658, 8.1608) * CHOOSE(CONTROL!$C$15, $D$11, 100%, $F$11)</f>
        <v>8.1658000000000008</v>
      </c>
      <c r="G298" s="8">
        <f>CHOOSE( CONTROL!$C$32, 6.9779, 6.9731) * CHOOSE( CONTROL!$C$15, $D$11, 100%, $F$11)</f>
        <v>6.9779</v>
      </c>
      <c r="H298" s="4">
        <f>CHOOSE( CONTROL!$C$32, 7.8835, 7.8787) * CHOOSE(CONTROL!$C$15, $D$11, 100%, $F$11)</f>
        <v>7.8834999999999997</v>
      </c>
      <c r="I298" s="8">
        <f>CHOOSE( CONTROL!$C$32, 6.915, 6.9102) * CHOOSE(CONTROL!$C$15, $D$11, 100%, $F$11)</f>
        <v>6.915</v>
      </c>
      <c r="J298" s="4">
        <f>CHOOSE( CONTROL!$C$32, 6.867, 6.8623) * CHOOSE(CONTROL!$C$15, $D$11, 100%, $F$11)</f>
        <v>6.867</v>
      </c>
      <c r="K298" s="4"/>
      <c r="L298" s="9">
        <v>28.568200000000001</v>
      </c>
      <c r="M298" s="9">
        <v>11.6745</v>
      </c>
      <c r="N298" s="9">
        <v>4.7850000000000001</v>
      </c>
      <c r="O298" s="9">
        <v>0.36249999999999999</v>
      </c>
      <c r="P298" s="9">
        <v>1.1798</v>
      </c>
      <c r="Q298" s="9">
        <v>29.406600000000001</v>
      </c>
      <c r="R298" s="9"/>
      <c r="S298" s="11"/>
    </row>
    <row r="299" spans="1:19" ht="15.75">
      <c r="A299" s="13">
        <v>50982</v>
      </c>
      <c r="B299" s="8">
        <f>CHOOSE( CONTROL!$C$32, 7.4797, 7.4748) * CHOOSE(CONTROL!$C$15, $D$11, 100%, $F$11)</f>
        <v>7.4797000000000002</v>
      </c>
      <c r="C299" s="8">
        <f>CHOOSE( CONTROL!$C$32, 7.4902, 7.4852) * CHOOSE(CONTROL!$C$15, $D$11, 100%, $F$11)</f>
        <v>7.4901999999999997</v>
      </c>
      <c r="D299" s="8">
        <f>CHOOSE( CONTROL!$C$32, 7.4892, 7.4842) * CHOOSE( CONTROL!$C$15, $D$11, 100%, $F$11)</f>
        <v>7.4892000000000003</v>
      </c>
      <c r="E299" s="12">
        <f>CHOOSE( CONTROL!$C$32, 7.488, 7.483) * CHOOSE( CONTROL!$C$15, $D$11, 100%, $F$11)</f>
        <v>7.4880000000000004</v>
      </c>
      <c r="F299" s="4">
        <f>CHOOSE( CONTROL!$C$32, 8.4844, 8.4794) * CHOOSE(CONTROL!$C$15, $D$11, 100%, $F$11)</f>
        <v>8.4844000000000008</v>
      </c>
      <c r="G299" s="8">
        <f>CHOOSE( CONTROL!$C$32, 7.2824, 7.2776) * CHOOSE( CONTROL!$C$15, $D$11, 100%, $F$11)</f>
        <v>7.2824</v>
      </c>
      <c r="H299" s="4">
        <f>CHOOSE( CONTROL!$C$32, 8.1941, 8.1893) * CHOOSE(CONTROL!$C$15, $D$11, 100%, $F$11)</f>
        <v>8.1941000000000006</v>
      </c>
      <c r="I299" s="8">
        <f>CHOOSE( CONTROL!$C$32, 7.2181, 7.2133) * CHOOSE(CONTROL!$C$15, $D$11, 100%, $F$11)</f>
        <v>7.2180999999999997</v>
      </c>
      <c r="J299" s="4">
        <f>CHOOSE( CONTROL!$C$32, 7.1623, 7.1576) * CHOOSE(CONTROL!$C$15, $D$11, 100%, $F$11)</f>
        <v>7.1623000000000001</v>
      </c>
      <c r="K299" s="4"/>
      <c r="L299" s="9">
        <v>29.520499999999998</v>
      </c>
      <c r="M299" s="9">
        <v>12.063700000000001</v>
      </c>
      <c r="N299" s="9">
        <v>4.9444999999999997</v>
      </c>
      <c r="O299" s="9">
        <v>0.37459999999999999</v>
      </c>
      <c r="P299" s="9">
        <v>1.2192000000000001</v>
      </c>
      <c r="Q299" s="9">
        <v>30.386800000000001</v>
      </c>
      <c r="R299" s="9"/>
      <c r="S299" s="11"/>
    </row>
    <row r="300" spans="1:19" ht="15.75">
      <c r="A300" s="13">
        <v>51013</v>
      </c>
      <c r="B300" s="8">
        <f>CHOOSE( CONTROL!$C$32, 6.9031, 6.8982) * CHOOSE(CONTROL!$C$15, $D$11, 100%, $F$11)</f>
        <v>6.9031000000000002</v>
      </c>
      <c r="C300" s="8">
        <f>CHOOSE( CONTROL!$C$32, 6.9135, 6.9086) * CHOOSE(CONTROL!$C$15, $D$11, 100%, $F$11)</f>
        <v>6.9135</v>
      </c>
      <c r="D300" s="8">
        <f>CHOOSE( CONTROL!$C$32, 6.9137, 6.9088) * CHOOSE( CONTROL!$C$15, $D$11, 100%, $F$11)</f>
        <v>6.9137000000000004</v>
      </c>
      <c r="E300" s="12">
        <f>CHOOSE( CONTROL!$C$32, 6.912, 6.9071) * CHOOSE( CONTROL!$C$15, $D$11, 100%, $F$11)</f>
        <v>6.9119999999999999</v>
      </c>
      <c r="F300" s="4">
        <f>CHOOSE( CONTROL!$C$32, 7.9156, 7.9106) * CHOOSE(CONTROL!$C$15, $D$11, 100%, $F$11)</f>
        <v>7.9156000000000004</v>
      </c>
      <c r="G300" s="8">
        <f>CHOOSE( CONTROL!$C$32, 6.7155, 6.7107) * CHOOSE( CONTROL!$C$15, $D$11, 100%, $F$11)</f>
        <v>6.7154999999999996</v>
      </c>
      <c r="H300" s="4">
        <f>CHOOSE( CONTROL!$C$32, 7.6396, 7.6348) * CHOOSE(CONTROL!$C$15, $D$11, 100%, $F$11)</f>
        <v>7.6395999999999997</v>
      </c>
      <c r="I300" s="8">
        <f>CHOOSE( CONTROL!$C$32, 6.6562, 6.6515) * CHOOSE(CONTROL!$C$15, $D$11, 100%, $F$11)</f>
        <v>6.6562000000000001</v>
      </c>
      <c r="J300" s="4">
        <f>CHOOSE( CONTROL!$C$32, 6.6098, 6.6051) * CHOOSE(CONTROL!$C$15, $D$11, 100%, $F$11)</f>
        <v>6.6097999999999999</v>
      </c>
      <c r="K300" s="4"/>
      <c r="L300" s="9">
        <v>29.520499999999998</v>
      </c>
      <c r="M300" s="9">
        <v>12.063700000000001</v>
      </c>
      <c r="N300" s="9">
        <v>4.9444999999999997</v>
      </c>
      <c r="O300" s="9">
        <v>0.37459999999999999</v>
      </c>
      <c r="P300" s="9">
        <v>1.2192000000000001</v>
      </c>
      <c r="Q300" s="9">
        <v>30.386800000000001</v>
      </c>
      <c r="R300" s="9"/>
      <c r="S300" s="11"/>
    </row>
    <row r="301" spans="1:19" ht="15.75">
      <c r="A301" s="13">
        <v>51043</v>
      </c>
      <c r="B301" s="8">
        <f>CHOOSE( CONTROL!$C$32, 6.7587, 6.7538) * CHOOSE(CONTROL!$C$15, $D$11, 100%, $F$11)</f>
        <v>6.7587000000000002</v>
      </c>
      <c r="C301" s="8">
        <f>CHOOSE( CONTROL!$C$32, 6.7691, 6.7642) * CHOOSE(CONTROL!$C$15, $D$11, 100%, $F$11)</f>
        <v>6.7690999999999999</v>
      </c>
      <c r="D301" s="8">
        <f>CHOOSE( CONTROL!$C$32, 6.7696, 6.7647) * CHOOSE( CONTROL!$C$15, $D$11, 100%, $F$11)</f>
        <v>6.7695999999999996</v>
      </c>
      <c r="E301" s="12">
        <f>CHOOSE( CONTROL!$C$32, 6.7678, 6.7629) * CHOOSE( CONTROL!$C$15, $D$11, 100%, $F$11)</f>
        <v>6.7678000000000003</v>
      </c>
      <c r="F301" s="4">
        <f>CHOOSE( CONTROL!$C$32, 7.7712, 7.7662) * CHOOSE(CONTROL!$C$15, $D$11, 100%, $F$11)</f>
        <v>7.7712000000000003</v>
      </c>
      <c r="G301" s="8">
        <f>CHOOSE( CONTROL!$C$32, 6.5751, 6.5703) * CHOOSE( CONTROL!$C$15, $D$11, 100%, $F$11)</f>
        <v>6.5750999999999999</v>
      </c>
      <c r="H301" s="4">
        <f>CHOOSE( CONTROL!$C$32, 7.4989, 7.4941) * CHOOSE(CONTROL!$C$15, $D$11, 100%, $F$11)</f>
        <v>7.4988999999999999</v>
      </c>
      <c r="I301" s="8">
        <f>CHOOSE( CONTROL!$C$32, 6.5192, 6.5145) * CHOOSE(CONTROL!$C$15, $D$11, 100%, $F$11)</f>
        <v>6.5191999999999997</v>
      </c>
      <c r="J301" s="4">
        <f>CHOOSE( CONTROL!$C$32, 6.4714, 6.4667) * CHOOSE(CONTROL!$C$15, $D$11, 100%, $F$11)</f>
        <v>6.4714</v>
      </c>
      <c r="K301" s="4"/>
      <c r="L301" s="9">
        <v>28.568200000000001</v>
      </c>
      <c r="M301" s="9">
        <v>11.6745</v>
      </c>
      <c r="N301" s="9">
        <v>4.7850000000000001</v>
      </c>
      <c r="O301" s="9">
        <v>0.36249999999999999</v>
      </c>
      <c r="P301" s="9">
        <v>1.1798</v>
      </c>
      <c r="Q301" s="9">
        <v>29.406600000000001</v>
      </c>
      <c r="R301" s="9"/>
      <c r="S301" s="11"/>
    </row>
    <row r="302" spans="1:19" ht="15.75">
      <c r="A302" s="13">
        <v>51074</v>
      </c>
      <c r="B302" s="8">
        <f>7.0536 * CHOOSE(CONTROL!$C$15, $D$11, 100%, $F$11)</f>
        <v>7.0536000000000003</v>
      </c>
      <c r="C302" s="8">
        <f>7.064 * CHOOSE(CONTROL!$C$15, $D$11, 100%, $F$11)</f>
        <v>7.0640000000000001</v>
      </c>
      <c r="D302" s="8">
        <f>7.0657 * CHOOSE( CONTROL!$C$15, $D$11, 100%, $F$11)</f>
        <v>7.0656999999999996</v>
      </c>
      <c r="E302" s="12">
        <f>7.064 * CHOOSE( CONTROL!$C$15, $D$11, 100%, $F$11)</f>
        <v>7.0640000000000001</v>
      </c>
      <c r="F302" s="4">
        <f>8.0661 * CHOOSE(CONTROL!$C$15, $D$11, 100%, $F$11)</f>
        <v>8.0661000000000005</v>
      </c>
      <c r="G302" s="8">
        <f>6.8622 * CHOOSE( CONTROL!$C$15, $D$11, 100%, $F$11)</f>
        <v>6.8621999999999996</v>
      </c>
      <c r="H302" s="4">
        <f>7.7863 * CHOOSE(CONTROL!$C$15, $D$11, 100%, $F$11)</f>
        <v>7.7862999999999998</v>
      </c>
      <c r="I302" s="8">
        <f>6.8042 * CHOOSE(CONTROL!$C$15, $D$11, 100%, $F$11)</f>
        <v>6.8041999999999998</v>
      </c>
      <c r="J302" s="4">
        <f>6.754 * CHOOSE(CONTROL!$C$15, $D$11, 100%, $F$11)</f>
        <v>6.7539999999999996</v>
      </c>
      <c r="K302" s="4"/>
      <c r="L302" s="9">
        <v>28.921800000000001</v>
      </c>
      <c r="M302" s="9">
        <v>12.063700000000001</v>
      </c>
      <c r="N302" s="9">
        <v>4.9444999999999997</v>
      </c>
      <c r="O302" s="9">
        <v>0.37459999999999999</v>
      </c>
      <c r="P302" s="9">
        <v>1.2192000000000001</v>
      </c>
      <c r="Q302" s="9">
        <v>30.386800000000001</v>
      </c>
      <c r="R302" s="9"/>
      <c r="S302" s="11"/>
    </row>
    <row r="303" spans="1:19" ht="15.75">
      <c r="A303" s="13">
        <v>51104</v>
      </c>
      <c r="B303" s="8">
        <f>7.607 * CHOOSE(CONTROL!$C$15, $D$11, 100%, $F$11)</f>
        <v>7.6070000000000002</v>
      </c>
      <c r="C303" s="8">
        <f>7.6174 * CHOOSE(CONTROL!$C$15, $D$11, 100%, $F$11)</f>
        <v>7.6173999999999999</v>
      </c>
      <c r="D303" s="8">
        <f>7.5985 * CHOOSE( CONTROL!$C$15, $D$11, 100%, $F$11)</f>
        <v>7.5984999999999996</v>
      </c>
      <c r="E303" s="12">
        <f>7.6043 * CHOOSE( CONTROL!$C$15, $D$11, 100%, $F$11)</f>
        <v>7.6043000000000003</v>
      </c>
      <c r="F303" s="4">
        <f>8.6038 * CHOOSE(CONTROL!$C$15, $D$11, 100%, $F$11)</f>
        <v>8.6037999999999997</v>
      </c>
      <c r="G303" s="8">
        <f>7.4246 * CHOOSE( CONTROL!$C$15, $D$11, 100%, $F$11)</f>
        <v>7.4245999999999999</v>
      </c>
      <c r="H303" s="4">
        <f>8.3105 * CHOOSE(CONTROL!$C$15, $D$11, 100%, $F$11)</f>
        <v>8.3104999999999993</v>
      </c>
      <c r="I303" s="8">
        <f>7.3812 * CHOOSE(CONTROL!$C$15, $D$11, 100%, $F$11)</f>
        <v>7.3811999999999998</v>
      </c>
      <c r="J303" s="4">
        <f>7.2842 * CHOOSE(CONTROL!$C$15, $D$11, 100%, $F$11)</f>
        <v>7.2842000000000002</v>
      </c>
      <c r="K303" s="4"/>
      <c r="L303" s="9">
        <v>26.515499999999999</v>
      </c>
      <c r="M303" s="9">
        <v>11.6745</v>
      </c>
      <c r="N303" s="9">
        <v>4.7850000000000001</v>
      </c>
      <c r="O303" s="9">
        <v>0.36249999999999999</v>
      </c>
      <c r="P303" s="9">
        <v>1.2522</v>
      </c>
      <c r="Q303" s="9">
        <v>29.406600000000001</v>
      </c>
      <c r="R303" s="9"/>
      <c r="S303" s="11"/>
    </row>
    <row r="304" spans="1:19" ht="15.75">
      <c r="A304" s="13">
        <v>51135</v>
      </c>
      <c r="B304" s="8">
        <f>7.5931 * CHOOSE(CONTROL!$C$15, $D$11, 100%, $F$11)</f>
        <v>7.5930999999999997</v>
      </c>
      <c r="C304" s="8">
        <f>7.6036 * CHOOSE(CONTROL!$C$15, $D$11, 100%, $F$11)</f>
        <v>7.6036000000000001</v>
      </c>
      <c r="D304" s="8">
        <f>7.5872 * CHOOSE( CONTROL!$C$15, $D$11, 100%, $F$11)</f>
        <v>7.5872000000000002</v>
      </c>
      <c r="E304" s="12">
        <f>7.5921 * CHOOSE( CONTROL!$C$15, $D$11, 100%, $F$11)</f>
        <v>7.5921000000000003</v>
      </c>
      <c r="F304" s="4">
        <f>8.59 * CHOOSE(CONTROL!$C$15, $D$11, 100%, $F$11)</f>
        <v>8.59</v>
      </c>
      <c r="G304" s="8">
        <f>7.4131 * CHOOSE( CONTROL!$C$15, $D$11, 100%, $F$11)</f>
        <v>7.4131</v>
      </c>
      <c r="H304" s="4">
        <f>8.297 * CHOOSE(CONTROL!$C$15, $D$11, 100%, $F$11)</f>
        <v>8.2970000000000006</v>
      </c>
      <c r="I304" s="8">
        <f>7.3767 * CHOOSE(CONTROL!$C$15, $D$11, 100%, $F$11)</f>
        <v>7.3766999999999996</v>
      </c>
      <c r="J304" s="4">
        <f>7.271 * CHOOSE(CONTROL!$C$15, $D$11, 100%, $F$11)</f>
        <v>7.2709999999999999</v>
      </c>
      <c r="K304" s="4"/>
      <c r="L304" s="9">
        <v>27.3993</v>
      </c>
      <c r="M304" s="9">
        <v>12.063700000000001</v>
      </c>
      <c r="N304" s="9">
        <v>4.9444999999999997</v>
      </c>
      <c r="O304" s="9">
        <v>0.37459999999999999</v>
      </c>
      <c r="P304" s="9">
        <v>1.2939000000000001</v>
      </c>
      <c r="Q304" s="9">
        <v>30.386800000000001</v>
      </c>
      <c r="R304" s="9"/>
      <c r="S304" s="11"/>
    </row>
    <row r="305" spans="1:19" ht="15.75">
      <c r="A305" s="13">
        <v>51166</v>
      </c>
      <c r="B305" s="8">
        <f>7.8832 * CHOOSE(CONTROL!$C$15, $D$11, 100%, $F$11)</f>
        <v>7.8832000000000004</v>
      </c>
      <c r="C305" s="8">
        <f>7.8936 * CHOOSE(CONTROL!$C$15, $D$11, 100%, $F$11)</f>
        <v>7.8936000000000002</v>
      </c>
      <c r="D305" s="8">
        <f>7.8922 * CHOOSE( CONTROL!$C$15, $D$11, 100%, $F$11)</f>
        <v>7.8921999999999999</v>
      </c>
      <c r="E305" s="12">
        <f>7.8916 * CHOOSE( CONTROL!$C$15, $D$11, 100%, $F$11)</f>
        <v>7.8916000000000004</v>
      </c>
      <c r="F305" s="4">
        <f>8.9061 * CHOOSE(CONTROL!$C$15, $D$11, 100%, $F$11)</f>
        <v>8.9061000000000003</v>
      </c>
      <c r="G305" s="8">
        <f>7.7126 * CHOOSE( CONTROL!$C$15, $D$11, 100%, $F$11)</f>
        <v>7.7126000000000001</v>
      </c>
      <c r="H305" s="4">
        <f>8.6051 * CHOOSE(CONTROL!$C$15, $D$11, 100%, $F$11)</f>
        <v>8.6051000000000002</v>
      </c>
      <c r="I305" s="8">
        <f>7.6612 * CHOOSE(CONTROL!$C$15, $D$11, 100%, $F$11)</f>
        <v>7.6612</v>
      </c>
      <c r="J305" s="4">
        <f>7.5489 * CHOOSE(CONTROL!$C$15, $D$11, 100%, $F$11)</f>
        <v>7.5488999999999997</v>
      </c>
      <c r="K305" s="4"/>
      <c r="L305" s="9">
        <v>27.3993</v>
      </c>
      <c r="M305" s="9">
        <v>12.063700000000001</v>
      </c>
      <c r="N305" s="9">
        <v>4.9444999999999997</v>
      </c>
      <c r="O305" s="9">
        <v>0.37459999999999999</v>
      </c>
      <c r="P305" s="9">
        <v>1.2939000000000001</v>
      </c>
      <c r="Q305" s="9">
        <v>30.3217</v>
      </c>
      <c r="R305" s="9"/>
      <c r="S305" s="11"/>
    </row>
    <row r="306" spans="1:19" ht="15.75">
      <c r="A306" s="13">
        <v>51194</v>
      </c>
      <c r="B306" s="8">
        <f>7.3738 * CHOOSE(CONTROL!$C$15, $D$11, 100%, $F$11)</f>
        <v>7.3738000000000001</v>
      </c>
      <c r="C306" s="8">
        <f>7.3843 * CHOOSE(CONTROL!$C$15, $D$11, 100%, $F$11)</f>
        <v>7.3842999999999996</v>
      </c>
      <c r="D306" s="8">
        <f>7.3851 * CHOOSE( CONTROL!$C$15, $D$11, 100%, $F$11)</f>
        <v>7.3851000000000004</v>
      </c>
      <c r="E306" s="12">
        <f>7.3837 * CHOOSE( CONTROL!$C$15, $D$11, 100%, $F$11)</f>
        <v>7.3837000000000002</v>
      </c>
      <c r="F306" s="4">
        <f>8.3889 * CHOOSE(CONTROL!$C$15, $D$11, 100%, $F$11)</f>
        <v>8.3888999999999996</v>
      </c>
      <c r="G306" s="8">
        <f>7.216 * CHOOSE( CONTROL!$C$15, $D$11, 100%, $F$11)</f>
        <v>7.2160000000000002</v>
      </c>
      <c r="H306" s="4">
        <f>8.101 * CHOOSE(CONTROL!$C$15, $D$11, 100%, $F$11)</f>
        <v>8.1010000000000009</v>
      </c>
      <c r="I306" s="8">
        <f>7.162 * CHOOSE(CONTROL!$C$15, $D$11, 100%, $F$11)</f>
        <v>7.1619999999999999</v>
      </c>
      <c r="J306" s="4">
        <f>7.0609 * CHOOSE(CONTROL!$C$15, $D$11, 100%, $F$11)</f>
        <v>7.0609000000000002</v>
      </c>
      <c r="K306" s="4"/>
      <c r="L306" s="9">
        <v>25.631599999999999</v>
      </c>
      <c r="M306" s="9">
        <v>11.285299999999999</v>
      </c>
      <c r="N306" s="9">
        <v>4.6254999999999997</v>
      </c>
      <c r="O306" s="9">
        <v>0.35039999999999999</v>
      </c>
      <c r="P306" s="9">
        <v>1.2104999999999999</v>
      </c>
      <c r="Q306" s="9">
        <v>28.365500000000001</v>
      </c>
      <c r="R306" s="9"/>
      <c r="S306" s="11"/>
    </row>
    <row r="307" spans="1:19" ht="15.75">
      <c r="A307" s="13">
        <v>51226</v>
      </c>
      <c r="B307" s="8">
        <f>7.217 * CHOOSE(CONTROL!$C$15, $D$11, 100%, $F$11)</f>
        <v>7.2169999999999996</v>
      </c>
      <c r="C307" s="8">
        <f>7.2274 * CHOOSE(CONTROL!$C$15, $D$11, 100%, $F$11)</f>
        <v>7.2274000000000003</v>
      </c>
      <c r="D307" s="8">
        <f>7.2079 * CHOOSE( CONTROL!$C$15, $D$11, 100%, $F$11)</f>
        <v>7.2079000000000004</v>
      </c>
      <c r="E307" s="12">
        <f>7.2139 * CHOOSE( CONTROL!$C$15, $D$11, 100%, $F$11)</f>
        <v>7.2138999999999998</v>
      </c>
      <c r="F307" s="4">
        <f>8.2159 * CHOOSE(CONTROL!$C$15, $D$11, 100%, $F$11)</f>
        <v>8.2158999999999995</v>
      </c>
      <c r="G307" s="8">
        <f>7.0424 * CHOOSE( CONTROL!$C$15, $D$11, 100%, $F$11)</f>
        <v>7.0423999999999998</v>
      </c>
      <c r="H307" s="4">
        <f>7.9324 * CHOOSE(CONTROL!$C$15, $D$11, 100%, $F$11)</f>
        <v>7.9324000000000003</v>
      </c>
      <c r="I307" s="8">
        <f>6.9721 * CHOOSE(CONTROL!$C$15, $D$11, 100%, $F$11)</f>
        <v>6.9721000000000002</v>
      </c>
      <c r="J307" s="4">
        <f>6.9105 * CHOOSE(CONTROL!$C$15, $D$11, 100%, $F$11)</f>
        <v>6.9104999999999999</v>
      </c>
      <c r="K307" s="4"/>
      <c r="L307" s="9">
        <v>27.3993</v>
      </c>
      <c r="M307" s="9">
        <v>12.063700000000001</v>
      </c>
      <c r="N307" s="9">
        <v>4.9444999999999997</v>
      </c>
      <c r="O307" s="9">
        <v>0.37459999999999999</v>
      </c>
      <c r="P307" s="9">
        <v>1.2939000000000001</v>
      </c>
      <c r="Q307" s="9">
        <v>30.3217</v>
      </c>
      <c r="R307" s="9"/>
      <c r="S307" s="11"/>
    </row>
    <row r="308" spans="1:19" ht="15.75">
      <c r="A308" s="13">
        <v>51256</v>
      </c>
      <c r="B308" s="8">
        <f>7.3266 * CHOOSE(CONTROL!$C$15, $D$11, 100%, $F$11)</f>
        <v>7.3266</v>
      </c>
      <c r="C308" s="8">
        <f>7.337 * CHOOSE(CONTROL!$C$15, $D$11, 100%, $F$11)</f>
        <v>7.3369999999999997</v>
      </c>
      <c r="D308" s="8">
        <f>7.3409 * CHOOSE( CONTROL!$C$15, $D$11, 100%, $F$11)</f>
        <v>7.3409000000000004</v>
      </c>
      <c r="E308" s="12">
        <f>7.3384 * CHOOSE( CONTROL!$C$15, $D$11, 100%, $F$11)</f>
        <v>7.3384</v>
      </c>
      <c r="F308" s="4">
        <f>8.3338 * CHOOSE(CONTROL!$C$15, $D$11, 100%, $F$11)</f>
        <v>8.3338000000000001</v>
      </c>
      <c r="G308" s="8">
        <f>7.1372 * CHOOSE( CONTROL!$C$15, $D$11, 100%, $F$11)</f>
        <v>7.1372</v>
      </c>
      <c r="H308" s="4">
        <f>8.0473 * CHOOSE(CONTROL!$C$15, $D$11, 100%, $F$11)</f>
        <v>8.0472999999999999</v>
      </c>
      <c r="I308" s="8">
        <f>7.0673 * CHOOSE(CONTROL!$C$15, $D$11, 100%, $F$11)</f>
        <v>7.0673000000000004</v>
      </c>
      <c r="J308" s="4">
        <f>7.0156 * CHOOSE(CONTROL!$C$15, $D$11, 100%, $F$11)</f>
        <v>7.0156000000000001</v>
      </c>
      <c r="K308" s="4"/>
      <c r="L308" s="9">
        <v>27.988800000000001</v>
      </c>
      <c r="M308" s="9">
        <v>11.6745</v>
      </c>
      <c r="N308" s="9">
        <v>4.7850000000000001</v>
      </c>
      <c r="O308" s="9">
        <v>0.36249999999999999</v>
      </c>
      <c r="P308" s="9">
        <v>1.1798</v>
      </c>
      <c r="Q308" s="9">
        <v>29.343599999999999</v>
      </c>
      <c r="R308" s="9"/>
      <c r="S308" s="11"/>
    </row>
    <row r="309" spans="1:19" ht="15.75">
      <c r="A309" s="13">
        <v>51287</v>
      </c>
      <c r="B309" s="8">
        <f>CHOOSE( CONTROL!$C$32, 7.5266, 7.5217) * CHOOSE(CONTROL!$C$15, $D$11, 100%, $F$11)</f>
        <v>7.5266000000000002</v>
      </c>
      <c r="C309" s="8">
        <f>CHOOSE( CONTROL!$C$32, 7.537, 7.5321) * CHOOSE(CONTROL!$C$15, $D$11, 100%, $F$11)</f>
        <v>7.5369999999999999</v>
      </c>
      <c r="D309" s="8">
        <f>CHOOSE( CONTROL!$C$32, 7.5157, 7.5108) * CHOOSE( CONTROL!$C$15, $D$11, 100%, $F$11)</f>
        <v>7.5156999999999998</v>
      </c>
      <c r="E309" s="12">
        <f>CHOOSE( CONTROL!$C$32, 7.5218, 7.5169) * CHOOSE( CONTROL!$C$15, $D$11, 100%, $F$11)</f>
        <v>7.5217999999999998</v>
      </c>
      <c r="F309" s="4">
        <f>CHOOSE( CONTROL!$C$32, 8.5015, 8.4966) * CHOOSE(CONTROL!$C$15, $D$11, 100%, $F$11)</f>
        <v>8.5015000000000001</v>
      </c>
      <c r="G309" s="8">
        <f>CHOOSE( CONTROL!$C$32, 7.3136, 7.3087) * CHOOSE( CONTROL!$C$15, $D$11, 100%, $F$11)</f>
        <v>7.3136000000000001</v>
      </c>
      <c r="H309" s="4">
        <f>CHOOSE( CONTROL!$C$32, 8.2108, 8.206) * CHOOSE(CONTROL!$C$15, $D$11, 100%, $F$11)</f>
        <v>8.2108000000000008</v>
      </c>
      <c r="I309" s="8">
        <f>CHOOSE( CONTROL!$C$32, 7.2375, 7.2328) * CHOOSE(CONTROL!$C$15, $D$11, 100%, $F$11)</f>
        <v>7.2374999999999998</v>
      </c>
      <c r="J309" s="4">
        <f>CHOOSE( CONTROL!$C$32, 7.2072, 7.2025) * CHOOSE(CONTROL!$C$15, $D$11, 100%, $F$11)</f>
        <v>7.2072000000000003</v>
      </c>
      <c r="K309" s="4"/>
      <c r="L309" s="9">
        <v>29.520499999999998</v>
      </c>
      <c r="M309" s="9">
        <v>12.063700000000001</v>
      </c>
      <c r="N309" s="9">
        <v>4.9444999999999997</v>
      </c>
      <c r="O309" s="9">
        <v>0.37459999999999999</v>
      </c>
      <c r="P309" s="9">
        <v>1.2192000000000001</v>
      </c>
      <c r="Q309" s="9">
        <v>30.3217</v>
      </c>
      <c r="R309" s="9"/>
      <c r="S309" s="11"/>
    </row>
    <row r="310" spans="1:19" ht="15.75">
      <c r="A310" s="13">
        <v>51317</v>
      </c>
      <c r="B310" s="8">
        <f>CHOOSE( CONTROL!$C$32, 7.4058, 7.4008) * CHOOSE(CONTROL!$C$15, $D$11, 100%, $F$11)</f>
        <v>7.4058000000000002</v>
      </c>
      <c r="C310" s="8">
        <f>CHOOSE( CONTROL!$C$32, 7.4162, 7.4113) * CHOOSE(CONTROL!$C$15, $D$11, 100%, $F$11)</f>
        <v>7.4161999999999999</v>
      </c>
      <c r="D310" s="8">
        <f>CHOOSE( CONTROL!$C$32, 7.4083, 7.4034) * CHOOSE( CONTROL!$C$15, $D$11, 100%, $F$11)</f>
        <v>7.4082999999999997</v>
      </c>
      <c r="E310" s="12">
        <f>CHOOSE( CONTROL!$C$32, 7.4096, 7.4047) * CHOOSE( CONTROL!$C$15, $D$11, 100%, $F$11)</f>
        <v>7.4096000000000002</v>
      </c>
      <c r="F310" s="4">
        <f>CHOOSE( CONTROL!$C$32, 8.4, 8.395) * CHOOSE(CONTROL!$C$15, $D$11, 100%, $F$11)</f>
        <v>8.4</v>
      </c>
      <c r="G310" s="8">
        <f>CHOOSE( CONTROL!$C$32, 7.2062, 7.2014) * CHOOSE( CONTROL!$C$15, $D$11, 100%, $F$11)</f>
        <v>7.2061999999999999</v>
      </c>
      <c r="H310" s="4">
        <f>CHOOSE( CONTROL!$C$32, 8.1118, 8.107) * CHOOSE(CONTROL!$C$15, $D$11, 100%, $F$11)</f>
        <v>8.1118000000000006</v>
      </c>
      <c r="I310" s="8">
        <f>CHOOSE( CONTROL!$C$32, 7.1395, 7.1348) * CHOOSE(CONTROL!$C$15, $D$11, 100%, $F$11)</f>
        <v>7.1395</v>
      </c>
      <c r="J310" s="4">
        <f>CHOOSE( CONTROL!$C$32, 7.0914, 7.0867) * CHOOSE(CONTROL!$C$15, $D$11, 100%, $F$11)</f>
        <v>7.0914000000000001</v>
      </c>
      <c r="K310" s="4"/>
      <c r="L310" s="9">
        <v>28.568200000000001</v>
      </c>
      <c r="M310" s="9">
        <v>11.6745</v>
      </c>
      <c r="N310" s="9">
        <v>4.7850000000000001</v>
      </c>
      <c r="O310" s="9">
        <v>0.36249999999999999</v>
      </c>
      <c r="P310" s="9">
        <v>1.1798</v>
      </c>
      <c r="Q310" s="9">
        <v>29.343599999999999</v>
      </c>
      <c r="R310" s="9"/>
      <c r="S310" s="11"/>
    </row>
    <row r="311" spans="1:19" ht="15.75">
      <c r="A311" s="13">
        <v>51348</v>
      </c>
      <c r="B311" s="8">
        <f>CHOOSE( CONTROL!$C$32, 7.724, 7.7191) * CHOOSE(CONTROL!$C$15, $D$11, 100%, $F$11)</f>
        <v>7.7240000000000002</v>
      </c>
      <c r="C311" s="8">
        <f>CHOOSE( CONTROL!$C$32, 7.7344, 7.7295) * CHOOSE(CONTROL!$C$15, $D$11, 100%, $F$11)</f>
        <v>7.7343999999999999</v>
      </c>
      <c r="D311" s="8">
        <f>CHOOSE( CONTROL!$C$32, 7.7334, 7.7285) * CHOOSE( CONTROL!$C$15, $D$11, 100%, $F$11)</f>
        <v>7.7333999999999996</v>
      </c>
      <c r="E311" s="12">
        <f>CHOOSE( CONTROL!$C$32, 7.7322, 7.7273) * CHOOSE( CONTROL!$C$15, $D$11, 100%, $F$11)</f>
        <v>7.7321999999999997</v>
      </c>
      <c r="F311" s="4">
        <f>CHOOSE( CONTROL!$C$32, 8.7287, 8.7237) * CHOOSE(CONTROL!$C$15, $D$11, 100%, $F$11)</f>
        <v>8.7286999999999999</v>
      </c>
      <c r="G311" s="8">
        <f>CHOOSE( CONTROL!$C$32, 7.5205, 7.5157) * CHOOSE( CONTROL!$C$15, $D$11, 100%, $F$11)</f>
        <v>7.5205000000000002</v>
      </c>
      <c r="H311" s="4">
        <f>CHOOSE( CONTROL!$C$32, 8.4322, 8.4274) * CHOOSE(CONTROL!$C$15, $D$11, 100%, $F$11)</f>
        <v>8.4321999999999999</v>
      </c>
      <c r="I311" s="8">
        <f>CHOOSE( CONTROL!$C$32, 7.4523, 7.4475) * CHOOSE(CONTROL!$C$15, $D$11, 100%, $F$11)</f>
        <v>7.4523000000000001</v>
      </c>
      <c r="J311" s="4">
        <f>CHOOSE( CONTROL!$C$32, 7.3964, 7.3917) * CHOOSE(CONTROL!$C$15, $D$11, 100%, $F$11)</f>
        <v>7.3963999999999999</v>
      </c>
      <c r="K311" s="4"/>
      <c r="L311" s="9">
        <v>29.520499999999998</v>
      </c>
      <c r="M311" s="9">
        <v>12.063700000000001</v>
      </c>
      <c r="N311" s="9">
        <v>4.9444999999999997</v>
      </c>
      <c r="O311" s="9">
        <v>0.37459999999999999</v>
      </c>
      <c r="P311" s="9">
        <v>1.2192000000000001</v>
      </c>
      <c r="Q311" s="9">
        <v>30.3217</v>
      </c>
      <c r="R311" s="9"/>
      <c r="S311" s="11"/>
    </row>
    <row r="312" spans="1:19" ht="15.75">
      <c r="A312" s="13">
        <v>51379</v>
      </c>
      <c r="B312" s="8">
        <f>CHOOSE( CONTROL!$C$32, 7.1285, 7.1236) * CHOOSE(CONTROL!$C$15, $D$11, 100%, $F$11)</f>
        <v>7.1284999999999998</v>
      </c>
      <c r="C312" s="8">
        <f>CHOOSE( CONTROL!$C$32, 7.139, 7.134) * CHOOSE(CONTROL!$C$15, $D$11, 100%, $F$11)</f>
        <v>7.1390000000000002</v>
      </c>
      <c r="D312" s="8">
        <f>CHOOSE( CONTROL!$C$32, 7.1391, 7.1342) * CHOOSE( CONTROL!$C$15, $D$11, 100%, $F$11)</f>
        <v>7.1391</v>
      </c>
      <c r="E312" s="12">
        <f>CHOOSE( CONTROL!$C$32, 7.1375, 7.1325) * CHOOSE( CONTROL!$C$15, $D$11, 100%, $F$11)</f>
        <v>7.1375000000000002</v>
      </c>
      <c r="F312" s="4">
        <f>CHOOSE( CONTROL!$C$32, 8.141, 8.1361) * CHOOSE(CONTROL!$C$15, $D$11, 100%, $F$11)</f>
        <v>8.141</v>
      </c>
      <c r="G312" s="8">
        <f>CHOOSE( CONTROL!$C$32, 6.9352, 6.9304) * CHOOSE( CONTROL!$C$15, $D$11, 100%, $F$11)</f>
        <v>6.9352</v>
      </c>
      <c r="H312" s="4">
        <f>CHOOSE( CONTROL!$C$32, 7.8594, 7.8546) * CHOOSE(CONTROL!$C$15, $D$11, 100%, $F$11)</f>
        <v>7.8593999999999999</v>
      </c>
      <c r="I312" s="8">
        <f>CHOOSE( CONTROL!$C$32, 6.8723, 6.8676) * CHOOSE(CONTROL!$C$15, $D$11, 100%, $F$11)</f>
        <v>6.8723000000000001</v>
      </c>
      <c r="J312" s="4">
        <f>CHOOSE( CONTROL!$C$32, 6.8258, 6.8211) * CHOOSE(CONTROL!$C$15, $D$11, 100%, $F$11)</f>
        <v>6.8258000000000001</v>
      </c>
      <c r="K312" s="4"/>
      <c r="L312" s="9">
        <v>29.520499999999998</v>
      </c>
      <c r="M312" s="9">
        <v>12.063700000000001</v>
      </c>
      <c r="N312" s="9">
        <v>4.9444999999999997</v>
      </c>
      <c r="O312" s="9">
        <v>0.37459999999999999</v>
      </c>
      <c r="P312" s="9">
        <v>1.2192000000000001</v>
      </c>
      <c r="Q312" s="9">
        <v>30.3217</v>
      </c>
      <c r="R312" s="9"/>
      <c r="S312" s="11"/>
    </row>
    <row r="313" spans="1:19" ht="15.75">
      <c r="A313" s="13">
        <v>51409</v>
      </c>
      <c r="B313" s="8">
        <f>CHOOSE( CONTROL!$C$32, 6.9794, 6.9745) * CHOOSE(CONTROL!$C$15, $D$11, 100%, $F$11)</f>
        <v>6.9794</v>
      </c>
      <c r="C313" s="8">
        <f>CHOOSE( CONTROL!$C$32, 6.9899, 6.9849) * CHOOSE(CONTROL!$C$15, $D$11, 100%, $F$11)</f>
        <v>6.9898999999999996</v>
      </c>
      <c r="D313" s="8">
        <f>CHOOSE( CONTROL!$C$32, 6.9903, 6.9854) * CHOOSE( CONTROL!$C$15, $D$11, 100%, $F$11)</f>
        <v>6.9903000000000004</v>
      </c>
      <c r="E313" s="12">
        <f>CHOOSE( CONTROL!$C$32, 6.9886, 6.9836) * CHOOSE( CONTROL!$C$15, $D$11, 100%, $F$11)</f>
        <v>6.9885999999999999</v>
      </c>
      <c r="F313" s="4">
        <f>CHOOSE( CONTROL!$C$32, 7.9919, 7.987) * CHOOSE(CONTROL!$C$15, $D$11, 100%, $F$11)</f>
        <v>7.9919000000000002</v>
      </c>
      <c r="G313" s="8">
        <f>CHOOSE( CONTROL!$C$32, 6.7903, 6.7855) * CHOOSE( CONTROL!$C$15, $D$11, 100%, $F$11)</f>
        <v>6.7903000000000002</v>
      </c>
      <c r="H313" s="4">
        <f>CHOOSE( CONTROL!$C$32, 7.714, 7.7092) * CHOOSE(CONTROL!$C$15, $D$11, 100%, $F$11)</f>
        <v>7.7140000000000004</v>
      </c>
      <c r="I313" s="8">
        <f>CHOOSE( CONTROL!$C$32, 6.7308, 6.7261) * CHOOSE(CONTROL!$C$15, $D$11, 100%, $F$11)</f>
        <v>6.7308000000000003</v>
      </c>
      <c r="J313" s="4">
        <f>CHOOSE( CONTROL!$C$32, 6.6829, 6.6782) * CHOOSE(CONTROL!$C$15, $D$11, 100%, $F$11)</f>
        <v>6.6829000000000001</v>
      </c>
      <c r="K313" s="4"/>
      <c r="L313" s="9">
        <v>28.568200000000001</v>
      </c>
      <c r="M313" s="9">
        <v>11.6745</v>
      </c>
      <c r="N313" s="9">
        <v>4.7850000000000001</v>
      </c>
      <c r="O313" s="9">
        <v>0.36249999999999999</v>
      </c>
      <c r="P313" s="9">
        <v>1.1798</v>
      </c>
      <c r="Q313" s="9">
        <v>29.343599999999999</v>
      </c>
      <c r="R313" s="9"/>
      <c r="S313" s="11"/>
    </row>
    <row r="314" spans="1:19" ht="15.75">
      <c r="A314" s="13">
        <v>51440</v>
      </c>
      <c r="B314" s="8">
        <f>7.2841 * CHOOSE(CONTROL!$C$15, $D$11, 100%, $F$11)</f>
        <v>7.2840999999999996</v>
      </c>
      <c r="C314" s="8">
        <f>7.2945 * CHOOSE(CONTROL!$C$15, $D$11, 100%, $F$11)</f>
        <v>7.2945000000000002</v>
      </c>
      <c r="D314" s="8">
        <f>7.2962 * CHOOSE( CONTROL!$C$15, $D$11, 100%, $F$11)</f>
        <v>7.2961999999999998</v>
      </c>
      <c r="E314" s="12">
        <f>7.2945 * CHOOSE( CONTROL!$C$15, $D$11, 100%, $F$11)</f>
        <v>7.2945000000000002</v>
      </c>
      <c r="F314" s="4">
        <f>8.2966 * CHOOSE(CONTROL!$C$15, $D$11, 100%, $F$11)</f>
        <v>8.2965999999999998</v>
      </c>
      <c r="G314" s="8">
        <f>7.0869 * CHOOSE( CONTROL!$C$15, $D$11, 100%, $F$11)</f>
        <v>7.0869</v>
      </c>
      <c r="H314" s="4">
        <f>8.011 * CHOOSE(CONTROL!$C$15, $D$11, 100%, $F$11)</f>
        <v>8.0109999999999992</v>
      </c>
      <c r="I314" s="8">
        <f>7.0252 * CHOOSE(CONTROL!$C$15, $D$11, 100%, $F$11)</f>
        <v>7.0251999999999999</v>
      </c>
      <c r="J314" s="4">
        <f>6.9749 * CHOOSE(CONTROL!$C$15, $D$11, 100%, $F$11)</f>
        <v>6.9748999999999999</v>
      </c>
      <c r="K314" s="4"/>
      <c r="L314" s="9">
        <v>28.921800000000001</v>
      </c>
      <c r="M314" s="9">
        <v>12.063700000000001</v>
      </c>
      <c r="N314" s="9">
        <v>4.9444999999999997</v>
      </c>
      <c r="O314" s="9">
        <v>0.37459999999999999</v>
      </c>
      <c r="P314" s="9">
        <v>1.2192000000000001</v>
      </c>
      <c r="Q314" s="9">
        <v>30.3217</v>
      </c>
      <c r="R314" s="9"/>
      <c r="S314" s="11"/>
    </row>
    <row r="315" spans="1:19" ht="15.75">
      <c r="A315" s="13">
        <v>51470</v>
      </c>
      <c r="B315" s="8">
        <f>7.8556 * CHOOSE(CONTROL!$C$15, $D$11, 100%, $F$11)</f>
        <v>7.8555999999999999</v>
      </c>
      <c r="C315" s="8">
        <f>7.866 * CHOOSE(CONTROL!$C$15, $D$11, 100%, $F$11)</f>
        <v>7.8659999999999997</v>
      </c>
      <c r="D315" s="8">
        <f>7.8471 * CHOOSE( CONTROL!$C$15, $D$11, 100%, $F$11)</f>
        <v>7.8471000000000002</v>
      </c>
      <c r="E315" s="12">
        <f>7.8529 * CHOOSE( CONTROL!$C$15, $D$11, 100%, $F$11)</f>
        <v>7.8529</v>
      </c>
      <c r="F315" s="4">
        <f>8.8524 * CHOOSE(CONTROL!$C$15, $D$11, 100%, $F$11)</f>
        <v>8.8523999999999994</v>
      </c>
      <c r="G315" s="8">
        <f>7.6669 * CHOOSE( CONTROL!$C$15, $D$11, 100%, $F$11)</f>
        <v>7.6669</v>
      </c>
      <c r="H315" s="4">
        <f>8.5528 * CHOOSE(CONTROL!$C$15, $D$11, 100%, $F$11)</f>
        <v>8.5527999999999995</v>
      </c>
      <c r="I315" s="8">
        <f>7.6195 * CHOOSE(CONTROL!$C$15, $D$11, 100%, $F$11)</f>
        <v>7.6195000000000004</v>
      </c>
      <c r="J315" s="4">
        <f>7.5225 * CHOOSE(CONTROL!$C$15, $D$11, 100%, $F$11)</f>
        <v>7.5225</v>
      </c>
      <c r="K315" s="4"/>
      <c r="L315" s="9">
        <v>26.515499999999999</v>
      </c>
      <c r="M315" s="9">
        <v>11.6745</v>
      </c>
      <c r="N315" s="9">
        <v>4.7850000000000001</v>
      </c>
      <c r="O315" s="9">
        <v>0.36249999999999999</v>
      </c>
      <c r="P315" s="9">
        <v>1.2522</v>
      </c>
      <c r="Q315" s="9">
        <v>29.343599999999999</v>
      </c>
      <c r="R315" s="9"/>
      <c r="S315" s="11"/>
    </row>
    <row r="316" spans="1:19" ht="15.75">
      <c r="A316" s="13">
        <v>51501</v>
      </c>
      <c r="B316" s="8">
        <f>7.8413 * CHOOSE(CONTROL!$C$15, $D$11, 100%, $F$11)</f>
        <v>7.8413000000000004</v>
      </c>
      <c r="C316" s="8">
        <f>7.8517 * CHOOSE(CONTROL!$C$15, $D$11, 100%, $F$11)</f>
        <v>7.8517000000000001</v>
      </c>
      <c r="D316" s="8">
        <f>7.8353 * CHOOSE( CONTROL!$C$15, $D$11, 100%, $F$11)</f>
        <v>7.8353000000000002</v>
      </c>
      <c r="E316" s="12">
        <f>7.8402 * CHOOSE( CONTROL!$C$15, $D$11, 100%, $F$11)</f>
        <v>7.8402000000000003</v>
      </c>
      <c r="F316" s="4">
        <f>8.8381 * CHOOSE(CONTROL!$C$15, $D$11, 100%, $F$11)</f>
        <v>8.8381000000000007</v>
      </c>
      <c r="G316" s="8">
        <f>7.655 * CHOOSE( CONTROL!$C$15, $D$11, 100%, $F$11)</f>
        <v>7.6550000000000002</v>
      </c>
      <c r="H316" s="4">
        <f>8.5389 * CHOOSE(CONTROL!$C$15, $D$11, 100%, $F$11)</f>
        <v>8.5388999999999999</v>
      </c>
      <c r="I316" s="8">
        <f>7.6146 * CHOOSE(CONTROL!$C$15, $D$11, 100%, $F$11)</f>
        <v>7.6146000000000003</v>
      </c>
      <c r="J316" s="4">
        <f>7.5088 * CHOOSE(CONTROL!$C$15, $D$11, 100%, $F$11)</f>
        <v>7.5087999999999999</v>
      </c>
      <c r="K316" s="4"/>
      <c r="L316" s="9">
        <v>27.3993</v>
      </c>
      <c r="M316" s="9">
        <v>12.063700000000001</v>
      </c>
      <c r="N316" s="9">
        <v>4.9444999999999997</v>
      </c>
      <c r="O316" s="9">
        <v>0.37459999999999999</v>
      </c>
      <c r="P316" s="9">
        <v>1.2939000000000001</v>
      </c>
      <c r="Q316" s="9">
        <v>30.3217</v>
      </c>
      <c r="R316" s="9"/>
      <c r="S316" s="11"/>
    </row>
    <row r="317" spans="1:19" ht="15.75">
      <c r="A317" s="13">
        <v>51532</v>
      </c>
      <c r="B317" s="8">
        <f>8.1408 * CHOOSE(CONTROL!$C$15, $D$11, 100%, $F$11)</f>
        <v>8.1408000000000005</v>
      </c>
      <c r="C317" s="8">
        <f>8.1512 * CHOOSE(CONTROL!$C$15, $D$11, 100%, $F$11)</f>
        <v>8.1511999999999993</v>
      </c>
      <c r="D317" s="8">
        <f>8.1498 * CHOOSE( CONTROL!$C$15, $D$11, 100%, $F$11)</f>
        <v>8.1498000000000008</v>
      </c>
      <c r="E317" s="12">
        <f>8.1492 * CHOOSE( CONTROL!$C$15, $D$11, 100%, $F$11)</f>
        <v>8.1492000000000004</v>
      </c>
      <c r="F317" s="4">
        <f>9.1637 * CHOOSE(CONTROL!$C$15, $D$11, 100%, $F$11)</f>
        <v>9.1637000000000004</v>
      </c>
      <c r="G317" s="8">
        <f>7.9638 * CHOOSE( CONTROL!$C$15, $D$11, 100%, $F$11)</f>
        <v>7.9638</v>
      </c>
      <c r="H317" s="4">
        <f>8.8563 * CHOOSE(CONTROL!$C$15, $D$11, 100%, $F$11)</f>
        <v>8.8562999999999992</v>
      </c>
      <c r="I317" s="8">
        <f>7.9082 * CHOOSE(CONTROL!$C$15, $D$11, 100%, $F$11)</f>
        <v>7.9081999999999999</v>
      </c>
      <c r="J317" s="4">
        <f>7.7958 * CHOOSE(CONTROL!$C$15, $D$11, 100%, $F$11)</f>
        <v>7.7957999999999998</v>
      </c>
      <c r="K317" s="4"/>
      <c r="L317" s="9">
        <v>27.3993</v>
      </c>
      <c r="M317" s="9">
        <v>12.063700000000001</v>
      </c>
      <c r="N317" s="9">
        <v>4.9444999999999997</v>
      </c>
      <c r="O317" s="9">
        <v>0.37459999999999999</v>
      </c>
      <c r="P317" s="9">
        <v>1.2939000000000001</v>
      </c>
      <c r="Q317" s="9">
        <v>30.258500000000002</v>
      </c>
      <c r="R317" s="9"/>
      <c r="S317" s="11"/>
    </row>
    <row r="318" spans="1:19" ht="15.75">
      <c r="A318" s="13">
        <v>51560</v>
      </c>
      <c r="B318" s="8">
        <f>7.6148 * CHOOSE(CONTROL!$C$15, $D$11, 100%, $F$11)</f>
        <v>7.6147999999999998</v>
      </c>
      <c r="C318" s="8">
        <f>7.6253 * CHOOSE(CONTROL!$C$15, $D$11, 100%, $F$11)</f>
        <v>7.6253000000000002</v>
      </c>
      <c r="D318" s="8">
        <f>7.6261 * CHOOSE( CONTROL!$C$15, $D$11, 100%, $F$11)</f>
        <v>7.6261000000000001</v>
      </c>
      <c r="E318" s="12">
        <f>7.6247 * CHOOSE( CONTROL!$C$15, $D$11, 100%, $F$11)</f>
        <v>7.6246999999999998</v>
      </c>
      <c r="F318" s="4">
        <f>8.6299 * CHOOSE(CONTROL!$C$15, $D$11, 100%, $F$11)</f>
        <v>8.6298999999999992</v>
      </c>
      <c r="G318" s="8">
        <f>7.4509 * CHOOSE( CONTROL!$C$15, $D$11, 100%, $F$11)</f>
        <v>7.4508999999999999</v>
      </c>
      <c r="H318" s="4">
        <f>8.3359 * CHOOSE(CONTROL!$C$15, $D$11, 100%, $F$11)</f>
        <v>8.3359000000000005</v>
      </c>
      <c r="I318" s="8">
        <f>7.3931 * CHOOSE(CONTROL!$C$15, $D$11, 100%, $F$11)</f>
        <v>7.3930999999999996</v>
      </c>
      <c r="J318" s="4">
        <f>7.2918 * CHOOSE(CONTROL!$C$15, $D$11, 100%, $F$11)</f>
        <v>7.2918000000000003</v>
      </c>
      <c r="K318" s="4"/>
      <c r="L318" s="9">
        <v>24.747800000000002</v>
      </c>
      <c r="M318" s="9">
        <v>10.8962</v>
      </c>
      <c r="N318" s="9">
        <v>4.4660000000000002</v>
      </c>
      <c r="O318" s="9">
        <v>0.33829999999999999</v>
      </c>
      <c r="P318" s="9">
        <v>1.1687000000000001</v>
      </c>
      <c r="Q318" s="9">
        <v>27.330200000000001</v>
      </c>
      <c r="R318" s="9"/>
      <c r="S318" s="11"/>
    </row>
    <row r="319" spans="1:19" ht="15.75">
      <c r="A319" s="13">
        <v>51591</v>
      </c>
      <c r="B319" s="8">
        <f>7.4528 * CHOOSE(CONTROL!$C$15, $D$11, 100%, $F$11)</f>
        <v>7.4527999999999999</v>
      </c>
      <c r="C319" s="8">
        <f>7.4633 * CHOOSE(CONTROL!$C$15, $D$11, 100%, $F$11)</f>
        <v>7.4633000000000003</v>
      </c>
      <c r="D319" s="8">
        <f>7.4438 * CHOOSE( CONTROL!$C$15, $D$11, 100%, $F$11)</f>
        <v>7.4438000000000004</v>
      </c>
      <c r="E319" s="12">
        <f>7.4498 * CHOOSE( CONTROL!$C$15, $D$11, 100%, $F$11)</f>
        <v>7.4497999999999998</v>
      </c>
      <c r="F319" s="4">
        <f>8.4517 * CHOOSE(CONTROL!$C$15, $D$11, 100%, $F$11)</f>
        <v>8.4517000000000007</v>
      </c>
      <c r="G319" s="8">
        <f>7.2723 * CHOOSE( CONTROL!$C$15, $D$11, 100%, $F$11)</f>
        <v>7.2723000000000004</v>
      </c>
      <c r="H319" s="4">
        <f>8.1623 * CHOOSE(CONTROL!$C$15, $D$11, 100%, $F$11)</f>
        <v>8.1623000000000001</v>
      </c>
      <c r="I319" s="8">
        <f>7.1983 * CHOOSE(CONTROL!$C$15, $D$11, 100%, $F$11)</f>
        <v>7.1982999999999997</v>
      </c>
      <c r="J319" s="4">
        <f>7.1366 * CHOOSE(CONTROL!$C$15, $D$11, 100%, $F$11)</f>
        <v>7.1365999999999996</v>
      </c>
      <c r="K319" s="4"/>
      <c r="L319" s="9">
        <v>27.3993</v>
      </c>
      <c r="M319" s="9">
        <v>12.063700000000001</v>
      </c>
      <c r="N319" s="9">
        <v>4.9444999999999997</v>
      </c>
      <c r="O319" s="9">
        <v>0.37459999999999999</v>
      </c>
      <c r="P319" s="9">
        <v>1.2939000000000001</v>
      </c>
      <c r="Q319" s="9">
        <v>30.258500000000002</v>
      </c>
      <c r="R319" s="9"/>
      <c r="S319" s="11"/>
    </row>
    <row r="320" spans="1:19" ht="15.75">
      <c r="A320" s="13">
        <v>51621</v>
      </c>
      <c r="B320" s="8">
        <f>7.566 * CHOOSE(CONTROL!$C$15, $D$11, 100%, $F$11)</f>
        <v>7.5659999999999998</v>
      </c>
      <c r="C320" s="8">
        <f>7.5765 * CHOOSE(CONTROL!$C$15, $D$11, 100%, $F$11)</f>
        <v>7.5765000000000002</v>
      </c>
      <c r="D320" s="8">
        <f>7.5803 * CHOOSE( CONTROL!$C$15, $D$11, 100%, $F$11)</f>
        <v>7.5803000000000003</v>
      </c>
      <c r="E320" s="12">
        <f>7.5778 * CHOOSE( CONTROL!$C$15, $D$11, 100%, $F$11)</f>
        <v>7.5777999999999999</v>
      </c>
      <c r="F320" s="4">
        <f>8.5733 * CHOOSE(CONTROL!$C$15, $D$11, 100%, $F$11)</f>
        <v>8.5732999999999997</v>
      </c>
      <c r="G320" s="8">
        <f>7.3706 * CHOOSE( CONTROL!$C$15, $D$11, 100%, $F$11)</f>
        <v>7.3705999999999996</v>
      </c>
      <c r="H320" s="4">
        <f>8.2808 * CHOOSE(CONTROL!$C$15, $D$11, 100%, $F$11)</f>
        <v>8.2807999999999993</v>
      </c>
      <c r="I320" s="8">
        <f>7.2969 * CHOOSE(CONTROL!$C$15, $D$11, 100%, $F$11)</f>
        <v>7.2968999999999999</v>
      </c>
      <c r="J320" s="4">
        <f>7.245 * CHOOSE(CONTROL!$C$15, $D$11, 100%, $F$11)</f>
        <v>7.2450000000000001</v>
      </c>
      <c r="K320" s="4"/>
      <c r="L320" s="9">
        <v>27.988800000000001</v>
      </c>
      <c r="M320" s="9">
        <v>11.6745</v>
      </c>
      <c r="N320" s="9">
        <v>4.7850000000000001</v>
      </c>
      <c r="O320" s="9">
        <v>0.36249999999999999</v>
      </c>
      <c r="P320" s="9">
        <v>1.1798</v>
      </c>
      <c r="Q320" s="9">
        <v>29.282399999999999</v>
      </c>
      <c r="R320" s="9"/>
      <c r="S320" s="11"/>
    </row>
    <row r="321" spans="1:19" ht="15.75">
      <c r="A321" s="13">
        <v>51652</v>
      </c>
      <c r="B321" s="8">
        <f>CHOOSE( CONTROL!$C$32, 7.7724, 7.7675) * CHOOSE(CONTROL!$C$15, $D$11, 100%, $F$11)</f>
        <v>7.7724000000000002</v>
      </c>
      <c r="C321" s="8">
        <f>CHOOSE( CONTROL!$C$32, 7.7829, 7.7779) * CHOOSE(CONTROL!$C$15, $D$11, 100%, $F$11)</f>
        <v>7.7828999999999997</v>
      </c>
      <c r="D321" s="8">
        <f>CHOOSE( CONTROL!$C$32, 7.7615, 7.7566) * CHOOSE( CONTROL!$C$15, $D$11, 100%, $F$11)</f>
        <v>7.7614999999999998</v>
      </c>
      <c r="E321" s="12">
        <f>CHOOSE( CONTROL!$C$32, 7.7677, 7.7627) * CHOOSE( CONTROL!$C$15, $D$11, 100%, $F$11)</f>
        <v>7.7676999999999996</v>
      </c>
      <c r="F321" s="4">
        <f>CHOOSE( CONTROL!$C$32, 8.7473, 8.7424) * CHOOSE(CONTROL!$C$15, $D$11, 100%, $F$11)</f>
        <v>8.7472999999999992</v>
      </c>
      <c r="G321" s="8">
        <f>CHOOSE( CONTROL!$C$32, 7.5532, 7.5484) * CHOOSE( CONTROL!$C$15, $D$11, 100%, $F$11)</f>
        <v>7.5532000000000004</v>
      </c>
      <c r="H321" s="4">
        <f>CHOOSE( CONTROL!$C$32, 8.4504, 8.4456) * CHOOSE(CONTROL!$C$15, $D$11, 100%, $F$11)</f>
        <v>8.4504000000000001</v>
      </c>
      <c r="I321" s="8">
        <f>CHOOSE( CONTROL!$C$32, 7.4732, 7.4685) * CHOOSE(CONTROL!$C$15, $D$11, 100%, $F$11)</f>
        <v>7.4732000000000003</v>
      </c>
      <c r="J321" s="4">
        <f>CHOOSE( CONTROL!$C$32, 7.4428, 7.4381) * CHOOSE(CONTROL!$C$15, $D$11, 100%, $F$11)</f>
        <v>7.4428000000000001</v>
      </c>
      <c r="K321" s="4"/>
      <c r="L321" s="9">
        <v>29.520499999999998</v>
      </c>
      <c r="M321" s="9">
        <v>12.063700000000001</v>
      </c>
      <c r="N321" s="9">
        <v>4.9444999999999997</v>
      </c>
      <c r="O321" s="9">
        <v>0.37459999999999999</v>
      </c>
      <c r="P321" s="9">
        <v>1.2192000000000001</v>
      </c>
      <c r="Q321" s="9">
        <v>30.258500000000002</v>
      </c>
      <c r="R321" s="9"/>
      <c r="S321" s="11"/>
    </row>
    <row r="322" spans="1:19" ht="15.75">
      <c r="A322" s="13">
        <v>51682</v>
      </c>
      <c r="B322" s="8">
        <f>CHOOSE( CONTROL!$C$32, 7.6476, 7.6427) * CHOOSE(CONTROL!$C$15, $D$11, 100%, $F$11)</f>
        <v>7.6475999999999997</v>
      </c>
      <c r="C322" s="8">
        <f>CHOOSE( CONTROL!$C$32, 7.6581, 7.6531) * CHOOSE(CONTROL!$C$15, $D$11, 100%, $F$11)</f>
        <v>7.6581000000000001</v>
      </c>
      <c r="D322" s="8">
        <f>CHOOSE( CONTROL!$C$32, 7.6502, 7.6452) * CHOOSE( CONTROL!$C$15, $D$11, 100%, $F$11)</f>
        <v>7.6501999999999999</v>
      </c>
      <c r="E322" s="12">
        <f>CHOOSE( CONTROL!$C$32, 7.6515, 7.6465) * CHOOSE( CONTROL!$C$15, $D$11, 100%, $F$11)</f>
        <v>7.6515000000000004</v>
      </c>
      <c r="F322" s="4">
        <f>CHOOSE( CONTROL!$C$32, 8.6418, 8.6369) * CHOOSE(CONTROL!$C$15, $D$11, 100%, $F$11)</f>
        <v>8.6417999999999999</v>
      </c>
      <c r="G322" s="8">
        <f>CHOOSE( CONTROL!$C$32, 7.4419, 7.4371) * CHOOSE( CONTROL!$C$15, $D$11, 100%, $F$11)</f>
        <v>7.4419000000000004</v>
      </c>
      <c r="H322" s="4">
        <f>CHOOSE( CONTROL!$C$32, 8.3476, 8.3428) * CHOOSE(CONTROL!$C$15, $D$11, 100%, $F$11)</f>
        <v>8.3475999999999999</v>
      </c>
      <c r="I322" s="8">
        <f>CHOOSE( CONTROL!$C$32, 7.3714, 7.3667) * CHOOSE(CONTROL!$C$15, $D$11, 100%, $F$11)</f>
        <v>7.3714000000000004</v>
      </c>
      <c r="J322" s="4">
        <f>CHOOSE( CONTROL!$C$32, 7.3232, 7.3185) * CHOOSE(CONTROL!$C$15, $D$11, 100%, $F$11)</f>
        <v>7.3231999999999999</v>
      </c>
      <c r="K322" s="4"/>
      <c r="L322" s="9">
        <v>28.568200000000001</v>
      </c>
      <c r="M322" s="9">
        <v>11.6745</v>
      </c>
      <c r="N322" s="9">
        <v>4.7850000000000001</v>
      </c>
      <c r="O322" s="9">
        <v>0.36249999999999999</v>
      </c>
      <c r="P322" s="9">
        <v>1.1798</v>
      </c>
      <c r="Q322" s="9">
        <v>29.282399999999999</v>
      </c>
      <c r="R322" s="9"/>
      <c r="S322" s="11"/>
    </row>
    <row r="323" spans="1:19" ht="15.75">
      <c r="A323" s="13">
        <v>51713</v>
      </c>
      <c r="B323" s="8">
        <f>CHOOSE( CONTROL!$C$32, 7.9763, 7.9714) * CHOOSE(CONTROL!$C$15, $D$11, 100%, $F$11)</f>
        <v>7.9763000000000002</v>
      </c>
      <c r="C323" s="8">
        <f>CHOOSE( CONTROL!$C$32, 7.9867, 7.9818) * CHOOSE(CONTROL!$C$15, $D$11, 100%, $F$11)</f>
        <v>7.9866999999999999</v>
      </c>
      <c r="D323" s="8">
        <f>CHOOSE( CONTROL!$C$32, 7.9857, 7.9808) * CHOOSE( CONTROL!$C$15, $D$11, 100%, $F$11)</f>
        <v>7.9856999999999996</v>
      </c>
      <c r="E323" s="12">
        <f>CHOOSE( CONTROL!$C$32, 7.9845, 7.9796) * CHOOSE( CONTROL!$C$15, $D$11, 100%, $F$11)</f>
        <v>7.9844999999999997</v>
      </c>
      <c r="F323" s="4">
        <f>CHOOSE( CONTROL!$C$32, 8.9809, 8.976) * CHOOSE(CONTROL!$C$15, $D$11, 100%, $F$11)</f>
        <v>8.9809000000000001</v>
      </c>
      <c r="G323" s="8">
        <f>CHOOSE( CONTROL!$C$32, 7.7664, 7.7616) * CHOOSE( CONTROL!$C$15, $D$11, 100%, $F$11)</f>
        <v>7.7664</v>
      </c>
      <c r="H323" s="4">
        <f>CHOOSE( CONTROL!$C$32, 8.6781, 8.6733) * CHOOSE(CONTROL!$C$15, $D$11, 100%, $F$11)</f>
        <v>8.6781000000000006</v>
      </c>
      <c r="I323" s="8">
        <f>CHOOSE( CONTROL!$C$32, 7.6941, 7.6894) * CHOOSE(CONTROL!$C$15, $D$11, 100%, $F$11)</f>
        <v>7.6940999999999997</v>
      </c>
      <c r="J323" s="4">
        <f>CHOOSE( CONTROL!$C$32, 7.6381, 7.6334) * CHOOSE(CONTROL!$C$15, $D$11, 100%, $F$11)</f>
        <v>7.6380999999999997</v>
      </c>
      <c r="K323" s="4"/>
      <c r="L323" s="9">
        <v>29.520499999999998</v>
      </c>
      <c r="M323" s="9">
        <v>12.063700000000001</v>
      </c>
      <c r="N323" s="9">
        <v>4.9444999999999997</v>
      </c>
      <c r="O323" s="9">
        <v>0.37459999999999999</v>
      </c>
      <c r="P323" s="9">
        <v>1.2192000000000001</v>
      </c>
      <c r="Q323" s="9">
        <v>30.258500000000002</v>
      </c>
      <c r="R323" s="9"/>
      <c r="S323" s="11"/>
    </row>
    <row r="324" spans="1:19" ht="15.75">
      <c r="A324" s="13">
        <v>51744</v>
      </c>
      <c r="B324" s="8">
        <f>CHOOSE( CONTROL!$C$32, 7.3613, 7.3564) * CHOOSE(CONTROL!$C$15, $D$11, 100%, $F$11)</f>
        <v>7.3613</v>
      </c>
      <c r="C324" s="8">
        <f>CHOOSE( CONTROL!$C$32, 7.3718, 7.3668) * CHOOSE(CONTROL!$C$15, $D$11, 100%, $F$11)</f>
        <v>7.3718000000000004</v>
      </c>
      <c r="D324" s="8">
        <f>CHOOSE( CONTROL!$C$32, 7.3719, 7.367) * CHOOSE( CONTROL!$C$15, $D$11, 100%, $F$11)</f>
        <v>7.3719000000000001</v>
      </c>
      <c r="E324" s="12">
        <f>CHOOSE( CONTROL!$C$32, 7.3703, 7.3653) * CHOOSE( CONTROL!$C$15, $D$11, 100%, $F$11)</f>
        <v>7.3703000000000003</v>
      </c>
      <c r="F324" s="4">
        <f>CHOOSE( CONTROL!$C$32, 8.3738, 8.3689) * CHOOSE(CONTROL!$C$15, $D$11, 100%, $F$11)</f>
        <v>8.3737999999999992</v>
      </c>
      <c r="G324" s="8">
        <f>CHOOSE( CONTROL!$C$32, 7.1621, 7.1573) * CHOOSE( CONTROL!$C$15, $D$11, 100%, $F$11)</f>
        <v>7.1620999999999997</v>
      </c>
      <c r="H324" s="4">
        <f>CHOOSE( CONTROL!$C$32, 8.0863, 8.0815) * CHOOSE(CONTROL!$C$15, $D$11, 100%, $F$11)</f>
        <v>8.0862999999999996</v>
      </c>
      <c r="I324" s="8">
        <f>CHOOSE( CONTROL!$C$32, 7.0955, 7.0908) * CHOOSE(CONTROL!$C$15, $D$11, 100%, $F$11)</f>
        <v>7.0955000000000004</v>
      </c>
      <c r="J324" s="4">
        <f>CHOOSE( CONTROL!$C$32, 7.0489, 7.0442) * CHOOSE(CONTROL!$C$15, $D$11, 100%, $F$11)</f>
        <v>7.0488999999999997</v>
      </c>
      <c r="K324" s="4"/>
      <c r="L324" s="9">
        <v>29.520499999999998</v>
      </c>
      <c r="M324" s="9">
        <v>12.063700000000001</v>
      </c>
      <c r="N324" s="9">
        <v>4.9444999999999997</v>
      </c>
      <c r="O324" s="9">
        <v>0.37459999999999999</v>
      </c>
      <c r="P324" s="9">
        <v>1.2192000000000001</v>
      </c>
      <c r="Q324" s="9">
        <v>30.258500000000002</v>
      </c>
      <c r="R324" s="9"/>
      <c r="S324" s="11"/>
    </row>
    <row r="325" spans="1:19" ht="15.75">
      <c r="A325" s="13">
        <v>51774</v>
      </c>
      <c r="B325" s="8">
        <f>CHOOSE( CONTROL!$C$32, 7.2074, 7.2024) * CHOOSE(CONTROL!$C$15, $D$11, 100%, $F$11)</f>
        <v>7.2073999999999998</v>
      </c>
      <c r="C325" s="8">
        <f>CHOOSE( CONTROL!$C$32, 7.2178, 7.2129) * CHOOSE(CONTROL!$C$15, $D$11, 100%, $F$11)</f>
        <v>7.2178000000000004</v>
      </c>
      <c r="D325" s="8">
        <f>CHOOSE( CONTROL!$C$32, 7.2182, 7.2133) * CHOOSE( CONTROL!$C$15, $D$11, 100%, $F$11)</f>
        <v>7.2182000000000004</v>
      </c>
      <c r="E325" s="12">
        <f>CHOOSE( CONTROL!$C$32, 7.2165, 7.2116) * CHOOSE( CONTROL!$C$15, $D$11, 100%, $F$11)</f>
        <v>7.2164999999999999</v>
      </c>
      <c r="F325" s="4">
        <f>CHOOSE( CONTROL!$C$32, 8.2198, 8.2149) * CHOOSE(CONTROL!$C$15, $D$11, 100%, $F$11)</f>
        <v>8.2197999999999993</v>
      </c>
      <c r="G325" s="8">
        <f>CHOOSE( CONTROL!$C$32, 7.0125, 7.0076) * CHOOSE( CONTROL!$C$15, $D$11, 100%, $F$11)</f>
        <v>7.0125000000000002</v>
      </c>
      <c r="H325" s="4">
        <f>CHOOSE( CONTROL!$C$32, 7.9362, 7.9314) * CHOOSE(CONTROL!$C$15, $D$11, 100%, $F$11)</f>
        <v>7.9362000000000004</v>
      </c>
      <c r="I325" s="8">
        <f>CHOOSE( CONTROL!$C$32, 6.9493, 6.9446) * CHOOSE(CONTROL!$C$15, $D$11, 100%, $F$11)</f>
        <v>6.9493</v>
      </c>
      <c r="J325" s="4">
        <f>CHOOSE( CONTROL!$C$32, 6.9013, 6.8966) * CHOOSE(CONTROL!$C$15, $D$11, 100%, $F$11)</f>
        <v>6.9013</v>
      </c>
      <c r="K325" s="4"/>
      <c r="L325" s="9">
        <v>28.568200000000001</v>
      </c>
      <c r="M325" s="9">
        <v>11.6745</v>
      </c>
      <c r="N325" s="9">
        <v>4.7850000000000001</v>
      </c>
      <c r="O325" s="9">
        <v>0.36249999999999999</v>
      </c>
      <c r="P325" s="9">
        <v>1.1798</v>
      </c>
      <c r="Q325" s="9">
        <v>29.282399999999999</v>
      </c>
      <c r="R325" s="9"/>
      <c r="S325" s="11"/>
    </row>
    <row r="326" spans="1:19" ht="15.75">
      <c r="A326" s="13">
        <v>51805</v>
      </c>
      <c r="B326" s="8">
        <f>7.5222 * CHOOSE(CONTROL!$C$15, $D$11, 100%, $F$11)</f>
        <v>7.5221999999999998</v>
      </c>
      <c r="C326" s="8">
        <f>7.5326 * CHOOSE(CONTROL!$C$15, $D$11, 100%, $F$11)</f>
        <v>7.5326000000000004</v>
      </c>
      <c r="D326" s="8">
        <f>7.5343 * CHOOSE( CONTROL!$C$15, $D$11, 100%, $F$11)</f>
        <v>7.5343</v>
      </c>
      <c r="E326" s="12">
        <f>7.5326 * CHOOSE( CONTROL!$C$15, $D$11, 100%, $F$11)</f>
        <v>7.5326000000000004</v>
      </c>
      <c r="F326" s="4">
        <f>8.5346 * CHOOSE(CONTROL!$C$15, $D$11, 100%, $F$11)</f>
        <v>8.5345999999999993</v>
      </c>
      <c r="G326" s="8">
        <f>7.319 * CHOOSE( CONTROL!$C$15, $D$11, 100%, $F$11)</f>
        <v>7.319</v>
      </c>
      <c r="H326" s="4">
        <f>8.2431 * CHOOSE(CONTROL!$C$15, $D$11, 100%, $F$11)</f>
        <v>8.2431000000000001</v>
      </c>
      <c r="I326" s="8">
        <f>7.2534 * CHOOSE(CONTROL!$C$15, $D$11, 100%, $F$11)</f>
        <v>7.2534000000000001</v>
      </c>
      <c r="J326" s="4">
        <f>7.203 * CHOOSE(CONTROL!$C$15, $D$11, 100%, $F$11)</f>
        <v>7.2030000000000003</v>
      </c>
      <c r="K326" s="4"/>
      <c r="L326" s="9">
        <v>28.921800000000001</v>
      </c>
      <c r="M326" s="9">
        <v>12.063700000000001</v>
      </c>
      <c r="N326" s="9">
        <v>4.9444999999999997</v>
      </c>
      <c r="O326" s="9">
        <v>0.37459999999999999</v>
      </c>
      <c r="P326" s="9">
        <v>1.2192000000000001</v>
      </c>
      <c r="Q326" s="9">
        <v>30.258500000000002</v>
      </c>
      <c r="R326" s="9"/>
      <c r="S326" s="11"/>
    </row>
    <row r="327" spans="1:19" ht="15.75">
      <c r="A327" s="13">
        <v>51835</v>
      </c>
      <c r="B327" s="8">
        <f>8.1123 * CHOOSE(CONTROL!$C$15, $D$11, 100%, $F$11)</f>
        <v>8.1122999999999994</v>
      </c>
      <c r="C327" s="8">
        <f>8.1228 * CHOOSE(CONTROL!$C$15, $D$11, 100%, $F$11)</f>
        <v>8.1227999999999998</v>
      </c>
      <c r="D327" s="8">
        <f>8.1038 * CHOOSE( CONTROL!$C$15, $D$11, 100%, $F$11)</f>
        <v>8.1037999999999997</v>
      </c>
      <c r="E327" s="12">
        <f>8.1096 * CHOOSE( CONTROL!$C$15, $D$11, 100%, $F$11)</f>
        <v>8.1096000000000004</v>
      </c>
      <c r="F327" s="4">
        <f>9.1091 * CHOOSE(CONTROL!$C$15, $D$11, 100%, $F$11)</f>
        <v>9.1090999999999998</v>
      </c>
      <c r="G327" s="8">
        <f>7.9172 * CHOOSE( CONTROL!$C$15, $D$11, 100%, $F$11)</f>
        <v>7.9172000000000002</v>
      </c>
      <c r="H327" s="4">
        <f>8.8031 * CHOOSE(CONTROL!$C$15, $D$11, 100%, $F$11)</f>
        <v>8.8031000000000006</v>
      </c>
      <c r="I327" s="8">
        <f>7.8657 * CHOOSE(CONTROL!$C$15, $D$11, 100%, $F$11)</f>
        <v>7.8657000000000004</v>
      </c>
      <c r="J327" s="4">
        <f>7.7685 * CHOOSE(CONTROL!$C$15, $D$11, 100%, $F$11)</f>
        <v>7.7685000000000004</v>
      </c>
      <c r="K327" s="4"/>
      <c r="L327" s="9">
        <v>26.515499999999999</v>
      </c>
      <c r="M327" s="9">
        <v>11.6745</v>
      </c>
      <c r="N327" s="9">
        <v>4.7850000000000001</v>
      </c>
      <c r="O327" s="9">
        <v>0.36249999999999999</v>
      </c>
      <c r="P327" s="9">
        <v>1.2522</v>
      </c>
      <c r="Q327" s="9">
        <v>29.282399999999999</v>
      </c>
      <c r="R327" s="9"/>
      <c r="S327" s="11"/>
    </row>
    <row r="328" spans="1:19" ht="15.75">
      <c r="A328" s="13">
        <v>51866</v>
      </c>
      <c r="B328" s="8">
        <f>8.0976 * CHOOSE(CONTROL!$C$15, $D$11, 100%, $F$11)</f>
        <v>8.0975999999999999</v>
      </c>
      <c r="C328" s="8">
        <f>8.108 * CHOOSE(CONTROL!$C$15, $D$11, 100%, $F$11)</f>
        <v>8.1080000000000005</v>
      </c>
      <c r="D328" s="8">
        <f>8.0916 * CHOOSE( CONTROL!$C$15, $D$11, 100%, $F$11)</f>
        <v>8.0915999999999997</v>
      </c>
      <c r="E328" s="12">
        <f>8.0965 * CHOOSE( CONTROL!$C$15, $D$11, 100%, $F$11)</f>
        <v>8.0965000000000007</v>
      </c>
      <c r="F328" s="4">
        <f>9.0944 * CHOOSE(CONTROL!$C$15, $D$11, 100%, $F$11)</f>
        <v>9.0944000000000003</v>
      </c>
      <c r="G328" s="8">
        <f>7.9048 * CHOOSE( CONTROL!$C$15, $D$11, 100%, $F$11)</f>
        <v>7.9047999999999998</v>
      </c>
      <c r="H328" s="4">
        <f>8.7887 * CHOOSE(CONTROL!$C$15, $D$11, 100%, $F$11)</f>
        <v>8.7887000000000004</v>
      </c>
      <c r="I328" s="8">
        <f>7.8603 * CHOOSE(CONTROL!$C$15, $D$11, 100%, $F$11)</f>
        <v>7.8602999999999996</v>
      </c>
      <c r="J328" s="4">
        <f>7.7543 * CHOOSE(CONTROL!$C$15, $D$11, 100%, $F$11)</f>
        <v>7.7542999999999997</v>
      </c>
      <c r="K328" s="4"/>
      <c r="L328" s="9">
        <v>27.3993</v>
      </c>
      <c r="M328" s="9">
        <v>12.063700000000001</v>
      </c>
      <c r="N328" s="9">
        <v>4.9444999999999997</v>
      </c>
      <c r="O328" s="9">
        <v>0.37459999999999999</v>
      </c>
      <c r="P328" s="9">
        <v>1.2939000000000001</v>
      </c>
      <c r="Q328" s="9">
        <v>30.258500000000002</v>
      </c>
      <c r="R328" s="9"/>
      <c r="S328" s="11"/>
    </row>
    <row r="329" spans="1:19" ht="15.75">
      <c r="A329" s="13">
        <v>51897</v>
      </c>
      <c r="B329" s="8">
        <f>8.4069 * CHOOSE(CONTROL!$C$15, $D$11, 100%, $F$11)</f>
        <v>8.4069000000000003</v>
      </c>
      <c r="C329" s="8">
        <f>8.4173 * CHOOSE(CONTROL!$C$15, $D$11, 100%, $F$11)</f>
        <v>8.4172999999999991</v>
      </c>
      <c r="D329" s="8">
        <f>8.4159 * CHOOSE( CONTROL!$C$15, $D$11, 100%, $F$11)</f>
        <v>8.4159000000000006</v>
      </c>
      <c r="E329" s="12">
        <f>8.4153 * CHOOSE( CONTROL!$C$15, $D$11, 100%, $F$11)</f>
        <v>8.4153000000000002</v>
      </c>
      <c r="F329" s="4">
        <f>9.4298 * CHOOSE(CONTROL!$C$15, $D$11, 100%, $F$11)</f>
        <v>9.4298000000000002</v>
      </c>
      <c r="G329" s="8">
        <f>8.2231 * CHOOSE( CONTROL!$C$15, $D$11, 100%, $F$11)</f>
        <v>8.2231000000000005</v>
      </c>
      <c r="H329" s="4">
        <f>9.1156 * CHOOSE(CONTROL!$C$15, $D$11, 100%, $F$11)</f>
        <v>9.1156000000000006</v>
      </c>
      <c r="I329" s="8">
        <f>8.1633 * CHOOSE(CONTROL!$C$15, $D$11, 100%, $F$11)</f>
        <v>8.1632999999999996</v>
      </c>
      <c r="J329" s="4">
        <f>8.0507 * CHOOSE(CONTROL!$C$15, $D$11, 100%, $F$11)</f>
        <v>8.0507000000000009</v>
      </c>
      <c r="K329" s="4"/>
      <c r="L329" s="9">
        <v>27.3993</v>
      </c>
      <c r="M329" s="9">
        <v>12.063700000000001</v>
      </c>
      <c r="N329" s="9">
        <v>4.9444999999999997</v>
      </c>
      <c r="O329" s="9">
        <v>0.37459999999999999</v>
      </c>
      <c r="P329" s="9">
        <v>1.2939000000000001</v>
      </c>
      <c r="Q329" s="9">
        <v>20.593900000000001</v>
      </c>
      <c r="R329" s="9"/>
      <c r="S329" s="11"/>
    </row>
    <row r="330" spans="1:19" ht="15.75">
      <c r="A330" s="13">
        <v>51925</v>
      </c>
      <c r="B330" s="8">
        <f>7.8637 * CHOOSE(CONTROL!$C$15, $D$11, 100%, $F$11)</f>
        <v>7.8636999999999997</v>
      </c>
      <c r="C330" s="8">
        <f>7.8741 * CHOOSE(CONTROL!$C$15, $D$11, 100%, $F$11)</f>
        <v>7.8741000000000003</v>
      </c>
      <c r="D330" s="8">
        <f>7.8749 * CHOOSE( CONTROL!$C$15, $D$11, 100%, $F$11)</f>
        <v>7.8749000000000002</v>
      </c>
      <c r="E330" s="12">
        <f>7.8735 * CHOOSE( CONTROL!$C$15, $D$11, 100%, $F$11)</f>
        <v>7.8734999999999999</v>
      </c>
      <c r="F330" s="4">
        <f>8.8788 * CHOOSE(CONTROL!$C$15, $D$11, 100%, $F$11)</f>
        <v>8.8788</v>
      </c>
      <c r="G330" s="8">
        <f>7.6935 * CHOOSE( CONTROL!$C$15, $D$11, 100%, $F$11)</f>
        <v>7.6935000000000002</v>
      </c>
      <c r="H330" s="4">
        <f>8.5785 * CHOOSE(CONTROL!$C$15, $D$11, 100%, $F$11)</f>
        <v>8.5785</v>
      </c>
      <c r="I330" s="8">
        <f>7.6317 * CHOOSE(CONTROL!$C$15, $D$11, 100%, $F$11)</f>
        <v>7.6317000000000004</v>
      </c>
      <c r="J330" s="4">
        <f>7.5302 * CHOOSE(CONTROL!$C$15, $D$11, 100%, $F$11)</f>
        <v>7.5301999999999998</v>
      </c>
      <c r="K330" s="4"/>
      <c r="L330" s="9">
        <v>24.747800000000002</v>
      </c>
      <c r="M330" s="9">
        <v>10.8962</v>
      </c>
      <c r="N330" s="9">
        <v>4.4660000000000002</v>
      </c>
      <c r="O330" s="9">
        <v>0.33829999999999999</v>
      </c>
      <c r="P330" s="9">
        <v>1.1687000000000001</v>
      </c>
      <c r="Q330" s="9">
        <v>18.600999999999999</v>
      </c>
      <c r="R330" s="9"/>
      <c r="S330" s="11"/>
    </row>
    <row r="331" spans="1:19" ht="15.75">
      <c r="A331" s="13">
        <v>51956</v>
      </c>
      <c r="B331" s="8">
        <f>7.6964 * CHOOSE(CONTROL!$C$15, $D$11, 100%, $F$11)</f>
        <v>7.6963999999999997</v>
      </c>
      <c r="C331" s="8">
        <f>7.7068 * CHOOSE(CONTROL!$C$15, $D$11, 100%, $F$11)</f>
        <v>7.7068000000000003</v>
      </c>
      <c r="D331" s="8">
        <f>7.6873 * CHOOSE( CONTROL!$C$15, $D$11, 100%, $F$11)</f>
        <v>7.6872999999999996</v>
      </c>
      <c r="E331" s="12">
        <f>7.6933 * CHOOSE( CONTROL!$C$15, $D$11, 100%, $F$11)</f>
        <v>7.6932999999999998</v>
      </c>
      <c r="F331" s="4">
        <f>8.6953 * CHOOSE(CONTROL!$C$15, $D$11, 100%, $F$11)</f>
        <v>8.6952999999999996</v>
      </c>
      <c r="G331" s="8">
        <f>7.5097 * CHOOSE( CONTROL!$C$15, $D$11, 100%, $F$11)</f>
        <v>7.5096999999999996</v>
      </c>
      <c r="H331" s="4">
        <f>8.3997 * CHOOSE(CONTROL!$C$15, $D$11, 100%, $F$11)</f>
        <v>8.3996999999999993</v>
      </c>
      <c r="I331" s="8">
        <f>7.4318 * CHOOSE(CONTROL!$C$15, $D$11, 100%, $F$11)</f>
        <v>7.4318</v>
      </c>
      <c r="J331" s="4">
        <f>7.3699 * CHOOSE(CONTROL!$C$15, $D$11, 100%, $F$11)</f>
        <v>7.3699000000000003</v>
      </c>
      <c r="K331" s="4"/>
      <c r="L331" s="9">
        <v>27.3993</v>
      </c>
      <c r="M331" s="9">
        <v>12.063700000000001</v>
      </c>
      <c r="N331" s="9">
        <v>4.9444999999999997</v>
      </c>
      <c r="O331" s="9">
        <v>0.37459999999999999</v>
      </c>
      <c r="P331" s="9">
        <v>1.2939000000000001</v>
      </c>
      <c r="Q331" s="9">
        <v>20.593900000000001</v>
      </c>
      <c r="R331" s="9"/>
      <c r="S331" s="11"/>
    </row>
    <row r="332" spans="1:19" ht="15.75">
      <c r="A332" s="13">
        <v>51986</v>
      </c>
      <c r="B332" s="8">
        <f>7.8133 * CHOOSE(CONTROL!$C$15, $D$11, 100%, $F$11)</f>
        <v>7.8132999999999999</v>
      </c>
      <c r="C332" s="8">
        <f>7.8237 * CHOOSE(CONTROL!$C$15, $D$11, 100%, $F$11)</f>
        <v>7.8236999999999997</v>
      </c>
      <c r="D332" s="8">
        <f>7.8276 * CHOOSE( CONTROL!$C$15, $D$11, 100%, $F$11)</f>
        <v>7.8276000000000003</v>
      </c>
      <c r="E332" s="12">
        <f>7.8251 * CHOOSE( CONTROL!$C$15, $D$11, 100%, $F$11)</f>
        <v>7.8250999999999999</v>
      </c>
      <c r="F332" s="4">
        <f>8.8206 * CHOOSE(CONTROL!$C$15, $D$11, 100%, $F$11)</f>
        <v>8.8206000000000007</v>
      </c>
      <c r="G332" s="8">
        <f>7.6116 * CHOOSE( CONTROL!$C$15, $D$11, 100%, $F$11)</f>
        <v>7.6116000000000001</v>
      </c>
      <c r="H332" s="4">
        <f>8.5218 * CHOOSE(CONTROL!$C$15, $D$11, 100%, $F$11)</f>
        <v>8.5218000000000007</v>
      </c>
      <c r="I332" s="8">
        <f>7.5339 * CHOOSE(CONTROL!$C$15, $D$11, 100%, $F$11)</f>
        <v>7.5339</v>
      </c>
      <c r="J332" s="4">
        <f>7.482 * CHOOSE(CONTROL!$C$15, $D$11, 100%, $F$11)</f>
        <v>7.4820000000000002</v>
      </c>
      <c r="K332" s="4"/>
      <c r="L332" s="9">
        <v>27.988800000000001</v>
      </c>
      <c r="M332" s="9">
        <v>11.6745</v>
      </c>
      <c r="N332" s="9">
        <v>4.7850000000000001</v>
      </c>
      <c r="O332" s="9">
        <v>0.36249999999999999</v>
      </c>
      <c r="P332" s="9">
        <v>1.1798</v>
      </c>
      <c r="Q332" s="9">
        <v>19.929600000000001</v>
      </c>
      <c r="R332" s="9"/>
      <c r="S332" s="11"/>
    </row>
    <row r="333" spans="1:19" ht="15.75">
      <c r="A333" s="13">
        <v>52017</v>
      </c>
      <c r="B333" s="8">
        <f>CHOOSE( CONTROL!$C$32, 8.0263, 8.0214) * CHOOSE(CONTROL!$C$15, $D$11, 100%, $F$11)</f>
        <v>8.0263000000000009</v>
      </c>
      <c r="C333" s="8">
        <f>CHOOSE( CONTROL!$C$32, 8.0367, 8.0318) * CHOOSE(CONTROL!$C$15, $D$11, 100%, $F$11)</f>
        <v>8.0366999999999997</v>
      </c>
      <c r="D333" s="8">
        <f>CHOOSE( CONTROL!$C$32, 8.0154, 8.0104) * CHOOSE( CONTROL!$C$15, $D$11, 100%, $F$11)</f>
        <v>8.0153999999999996</v>
      </c>
      <c r="E333" s="12">
        <f>CHOOSE( CONTROL!$C$32, 8.0215, 8.0166) * CHOOSE( CONTROL!$C$15, $D$11, 100%, $F$11)</f>
        <v>8.0214999999999996</v>
      </c>
      <c r="F333" s="4">
        <f>CHOOSE( CONTROL!$C$32, 9.0012, 8.9963) * CHOOSE(CONTROL!$C$15, $D$11, 100%, $F$11)</f>
        <v>9.0012000000000008</v>
      </c>
      <c r="G333" s="8">
        <f>CHOOSE( CONTROL!$C$32, 7.8006, 7.7958) * CHOOSE( CONTROL!$C$15, $D$11, 100%, $F$11)</f>
        <v>7.8006000000000002</v>
      </c>
      <c r="H333" s="4">
        <f>CHOOSE( CONTROL!$C$32, 8.6979, 8.6931) * CHOOSE(CONTROL!$C$15, $D$11, 100%, $F$11)</f>
        <v>8.6979000000000006</v>
      </c>
      <c r="I333" s="8">
        <f>CHOOSE( CONTROL!$C$32, 7.7166, 7.7119) * CHOOSE(CONTROL!$C$15, $D$11, 100%, $F$11)</f>
        <v>7.7165999999999997</v>
      </c>
      <c r="J333" s="4">
        <f>CHOOSE( CONTROL!$C$32, 7.686, 7.6813) * CHOOSE(CONTROL!$C$15, $D$11, 100%, $F$11)</f>
        <v>7.6859999999999999</v>
      </c>
      <c r="K333" s="4"/>
      <c r="L333" s="9">
        <v>29.520499999999998</v>
      </c>
      <c r="M333" s="9">
        <v>12.063700000000001</v>
      </c>
      <c r="N333" s="9">
        <v>4.9444999999999997</v>
      </c>
      <c r="O333" s="9">
        <v>0.37459999999999999</v>
      </c>
      <c r="P333" s="9">
        <v>1.2192000000000001</v>
      </c>
      <c r="Q333" s="9">
        <v>20.593900000000001</v>
      </c>
      <c r="R333" s="9"/>
      <c r="S333" s="11"/>
    </row>
    <row r="334" spans="1:19" ht="15.75">
      <c r="A334" s="13">
        <v>52047</v>
      </c>
      <c r="B334" s="8">
        <f>CHOOSE( CONTROL!$C$32, 7.8974, 7.8925) * CHOOSE(CONTROL!$C$15, $D$11, 100%, $F$11)</f>
        <v>7.8974000000000002</v>
      </c>
      <c r="C334" s="8">
        <f>CHOOSE( CONTROL!$C$32, 7.9079, 7.9029) * CHOOSE(CONTROL!$C$15, $D$11, 100%, $F$11)</f>
        <v>7.9078999999999997</v>
      </c>
      <c r="D334" s="8">
        <f>CHOOSE( CONTROL!$C$32, 7.9, 7.895) * CHOOSE( CONTROL!$C$15, $D$11, 100%, $F$11)</f>
        <v>7.9</v>
      </c>
      <c r="E334" s="12">
        <f>CHOOSE( CONTROL!$C$32, 7.9013, 7.8963) * CHOOSE( CONTROL!$C$15, $D$11, 100%, $F$11)</f>
        <v>7.9013</v>
      </c>
      <c r="F334" s="4">
        <f>CHOOSE( CONTROL!$C$32, 8.8916, 8.8867) * CHOOSE(CONTROL!$C$15, $D$11, 100%, $F$11)</f>
        <v>8.8916000000000004</v>
      </c>
      <c r="G334" s="8">
        <f>CHOOSE( CONTROL!$C$32, 7.6854, 7.6806) * CHOOSE( CONTROL!$C$15, $D$11, 100%, $F$11)</f>
        <v>7.6853999999999996</v>
      </c>
      <c r="H334" s="4">
        <f>CHOOSE( CONTROL!$C$32, 8.5911, 8.5862) * CHOOSE(CONTROL!$C$15, $D$11, 100%, $F$11)</f>
        <v>8.5911000000000008</v>
      </c>
      <c r="I334" s="8">
        <f>CHOOSE( CONTROL!$C$32, 7.6109, 7.6061) * CHOOSE(CONTROL!$C$15, $D$11, 100%, $F$11)</f>
        <v>7.6109</v>
      </c>
      <c r="J334" s="4">
        <f>CHOOSE( CONTROL!$C$32, 7.5625, 7.5578) * CHOOSE(CONTROL!$C$15, $D$11, 100%, $F$11)</f>
        <v>7.5625</v>
      </c>
      <c r="K334" s="4"/>
      <c r="L334" s="9">
        <v>28.568200000000001</v>
      </c>
      <c r="M334" s="9">
        <v>11.6745</v>
      </c>
      <c r="N334" s="9">
        <v>4.7850000000000001</v>
      </c>
      <c r="O334" s="9">
        <v>0.36249999999999999</v>
      </c>
      <c r="P334" s="9">
        <v>1.1798</v>
      </c>
      <c r="Q334" s="9">
        <v>19.929600000000001</v>
      </c>
      <c r="R334" s="9"/>
      <c r="S334" s="11"/>
    </row>
    <row r="335" spans="1:19" ht="15.75">
      <c r="A335" s="13">
        <v>52078</v>
      </c>
      <c r="B335" s="8">
        <f>CHOOSE( CONTROL!$C$32, 8.2368, 8.2319) * CHOOSE(CONTROL!$C$15, $D$11, 100%, $F$11)</f>
        <v>8.2368000000000006</v>
      </c>
      <c r="C335" s="8">
        <f>CHOOSE( CONTROL!$C$32, 8.2473, 8.2423) * CHOOSE(CONTROL!$C$15, $D$11, 100%, $F$11)</f>
        <v>8.2472999999999992</v>
      </c>
      <c r="D335" s="8">
        <f>CHOOSE( CONTROL!$C$32, 8.2463, 8.2413) * CHOOSE( CONTROL!$C$15, $D$11, 100%, $F$11)</f>
        <v>8.2462999999999997</v>
      </c>
      <c r="E335" s="12">
        <f>CHOOSE( CONTROL!$C$32, 8.2451, 8.2401) * CHOOSE( CONTROL!$C$15, $D$11, 100%, $F$11)</f>
        <v>8.2451000000000008</v>
      </c>
      <c r="F335" s="4">
        <f>CHOOSE( CONTROL!$C$32, 9.2415, 9.2365) * CHOOSE(CONTROL!$C$15, $D$11, 100%, $F$11)</f>
        <v>9.2415000000000003</v>
      </c>
      <c r="G335" s="8">
        <f>CHOOSE( CONTROL!$C$32, 8.0204, 8.0156) * CHOOSE( CONTROL!$C$15, $D$11, 100%, $F$11)</f>
        <v>8.0204000000000004</v>
      </c>
      <c r="H335" s="4">
        <f>CHOOSE( CONTROL!$C$32, 8.9321, 8.9273) * CHOOSE(CONTROL!$C$15, $D$11, 100%, $F$11)</f>
        <v>8.9321000000000002</v>
      </c>
      <c r="I335" s="8">
        <f>CHOOSE( CONTROL!$C$32, 7.9439, 7.9391) * CHOOSE(CONTROL!$C$15, $D$11, 100%, $F$11)</f>
        <v>7.9439000000000002</v>
      </c>
      <c r="J335" s="4">
        <f>CHOOSE( CONTROL!$C$32, 7.8878, 7.883) * CHOOSE(CONTROL!$C$15, $D$11, 100%, $F$11)</f>
        <v>7.8878000000000004</v>
      </c>
      <c r="K335" s="4"/>
      <c r="L335" s="9">
        <v>29.520499999999998</v>
      </c>
      <c r="M335" s="9">
        <v>12.063700000000001</v>
      </c>
      <c r="N335" s="9">
        <v>4.9444999999999997</v>
      </c>
      <c r="O335" s="9">
        <v>0.37459999999999999</v>
      </c>
      <c r="P335" s="9">
        <v>1.2192000000000001</v>
      </c>
      <c r="Q335" s="9">
        <v>20.593900000000001</v>
      </c>
      <c r="R335" s="9"/>
      <c r="S335" s="11"/>
    </row>
    <row r="336" spans="1:19" ht="15.75">
      <c r="A336" s="13">
        <v>52109</v>
      </c>
      <c r="B336" s="8">
        <f>CHOOSE( CONTROL!$C$32, 7.6018, 7.5968) * CHOOSE(CONTROL!$C$15, $D$11, 100%, $F$11)</f>
        <v>7.6017999999999999</v>
      </c>
      <c r="C336" s="8">
        <f>CHOOSE( CONTROL!$C$32, 7.6122, 7.6073) * CHOOSE(CONTROL!$C$15, $D$11, 100%, $F$11)</f>
        <v>7.6121999999999996</v>
      </c>
      <c r="D336" s="8">
        <f>CHOOSE( CONTROL!$C$32, 7.6124, 7.6074) * CHOOSE( CONTROL!$C$15, $D$11, 100%, $F$11)</f>
        <v>7.6124000000000001</v>
      </c>
      <c r="E336" s="12">
        <f>CHOOSE( CONTROL!$C$32, 7.6107, 7.6058) * CHOOSE( CONTROL!$C$15, $D$11, 100%, $F$11)</f>
        <v>7.6106999999999996</v>
      </c>
      <c r="F336" s="4">
        <f>CHOOSE( CONTROL!$C$32, 8.6142, 8.6093) * CHOOSE(CONTROL!$C$15, $D$11, 100%, $F$11)</f>
        <v>8.6142000000000003</v>
      </c>
      <c r="G336" s="8">
        <f>CHOOSE( CONTROL!$C$32, 7.3965, 7.3917) * CHOOSE( CONTROL!$C$15, $D$11, 100%, $F$11)</f>
        <v>7.3964999999999996</v>
      </c>
      <c r="H336" s="4">
        <f>CHOOSE( CONTROL!$C$32, 8.3207, 8.3159) * CHOOSE(CONTROL!$C$15, $D$11, 100%, $F$11)</f>
        <v>8.3207000000000004</v>
      </c>
      <c r="I336" s="8">
        <f>CHOOSE( CONTROL!$C$32, 7.326, 7.3213) * CHOOSE(CONTROL!$C$15, $D$11, 100%, $F$11)</f>
        <v>7.3259999999999996</v>
      </c>
      <c r="J336" s="4">
        <f>CHOOSE( CONTROL!$C$32, 7.2793, 7.2745) * CHOOSE(CONTROL!$C$15, $D$11, 100%, $F$11)</f>
        <v>7.2793000000000001</v>
      </c>
      <c r="K336" s="4"/>
      <c r="L336" s="9">
        <v>29.520499999999998</v>
      </c>
      <c r="M336" s="9">
        <v>12.063700000000001</v>
      </c>
      <c r="N336" s="9">
        <v>4.9444999999999997</v>
      </c>
      <c r="O336" s="9">
        <v>0.37459999999999999</v>
      </c>
      <c r="P336" s="9">
        <v>1.2192000000000001</v>
      </c>
      <c r="Q336" s="9">
        <v>20.593900000000001</v>
      </c>
      <c r="R336" s="9"/>
      <c r="S336" s="11"/>
    </row>
    <row r="337" spans="1:19" ht="15.75">
      <c r="A337" s="13">
        <v>52139</v>
      </c>
      <c r="B337" s="8">
        <f>CHOOSE( CONTROL!$C$32, 7.4427, 7.4378) * CHOOSE(CONTROL!$C$15, $D$11, 100%, $F$11)</f>
        <v>7.4427000000000003</v>
      </c>
      <c r="C337" s="8">
        <f>CHOOSE( CONTROL!$C$32, 7.4532, 7.4482) * CHOOSE(CONTROL!$C$15, $D$11, 100%, $F$11)</f>
        <v>7.4531999999999998</v>
      </c>
      <c r="D337" s="8">
        <f>CHOOSE( CONTROL!$C$32, 7.4536, 7.4487) * CHOOSE( CONTROL!$C$15, $D$11, 100%, $F$11)</f>
        <v>7.4535999999999998</v>
      </c>
      <c r="E337" s="12">
        <f>CHOOSE( CONTROL!$C$32, 7.4519, 7.4469) * CHOOSE( CONTROL!$C$15, $D$11, 100%, $F$11)</f>
        <v>7.4519000000000002</v>
      </c>
      <c r="F337" s="4">
        <f>CHOOSE( CONTROL!$C$32, 8.4552, 8.4503) * CHOOSE(CONTROL!$C$15, $D$11, 100%, $F$11)</f>
        <v>8.4551999999999996</v>
      </c>
      <c r="G337" s="8">
        <f>CHOOSE( CONTROL!$C$32, 7.2419, 7.2371) * CHOOSE( CONTROL!$C$15, $D$11, 100%, $F$11)</f>
        <v>7.2419000000000002</v>
      </c>
      <c r="H337" s="4">
        <f>CHOOSE( CONTROL!$C$32, 8.1656, 8.1608) * CHOOSE(CONTROL!$C$15, $D$11, 100%, $F$11)</f>
        <v>8.1655999999999995</v>
      </c>
      <c r="I337" s="8">
        <f>CHOOSE( CONTROL!$C$32, 7.175, 7.1702) * CHOOSE(CONTROL!$C$15, $D$11, 100%, $F$11)</f>
        <v>7.1749999999999998</v>
      </c>
      <c r="J337" s="4">
        <f>CHOOSE( CONTROL!$C$32, 7.1269, 7.1221) * CHOOSE(CONTROL!$C$15, $D$11, 100%, $F$11)</f>
        <v>7.1269</v>
      </c>
      <c r="K337" s="4"/>
      <c r="L337" s="9">
        <v>28.568200000000001</v>
      </c>
      <c r="M337" s="9">
        <v>11.6745</v>
      </c>
      <c r="N337" s="9">
        <v>4.7850000000000001</v>
      </c>
      <c r="O337" s="9">
        <v>0.36249999999999999</v>
      </c>
      <c r="P337" s="9">
        <v>1.1798</v>
      </c>
      <c r="Q337" s="9">
        <v>19.929600000000001</v>
      </c>
      <c r="R337" s="9"/>
      <c r="S337" s="11"/>
    </row>
    <row r="338" spans="1:19" ht="15.75">
      <c r="A338" s="13">
        <v>52170</v>
      </c>
      <c r="B338" s="8">
        <f>7.768 * CHOOSE(CONTROL!$C$15, $D$11, 100%, $F$11)</f>
        <v>7.7679999999999998</v>
      </c>
      <c r="C338" s="8">
        <f>7.7784 * CHOOSE(CONTROL!$C$15, $D$11, 100%, $F$11)</f>
        <v>7.7784000000000004</v>
      </c>
      <c r="D338" s="8">
        <f>7.7801 * CHOOSE( CONTROL!$C$15, $D$11, 100%, $F$11)</f>
        <v>7.7801</v>
      </c>
      <c r="E338" s="12">
        <f>7.7784 * CHOOSE( CONTROL!$C$15, $D$11, 100%, $F$11)</f>
        <v>7.7784000000000004</v>
      </c>
      <c r="F338" s="4">
        <f>8.7805 * CHOOSE(CONTROL!$C$15, $D$11, 100%, $F$11)</f>
        <v>8.7805</v>
      </c>
      <c r="G338" s="8">
        <f>7.5586 * CHOOSE( CONTROL!$C$15, $D$11, 100%, $F$11)</f>
        <v>7.5586000000000002</v>
      </c>
      <c r="H338" s="4">
        <f>8.4827 * CHOOSE(CONTROL!$C$15, $D$11, 100%, $F$11)</f>
        <v>8.4826999999999995</v>
      </c>
      <c r="I338" s="8">
        <f>7.4891 * CHOOSE(CONTROL!$C$15, $D$11, 100%, $F$11)</f>
        <v>7.4890999999999996</v>
      </c>
      <c r="J338" s="4">
        <f>7.4385 * CHOOSE(CONTROL!$C$15, $D$11, 100%, $F$11)</f>
        <v>7.4385000000000003</v>
      </c>
      <c r="K338" s="4"/>
      <c r="L338" s="9">
        <v>28.921800000000001</v>
      </c>
      <c r="M338" s="9">
        <v>12.063700000000001</v>
      </c>
      <c r="N338" s="9">
        <v>4.9444999999999997</v>
      </c>
      <c r="O338" s="9">
        <v>0.37459999999999999</v>
      </c>
      <c r="P338" s="9">
        <v>1.2192000000000001</v>
      </c>
      <c r="Q338" s="9">
        <v>20.593900000000001</v>
      </c>
      <c r="R338" s="9"/>
      <c r="S338" s="11"/>
    </row>
    <row r="339" spans="1:19" ht="15.75">
      <c r="A339" s="13">
        <v>52200</v>
      </c>
      <c r="B339" s="8">
        <f>8.3775 * CHOOSE(CONTROL!$C$15, $D$11, 100%, $F$11)</f>
        <v>8.3774999999999995</v>
      </c>
      <c r="C339" s="8">
        <f>8.3879 * CHOOSE(CONTROL!$C$15, $D$11, 100%, $F$11)</f>
        <v>8.3879000000000001</v>
      </c>
      <c r="D339" s="8">
        <f>8.369 * CHOOSE( CONTROL!$C$15, $D$11, 100%, $F$11)</f>
        <v>8.3689999999999998</v>
      </c>
      <c r="E339" s="12">
        <f>8.3748 * CHOOSE( CONTROL!$C$15, $D$11, 100%, $F$11)</f>
        <v>8.3748000000000005</v>
      </c>
      <c r="F339" s="4">
        <f>9.3743 * CHOOSE(CONTROL!$C$15, $D$11, 100%, $F$11)</f>
        <v>9.3742999999999999</v>
      </c>
      <c r="G339" s="8">
        <f>8.1756 * CHOOSE( CONTROL!$C$15, $D$11, 100%, $F$11)</f>
        <v>8.1755999999999993</v>
      </c>
      <c r="H339" s="4">
        <f>9.0615 * CHOOSE(CONTROL!$C$15, $D$11, 100%, $F$11)</f>
        <v>9.0615000000000006</v>
      </c>
      <c r="I339" s="8">
        <f>8.1199 * CHOOSE(CONTROL!$C$15, $D$11, 100%, $F$11)</f>
        <v>8.1198999999999995</v>
      </c>
      <c r="J339" s="4">
        <f>8.0225 * CHOOSE(CONTROL!$C$15, $D$11, 100%, $F$11)</f>
        <v>8.0225000000000009</v>
      </c>
      <c r="K339" s="4"/>
      <c r="L339" s="9">
        <v>26.515499999999999</v>
      </c>
      <c r="M339" s="9">
        <v>11.6745</v>
      </c>
      <c r="N339" s="9">
        <v>4.7850000000000001</v>
      </c>
      <c r="O339" s="9">
        <v>0.36249999999999999</v>
      </c>
      <c r="P339" s="9">
        <v>1.2522</v>
      </c>
      <c r="Q339" s="9">
        <v>19.929600000000001</v>
      </c>
      <c r="R339" s="9"/>
      <c r="S339" s="11"/>
    </row>
    <row r="340" spans="1:19" ht="15.75">
      <c r="A340" s="13">
        <v>52231</v>
      </c>
      <c r="B340" s="8">
        <f>8.3622 * CHOOSE(CONTROL!$C$15, $D$11, 100%, $F$11)</f>
        <v>8.3621999999999996</v>
      </c>
      <c r="C340" s="8">
        <f>8.3727 * CHOOSE(CONTROL!$C$15, $D$11, 100%, $F$11)</f>
        <v>8.3727</v>
      </c>
      <c r="D340" s="8">
        <f>8.3563 * CHOOSE( CONTROL!$C$15, $D$11, 100%, $F$11)</f>
        <v>8.3562999999999992</v>
      </c>
      <c r="E340" s="12">
        <f>8.3612 * CHOOSE( CONTROL!$C$15, $D$11, 100%, $F$11)</f>
        <v>8.3612000000000002</v>
      </c>
      <c r="F340" s="4">
        <f>9.3591 * CHOOSE(CONTROL!$C$15, $D$11, 100%, $F$11)</f>
        <v>9.3590999999999998</v>
      </c>
      <c r="G340" s="8">
        <f>8.1628 * CHOOSE( CONTROL!$C$15, $D$11, 100%, $F$11)</f>
        <v>8.1628000000000007</v>
      </c>
      <c r="H340" s="4">
        <f>9.0467 * CHOOSE(CONTROL!$C$15, $D$11, 100%, $F$11)</f>
        <v>9.0466999999999995</v>
      </c>
      <c r="I340" s="8">
        <f>8.1141 * CHOOSE(CONTROL!$C$15, $D$11, 100%, $F$11)</f>
        <v>8.1141000000000005</v>
      </c>
      <c r="J340" s="4">
        <f>8.0079 * CHOOSE(CONTROL!$C$15, $D$11, 100%, $F$11)</f>
        <v>8.0078999999999994</v>
      </c>
      <c r="K340" s="4"/>
      <c r="L340" s="9">
        <v>27.3993</v>
      </c>
      <c r="M340" s="9">
        <v>12.063700000000001</v>
      </c>
      <c r="N340" s="9">
        <v>4.9444999999999997</v>
      </c>
      <c r="O340" s="9">
        <v>0.37459999999999999</v>
      </c>
      <c r="P340" s="9">
        <v>1.2939000000000001</v>
      </c>
      <c r="Q340" s="9">
        <v>20.593900000000001</v>
      </c>
      <c r="R340" s="9"/>
      <c r="S340" s="11"/>
    </row>
    <row r="341" spans="1:19" ht="15.75">
      <c r="A341" s="13">
        <v>52262</v>
      </c>
      <c r="B341" s="8">
        <f>8.6816 * CHOOSE(CONTROL!$C$15, $D$11, 100%, $F$11)</f>
        <v>8.6815999999999995</v>
      </c>
      <c r="C341" s="8">
        <f>8.6921 * CHOOSE(CONTROL!$C$15, $D$11, 100%, $F$11)</f>
        <v>8.6920999999999999</v>
      </c>
      <c r="D341" s="8">
        <f>8.6907 * CHOOSE( CONTROL!$C$15, $D$11, 100%, $F$11)</f>
        <v>8.6906999999999996</v>
      </c>
      <c r="E341" s="12">
        <f>8.6901 * CHOOSE( CONTROL!$C$15, $D$11, 100%, $F$11)</f>
        <v>8.6900999999999993</v>
      </c>
      <c r="F341" s="4">
        <f>9.7046 * CHOOSE(CONTROL!$C$15, $D$11, 100%, $F$11)</f>
        <v>9.7045999999999992</v>
      </c>
      <c r="G341" s="8">
        <f>8.491 * CHOOSE( CONTROL!$C$15, $D$11, 100%, $F$11)</f>
        <v>8.4909999999999997</v>
      </c>
      <c r="H341" s="4">
        <f>9.3835 * CHOOSE(CONTROL!$C$15, $D$11, 100%, $F$11)</f>
        <v>9.3834999999999997</v>
      </c>
      <c r="I341" s="8">
        <f>8.4267 * CHOOSE(CONTROL!$C$15, $D$11, 100%, $F$11)</f>
        <v>8.4267000000000003</v>
      </c>
      <c r="J341" s="4">
        <f>8.314 * CHOOSE(CONTROL!$C$15, $D$11, 100%, $F$11)</f>
        <v>8.3140000000000001</v>
      </c>
      <c r="K341" s="4"/>
      <c r="L341" s="9">
        <v>27.3993</v>
      </c>
      <c r="M341" s="9">
        <v>12.063700000000001</v>
      </c>
      <c r="N341" s="9">
        <v>4.9444999999999997</v>
      </c>
      <c r="O341" s="9">
        <v>0.37459999999999999</v>
      </c>
      <c r="P341" s="9">
        <v>1.2939000000000001</v>
      </c>
      <c r="Q341" s="9">
        <v>20.5288</v>
      </c>
      <c r="R341" s="9"/>
      <c r="S341" s="11"/>
    </row>
    <row r="342" spans="1:19" ht="15.75">
      <c r="A342" s="13">
        <v>52290</v>
      </c>
      <c r="B342" s="8">
        <f>8.1207 * CHOOSE(CONTROL!$C$15, $D$11, 100%, $F$11)</f>
        <v>8.1206999999999994</v>
      </c>
      <c r="C342" s="8">
        <f>8.1311 * CHOOSE(CONTROL!$C$15, $D$11, 100%, $F$11)</f>
        <v>8.1311</v>
      </c>
      <c r="D342" s="8">
        <f>8.132 * CHOOSE( CONTROL!$C$15, $D$11, 100%, $F$11)</f>
        <v>8.1319999999999997</v>
      </c>
      <c r="E342" s="12">
        <f>8.1306 * CHOOSE( CONTROL!$C$15, $D$11, 100%, $F$11)</f>
        <v>8.1305999999999994</v>
      </c>
      <c r="F342" s="4">
        <f>9.1358 * CHOOSE(CONTROL!$C$15, $D$11, 100%, $F$11)</f>
        <v>9.1357999999999997</v>
      </c>
      <c r="G342" s="8">
        <f>7.944 * CHOOSE( CONTROL!$C$15, $D$11, 100%, $F$11)</f>
        <v>7.944</v>
      </c>
      <c r="H342" s="4">
        <f>8.8291 * CHOOSE(CONTROL!$C$15, $D$11, 100%, $F$11)</f>
        <v>8.8291000000000004</v>
      </c>
      <c r="I342" s="8">
        <f>7.878 * CHOOSE(CONTROL!$C$15, $D$11, 100%, $F$11)</f>
        <v>7.8780000000000001</v>
      </c>
      <c r="J342" s="4">
        <f>7.7765 * CHOOSE(CONTROL!$C$15, $D$11, 100%, $F$11)</f>
        <v>7.7765000000000004</v>
      </c>
      <c r="K342" s="4"/>
      <c r="L342" s="9">
        <v>24.747800000000002</v>
      </c>
      <c r="M342" s="9">
        <v>10.8962</v>
      </c>
      <c r="N342" s="9">
        <v>4.4660000000000002</v>
      </c>
      <c r="O342" s="9">
        <v>0.33829999999999999</v>
      </c>
      <c r="P342" s="9">
        <v>1.1687000000000001</v>
      </c>
      <c r="Q342" s="9">
        <v>18.542200000000001</v>
      </c>
      <c r="R342" s="9"/>
      <c r="S342" s="11"/>
    </row>
    <row r="343" spans="1:19" ht="15.75">
      <c r="A343" s="13">
        <v>52321</v>
      </c>
      <c r="B343" s="8">
        <f>7.9479 * CHOOSE(CONTROL!$C$15, $D$11, 100%, $F$11)</f>
        <v>7.9478999999999997</v>
      </c>
      <c r="C343" s="8">
        <f>7.9584 * CHOOSE(CONTROL!$C$15, $D$11, 100%, $F$11)</f>
        <v>7.9584000000000001</v>
      </c>
      <c r="D343" s="8">
        <f>7.9389 * CHOOSE( CONTROL!$C$15, $D$11, 100%, $F$11)</f>
        <v>7.9389000000000003</v>
      </c>
      <c r="E343" s="12">
        <f>7.9449 * CHOOSE( CONTROL!$C$15, $D$11, 100%, $F$11)</f>
        <v>7.9448999999999996</v>
      </c>
      <c r="F343" s="4">
        <f>8.9469 * CHOOSE(CONTROL!$C$15, $D$11, 100%, $F$11)</f>
        <v>8.9468999999999994</v>
      </c>
      <c r="G343" s="8">
        <f>7.7549 * CHOOSE( CONTROL!$C$15, $D$11, 100%, $F$11)</f>
        <v>7.7549000000000001</v>
      </c>
      <c r="H343" s="4">
        <f>8.6449 * CHOOSE(CONTROL!$C$15, $D$11, 100%, $F$11)</f>
        <v>8.6448999999999998</v>
      </c>
      <c r="I343" s="8">
        <f>7.6729 * CHOOSE(CONTROL!$C$15, $D$11, 100%, $F$11)</f>
        <v>7.6729000000000003</v>
      </c>
      <c r="J343" s="4">
        <f>7.611 * CHOOSE(CONTROL!$C$15, $D$11, 100%, $F$11)</f>
        <v>7.6109999999999998</v>
      </c>
      <c r="K343" s="4"/>
      <c r="L343" s="9">
        <v>27.3993</v>
      </c>
      <c r="M343" s="9">
        <v>12.063700000000001</v>
      </c>
      <c r="N343" s="9">
        <v>4.9444999999999997</v>
      </c>
      <c r="O343" s="9">
        <v>0.37459999999999999</v>
      </c>
      <c r="P343" s="9">
        <v>1.2939000000000001</v>
      </c>
      <c r="Q343" s="9">
        <v>20.5288</v>
      </c>
      <c r="R343" s="9"/>
      <c r="S343" s="11"/>
    </row>
    <row r="344" spans="1:19" ht="15.75">
      <c r="A344" s="13">
        <v>52351</v>
      </c>
      <c r="B344" s="8">
        <f>8.0687 * CHOOSE(CONTROL!$C$15, $D$11, 100%, $F$11)</f>
        <v>8.0686999999999998</v>
      </c>
      <c r="C344" s="8">
        <f>8.0791 * CHOOSE(CONTROL!$C$15, $D$11, 100%, $F$11)</f>
        <v>8.0791000000000004</v>
      </c>
      <c r="D344" s="8">
        <f>8.0829 * CHOOSE( CONTROL!$C$15, $D$11, 100%, $F$11)</f>
        <v>8.0829000000000004</v>
      </c>
      <c r="E344" s="12">
        <f>8.0805 * CHOOSE( CONTROL!$C$15, $D$11, 100%, $F$11)</f>
        <v>8.0805000000000007</v>
      </c>
      <c r="F344" s="4">
        <f>9.0759 * CHOOSE(CONTROL!$C$15, $D$11, 100%, $F$11)</f>
        <v>9.0759000000000007</v>
      </c>
      <c r="G344" s="8">
        <f>7.8605 * CHOOSE( CONTROL!$C$15, $D$11, 100%, $F$11)</f>
        <v>7.8605</v>
      </c>
      <c r="H344" s="4">
        <f>8.7707 * CHOOSE(CONTROL!$C$15, $D$11, 100%, $F$11)</f>
        <v>8.7706999999999997</v>
      </c>
      <c r="I344" s="8">
        <f>7.7787 * CHOOSE(CONTROL!$C$15, $D$11, 100%, $F$11)</f>
        <v>7.7786999999999997</v>
      </c>
      <c r="J344" s="4">
        <f>7.7266 * CHOOSE(CONTROL!$C$15, $D$11, 100%, $F$11)</f>
        <v>7.7266000000000004</v>
      </c>
      <c r="K344" s="4"/>
      <c r="L344" s="9">
        <v>27.988800000000001</v>
      </c>
      <c r="M344" s="9">
        <v>11.6745</v>
      </c>
      <c r="N344" s="9">
        <v>4.7850000000000001</v>
      </c>
      <c r="O344" s="9">
        <v>0.36249999999999999</v>
      </c>
      <c r="P344" s="9">
        <v>1.1798</v>
      </c>
      <c r="Q344" s="9">
        <v>19.866599999999998</v>
      </c>
      <c r="R344" s="9"/>
      <c r="S344" s="11"/>
    </row>
    <row r="345" spans="1:19" ht="15.75">
      <c r="A345" s="13">
        <v>52382</v>
      </c>
      <c r="B345" s="8">
        <f>CHOOSE( CONTROL!$C$32, 8.2885, 8.2835) * CHOOSE(CONTROL!$C$15, $D$11, 100%, $F$11)</f>
        <v>8.2885000000000009</v>
      </c>
      <c r="C345" s="8">
        <f>CHOOSE( CONTROL!$C$32, 8.2989, 8.294) * CHOOSE(CONTROL!$C$15, $D$11, 100%, $F$11)</f>
        <v>8.2988999999999997</v>
      </c>
      <c r="D345" s="8">
        <f>CHOOSE( CONTROL!$C$32, 8.2775, 8.2726) * CHOOSE( CONTROL!$C$15, $D$11, 100%, $F$11)</f>
        <v>8.2774999999999999</v>
      </c>
      <c r="E345" s="12">
        <f>CHOOSE( CONTROL!$C$32, 8.2837, 8.2788) * CHOOSE( CONTROL!$C$15, $D$11, 100%, $F$11)</f>
        <v>8.2836999999999996</v>
      </c>
      <c r="F345" s="4">
        <f>CHOOSE( CONTROL!$C$32, 9.2634, 9.2584) * CHOOSE(CONTROL!$C$15, $D$11, 100%, $F$11)</f>
        <v>9.2634000000000007</v>
      </c>
      <c r="G345" s="8">
        <f>CHOOSE( CONTROL!$C$32, 8.0562, 8.0514) * CHOOSE( CONTROL!$C$15, $D$11, 100%, $F$11)</f>
        <v>8.0562000000000005</v>
      </c>
      <c r="H345" s="4">
        <f>CHOOSE( CONTROL!$C$32, 8.9534, 8.9486) * CHOOSE(CONTROL!$C$15, $D$11, 100%, $F$11)</f>
        <v>8.9534000000000002</v>
      </c>
      <c r="I345" s="8">
        <f>CHOOSE( CONTROL!$C$32, 7.9679, 7.9632) * CHOOSE(CONTROL!$C$15, $D$11, 100%, $F$11)</f>
        <v>7.9679000000000002</v>
      </c>
      <c r="J345" s="4">
        <f>CHOOSE( CONTROL!$C$32, 7.9373, 7.9325) * CHOOSE(CONTROL!$C$15, $D$11, 100%, $F$11)</f>
        <v>7.9372999999999996</v>
      </c>
      <c r="K345" s="4"/>
      <c r="L345" s="9">
        <v>29.520499999999998</v>
      </c>
      <c r="M345" s="9">
        <v>12.063700000000001</v>
      </c>
      <c r="N345" s="9">
        <v>4.9444999999999997</v>
      </c>
      <c r="O345" s="9">
        <v>0.37459999999999999</v>
      </c>
      <c r="P345" s="9">
        <v>1.2192000000000001</v>
      </c>
      <c r="Q345" s="9">
        <v>20.5288</v>
      </c>
      <c r="R345" s="9"/>
      <c r="S345" s="11"/>
    </row>
    <row r="346" spans="1:19" ht="15.75">
      <c r="A346" s="13">
        <v>52412</v>
      </c>
      <c r="B346" s="8">
        <f>CHOOSE( CONTROL!$C$32, 8.1554, 8.1504) * CHOOSE(CONTROL!$C$15, $D$11, 100%, $F$11)</f>
        <v>8.1554000000000002</v>
      </c>
      <c r="C346" s="8">
        <f>CHOOSE( CONTROL!$C$32, 8.1658, 8.1609) * CHOOSE(CONTROL!$C$15, $D$11, 100%, $F$11)</f>
        <v>8.1658000000000008</v>
      </c>
      <c r="D346" s="8">
        <f>CHOOSE( CONTROL!$C$32, 8.1579, 8.153) * CHOOSE( CONTROL!$C$15, $D$11, 100%, $F$11)</f>
        <v>8.1578999999999997</v>
      </c>
      <c r="E346" s="12">
        <f>CHOOSE( CONTROL!$C$32, 8.1592, 8.1543) * CHOOSE( CONTROL!$C$15, $D$11, 100%, $F$11)</f>
        <v>8.1592000000000002</v>
      </c>
      <c r="F346" s="4">
        <f>CHOOSE( CONTROL!$C$32, 9.1496, 9.1446) * CHOOSE(CONTROL!$C$15, $D$11, 100%, $F$11)</f>
        <v>9.1495999999999995</v>
      </c>
      <c r="G346" s="8">
        <f>CHOOSE( CONTROL!$C$32, 7.9369, 7.9321) * CHOOSE( CONTROL!$C$15, $D$11, 100%, $F$11)</f>
        <v>7.9368999999999996</v>
      </c>
      <c r="H346" s="4">
        <f>CHOOSE( CONTROL!$C$32, 8.8425, 8.8377) * CHOOSE(CONTROL!$C$15, $D$11, 100%, $F$11)</f>
        <v>8.8424999999999994</v>
      </c>
      <c r="I346" s="8">
        <f>CHOOSE( CONTROL!$C$32, 7.8581, 7.8534) * CHOOSE(CONTROL!$C$15, $D$11, 100%, $F$11)</f>
        <v>7.8581000000000003</v>
      </c>
      <c r="J346" s="4">
        <f>CHOOSE( CONTROL!$C$32, 7.8097, 7.805) * CHOOSE(CONTROL!$C$15, $D$11, 100%, $F$11)</f>
        <v>7.8097000000000003</v>
      </c>
      <c r="K346" s="4"/>
      <c r="L346" s="9">
        <v>28.568200000000001</v>
      </c>
      <c r="M346" s="9">
        <v>11.6745</v>
      </c>
      <c r="N346" s="9">
        <v>4.7850000000000001</v>
      </c>
      <c r="O346" s="9">
        <v>0.36249999999999999</v>
      </c>
      <c r="P346" s="9">
        <v>1.1798</v>
      </c>
      <c r="Q346" s="9">
        <v>19.866599999999998</v>
      </c>
      <c r="R346" s="9"/>
      <c r="S346" s="11"/>
    </row>
    <row r="347" spans="1:19" ht="15.75">
      <c r="A347" s="13">
        <v>52443</v>
      </c>
      <c r="B347" s="8">
        <f>CHOOSE( CONTROL!$C$32, 8.5059, 8.5009) * CHOOSE(CONTROL!$C$15, $D$11, 100%, $F$11)</f>
        <v>8.5059000000000005</v>
      </c>
      <c r="C347" s="8">
        <f>CHOOSE( CONTROL!$C$32, 8.5163, 8.5114) * CHOOSE(CONTROL!$C$15, $D$11, 100%, $F$11)</f>
        <v>8.5162999999999993</v>
      </c>
      <c r="D347" s="8">
        <f>CHOOSE( CONTROL!$C$32, 8.5153, 8.5104) * CHOOSE( CONTROL!$C$15, $D$11, 100%, $F$11)</f>
        <v>8.5152999999999999</v>
      </c>
      <c r="E347" s="12">
        <f>CHOOSE( CONTROL!$C$32, 8.5141, 8.5092) * CHOOSE( CONTROL!$C$15, $D$11, 100%, $F$11)</f>
        <v>8.5140999999999991</v>
      </c>
      <c r="F347" s="4">
        <f>CHOOSE( CONTROL!$C$32, 9.5105, 9.5056) * CHOOSE(CONTROL!$C$15, $D$11, 100%, $F$11)</f>
        <v>9.5105000000000004</v>
      </c>
      <c r="G347" s="8">
        <f>CHOOSE( CONTROL!$C$32, 8.2826, 8.2778) * CHOOSE( CONTROL!$C$15, $D$11, 100%, $F$11)</f>
        <v>8.2826000000000004</v>
      </c>
      <c r="H347" s="4">
        <f>CHOOSE( CONTROL!$C$32, 9.1943, 9.1895) * CHOOSE(CONTROL!$C$15, $D$11, 100%, $F$11)</f>
        <v>9.1943000000000001</v>
      </c>
      <c r="I347" s="8">
        <f>CHOOSE( CONTROL!$C$32, 8.2018, 8.1971) * CHOOSE(CONTROL!$C$15, $D$11, 100%, $F$11)</f>
        <v>8.2018000000000004</v>
      </c>
      <c r="J347" s="4">
        <f>CHOOSE( CONTROL!$C$32, 8.1456, 8.1408) * CHOOSE(CONTROL!$C$15, $D$11, 100%, $F$11)</f>
        <v>8.1456</v>
      </c>
      <c r="K347" s="4"/>
      <c r="L347" s="9">
        <v>29.520499999999998</v>
      </c>
      <c r="M347" s="9">
        <v>12.063700000000001</v>
      </c>
      <c r="N347" s="9">
        <v>4.9444999999999997</v>
      </c>
      <c r="O347" s="9">
        <v>0.37459999999999999</v>
      </c>
      <c r="P347" s="9">
        <v>1.2192000000000001</v>
      </c>
      <c r="Q347" s="9">
        <v>20.5288</v>
      </c>
      <c r="R347" s="9"/>
      <c r="S347" s="11"/>
    </row>
    <row r="348" spans="1:19" ht="15.75">
      <c r="A348" s="13">
        <v>52474</v>
      </c>
      <c r="B348" s="8">
        <f>CHOOSE( CONTROL!$C$32, 7.85, 7.8451) * CHOOSE(CONTROL!$C$15, $D$11, 100%, $F$11)</f>
        <v>7.85</v>
      </c>
      <c r="C348" s="8">
        <f>CHOOSE( CONTROL!$C$32, 7.8605, 7.8555) * CHOOSE(CONTROL!$C$15, $D$11, 100%, $F$11)</f>
        <v>7.8605</v>
      </c>
      <c r="D348" s="8">
        <f>CHOOSE( CONTROL!$C$32, 7.8606, 7.8557) * CHOOSE( CONTROL!$C$15, $D$11, 100%, $F$11)</f>
        <v>7.8605999999999998</v>
      </c>
      <c r="E348" s="12">
        <f>CHOOSE( CONTROL!$C$32, 7.859, 7.854) * CHOOSE( CONTROL!$C$15, $D$11, 100%, $F$11)</f>
        <v>7.859</v>
      </c>
      <c r="F348" s="4">
        <f>CHOOSE( CONTROL!$C$32, 8.8625, 8.8576) * CHOOSE(CONTROL!$C$15, $D$11, 100%, $F$11)</f>
        <v>8.8625000000000007</v>
      </c>
      <c r="G348" s="8">
        <f>CHOOSE( CONTROL!$C$32, 7.6385, 7.6337) * CHOOSE( CONTROL!$C$15, $D$11, 100%, $F$11)</f>
        <v>7.6384999999999996</v>
      </c>
      <c r="H348" s="4">
        <f>CHOOSE( CONTROL!$C$32, 8.5627, 8.5579) * CHOOSE(CONTROL!$C$15, $D$11, 100%, $F$11)</f>
        <v>8.5626999999999995</v>
      </c>
      <c r="I348" s="8">
        <f>CHOOSE( CONTROL!$C$32, 7.564, 7.5593) * CHOOSE(CONTROL!$C$15, $D$11, 100%, $F$11)</f>
        <v>7.5640000000000001</v>
      </c>
      <c r="J348" s="4">
        <f>CHOOSE( CONTROL!$C$32, 7.5172, 7.5124) * CHOOSE(CONTROL!$C$15, $D$11, 100%, $F$11)</f>
        <v>7.5171999999999999</v>
      </c>
      <c r="K348" s="4"/>
      <c r="L348" s="9">
        <v>29.520499999999998</v>
      </c>
      <c r="M348" s="9">
        <v>12.063700000000001</v>
      </c>
      <c r="N348" s="9">
        <v>4.9444999999999997</v>
      </c>
      <c r="O348" s="9">
        <v>0.37459999999999999</v>
      </c>
      <c r="P348" s="9">
        <v>1.2192000000000001</v>
      </c>
      <c r="Q348" s="9">
        <v>20.5288</v>
      </c>
      <c r="R348" s="9"/>
      <c r="S348" s="11"/>
    </row>
    <row r="349" spans="1:19" ht="15.75">
      <c r="A349" s="13">
        <v>52504</v>
      </c>
      <c r="B349" s="8">
        <f>CHOOSE( CONTROL!$C$32, 7.6858, 7.6809) * CHOOSE(CONTROL!$C$15, $D$11, 100%, $F$11)</f>
        <v>7.6858000000000004</v>
      </c>
      <c r="C349" s="8">
        <f>CHOOSE( CONTROL!$C$32, 7.6963, 7.6913) * CHOOSE(CONTROL!$C$15, $D$11, 100%, $F$11)</f>
        <v>7.6962999999999999</v>
      </c>
      <c r="D349" s="8">
        <f>CHOOSE( CONTROL!$C$32, 7.6967, 7.6918) * CHOOSE( CONTROL!$C$15, $D$11, 100%, $F$11)</f>
        <v>7.6966999999999999</v>
      </c>
      <c r="E349" s="12">
        <f>CHOOSE( CONTROL!$C$32, 7.695, 7.69) * CHOOSE( CONTROL!$C$15, $D$11, 100%, $F$11)</f>
        <v>7.6950000000000003</v>
      </c>
      <c r="F349" s="4">
        <f>CHOOSE( CONTROL!$C$32, 8.6983, 8.6934) * CHOOSE(CONTROL!$C$15, $D$11, 100%, $F$11)</f>
        <v>8.6982999999999997</v>
      </c>
      <c r="G349" s="8">
        <f>CHOOSE( CONTROL!$C$32, 7.4788, 7.474) * CHOOSE( CONTROL!$C$15, $D$11, 100%, $F$11)</f>
        <v>7.4787999999999997</v>
      </c>
      <c r="H349" s="4">
        <f>CHOOSE( CONTROL!$C$32, 8.4026, 8.3978) * CHOOSE(CONTROL!$C$15, $D$11, 100%, $F$11)</f>
        <v>8.4025999999999996</v>
      </c>
      <c r="I349" s="8">
        <f>CHOOSE( CONTROL!$C$32, 7.408, 7.4033) * CHOOSE(CONTROL!$C$15, $D$11, 100%, $F$11)</f>
        <v>7.4080000000000004</v>
      </c>
      <c r="J349" s="4">
        <f>CHOOSE( CONTROL!$C$32, 7.3598, 7.3551) * CHOOSE(CONTROL!$C$15, $D$11, 100%, $F$11)</f>
        <v>7.3597999999999999</v>
      </c>
      <c r="K349" s="4"/>
      <c r="L349" s="9">
        <v>28.568200000000001</v>
      </c>
      <c r="M349" s="9">
        <v>11.6745</v>
      </c>
      <c r="N349" s="9">
        <v>4.7850000000000001</v>
      </c>
      <c r="O349" s="9">
        <v>0.36249999999999999</v>
      </c>
      <c r="P349" s="9">
        <v>1.1798</v>
      </c>
      <c r="Q349" s="9">
        <v>19.866599999999998</v>
      </c>
      <c r="R349" s="9"/>
      <c r="S349" s="11"/>
    </row>
    <row r="350" spans="1:19" ht="15.75">
      <c r="A350" s="13">
        <v>52535</v>
      </c>
      <c r="B350" s="8">
        <f>8.0219 * CHOOSE(CONTROL!$C$15, $D$11, 100%, $F$11)</f>
        <v>8.0219000000000005</v>
      </c>
      <c r="C350" s="8">
        <f>8.0323 * CHOOSE(CONTROL!$C$15, $D$11, 100%, $F$11)</f>
        <v>8.0322999999999993</v>
      </c>
      <c r="D350" s="8">
        <f>8.034 * CHOOSE( CONTROL!$C$15, $D$11, 100%, $F$11)</f>
        <v>8.0340000000000007</v>
      </c>
      <c r="E350" s="12">
        <f>8.0323 * CHOOSE( CONTROL!$C$15, $D$11, 100%, $F$11)</f>
        <v>8.0322999999999993</v>
      </c>
      <c r="F350" s="4">
        <f>9.0343 * CHOOSE(CONTROL!$C$15, $D$11, 100%, $F$11)</f>
        <v>9.0343</v>
      </c>
      <c r="G350" s="8">
        <f>7.8061 * CHOOSE( CONTROL!$C$15, $D$11, 100%, $F$11)</f>
        <v>7.8060999999999998</v>
      </c>
      <c r="H350" s="4">
        <f>8.7302 * CHOOSE(CONTROL!$C$15, $D$11, 100%, $F$11)</f>
        <v>8.7302</v>
      </c>
      <c r="I350" s="8">
        <f>7.7325 * CHOOSE(CONTROL!$C$15, $D$11, 100%, $F$11)</f>
        <v>7.7324999999999999</v>
      </c>
      <c r="J350" s="4">
        <f>7.6818 * CHOOSE(CONTROL!$C$15, $D$11, 100%, $F$11)</f>
        <v>7.6818</v>
      </c>
      <c r="K350" s="4"/>
      <c r="L350" s="9">
        <v>28.921800000000001</v>
      </c>
      <c r="M350" s="9">
        <v>12.063700000000001</v>
      </c>
      <c r="N350" s="9">
        <v>4.9444999999999997</v>
      </c>
      <c r="O350" s="9">
        <v>0.37459999999999999</v>
      </c>
      <c r="P350" s="9">
        <v>1.2192000000000001</v>
      </c>
      <c r="Q350" s="9">
        <v>20.5288</v>
      </c>
      <c r="R350" s="9"/>
      <c r="S350" s="11"/>
    </row>
    <row r="351" spans="1:19" ht="15.75">
      <c r="A351" s="13">
        <v>52565</v>
      </c>
      <c r="B351" s="8">
        <f>8.6513 * CHOOSE(CONTROL!$C$15, $D$11, 100%, $F$11)</f>
        <v>8.6513000000000009</v>
      </c>
      <c r="C351" s="8">
        <f>8.6617 * CHOOSE(CONTROL!$C$15, $D$11, 100%, $F$11)</f>
        <v>8.6616999999999997</v>
      </c>
      <c r="D351" s="8">
        <f>8.6428 * CHOOSE( CONTROL!$C$15, $D$11, 100%, $F$11)</f>
        <v>8.6427999999999994</v>
      </c>
      <c r="E351" s="12">
        <f>8.6486 * CHOOSE( CONTROL!$C$15, $D$11, 100%, $F$11)</f>
        <v>8.6486000000000001</v>
      </c>
      <c r="F351" s="4">
        <f>9.6481 * CHOOSE(CONTROL!$C$15, $D$11, 100%, $F$11)</f>
        <v>9.6480999999999995</v>
      </c>
      <c r="G351" s="8">
        <f>8.4425 * CHOOSE( CONTROL!$C$15, $D$11, 100%, $F$11)</f>
        <v>8.4425000000000008</v>
      </c>
      <c r="H351" s="4">
        <f>9.3284 * CHOOSE(CONTROL!$C$15, $D$11, 100%, $F$11)</f>
        <v>9.3284000000000002</v>
      </c>
      <c r="I351" s="8">
        <f>8.3824 * CHOOSE(CONTROL!$C$15, $D$11, 100%, $F$11)</f>
        <v>8.3824000000000005</v>
      </c>
      <c r="J351" s="4">
        <f>8.2849 * CHOOSE(CONTROL!$C$15, $D$11, 100%, $F$11)</f>
        <v>8.2849000000000004</v>
      </c>
      <c r="K351" s="4"/>
      <c r="L351" s="9">
        <v>26.515499999999999</v>
      </c>
      <c r="M351" s="9">
        <v>11.6745</v>
      </c>
      <c r="N351" s="9">
        <v>4.7850000000000001</v>
      </c>
      <c r="O351" s="9">
        <v>0.36249999999999999</v>
      </c>
      <c r="P351" s="9">
        <v>1.2522</v>
      </c>
      <c r="Q351" s="9">
        <v>19.866599999999998</v>
      </c>
      <c r="R351" s="9"/>
      <c r="S351" s="11"/>
    </row>
    <row r="352" spans="1:19" ht="15.75">
      <c r="A352" s="13">
        <v>52596</v>
      </c>
      <c r="B352" s="8">
        <f>8.6355 * CHOOSE(CONTROL!$C$15, $D$11, 100%, $F$11)</f>
        <v>8.6355000000000004</v>
      </c>
      <c r="C352" s="8">
        <f>8.646 * CHOOSE(CONTROL!$C$15, $D$11, 100%, $F$11)</f>
        <v>8.6460000000000008</v>
      </c>
      <c r="D352" s="8">
        <f>8.6296 * CHOOSE( CONTROL!$C$15, $D$11, 100%, $F$11)</f>
        <v>8.6295999999999999</v>
      </c>
      <c r="E352" s="12">
        <f>8.6345 * CHOOSE( CONTROL!$C$15, $D$11, 100%, $F$11)</f>
        <v>8.6344999999999992</v>
      </c>
      <c r="F352" s="4">
        <f>9.6324 * CHOOSE(CONTROL!$C$15, $D$11, 100%, $F$11)</f>
        <v>9.6324000000000005</v>
      </c>
      <c r="G352" s="8">
        <f>8.4292 * CHOOSE( CONTROL!$C$15, $D$11, 100%, $F$11)</f>
        <v>8.4291999999999998</v>
      </c>
      <c r="H352" s="4">
        <f>9.3131 * CHOOSE(CONTROL!$C$15, $D$11, 100%, $F$11)</f>
        <v>9.3131000000000004</v>
      </c>
      <c r="I352" s="8">
        <f>8.3761 * CHOOSE(CONTROL!$C$15, $D$11, 100%, $F$11)</f>
        <v>8.3760999999999992</v>
      </c>
      <c r="J352" s="4">
        <f>8.2698 * CHOOSE(CONTROL!$C$15, $D$11, 100%, $F$11)</f>
        <v>8.2698</v>
      </c>
      <c r="K352" s="4"/>
      <c r="L352" s="9">
        <v>27.3993</v>
      </c>
      <c r="M352" s="9">
        <v>12.063700000000001</v>
      </c>
      <c r="N352" s="9">
        <v>4.9444999999999997</v>
      </c>
      <c r="O352" s="9">
        <v>0.37459999999999999</v>
      </c>
      <c r="P352" s="9">
        <v>1.2939000000000001</v>
      </c>
      <c r="Q352" s="9">
        <v>20.5288</v>
      </c>
      <c r="R352" s="9"/>
      <c r="S352" s="11"/>
    </row>
    <row r="353" spans="1:19" ht="15.75">
      <c r="A353" s="13">
        <v>52627</v>
      </c>
      <c r="B353" s="8">
        <f>8.9654 * CHOOSE(CONTROL!$C$15, $D$11, 100%, $F$11)</f>
        <v>8.9654000000000007</v>
      </c>
      <c r="C353" s="8">
        <f>8.9758 * CHOOSE(CONTROL!$C$15, $D$11, 100%, $F$11)</f>
        <v>8.9757999999999996</v>
      </c>
      <c r="D353" s="8">
        <f>8.9744 * CHOOSE( CONTROL!$C$15, $D$11, 100%, $F$11)</f>
        <v>8.9743999999999993</v>
      </c>
      <c r="E353" s="12">
        <f>8.9738 * CHOOSE( CONTROL!$C$15, $D$11, 100%, $F$11)</f>
        <v>8.9738000000000007</v>
      </c>
      <c r="F353" s="4">
        <f>9.9883 * CHOOSE(CONTROL!$C$15, $D$11, 100%, $F$11)</f>
        <v>9.9883000000000006</v>
      </c>
      <c r="G353" s="8">
        <f>8.7676 * CHOOSE( CONTROL!$C$15, $D$11, 100%, $F$11)</f>
        <v>8.7675999999999998</v>
      </c>
      <c r="H353" s="4">
        <f>9.6601 * CHOOSE(CONTROL!$C$15, $D$11, 100%, $F$11)</f>
        <v>9.6600999999999999</v>
      </c>
      <c r="I353" s="8">
        <f>8.6988 * CHOOSE(CONTROL!$C$15, $D$11, 100%, $F$11)</f>
        <v>8.6988000000000003</v>
      </c>
      <c r="J353" s="4">
        <f>8.5859 * CHOOSE(CONTROL!$C$15, $D$11, 100%, $F$11)</f>
        <v>8.5859000000000005</v>
      </c>
      <c r="K353" s="4"/>
      <c r="L353" s="9">
        <v>27.3993</v>
      </c>
      <c r="M353" s="9">
        <v>12.063700000000001</v>
      </c>
      <c r="N353" s="9">
        <v>4.9444999999999997</v>
      </c>
      <c r="O353" s="9">
        <v>0.37459999999999999</v>
      </c>
      <c r="P353" s="9">
        <v>1.2939000000000001</v>
      </c>
      <c r="Q353" s="9">
        <v>20.4619</v>
      </c>
      <c r="R353" s="9"/>
      <c r="S353" s="11"/>
    </row>
    <row r="354" spans="1:19" ht="15.75">
      <c r="A354" s="13">
        <v>52655</v>
      </c>
      <c r="B354" s="8">
        <f>8.3861 * CHOOSE(CONTROL!$C$15, $D$11, 100%, $F$11)</f>
        <v>8.3861000000000008</v>
      </c>
      <c r="C354" s="8">
        <f>8.3966 * CHOOSE(CONTROL!$C$15, $D$11, 100%, $F$11)</f>
        <v>8.3965999999999994</v>
      </c>
      <c r="D354" s="8">
        <f>8.3974 * CHOOSE( CONTROL!$C$15, $D$11, 100%, $F$11)</f>
        <v>8.3973999999999993</v>
      </c>
      <c r="E354" s="12">
        <f>8.396 * CHOOSE( CONTROL!$C$15, $D$11, 100%, $F$11)</f>
        <v>8.3960000000000008</v>
      </c>
      <c r="F354" s="4">
        <f>9.4012 * CHOOSE(CONTROL!$C$15, $D$11, 100%, $F$11)</f>
        <v>9.4011999999999993</v>
      </c>
      <c r="G354" s="8">
        <f>8.2027 * CHOOSE( CONTROL!$C$15, $D$11, 100%, $F$11)</f>
        <v>8.2027000000000001</v>
      </c>
      <c r="H354" s="4">
        <f>9.0878 * CHOOSE(CONTROL!$C$15, $D$11, 100%, $F$11)</f>
        <v>9.0877999999999997</v>
      </c>
      <c r="I354" s="8">
        <f>8.1325 * CHOOSE(CONTROL!$C$15, $D$11, 100%, $F$11)</f>
        <v>8.1325000000000003</v>
      </c>
      <c r="J354" s="4">
        <f>8.0308 * CHOOSE(CONTROL!$C$15, $D$11, 100%, $F$11)</f>
        <v>8.0307999999999993</v>
      </c>
      <c r="K354" s="4"/>
      <c r="L354" s="9">
        <v>25.631599999999999</v>
      </c>
      <c r="M354" s="9">
        <v>11.285299999999999</v>
      </c>
      <c r="N354" s="9">
        <v>4.6254999999999997</v>
      </c>
      <c r="O354" s="9">
        <v>0.35039999999999999</v>
      </c>
      <c r="P354" s="9">
        <v>1.2104999999999999</v>
      </c>
      <c r="Q354" s="9">
        <v>19.1417</v>
      </c>
      <c r="R354" s="9"/>
      <c r="S354" s="11"/>
    </row>
    <row r="355" spans="1:19" ht="15.75">
      <c r="A355" s="13">
        <v>52687</v>
      </c>
      <c r="B355" s="8">
        <f>8.2077 * CHOOSE(CONTROL!$C$15, $D$11, 100%, $F$11)</f>
        <v>8.2077000000000009</v>
      </c>
      <c r="C355" s="8">
        <f>8.2181 * CHOOSE(CONTROL!$C$15, $D$11, 100%, $F$11)</f>
        <v>8.2180999999999997</v>
      </c>
      <c r="D355" s="8">
        <f>8.1986 * CHOOSE( CONTROL!$C$15, $D$11, 100%, $F$11)</f>
        <v>8.1986000000000008</v>
      </c>
      <c r="E355" s="12">
        <f>8.2046 * CHOOSE( CONTROL!$C$15, $D$11, 100%, $F$11)</f>
        <v>8.2045999999999992</v>
      </c>
      <c r="F355" s="4">
        <f>9.2066 * CHOOSE(CONTROL!$C$15, $D$11, 100%, $F$11)</f>
        <v>9.2065999999999999</v>
      </c>
      <c r="G355" s="8">
        <f>8.0081 * CHOOSE( CONTROL!$C$15, $D$11, 100%, $F$11)</f>
        <v>8.0081000000000007</v>
      </c>
      <c r="H355" s="4">
        <f>8.8981 * CHOOSE(CONTROL!$C$15, $D$11, 100%, $F$11)</f>
        <v>8.8980999999999995</v>
      </c>
      <c r="I355" s="8">
        <f>7.9219 * CHOOSE(CONTROL!$C$15, $D$11, 100%, $F$11)</f>
        <v>7.9218999999999999</v>
      </c>
      <c r="J355" s="4">
        <f>7.8599 * CHOOSE(CONTROL!$C$15, $D$11, 100%, $F$11)</f>
        <v>7.8598999999999997</v>
      </c>
      <c r="K355" s="4"/>
      <c r="L355" s="9">
        <v>27.3993</v>
      </c>
      <c r="M355" s="9">
        <v>12.063700000000001</v>
      </c>
      <c r="N355" s="9">
        <v>4.9444999999999997</v>
      </c>
      <c r="O355" s="9">
        <v>0.37459999999999999</v>
      </c>
      <c r="P355" s="9">
        <v>1.2939000000000001</v>
      </c>
      <c r="Q355" s="9">
        <v>20.4619</v>
      </c>
      <c r="R355" s="9"/>
      <c r="S355" s="11"/>
    </row>
    <row r="356" spans="1:19" ht="15.75">
      <c r="A356" s="13">
        <v>52717</v>
      </c>
      <c r="B356" s="8">
        <f>8.3324 * CHOOSE(CONTROL!$C$15, $D$11, 100%, $F$11)</f>
        <v>8.3323999999999998</v>
      </c>
      <c r="C356" s="8">
        <f>8.3428 * CHOOSE(CONTROL!$C$15, $D$11, 100%, $F$11)</f>
        <v>8.3428000000000004</v>
      </c>
      <c r="D356" s="8">
        <f>8.3467 * CHOOSE( CONTROL!$C$15, $D$11, 100%, $F$11)</f>
        <v>8.3467000000000002</v>
      </c>
      <c r="E356" s="12">
        <f>8.3442 * CHOOSE( CONTROL!$C$15, $D$11, 100%, $F$11)</f>
        <v>8.3442000000000007</v>
      </c>
      <c r="F356" s="4">
        <f>9.3396 * CHOOSE(CONTROL!$C$15, $D$11, 100%, $F$11)</f>
        <v>9.3396000000000008</v>
      </c>
      <c r="G356" s="8">
        <f>8.1176 * CHOOSE( CONTROL!$C$15, $D$11, 100%, $F$11)</f>
        <v>8.1175999999999995</v>
      </c>
      <c r="H356" s="4">
        <f>9.0278 * CHOOSE(CONTROL!$C$15, $D$11, 100%, $F$11)</f>
        <v>9.0277999999999992</v>
      </c>
      <c r="I356" s="8">
        <f>8.0316 * CHOOSE(CONTROL!$C$15, $D$11, 100%, $F$11)</f>
        <v>8.0315999999999992</v>
      </c>
      <c r="J356" s="4">
        <f>7.9793 * CHOOSE(CONTROL!$C$15, $D$11, 100%, $F$11)</f>
        <v>7.9793000000000003</v>
      </c>
      <c r="K356" s="4"/>
      <c r="L356" s="9">
        <v>27.988800000000001</v>
      </c>
      <c r="M356" s="9">
        <v>11.6745</v>
      </c>
      <c r="N356" s="9">
        <v>4.7850000000000001</v>
      </c>
      <c r="O356" s="9">
        <v>0.36249999999999999</v>
      </c>
      <c r="P356" s="9">
        <v>1.1798</v>
      </c>
      <c r="Q356" s="9">
        <v>19.8018</v>
      </c>
      <c r="R356" s="9"/>
      <c r="S356" s="11"/>
    </row>
    <row r="357" spans="1:19" ht="15.75">
      <c r="A357" s="13">
        <v>52748</v>
      </c>
      <c r="B357" s="8">
        <f>CHOOSE( CONTROL!$C$32, 8.5592, 8.5543) * CHOOSE(CONTROL!$C$15, $D$11, 100%, $F$11)</f>
        <v>8.5592000000000006</v>
      </c>
      <c r="C357" s="8">
        <f>CHOOSE( CONTROL!$C$32, 8.5696, 8.5647) * CHOOSE(CONTROL!$C$15, $D$11, 100%, $F$11)</f>
        <v>8.5695999999999994</v>
      </c>
      <c r="D357" s="8">
        <f>CHOOSE( CONTROL!$C$32, 8.5483, 8.5434) * CHOOSE( CONTROL!$C$15, $D$11, 100%, $F$11)</f>
        <v>8.5482999999999993</v>
      </c>
      <c r="E357" s="12">
        <f>CHOOSE( CONTROL!$C$32, 8.5544, 8.5495) * CHOOSE( CONTROL!$C$15, $D$11, 100%, $F$11)</f>
        <v>8.5543999999999993</v>
      </c>
      <c r="F357" s="4">
        <f>CHOOSE( CONTROL!$C$32, 9.5341, 9.5292) * CHOOSE(CONTROL!$C$15, $D$11, 100%, $F$11)</f>
        <v>9.5341000000000005</v>
      </c>
      <c r="G357" s="8">
        <f>CHOOSE( CONTROL!$C$32, 8.3201, 8.3153) * CHOOSE( CONTROL!$C$15, $D$11, 100%, $F$11)</f>
        <v>8.3201000000000001</v>
      </c>
      <c r="H357" s="4">
        <f>CHOOSE( CONTROL!$C$32, 9.2173, 9.2125) * CHOOSE(CONTROL!$C$15, $D$11, 100%, $F$11)</f>
        <v>9.2172999999999998</v>
      </c>
      <c r="I357" s="8">
        <f>CHOOSE( CONTROL!$C$32, 8.2275, 8.2227) * CHOOSE(CONTROL!$C$15, $D$11, 100%, $F$11)</f>
        <v>8.2274999999999991</v>
      </c>
      <c r="J357" s="4">
        <f>CHOOSE( CONTROL!$C$32, 8.1967, 8.1919) * CHOOSE(CONTROL!$C$15, $D$11, 100%, $F$11)</f>
        <v>8.1966999999999999</v>
      </c>
      <c r="K357" s="4"/>
      <c r="L357" s="9">
        <v>29.520499999999998</v>
      </c>
      <c r="M357" s="9">
        <v>12.063700000000001</v>
      </c>
      <c r="N357" s="9">
        <v>4.9444999999999997</v>
      </c>
      <c r="O357" s="9">
        <v>0.37459999999999999</v>
      </c>
      <c r="P357" s="9">
        <v>1.2192000000000001</v>
      </c>
      <c r="Q357" s="9">
        <v>20.4619</v>
      </c>
      <c r="R357" s="9"/>
      <c r="S357" s="11"/>
    </row>
    <row r="358" spans="1:19" ht="15.75">
      <c r="A358" s="13">
        <v>52778</v>
      </c>
      <c r="B358" s="8">
        <f>CHOOSE( CONTROL!$C$32, 8.4218, 8.4168) * CHOOSE(CONTROL!$C$15, $D$11, 100%, $F$11)</f>
        <v>8.4217999999999993</v>
      </c>
      <c r="C358" s="8">
        <f>CHOOSE( CONTROL!$C$32, 8.4322, 8.4273) * CHOOSE(CONTROL!$C$15, $D$11, 100%, $F$11)</f>
        <v>8.4321999999999999</v>
      </c>
      <c r="D358" s="8">
        <f>CHOOSE( CONTROL!$C$32, 8.4243, 8.4194) * CHOOSE( CONTROL!$C$15, $D$11, 100%, $F$11)</f>
        <v>8.4243000000000006</v>
      </c>
      <c r="E358" s="12">
        <f>CHOOSE( CONTROL!$C$32, 8.4256, 8.4207) * CHOOSE( CONTROL!$C$15, $D$11, 100%, $F$11)</f>
        <v>8.4255999999999993</v>
      </c>
      <c r="F358" s="4">
        <f>CHOOSE( CONTROL!$C$32, 9.416, 9.411) * CHOOSE(CONTROL!$C$15, $D$11, 100%, $F$11)</f>
        <v>9.4160000000000004</v>
      </c>
      <c r="G358" s="8">
        <f>CHOOSE( CONTROL!$C$32, 8.1965, 8.1917) * CHOOSE( CONTROL!$C$15, $D$11, 100%, $F$11)</f>
        <v>8.1965000000000003</v>
      </c>
      <c r="H358" s="4">
        <f>CHOOSE( CONTROL!$C$32, 9.1022, 9.0974) * CHOOSE(CONTROL!$C$15, $D$11, 100%, $F$11)</f>
        <v>9.1021999999999998</v>
      </c>
      <c r="I358" s="8">
        <f>CHOOSE( CONTROL!$C$32, 8.1135, 8.1088) * CHOOSE(CONTROL!$C$15, $D$11, 100%, $F$11)</f>
        <v>8.1135000000000002</v>
      </c>
      <c r="J358" s="4">
        <f>CHOOSE( CONTROL!$C$32, 8.065, 8.0602) * CHOOSE(CONTROL!$C$15, $D$11, 100%, $F$11)</f>
        <v>8.0649999999999995</v>
      </c>
      <c r="K358" s="4"/>
      <c r="L358" s="9">
        <v>28.568200000000001</v>
      </c>
      <c r="M358" s="9">
        <v>11.6745</v>
      </c>
      <c r="N358" s="9">
        <v>4.7850000000000001</v>
      </c>
      <c r="O358" s="9">
        <v>0.36249999999999999</v>
      </c>
      <c r="P358" s="9">
        <v>1.1798</v>
      </c>
      <c r="Q358" s="9">
        <v>19.8018</v>
      </c>
      <c r="R358" s="9"/>
      <c r="S358" s="11"/>
    </row>
    <row r="359" spans="1:19" ht="15.75">
      <c r="A359" s="13">
        <v>52809</v>
      </c>
      <c r="B359" s="8">
        <f>CHOOSE( CONTROL!$C$32, 8.7837, 8.7788) * CHOOSE(CONTROL!$C$15, $D$11, 100%, $F$11)</f>
        <v>8.7836999999999996</v>
      </c>
      <c r="C359" s="8">
        <f>CHOOSE( CONTROL!$C$32, 8.7942, 8.7892) * CHOOSE(CONTROL!$C$15, $D$11, 100%, $F$11)</f>
        <v>8.7942</v>
      </c>
      <c r="D359" s="8">
        <f>CHOOSE( CONTROL!$C$32, 8.7932, 8.7882) * CHOOSE( CONTROL!$C$15, $D$11, 100%, $F$11)</f>
        <v>8.7932000000000006</v>
      </c>
      <c r="E359" s="12">
        <f>CHOOSE( CONTROL!$C$32, 8.792, 8.787) * CHOOSE( CONTROL!$C$15, $D$11, 100%, $F$11)</f>
        <v>8.7919999999999998</v>
      </c>
      <c r="F359" s="4">
        <f>CHOOSE( CONTROL!$C$32, 9.7884, 9.7834) * CHOOSE(CONTROL!$C$15, $D$11, 100%, $F$11)</f>
        <v>9.7883999999999993</v>
      </c>
      <c r="G359" s="8">
        <f>CHOOSE( CONTROL!$C$32, 8.5535, 8.5487) * CHOOSE( CONTROL!$C$15, $D$11, 100%, $F$11)</f>
        <v>8.5534999999999997</v>
      </c>
      <c r="H359" s="4">
        <f>CHOOSE( CONTROL!$C$32, 9.4652, 9.4604) * CHOOSE(CONTROL!$C$15, $D$11, 100%, $F$11)</f>
        <v>9.4651999999999994</v>
      </c>
      <c r="I359" s="8">
        <f>CHOOSE( CONTROL!$C$32, 8.4682, 8.4634) * CHOOSE(CONTROL!$C$15, $D$11, 100%, $F$11)</f>
        <v>8.4681999999999995</v>
      </c>
      <c r="J359" s="4">
        <f>CHOOSE( CONTROL!$C$32, 8.4118, 8.4071) * CHOOSE(CONTROL!$C$15, $D$11, 100%, $F$11)</f>
        <v>8.4117999999999995</v>
      </c>
      <c r="K359" s="4"/>
      <c r="L359" s="9">
        <v>29.520499999999998</v>
      </c>
      <c r="M359" s="9">
        <v>12.063700000000001</v>
      </c>
      <c r="N359" s="9">
        <v>4.9444999999999997</v>
      </c>
      <c r="O359" s="9">
        <v>0.37459999999999999</v>
      </c>
      <c r="P359" s="9">
        <v>1.2192000000000001</v>
      </c>
      <c r="Q359" s="9">
        <v>20.4619</v>
      </c>
      <c r="R359" s="9"/>
      <c r="S359" s="11"/>
    </row>
    <row r="360" spans="1:19" ht="15.75">
      <c r="A360" s="13">
        <v>52840</v>
      </c>
      <c r="B360" s="8">
        <f>CHOOSE( CONTROL!$C$32, 8.1064, 8.1015) * CHOOSE(CONTROL!$C$15, $D$11, 100%, $F$11)</f>
        <v>8.1064000000000007</v>
      </c>
      <c r="C360" s="8">
        <f>CHOOSE( CONTROL!$C$32, 8.1169, 8.1119) * CHOOSE(CONTROL!$C$15, $D$11, 100%, $F$11)</f>
        <v>8.1168999999999993</v>
      </c>
      <c r="D360" s="8">
        <f>CHOOSE( CONTROL!$C$32, 8.117, 8.1121) * CHOOSE( CONTROL!$C$15, $D$11, 100%, $F$11)</f>
        <v>8.1170000000000009</v>
      </c>
      <c r="E360" s="12">
        <f>CHOOSE( CONTROL!$C$32, 8.1154, 8.1104) * CHOOSE( CONTROL!$C$15, $D$11, 100%, $F$11)</f>
        <v>8.1153999999999993</v>
      </c>
      <c r="F360" s="4">
        <f>CHOOSE( CONTROL!$C$32, 9.1189, 9.114) * CHOOSE(CONTROL!$C$15, $D$11, 100%, $F$11)</f>
        <v>9.1189</v>
      </c>
      <c r="G360" s="8">
        <f>CHOOSE( CONTROL!$C$32, 7.8884, 7.8836) * CHOOSE( CONTROL!$C$15, $D$11, 100%, $F$11)</f>
        <v>7.8883999999999999</v>
      </c>
      <c r="H360" s="4">
        <f>CHOOSE( CONTROL!$C$32, 8.8126, 8.8078) * CHOOSE(CONTROL!$C$15, $D$11, 100%, $F$11)</f>
        <v>8.8125999999999998</v>
      </c>
      <c r="I360" s="8">
        <f>CHOOSE( CONTROL!$C$32, 7.8098, 7.8051) * CHOOSE(CONTROL!$C$15, $D$11, 100%, $F$11)</f>
        <v>7.8098000000000001</v>
      </c>
      <c r="J360" s="4">
        <f>CHOOSE( CONTROL!$C$32, 7.7628, 7.7581) * CHOOSE(CONTROL!$C$15, $D$11, 100%, $F$11)</f>
        <v>7.7628000000000004</v>
      </c>
      <c r="K360" s="4"/>
      <c r="L360" s="9">
        <v>29.520499999999998</v>
      </c>
      <c r="M360" s="9">
        <v>12.063700000000001</v>
      </c>
      <c r="N360" s="9">
        <v>4.9444999999999997</v>
      </c>
      <c r="O360" s="9">
        <v>0.37459999999999999</v>
      </c>
      <c r="P360" s="9">
        <v>1.2192000000000001</v>
      </c>
      <c r="Q360" s="9">
        <v>20.4619</v>
      </c>
      <c r="R360" s="9"/>
      <c r="S360" s="11"/>
    </row>
    <row r="361" spans="1:19" ht="15.75">
      <c r="A361" s="13">
        <v>52870</v>
      </c>
      <c r="B361" s="8">
        <f>CHOOSE( CONTROL!$C$32, 7.9368, 7.9319) * CHOOSE(CONTROL!$C$15, $D$11, 100%, $F$11)</f>
        <v>7.9367999999999999</v>
      </c>
      <c r="C361" s="8">
        <f>CHOOSE( CONTROL!$C$32, 7.9473, 7.9423) * CHOOSE(CONTROL!$C$15, $D$11, 100%, $F$11)</f>
        <v>7.9473000000000003</v>
      </c>
      <c r="D361" s="8">
        <f>CHOOSE( CONTROL!$C$32, 7.9477, 7.9428) * CHOOSE( CONTROL!$C$15, $D$11, 100%, $F$11)</f>
        <v>7.9477000000000002</v>
      </c>
      <c r="E361" s="12">
        <f>CHOOSE( CONTROL!$C$32, 7.946, 7.941) * CHOOSE( CONTROL!$C$15, $D$11, 100%, $F$11)</f>
        <v>7.9459999999999997</v>
      </c>
      <c r="F361" s="4">
        <f>CHOOSE( CONTROL!$C$32, 8.9493, 8.9444) * CHOOSE(CONTROL!$C$15, $D$11, 100%, $F$11)</f>
        <v>8.9492999999999991</v>
      </c>
      <c r="G361" s="8">
        <f>CHOOSE( CONTROL!$C$32, 7.7235, 7.7187) * CHOOSE( CONTROL!$C$15, $D$11, 100%, $F$11)</f>
        <v>7.7234999999999996</v>
      </c>
      <c r="H361" s="4">
        <f>CHOOSE( CONTROL!$C$32, 8.6473, 8.6425) * CHOOSE(CONTROL!$C$15, $D$11, 100%, $F$11)</f>
        <v>8.6472999999999995</v>
      </c>
      <c r="I361" s="8">
        <f>CHOOSE( CONTROL!$C$32, 7.6487, 7.6439) * CHOOSE(CONTROL!$C$15, $D$11, 100%, $F$11)</f>
        <v>7.6486999999999998</v>
      </c>
      <c r="J361" s="4">
        <f>CHOOSE( CONTROL!$C$32, 7.6003, 7.5956) * CHOOSE(CONTROL!$C$15, $D$11, 100%, $F$11)</f>
        <v>7.6002999999999998</v>
      </c>
      <c r="K361" s="4"/>
      <c r="L361" s="9">
        <v>28.568200000000001</v>
      </c>
      <c r="M361" s="9">
        <v>11.6745</v>
      </c>
      <c r="N361" s="9">
        <v>4.7850000000000001</v>
      </c>
      <c r="O361" s="9">
        <v>0.36249999999999999</v>
      </c>
      <c r="P361" s="9">
        <v>1.1798</v>
      </c>
      <c r="Q361" s="9">
        <v>19.8018</v>
      </c>
      <c r="R361" s="9"/>
      <c r="S361" s="11"/>
    </row>
    <row r="362" spans="1:19" ht="15.75">
      <c r="A362" s="13">
        <v>52901</v>
      </c>
      <c r="B362" s="8">
        <f>8.2841 * CHOOSE(CONTROL!$C$15, $D$11, 100%, $F$11)</f>
        <v>8.2841000000000005</v>
      </c>
      <c r="C362" s="8">
        <f>8.2945 * CHOOSE(CONTROL!$C$15, $D$11, 100%, $F$11)</f>
        <v>8.2944999999999993</v>
      </c>
      <c r="D362" s="8">
        <f>8.2962 * CHOOSE( CONTROL!$C$15, $D$11, 100%, $F$11)</f>
        <v>8.2962000000000007</v>
      </c>
      <c r="E362" s="12">
        <f>8.2945 * CHOOSE( CONTROL!$C$15, $D$11, 100%, $F$11)</f>
        <v>8.2944999999999993</v>
      </c>
      <c r="F362" s="4">
        <f>9.2965 * CHOOSE(CONTROL!$C$15, $D$11, 100%, $F$11)</f>
        <v>9.2965</v>
      </c>
      <c r="G362" s="8">
        <f>8.0617 * CHOOSE( CONTROL!$C$15, $D$11, 100%, $F$11)</f>
        <v>8.0617000000000001</v>
      </c>
      <c r="H362" s="4">
        <f>8.9857 * CHOOSE(CONTROL!$C$15, $D$11, 100%, $F$11)</f>
        <v>8.9856999999999996</v>
      </c>
      <c r="I362" s="8">
        <f>7.9838 * CHOOSE(CONTROL!$C$15, $D$11, 100%, $F$11)</f>
        <v>7.9837999999999996</v>
      </c>
      <c r="J362" s="4">
        <f>7.933 * CHOOSE(CONTROL!$C$15, $D$11, 100%, $F$11)</f>
        <v>7.9329999999999998</v>
      </c>
      <c r="K362" s="4"/>
      <c r="L362" s="9">
        <v>28.921800000000001</v>
      </c>
      <c r="M362" s="9">
        <v>12.063700000000001</v>
      </c>
      <c r="N362" s="9">
        <v>4.9444999999999997</v>
      </c>
      <c r="O362" s="9">
        <v>0.37459999999999999</v>
      </c>
      <c r="P362" s="9">
        <v>1.2192000000000001</v>
      </c>
      <c r="Q362" s="9">
        <v>20.4619</v>
      </c>
      <c r="R362" s="9"/>
      <c r="S362" s="11"/>
    </row>
    <row r="363" spans="1:19" ht="15.75">
      <c r="A363" s="13">
        <v>52931</v>
      </c>
      <c r="B363" s="8">
        <f>8.934 * CHOOSE(CONTROL!$C$15, $D$11, 100%, $F$11)</f>
        <v>8.9339999999999993</v>
      </c>
      <c r="C363" s="8">
        <f>8.9445 * CHOOSE(CONTROL!$C$15, $D$11, 100%, $F$11)</f>
        <v>8.9444999999999997</v>
      </c>
      <c r="D363" s="8">
        <f>8.9255 * CHOOSE( CONTROL!$C$15, $D$11, 100%, $F$11)</f>
        <v>8.9254999999999995</v>
      </c>
      <c r="E363" s="12">
        <f>8.9313 * CHOOSE( CONTROL!$C$15, $D$11, 100%, $F$11)</f>
        <v>8.9313000000000002</v>
      </c>
      <c r="F363" s="4">
        <f>9.9309 * CHOOSE(CONTROL!$C$15, $D$11, 100%, $F$11)</f>
        <v>9.9308999999999994</v>
      </c>
      <c r="G363" s="8">
        <f>8.7182 * CHOOSE( CONTROL!$C$15, $D$11, 100%, $F$11)</f>
        <v>8.7181999999999995</v>
      </c>
      <c r="H363" s="4">
        <f>9.6041 * CHOOSE(CONTROL!$C$15, $D$11, 100%, $F$11)</f>
        <v>9.6041000000000007</v>
      </c>
      <c r="I363" s="8">
        <f>8.6534 * CHOOSE(CONTROL!$C$15, $D$11, 100%, $F$11)</f>
        <v>8.6533999999999995</v>
      </c>
      <c r="J363" s="4">
        <f>8.5558 * CHOOSE(CONTROL!$C$15, $D$11, 100%, $F$11)</f>
        <v>8.5557999999999996</v>
      </c>
      <c r="K363" s="4"/>
      <c r="L363" s="9">
        <v>26.515499999999999</v>
      </c>
      <c r="M363" s="9">
        <v>11.6745</v>
      </c>
      <c r="N363" s="9">
        <v>4.7850000000000001</v>
      </c>
      <c r="O363" s="9">
        <v>0.36249999999999999</v>
      </c>
      <c r="P363" s="9">
        <v>1.2522</v>
      </c>
      <c r="Q363" s="9">
        <v>19.8018</v>
      </c>
      <c r="R363" s="9"/>
      <c r="S363" s="11"/>
    </row>
    <row r="364" spans="1:19" ht="15.75">
      <c r="A364" s="13">
        <v>52962</v>
      </c>
      <c r="B364" s="8">
        <f>8.9178 * CHOOSE(CONTROL!$C$15, $D$11, 100%, $F$11)</f>
        <v>8.9177999999999997</v>
      </c>
      <c r="C364" s="8">
        <f>8.9282 * CHOOSE(CONTROL!$C$15, $D$11, 100%, $F$11)</f>
        <v>8.9282000000000004</v>
      </c>
      <c r="D364" s="8">
        <f>8.9118 * CHOOSE( CONTROL!$C$15, $D$11, 100%, $F$11)</f>
        <v>8.9117999999999995</v>
      </c>
      <c r="E364" s="12">
        <f>8.9167 * CHOOSE( CONTROL!$C$15, $D$11, 100%, $F$11)</f>
        <v>8.9167000000000005</v>
      </c>
      <c r="F364" s="4">
        <f>9.9146 * CHOOSE(CONTROL!$C$15, $D$11, 100%, $F$11)</f>
        <v>9.9146000000000001</v>
      </c>
      <c r="G364" s="8">
        <f>8.7043 * CHOOSE( CONTROL!$C$15, $D$11, 100%, $F$11)</f>
        <v>8.7042999999999999</v>
      </c>
      <c r="H364" s="4">
        <f>9.5882 * CHOOSE(CONTROL!$C$15, $D$11, 100%, $F$11)</f>
        <v>9.5882000000000005</v>
      </c>
      <c r="I364" s="8">
        <f>8.6467 * CHOOSE(CONTROL!$C$15, $D$11, 100%, $F$11)</f>
        <v>8.6466999999999992</v>
      </c>
      <c r="J364" s="4">
        <f>8.5403 * CHOOSE(CONTROL!$C$15, $D$11, 100%, $F$11)</f>
        <v>8.5403000000000002</v>
      </c>
      <c r="K364" s="4"/>
      <c r="L364" s="9">
        <v>27.3993</v>
      </c>
      <c r="M364" s="9">
        <v>12.063700000000001</v>
      </c>
      <c r="N364" s="9">
        <v>4.9444999999999997</v>
      </c>
      <c r="O364" s="9">
        <v>0.37459999999999999</v>
      </c>
      <c r="P364" s="9">
        <v>1.2939000000000001</v>
      </c>
      <c r="Q364" s="9">
        <v>20.4619</v>
      </c>
      <c r="R364" s="9"/>
      <c r="S364" s="11"/>
    </row>
    <row r="365" spans="1:19" ht="15.75">
      <c r="A365" s="13">
        <v>52993</v>
      </c>
      <c r="B365" s="8">
        <f>9.2584 * CHOOSE(CONTROL!$C$15, $D$11, 100%, $F$11)</f>
        <v>9.2584</v>
      </c>
      <c r="C365" s="8">
        <f>9.2689 * CHOOSE(CONTROL!$C$15, $D$11, 100%, $F$11)</f>
        <v>9.2689000000000004</v>
      </c>
      <c r="D365" s="8">
        <f>9.2674 * CHOOSE( CONTROL!$C$15, $D$11, 100%, $F$11)</f>
        <v>9.2674000000000003</v>
      </c>
      <c r="E365" s="12">
        <f>9.2668 * CHOOSE( CONTROL!$C$15, $D$11, 100%, $F$11)</f>
        <v>9.2667999999999999</v>
      </c>
      <c r="F365" s="4">
        <f>10.2814 * CHOOSE(CONTROL!$C$15, $D$11, 100%, $F$11)</f>
        <v>10.2814</v>
      </c>
      <c r="G365" s="8">
        <f>9.0532 * CHOOSE( CONTROL!$C$15, $D$11, 100%, $F$11)</f>
        <v>9.0532000000000004</v>
      </c>
      <c r="H365" s="4">
        <f>9.9457 * CHOOSE(CONTROL!$C$15, $D$11, 100%, $F$11)</f>
        <v>9.9457000000000004</v>
      </c>
      <c r="I365" s="8">
        <f>8.9797 * CHOOSE(CONTROL!$C$15, $D$11, 100%, $F$11)</f>
        <v>8.9796999999999993</v>
      </c>
      <c r="J365" s="4">
        <f>8.8667 * CHOOSE(CONTROL!$C$15, $D$11, 100%, $F$11)</f>
        <v>8.8666999999999998</v>
      </c>
      <c r="K365" s="4"/>
      <c r="L365" s="9">
        <v>27.3993</v>
      </c>
      <c r="M365" s="9">
        <v>12.063700000000001</v>
      </c>
      <c r="N365" s="9">
        <v>4.9444999999999997</v>
      </c>
      <c r="O365" s="9">
        <v>0.37459999999999999</v>
      </c>
      <c r="P365" s="9">
        <v>1.2939000000000001</v>
      </c>
      <c r="Q365" s="9">
        <v>20.396799999999999</v>
      </c>
      <c r="R365" s="9"/>
      <c r="S365" s="11"/>
    </row>
    <row r="366" spans="1:19" ht="15.75">
      <c r="A366" s="13">
        <v>53021</v>
      </c>
      <c r="B366" s="8">
        <f>8.6602 * CHOOSE(CONTROL!$C$15, $D$11, 100%, $F$11)</f>
        <v>8.6601999999999997</v>
      </c>
      <c r="C366" s="8">
        <f>8.6707 * CHOOSE(CONTROL!$C$15, $D$11, 100%, $F$11)</f>
        <v>8.6707000000000001</v>
      </c>
      <c r="D366" s="8">
        <f>8.6715 * CHOOSE( CONTROL!$C$15, $D$11, 100%, $F$11)</f>
        <v>8.6715</v>
      </c>
      <c r="E366" s="12">
        <f>8.6701 * CHOOSE( CONTROL!$C$15, $D$11, 100%, $F$11)</f>
        <v>8.6700999999999997</v>
      </c>
      <c r="F366" s="4">
        <f>9.6753 * CHOOSE(CONTROL!$C$15, $D$11, 100%, $F$11)</f>
        <v>9.6753</v>
      </c>
      <c r="G366" s="8">
        <f>8.4699 * CHOOSE( CONTROL!$C$15, $D$11, 100%, $F$11)</f>
        <v>8.4699000000000009</v>
      </c>
      <c r="H366" s="4">
        <f>9.355 * CHOOSE(CONTROL!$C$15, $D$11, 100%, $F$11)</f>
        <v>9.3550000000000004</v>
      </c>
      <c r="I366" s="8">
        <f>8.3953 * CHOOSE(CONTROL!$C$15, $D$11, 100%, $F$11)</f>
        <v>8.3953000000000007</v>
      </c>
      <c r="J366" s="4">
        <f>8.2935 * CHOOSE(CONTROL!$C$15, $D$11, 100%, $F$11)</f>
        <v>8.2934999999999999</v>
      </c>
      <c r="K366" s="4"/>
      <c r="L366" s="9">
        <v>24.747800000000002</v>
      </c>
      <c r="M366" s="9">
        <v>10.8962</v>
      </c>
      <c r="N366" s="9">
        <v>4.4660000000000002</v>
      </c>
      <c r="O366" s="9">
        <v>0.33829999999999999</v>
      </c>
      <c r="P366" s="9">
        <v>1.1687000000000001</v>
      </c>
      <c r="Q366" s="9">
        <v>18.422899999999998</v>
      </c>
      <c r="R366" s="9"/>
      <c r="S366" s="11"/>
    </row>
    <row r="367" spans="1:19" ht="15.75">
      <c r="A367" s="13">
        <v>53052</v>
      </c>
      <c r="B367" s="8">
        <f>8.476 * CHOOSE(CONTROL!$C$15, $D$11, 100%, $F$11)</f>
        <v>8.4760000000000009</v>
      </c>
      <c r="C367" s="8">
        <f>8.4864 * CHOOSE(CONTROL!$C$15, $D$11, 100%, $F$11)</f>
        <v>8.4863999999999997</v>
      </c>
      <c r="D367" s="8">
        <f>8.4669 * CHOOSE( CONTROL!$C$15, $D$11, 100%, $F$11)</f>
        <v>8.4669000000000008</v>
      </c>
      <c r="E367" s="12">
        <f>8.4729 * CHOOSE( CONTROL!$C$15, $D$11, 100%, $F$11)</f>
        <v>8.4728999999999992</v>
      </c>
      <c r="F367" s="4">
        <f>9.4749 * CHOOSE(CONTROL!$C$15, $D$11, 100%, $F$11)</f>
        <v>9.4748999999999999</v>
      </c>
      <c r="G367" s="8">
        <f>8.2696 * CHOOSE( CONTROL!$C$15, $D$11, 100%, $F$11)</f>
        <v>8.2696000000000005</v>
      </c>
      <c r="H367" s="4">
        <f>9.1596 * CHOOSE(CONTROL!$C$15, $D$11, 100%, $F$11)</f>
        <v>9.1595999999999993</v>
      </c>
      <c r="I367" s="8">
        <f>8.1791 * CHOOSE(CONTROL!$C$15, $D$11, 100%, $F$11)</f>
        <v>8.1791</v>
      </c>
      <c r="J367" s="4">
        <f>8.1169 * CHOOSE(CONTROL!$C$15, $D$11, 100%, $F$11)</f>
        <v>8.1168999999999993</v>
      </c>
      <c r="K367" s="4"/>
      <c r="L367" s="9">
        <v>27.3993</v>
      </c>
      <c r="M367" s="9">
        <v>12.063700000000001</v>
      </c>
      <c r="N367" s="9">
        <v>4.9444999999999997</v>
      </c>
      <c r="O367" s="9">
        <v>0.37459999999999999</v>
      </c>
      <c r="P367" s="9">
        <v>1.2939000000000001</v>
      </c>
      <c r="Q367" s="9">
        <v>20.396799999999999</v>
      </c>
      <c r="R367" s="9"/>
      <c r="S367" s="11"/>
    </row>
    <row r="368" spans="1:19" ht="15.75">
      <c r="A368" s="13">
        <v>53082</v>
      </c>
      <c r="B368" s="8">
        <f>8.6047 * CHOOSE(CONTROL!$C$15, $D$11, 100%, $F$11)</f>
        <v>8.6046999999999993</v>
      </c>
      <c r="C368" s="8">
        <f>8.6152 * CHOOSE(CONTROL!$C$15, $D$11, 100%, $F$11)</f>
        <v>8.6151999999999997</v>
      </c>
      <c r="D368" s="8">
        <f>8.619 * CHOOSE( CONTROL!$C$15, $D$11, 100%, $F$11)</f>
        <v>8.6189999999999998</v>
      </c>
      <c r="E368" s="12">
        <f>8.6165 * CHOOSE( CONTROL!$C$15, $D$11, 100%, $F$11)</f>
        <v>8.6165000000000003</v>
      </c>
      <c r="F368" s="4">
        <f>9.612 * CHOOSE(CONTROL!$C$15, $D$11, 100%, $F$11)</f>
        <v>9.6120000000000001</v>
      </c>
      <c r="G368" s="8">
        <f>8.3831 * CHOOSE( CONTROL!$C$15, $D$11, 100%, $F$11)</f>
        <v>8.3831000000000007</v>
      </c>
      <c r="H368" s="4">
        <f>9.2932 * CHOOSE(CONTROL!$C$15, $D$11, 100%, $F$11)</f>
        <v>9.2932000000000006</v>
      </c>
      <c r="I368" s="8">
        <f>8.2926 * CHOOSE(CONTROL!$C$15, $D$11, 100%, $F$11)</f>
        <v>8.2926000000000002</v>
      </c>
      <c r="J368" s="4">
        <f>8.2403 * CHOOSE(CONTROL!$C$15, $D$11, 100%, $F$11)</f>
        <v>8.2402999999999995</v>
      </c>
      <c r="K368" s="4"/>
      <c r="L368" s="9">
        <v>27.988800000000001</v>
      </c>
      <c r="M368" s="9">
        <v>11.6745</v>
      </c>
      <c r="N368" s="9">
        <v>4.7850000000000001</v>
      </c>
      <c r="O368" s="9">
        <v>0.36249999999999999</v>
      </c>
      <c r="P368" s="9">
        <v>1.1798</v>
      </c>
      <c r="Q368" s="9">
        <v>19.738800000000001</v>
      </c>
      <c r="R368" s="9"/>
      <c r="S368" s="11"/>
    </row>
    <row r="369" spans="1:19" ht="15.75">
      <c r="A369" s="13">
        <v>53113</v>
      </c>
      <c r="B369" s="8">
        <f>CHOOSE( CONTROL!$C$32, 8.8388, 8.8339) * CHOOSE(CONTROL!$C$15, $D$11, 100%, $F$11)</f>
        <v>8.8388000000000009</v>
      </c>
      <c r="C369" s="8">
        <f>CHOOSE( CONTROL!$C$32, 8.8492, 8.8443) * CHOOSE(CONTROL!$C$15, $D$11, 100%, $F$11)</f>
        <v>8.8491999999999997</v>
      </c>
      <c r="D369" s="8">
        <f>CHOOSE( CONTROL!$C$32, 8.8279, 8.8229) * CHOOSE( CONTROL!$C$15, $D$11, 100%, $F$11)</f>
        <v>8.8278999999999996</v>
      </c>
      <c r="E369" s="12">
        <f>CHOOSE( CONTROL!$C$32, 8.834, 8.8291) * CHOOSE( CONTROL!$C$15, $D$11, 100%, $F$11)</f>
        <v>8.8339999999999996</v>
      </c>
      <c r="F369" s="4">
        <f>CHOOSE( CONTROL!$C$32, 9.8137, 9.8088) * CHOOSE(CONTROL!$C$15, $D$11, 100%, $F$11)</f>
        <v>9.8137000000000008</v>
      </c>
      <c r="G369" s="8">
        <f>CHOOSE( CONTROL!$C$32, 8.5926, 8.5878) * CHOOSE( CONTROL!$C$15, $D$11, 100%, $F$11)</f>
        <v>8.5925999999999991</v>
      </c>
      <c r="H369" s="4">
        <f>CHOOSE( CONTROL!$C$32, 9.4899, 9.4851) * CHOOSE(CONTROL!$C$15, $D$11, 100%, $F$11)</f>
        <v>9.4899000000000004</v>
      </c>
      <c r="I369" s="8">
        <f>CHOOSE( CONTROL!$C$32, 8.4955, 8.4908) * CHOOSE(CONTROL!$C$15, $D$11, 100%, $F$11)</f>
        <v>8.4954999999999998</v>
      </c>
      <c r="J369" s="4">
        <f>CHOOSE( CONTROL!$C$32, 8.4646, 8.4599) * CHOOSE(CONTROL!$C$15, $D$11, 100%, $F$11)</f>
        <v>8.4646000000000008</v>
      </c>
      <c r="K369" s="4"/>
      <c r="L369" s="9">
        <v>29.520499999999998</v>
      </c>
      <c r="M369" s="9">
        <v>12.063700000000001</v>
      </c>
      <c r="N369" s="9">
        <v>4.9444999999999997</v>
      </c>
      <c r="O369" s="9">
        <v>0.37459999999999999</v>
      </c>
      <c r="P369" s="9">
        <v>1.2192000000000001</v>
      </c>
      <c r="Q369" s="9">
        <v>20.396799999999999</v>
      </c>
      <c r="R369" s="9"/>
      <c r="S369" s="11"/>
    </row>
    <row r="370" spans="1:19" ht="15.75">
      <c r="A370" s="13">
        <v>53143</v>
      </c>
      <c r="B370" s="8">
        <f>CHOOSE( CONTROL!$C$32, 8.6969, 8.6919) * CHOOSE(CONTROL!$C$15, $D$11, 100%, $F$11)</f>
        <v>8.6968999999999994</v>
      </c>
      <c r="C370" s="8">
        <f>CHOOSE( CONTROL!$C$32, 8.7073, 8.7024) * CHOOSE(CONTROL!$C$15, $D$11, 100%, $F$11)</f>
        <v>8.7073</v>
      </c>
      <c r="D370" s="8">
        <f>CHOOSE( CONTROL!$C$32, 8.6994, 8.6945) * CHOOSE( CONTROL!$C$15, $D$11, 100%, $F$11)</f>
        <v>8.6994000000000007</v>
      </c>
      <c r="E370" s="12">
        <f>CHOOSE( CONTROL!$C$32, 8.7007, 8.6958) * CHOOSE( CONTROL!$C$15, $D$11, 100%, $F$11)</f>
        <v>8.7006999999999994</v>
      </c>
      <c r="F370" s="4">
        <f>CHOOSE( CONTROL!$C$32, 9.6911, 9.6861) * CHOOSE(CONTROL!$C$15, $D$11, 100%, $F$11)</f>
        <v>9.6911000000000005</v>
      </c>
      <c r="G370" s="8">
        <f>CHOOSE( CONTROL!$C$32, 8.4647, 8.4599) * CHOOSE( CONTROL!$C$15, $D$11, 100%, $F$11)</f>
        <v>8.4647000000000006</v>
      </c>
      <c r="H370" s="4">
        <f>CHOOSE( CONTROL!$C$32, 9.3703, 9.3655) * CHOOSE(CONTROL!$C$15, $D$11, 100%, $F$11)</f>
        <v>9.3703000000000003</v>
      </c>
      <c r="I370" s="8">
        <f>CHOOSE( CONTROL!$C$32, 8.3773, 8.3725) * CHOOSE(CONTROL!$C$15, $D$11, 100%, $F$11)</f>
        <v>8.3773</v>
      </c>
      <c r="J370" s="4">
        <f>CHOOSE( CONTROL!$C$32, 8.3286, 8.3238) * CHOOSE(CONTROL!$C$15, $D$11, 100%, $F$11)</f>
        <v>8.3285999999999998</v>
      </c>
      <c r="K370" s="4"/>
      <c r="L370" s="9">
        <v>28.568200000000001</v>
      </c>
      <c r="M370" s="9">
        <v>11.6745</v>
      </c>
      <c r="N370" s="9">
        <v>4.7850000000000001</v>
      </c>
      <c r="O370" s="9">
        <v>0.36249999999999999</v>
      </c>
      <c r="P370" s="9">
        <v>1.1798</v>
      </c>
      <c r="Q370" s="9">
        <v>19.738800000000001</v>
      </c>
      <c r="R370" s="9"/>
      <c r="S370" s="11"/>
    </row>
    <row r="371" spans="1:19" ht="15.75">
      <c r="A371" s="13">
        <v>53174</v>
      </c>
      <c r="B371" s="8">
        <f>CHOOSE( CONTROL!$C$32, 9.0707, 9.0657) * CHOOSE(CONTROL!$C$15, $D$11, 100%, $F$11)</f>
        <v>9.0707000000000004</v>
      </c>
      <c r="C371" s="8">
        <f>CHOOSE( CONTROL!$C$32, 9.0811, 9.0762) * CHOOSE(CONTROL!$C$15, $D$11, 100%, $F$11)</f>
        <v>9.0810999999999993</v>
      </c>
      <c r="D371" s="8">
        <f>CHOOSE( CONTROL!$C$32, 9.0801, 9.0752) * CHOOSE( CONTROL!$C$15, $D$11, 100%, $F$11)</f>
        <v>9.0800999999999998</v>
      </c>
      <c r="E371" s="12">
        <f>CHOOSE( CONTROL!$C$32, 9.0789, 9.074) * CHOOSE( CONTROL!$C$15, $D$11, 100%, $F$11)</f>
        <v>9.0789000000000009</v>
      </c>
      <c r="F371" s="4">
        <f>CHOOSE( CONTROL!$C$32, 10.0753, 10.0704) * CHOOSE(CONTROL!$C$15, $D$11, 100%, $F$11)</f>
        <v>10.0753</v>
      </c>
      <c r="G371" s="8">
        <f>CHOOSE( CONTROL!$C$32, 8.8332, 8.8284) * CHOOSE( CONTROL!$C$15, $D$11, 100%, $F$11)</f>
        <v>8.8331999999999997</v>
      </c>
      <c r="H371" s="4">
        <f>CHOOSE( CONTROL!$C$32, 9.7449, 9.7401) * CHOOSE(CONTROL!$C$15, $D$11, 100%, $F$11)</f>
        <v>9.7448999999999995</v>
      </c>
      <c r="I371" s="8">
        <f>CHOOSE( CONTROL!$C$32, 8.7433, 8.7385) * CHOOSE(CONTROL!$C$15, $D$11, 100%, $F$11)</f>
        <v>8.7432999999999996</v>
      </c>
      <c r="J371" s="4">
        <f>CHOOSE( CONTROL!$C$32, 8.6867, 8.682) * CHOOSE(CONTROL!$C$15, $D$11, 100%, $F$11)</f>
        <v>8.6867000000000001</v>
      </c>
      <c r="K371" s="4"/>
      <c r="L371" s="9">
        <v>29.520499999999998</v>
      </c>
      <c r="M371" s="9">
        <v>12.063700000000001</v>
      </c>
      <c r="N371" s="9">
        <v>4.9444999999999997</v>
      </c>
      <c r="O371" s="9">
        <v>0.37459999999999999</v>
      </c>
      <c r="P371" s="9">
        <v>1.2192000000000001</v>
      </c>
      <c r="Q371" s="9">
        <v>20.396799999999999</v>
      </c>
      <c r="R371" s="9"/>
      <c r="S371" s="11"/>
    </row>
    <row r="372" spans="1:19" ht="15.75">
      <c r="A372" s="13">
        <v>53205</v>
      </c>
      <c r="B372" s="8">
        <f>CHOOSE( CONTROL!$C$32, 8.3712, 8.3663) * CHOOSE(CONTROL!$C$15, $D$11, 100%, $F$11)</f>
        <v>8.3712</v>
      </c>
      <c r="C372" s="8">
        <f>CHOOSE( CONTROL!$C$32, 8.3817, 8.3767) * CHOOSE(CONTROL!$C$15, $D$11, 100%, $F$11)</f>
        <v>8.3817000000000004</v>
      </c>
      <c r="D372" s="8">
        <f>CHOOSE( CONTROL!$C$32, 8.3818, 8.3769) * CHOOSE( CONTROL!$C$15, $D$11, 100%, $F$11)</f>
        <v>8.3818000000000001</v>
      </c>
      <c r="E372" s="12">
        <f>CHOOSE( CONTROL!$C$32, 8.3802, 8.3752) * CHOOSE( CONTROL!$C$15, $D$11, 100%, $F$11)</f>
        <v>8.3802000000000003</v>
      </c>
      <c r="F372" s="4">
        <f>CHOOSE( CONTROL!$C$32, 9.3837, 9.3788) * CHOOSE(CONTROL!$C$15, $D$11, 100%, $F$11)</f>
        <v>9.3836999999999993</v>
      </c>
      <c r="G372" s="8">
        <f>CHOOSE( CONTROL!$C$32, 8.1466, 8.1417) * CHOOSE( CONTROL!$C$15, $D$11, 100%, $F$11)</f>
        <v>8.1465999999999994</v>
      </c>
      <c r="H372" s="4">
        <f>CHOOSE( CONTROL!$C$32, 9.0707, 9.0659) * CHOOSE(CONTROL!$C$15, $D$11, 100%, $F$11)</f>
        <v>9.0707000000000004</v>
      </c>
      <c r="I372" s="8">
        <f>CHOOSE( CONTROL!$C$32, 8.0637, 8.059) * CHOOSE(CONTROL!$C$15, $D$11, 100%, $F$11)</f>
        <v>8.0637000000000008</v>
      </c>
      <c r="J372" s="4">
        <f>CHOOSE( CONTROL!$C$32, 8.0166, 8.0118) * CHOOSE(CONTROL!$C$15, $D$11, 100%, $F$11)</f>
        <v>8.0166000000000004</v>
      </c>
      <c r="K372" s="4"/>
      <c r="L372" s="9">
        <v>29.520499999999998</v>
      </c>
      <c r="M372" s="9">
        <v>12.063700000000001</v>
      </c>
      <c r="N372" s="9">
        <v>4.9444999999999997</v>
      </c>
      <c r="O372" s="9">
        <v>0.37459999999999999</v>
      </c>
      <c r="P372" s="9">
        <v>1.2192000000000001</v>
      </c>
      <c r="Q372" s="9">
        <v>20.396799999999999</v>
      </c>
      <c r="R372" s="9"/>
      <c r="S372" s="11"/>
    </row>
    <row r="373" spans="1:19" ht="15.75">
      <c r="A373" s="13">
        <v>53235</v>
      </c>
      <c r="B373" s="8">
        <f>CHOOSE( CONTROL!$C$32, 8.1961, 8.1912) * CHOOSE(CONTROL!$C$15, $D$11, 100%, $F$11)</f>
        <v>8.1960999999999995</v>
      </c>
      <c r="C373" s="8">
        <f>CHOOSE( CONTROL!$C$32, 8.2065, 8.2016) * CHOOSE(CONTROL!$C$15, $D$11, 100%, $F$11)</f>
        <v>8.2065000000000001</v>
      </c>
      <c r="D373" s="8">
        <f>CHOOSE( CONTROL!$C$32, 8.207, 8.202) * CHOOSE( CONTROL!$C$15, $D$11, 100%, $F$11)</f>
        <v>8.2070000000000007</v>
      </c>
      <c r="E373" s="12">
        <f>CHOOSE( CONTROL!$C$32, 8.2052, 8.2003) * CHOOSE( CONTROL!$C$15, $D$11, 100%, $F$11)</f>
        <v>8.2051999999999996</v>
      </c>
      <c r="F373" s="4">
        <f>CHOOSE( CONTROL!$C$32, 9.2086, 9.2036) * CHOOSE(CONTROL!$C$15, $D$11, 100%, $F$11)</f>
        <v>9.2086000000000006</v>
      </c>
      <c r="G373" s="8">
        <f>CHOOSE( CONTROL!$C$32, 7.9762, 7.9714) * CHOOSE( CONTROL!$C$15, $D$11, 100%, $F$11)</f>
        <v>7.9762000000000004</v>
      </c>
      <c r="H373" s="4">
        <f>CHOOSE( CONTROL!$C$32, 8.9, 8.8952) * CHOOSE(CONTROL!$C$15, $D$11, 100%, $F$11)</f>
        <v>8.9</v>
      </c>
      <c r="I373" s="8">
        <f>CHOOSE( CONTROL!$C$32, 7.8972, 7.8925) * CHOOSE(CONTROL!$C$15, $D$11, 100%, $F$11)</f>
        <v>7.8971999999999998</v>
      </c>
      <c r="J373" s="4">
        <f>CHOOSE( CONTROL!$C$32, 7.8487, 7.844) * CHOOSE(CONTROL!$C$15, $D$11, 100%, $F$11)</f>
        <v>7.8487</v>
      </c>
      <c r="K373" s="4"/>
      <c r="L373" s="9">
        <v>28.568200000000001</v>
      </c>
      <c r="M373" s="9">
        <v>11.6745</v>
      </c>
      <c r="N373" s="9">
        <v>4.7850000000000001</v>
      </c>
      <c r="O373" s="9">
        <v>0.36249999999999999</v>
      </c>
      <c r="P373" s="9">
        <v>1.1798</v>
      </c>
      <c r="Q373" s="9">
        <v>19.738800000000001</v>
      </c>
      <c r="R373" s="9"/>
      <c r="S373" s="11"/>
    </row>
    <row r="374" spans="1:19" ht="15.75">
      <c r="A374" s="13">
        <v>53266</v>
      </c>
      <c r="B374" s="8">
        <f>8.5548 * CHOOSE(CONTROL!$C$15, $D$11, 100%, $F$11)</f>
        <v>8.5548000000000002</v>
      </c>
      <c r="C374" s="8">
        <f>8.5652 * CHOOSE(CONTROL!$C$15, $D$11, 100%, $F$11)</f>
        <v>8.5652000000000008</v>
      </c>
      <c r="D374" s="8">
        <f>8.5669 * CHOOSE( CONTROL!$C$15, $D$11, 100%, $F$11)</f>
        <v>8.5669000000000004</v>
      </c>
      <c r="E374" s="12">
        <f>8.5652 * CHOOSE( CONTROL!$C$15, $D$11, 100%, $F$11)</f>
        <v>8.5652000000000008</v>
      </c>
      <c r="F374" s="4">
        <f>9.5673 * CHOOSE(CONTROL!$C$15, $D$11, 100%, $F$11)</f>
        <v>9.5672999999999995</v>
      </c>
      <c r="G374" s="8">
        <f>8.3256 * CHOOSE( CONTROL!$C$15, $D$11, 100%, $F$11)</f>
        <v>8.3255999999999997</v>
      </c>
      <c r="H374" s="4">
        <f>9.2497 * CHOOSE(CONTROL!$C$15, $D$11, 100%, $F$11)</f>
        <v>9.2497000000000007</v>
      </c>
      <c r="I374" s="8">
        <f>8.2434 * CHOOSE(CONTROL!$C$15, $D$11, 100%, $F$11)</f>
        <v>8.2433999999999994</v>
      </c>
      <c r="J374" s="4">
        <f>8.1925 * CHOOSE(CONTROL!$C$15, $D$11, 100%, $F$11)</f>
        <v>8.1925000000000008</v>
      </c>
      <c r="K374" s="4"/>
      <c r="L374" s="9">
        <v>28.921800000000001</v>
      </c>
      <c r="M374" s="9">
        <v>12.063700000000001</v>
      </c>
      <c r="N374" s="9">
        <v>4.9444999999999997</v>
      </c>
      <c r="O374" s="9">
        <v>0.37459999999999999</v>
      </c>
      <c r="P374" s="9">
        <v>1.2192000000000001</v>
      </c>
      <c r="Q374" s="9">
        <v>20.396799999999999</v>
      </c>
      <c r="R374" s="9"/>
      <c r="S374" s="11"/>
    </row>
    <row r="375" spans="1:19" ht="15.75">
      <c r="A375" s="13">
        <v>53296</v>
      </c>
      <c r="B375" s="8">
        <f>9.2261 * CHOOSE(CONTROL!$C$15, $D$11, 100%, $F$11)</f>
        <v>9.2261000000000006</v>
      </c>
      <c r="C375" s="8">
        <f>9.2365 * CHOOSE(CONTROL!$C$15, $D$11, 100%, $F$11)</f>
        <v>9.2364999999999995</v>
      </c>
      <c r="D375" s="8">
        <f>9.2175 * CHOOSE( CONTROL!$C$15, $D$11, 100%, $F$11)</f>
        <v>9.2174999999999994</v>
      </c>
      <c r="E375" s="12">
        <f>9.2233 * CHOOSE( CONTROL!$C$15, $D$11, 100%, $F$11)</f>
        <v>9.2233000000000001</v>
      </c>
      <c r="F375" s="4">
        <f>10.2229 * CHOOSE(CONTROL!$C$15, $D$11, 100%, $F$11)</f>
        <v>10.222899999999999</v>
      </c>
      <c r="G375" s="8">
        <f>9.0028 * CHOOSE( CONTROL!$C$15, $D$11, 100%, $F$11)</f>
        <v>9.0028000000000006</v>
      </c>
      <c r="H375" s="4">
        <f>9.8887 * CHOOSE(CONTROL!$C$15, $D$11, 100%, $F$11)</f>
        <v>9.8887</v>
      </c>
      <c r="I375" s="8">
        <f>8.9334 * CHOOSE(CONTROL!$C$15, $D$11, 100%, $F$11)</f>
        <v>8.9334000000000007</v>
      </c>
      <c r="J375" s="4">
        <f>8.8356 * CHOOSE(CONTROL!$C$15, $D$11, 100%, $F$11)</f>
        <v>8.8355999999999995</v>
      </c>
      <c r="K375" s="4"/>
      <c r="L375" s="9">
        <v>26.515499999999999</v>
      </c>
      <c r="M375" s="9">
        <v>11.6745</v>
      </c>
      <c r="N375" s="9">
        <v>4.7850000000000001</v>
      </c>
      <c r="O375" s="9">
        <v>0.36249999999999999</v>
      </c>
      <c r="P375" s="9">
        <v>1.2522</v>
      </c>
      <c r="Q375" s="9">
        <v>19.738800000000001</v>
      </c>
      <c r="R375" s="9"/>
      <c r="S375" s="11"/>
    </row>
    <row r="376" spans="1:19" ht="15.75">
      <c r="A376" s="13">
        <v>53327</v>
      </c>
      <c r="B376" s="8">
        <f>9.2093 * CHOOSE(CONTROL!$C$15, $D$11, 100%, $F$11)</f>
        <v>9.2093000000000007</v>
      </c>
      <c r="C376" s="8">
        <f>9.2197 * CHOOSE(CONTROL!$C$15, $D$11, 100%, $F$11)</f>
        <v>9.2196999999999996</v>
      </c>
      <c r="D376" s="8">
        <f>9.2033 * CHOOSE( CONTROL!$C$15, $D$11, 100%, $F$11)</f>
        <v>9.2033000000000005</v>
      </c>
      <c r="E376" s="12">
        <f>9.2082 * CHOOSE( CONTROL!$C$15, $D$11, 100%, $F$11)</f>
        <v>9.2081999999999997</v>
      </c>
      <c r="F376" s="4">
        <f>10.2061 * CHOOSE(CONTROL!$C$15, $D$11, 100%, $F$11)</f>
        <v>10.206099999999999</v>
      </c>
      <c r="G376" s="8">
        <f>8.9885 * CHOOSE( CONTROL!$C$15, $D$11, 100%, $F$11)</f>
        <v>8.9885000000000002</v>
      </c>
      <c r="H376" s="4">
        <f>9.8724 * CHOOSE(CONTROL!$C$15, $D$11, 100%, $F$11)</f>
        <v>9.8724000000000007</v>
      </c>
      <c r="I376" s="8">
        <f>8.9261 * CHOOSE(CONTROL!$C$15, $D$11, 100%, $F$11)</f>
        <v>8.9260999999999999</v>
      </c>
      <c r="J376" s="4">
        <f>8.8196 * CHOOSE(CONTROL!$C$15, $D$11, 100%, $F$11)</f>
        <v>8.8195999999999994</v>
      </c>
      <c r="K376" s="4"/>
      <c r="L376" s="9">
        <v>27.3993</v>
      </c>
      <c r="M376" s="9">
        <v>12.063700000000001</v>
      </c>
      <c r="N376" s="9">
        <v>4.9444999999999997</v>
      </c>
      <c r="O376" s="9">
        <v>0.37459999999999999</v>
      </c>
      <c r="P376" s="9">
        <v>1.2939000000000001</v>
      </c>
      <c r="Q376" s="9">
        <v>20.396799999999999</v>
      </c>
      <c r="R376" s="9"/>
      <c r="S376" s="11"/>
    </row>
    <row r="377" spans="1:19" ht="15.75">
      <c r="A377" s="13">
        <v>53358</v>
      </c>
      <c r="B377" s="8">
        <f>9.5611 * CHOOSE(CONTROL!$C$15, $D$11, 100%, $F$11)</f>
        <v>9.5610999999999997</v>
      </c>
      <c r="C377" s="8">
        <f>9.5715 * CHOOSE(CONTROL!$C$15, $D$11, 100%, $F$11)</f>
        <v>9.5715000000000003</v>
      </c>
      <c r="D377" s="8">
        <f>9.5701 * CHOOSE( CONTROL!$C$15, $D$11, 100%, $F$11)</f>
        <v>9.5701000000000001</v>
      </c>
      <c r="E377" s="12">
        <f>9.5695 * CHOOSE( CONTROL!$C$15, $D$11, 100%, $F$11)</f>
        <v>9.5694999999999997</v>
      </c>
      <c r="F377" s="4">
        <f>10.584 * CHOOSE(CONTROL!$C$15, $D$11, 100%, $F$11)</f>
        <v>10.584</v>
      </c>
      <c r="G377" s="8">
        <f>9.3482 * CHOOSE( CONTROL!$C$15, $D$11, 100%, $F$11)</f>
        <v>9.3482000000000003</v>
      </c>
      <c r="H377" s="4">
        <f>10.2407 * CHOOSE(CONTROL!$C$15, $D$11, 100%, $F$11)</f>
        <v>10.2407</v>
      </c>
      <c r="I377" s="8">
        <f>9.2698 * CHOOSE(CONTROL!$C$15, $D$11, 100%, $F$11)</f>
        <v>9.2698</v>
      </c>
      <c r="J377" s="4">
        <f>9.1567 * CHOOSE(CONTROL!$C$15, $D$11, 100%, $F$11)</f>
        <v>9.1567000000000007</v>
      </c>
      <c r="K377" s="4"/>
      <c r="L377" s="9">
        <v>27.3993</v>
      </c>
      <c r="M377" s="9">
        <v>12.063700000000001</v>
      </c>
      <c r="N377" s="9">
        <v>4.9444999999999997</v>
      </c>
      <c r="O377" s="9">
        <v>0.37459999999999999</v>
      </c>
      <c r="P377" s="9">
        <v>1.2939000000000001</v>
      </c>
      <c r="Q377" s="9">
        <v>20.331700000000001</v>
      </c>
      <c r="R377" s="9"/>
      <c r="S377" s="11"/>
    </row>
    <row r="378" spans="1:19" ht="15.75">
      <c r="A378" s="13">
        <v>53386</v>
      </c>
      <c r="B378" s="8">
        <f>8.9433 * CHOOSE(CONTROL!$C$15, $D$11, 100%, $F$11)</f>
        <v>8.9433000000000007</v>
      </c>
      <c r="C378" s="8">
        <f>8.9537 * CHOOSE(CONTROL!$C$15, $D$11, 100%, $F$11)</f>
        <v>8.9536999999999995</v>
      </c>
      <c r="D378" s="8">
        <f>8.9545 * CHOOSE( CONTROL!$C$15, $D$11, 100%, $F$11)</f>
        <v>8.9544999999999995</v>
      </c>
      <c r="E378" s="12">
        <f>8.9531 * CHOOSE( CONTROL!$C$15, $D$11, 100%, $F$11)</f>
        <v>8.9530999999999992</v>
      </c>
      <c r="F378" s="4">
        <f>9.9584 * CHOOSE(CONTROL!$C$15, $D$11, 100%, $F$11)</f>
        <v>9.9583999999999993</v>
      </c>
      <c r="G378" s="8">
        <f>8.7458 * CHOOSE( CONTROL!$C$15, $D$11, 100%, $F$11)</f>
        <v>8.7457999999999991</v>
      </c>
      <c r="H378" s="4">
        <f>9.6309 * CHOOSE(CONTROL!$C$15, $D$11, 100%, $F$11)</f>
        <v>9.6309000000000005</v>
      </c>
      <c r="I378" s="8">
        <f>8.6666 * CHOOSE(CONTROL!$C$15, $D$11, 100%, $F$11)</f>
        <v>8.6666000000000007</v>
      </c>
      <c r="J378" s="4">
        <f>8.5647 * CHOOSE(CONTROL!$C$15, $D$11, 100%, $F$11)</f>
        <v>8.5647000000000002</v>
      </c>
      <c r="K378" s="4"/>
      <c r="L378" s="9">
        <v>24.747800000000002</v>
      </c>
      <c r="M378" s="9">
        <v>10.8962</v>
      </c>
      <c r="N378" s="9">
        <v>4.4660000000000002</v>
      </c>
      <c r="O378" s="9">
        <v>0.33829999999999999</v>
      </c>
      <c r="P378" s="9">
        <v>1.1687000000000001</v>
      </c>
      <c r="Q378" s="9">
        <v>18.364100000000001</v>
      </c>
      <c r="R378" s="9"/>
      <c r="S378" s="11"/>
    </row>
    <row r="379" spans="1:19" ht="15.75">
      <c r="A379" s="13">
        <v>53417</v>
      </c>
      <c r="B379" s="8">
        <f>8.753 * CHOOSE(CONTROL!$C$15, $D$11, 100%, $F$11)</f>
        <v>8.7530000000000001</v>
      </c>
      <c r="C379" s="8">
        <f>8.7634 * CHOOSE(CONTROL!$C$15, $D$11, 100%, $F$11)</f>
        <v>8.7634000000000007</v>
      </c>
      <c r="D379" s="8">
        <f>8.7439 * CHOOSE( CONTROL!$C$15, $D$11, 100%, $F$11)</f>
        <v>8.7439</v>
      </c>
      <c r="E379" s="12">
        <f>8.7499 * CHOOSE( CONTROL!$C$15, $D$11, 100%, $F$11)</f>
        <v>8.7499000000000002</v>
      </c>
      <c r="F379" s="4">
        <f>9.7519 * CHOOSE(CONTROL!$C$15, $D$11, 100%, $F$11)</f>
        <v>9.7518999999999991</v>
      </c>
      <c r="G379" s="8">
        <f>8.5397 * CHOOSE( CONTROL!$C$15, $D$11, 100%, $F$11)</f>
        <v>8.5396999999999998</v>
      </c>
      <c r="H379" s="4">
        <f>9.4296 * CHOOSE(CONTROL!$C$15, $D$11, 100%, $F$11)</f>
        <v>9.4296000000000006</v>
      </c>
      <c r="I379" s="8">
        <f>8.4447 * CHOOSE(CONTROL!$C$15, $D$11, 100%, $F$11)</f>
        <v>8.4446999999999992</v>
      </c>
      <c r="J379" s="4">
        <f>8.3824 * CHOOSE(CONTROL!$C$15, $D$11, 100%, $F$11)</f>
        <v>8.3824000000000005</v>
      </c>
      <c r="K379" s="4"/>
      <c r="L379" s="9">
        <v>27.3993</v>
      </c>
      <c r="M379" s="9">
        <v>12.063700000000001</v>
      </c>
      <c r="N379" s="9">
        <v>4.9444999999999997</v>
      </c>
      <c r="O379" s="9">
        <v>0.37459999999999999</v>
      </c>
      <c r="P379" s="9">
        <v>1.2939000000000001</v>
      </c>
      <c r="Q379" s="9">
        <v>20.331700000000001</v>
      </c>
      <c r="R379" s="9"/>
      <c r="S379" s="11"/>
    </row>
    <row r="380" spans="1:19" ht="15.75">
      <c r="A380" s="13">
        <v>53447</v>
      </c>
      <c r="B380" s="8">
        <f>8.886 * CHOOSE(CONTROL!$C$15, $D$11, 100%, $F$11)</f>
        <v>8.8859999999999992</v>
      </c>
      <c r="C380" s="8">
        <f>8.8964 * CHOOSE(CONTROL!$C$15, $D$11, 100%, $F$11)</f>
        <v>8.8963999999999999</v>
      </c>
      <c r="D380" s="8">
        <f>8.9002 * CHOOSE( CONTROL!$C$15, $D$11, 100%, $F$11)</f>
        <v>8.9001999999999999</v>
      </c>
      <c r="E380" s="12">
        <f>8.8978 * CHOOSE( CONTROL!$C$15, $D$11, 100%, $F$11)</f>
        <v>8.8978000000000002</v>
      </c>
      <c r="F380" s="4">
        <f>9.8932 * CHOOSE(CONTROL!$C$15, $D$11, 100%, $F$11)</f>
        <v>9.8932000000000002</v>
      </c>
      <c r="G380" s="8">
        <f>8.6572 * CHOOSE( CONTROL!$C$15, $D$11, 100%, $F$11)</f>
        <v>8.6571999999999996</v>
      </c>
      <c r="H380" s="4">
        <f>9.5674 * CHOOSE(CONTROL!$C$15, $D$11, 100%, $F$11)</f>
        <v>9.5673999999999992</v>
      </c>
      <c r="I380" s="8">
        <f>8.5623 * CHOOSE(CONTROL!$C$15, $D$11, 100%, $F$11)</f>
        <v>8.5623000000000005</v>
      </c>
      <c r="J380" s="4">
        <f>8.5098 * CHOOSE(CONTROL!$C$15, $D$11, 100%, $F$11)</f>
        <v>8.5098000000000003</v>
      </c>
      <c r="K380" s="4"/>
      <c r="L380" s="9">
        <v>27.988800000000001</v>
      </c>
      <c r="M380" s="9">
        <v>11.6745</v>
      </c>
      <c r="N380" s="9">
        <v>4.7850000000000001</v>
      </c>
      <c r="O380" s="9">
        <v>0.36249999999999999</v>
      </c>
      <c r="P380" s="9">
        <v>1.1798</v>
      </c>
      <c r="Q380" s="9">
        <v>19.675799999999999</v>
      </c>
      <c r="R380" s="9"/>
      <c r="S380" s="11"/>
    </row>
    <row r="381" spans="1:19" ht="15.75">
      <c r="A381" s="13">
        <v>53478</v>
      </c>
      <c r="B381" s="8">
        <f>CHOOSE( CONTROL!$C$32, 9.1275, 9.1226) * CHOOSE(CONTROL!$C$15, $D$11, 100%, $F$11)</f>
        <v>9.1274999999999995</v>
      </c>
      <c r="C381" s="8">
        <f>CHOOSE( CONTROL!$C$32, 9.138, 9.133) * CHOOSE(CONTROL!$C$15, $D$11, 100%, $F$11)</f>
        <v>9.1379999999999999</v>
      </c>
      <c r="D381" s="8">
        <f>CHOOSE( CONTROL!$C$32, 9.1166, 9.1117) * CHOOSE( CONTROL!$C$15, $D$11, 100%, $F$11)</f>
        <v>9.1166</v>
      </c>
      <c r="E381" s="12">
        <f>CHOOSE( CONTROL!$C$32, 9.1228, 9.1178) * CHOOSE( CONTROL!$C$15, $D$11, 100%, $F$11)</f>
        <v>9.1227999999999998</v>
      </c>
      <c r="F381" s="4">
        <f>CHOOSE( CONTROL!$C$32, 10.1024, 10.0975) * CHOOSE(CONTROL!$C$15, $D$11, 100%, $F$11)</f>
        <v>10.102399999999999</v>
      </c>
      <c r="G381" s="8">
        <f>CHOOSE( CONTROL!$C$32, 8.8741, 8.8693) * CHOOSE( CONTROL!$C$15, $D$11, 100%, $F$11)</f>
        <v>8.8741000000000003</v>
      </c>
      <c r="H381" s="4">
        <f>CHOOSE( CONTROL!$C$32, 9.7713, 9.7665) * CHOOSE(CONTROL!$C$15, $D$11, 100%, $F$11)</f>
        <v>9.7713000000000001</v>
      </c>
      <c r="I381" s="8">
        <f>CHOOSE( CONTROL!$C$32, 8.7723, 8.7676) * CHOOSE(CONTROL!$C$15, $D$11, 100%, $F$11)</f>
        <v>8.7722999999999995</v>
      </c>
      <c r="J381" s="4">
        <f>CHOOSE( CONTROL!$C$32, 8.7413, 8.7365) * CHOOSE(CONTROL!$C$15, $D$11, 100%, $F$11)</f>
        <v>8.7413000000000007</v>
      </c>
      <c r="K381" s="4"/>
      <c r="L381" s="9">
        <v>29.520499999999998</v>
      </c>
      <c r="M381" s="9">
        <v>12.063700000000001</v>
      </c>
      <c r="N381" s="9">
        <v>4.9444999999999997</v>
      </c>
      <c r="O381" s="9">
        <v>0.37459999999999999</v>
      </c>
      <c r="P381" s="9">
        <v>1.2192000000000001</v>
      </c>
      <c r="Q381" s="9">
        <v>20.331700000000001</v>
      </c>
      <c r="R381" s="9"/>
      <c r="S381" s="11"/>
    </row>
    <row r="382" spans="1:19" ht="15.75">
      <c r="A382" s="13">
        <v>53508</v>
      </c>
      <c r="B382" s="8">
        <f>CHOOSE( CONTROL!$C$32, 8.9809, 8.976) * CHOOSE(CONTROL!$C$15, $D$11, 100%, $F$11)</f>
        <v>8.9809000000000001</v>
      </c>
      <c r="C382" s="8">
        <f>CHOOSE( CONTROL!$C$32, 8.9914, 8.9865) * CHOOSE(CONTROL!$C$15, $D$11, 100%, $F$11)</f>
        <v>8.9914000000000005</v>
      </c>
      <c r="D382" s="8">
        <f>CHOOSE( CONTROL!$C$32, 8.9835, 8.9786) * CHOOSE( CONTROL!$C$15, $D$11, 100%, $F$11)</f>
        <v>8.9834999999999994</v>
      </c>
      <c r="E382" s="12">
        <f>CHOOSE( CONTROL!$C$32, 8.9848, 8.9799) * CHOOSE( CONTROL!$C$15, $D$11, 100%, $F$11)</f>
        <v>8.9847999999999999</v>
      </c>
      <c r="F382" s="4">
        <f>CHOOSE( CONTROL!$C$32, 9.9752, 9.9702) * CHOOSE(CONTROL!$C$15, $D$11, 100%, $F$11)</f>
        <v>9.9751999999999992</v>
      </c>
      <c r="G382" s="8">
        <f>CHOOSE( CONTROL!$C$32, 8.7416, 8.7368) * CHOOSE( CONTROL!$C$15, $D$11, 100%, $F$11)</f>
        <v>8.7416</v>
      </c>
      <c r="H382" s="4">
        <f>CHOOSE( CONTROL!$C$32, 9.6473, 9.6424) * CHOOSE(CONTROL!$C$15, $D$11, 100%, $F$11)</f>
        <v>9.6472999999999995</v>
      </c>
      <c r="I382" s="8">
        <f>CHOOSE( CONTROL!$C$32, 8.6496, 8.6449) * CHOOSE(CONTROL!$C$15, $D$11, 100%, $F$11)</f>
        <v>8.6495999999999995</v>
      </c>
      <c r="J382" s="4">
        <f>CHOOSE( CONTROL!$C$32, 8.6008, 8.5961) * CHOOSE(CONTROL!$C$15, $D$11, 100%, $F$11)</f>
        <v>8.6007999999999996</v>
      </c>
      <c r="K382" s="4"/>
      <c r="L382" s="9">
        <v>28.568200000000001</v>
      </c>
      <c r="M382" s="9">
        <v>11.6745</v>
      </c>
      <c r="N382" s="9">
        <v>4.7850000000000001</v>
      </c>
      <c r="O382" s="9">
        <v>0.36249999999999999</v>
      </c>
      <c r="P382" s="9">
        <v>1.1798</v>
      </c>
      <c r="Q382" s="9">
        <v>19.675799999999999</v>
      </c>
      <c r="R382" s="9"/>
      <c r="S382" s="11"/>
    </row>
    <row r="383" spans="1:19" ht="15.75">
      <c r="A383" s="13">
        <v>53539</v>
      </c>
      <c r="B383" s="8">
        <f>CHOOSE( CONTROL!$C$32, 9.367, 9.362) * CHOOSE(CONTROL!$C$15, $D$11, 100%, $F$11)</f>
        <v>9.3670000000000009</v>
      </c>
      <c r="C383" s="8">
        <f>CHOOSE( CONTROL!$C$32, 9.3774, 9.3725) * CHOOSE(CONTROL!$C$15, $D$11, 100%, $F$11)</f>
        <v>9.3773999999999997</v>
      </c>
      <c r="D383" s="8">
        <f>CHOOSE( CONTROL!$C$32, 9.3764, 9.3715) * CHOOSE( CONTROL!$C$15, $D$11, 100%, $F$11)</f>
        <v>9.3764000000000003</v>
      </c>
      <c r="E383" s="12">
        <f>CHOOSE( CONTROL!$C$32, 9.3752, 9.3703) * CHOOSE( CONTROL!$C$15, $D$11, 100%, $F$11)</f>
        <v>9.3751999999999995</v>
      </c>
      <c r="F383" s="4">
        <f>CHOOSE( CONTROL!$C$32, 10.3716, 10.3667) * CHOOSE(CONTROL!$C$15, $D$11, 100%, $F$11)</f>
        <v>10.371600000000001</v>
      </c>
      <c r="G383" s="8">
        <f>CHOOSE( CONTROL!$C$32, 9.122, 9.1172) * CHOOSE( CONTROL!$C$15, $D$11, 100%, $F$11)</f>
        <v>9.1219999999999999</v>
      </c>
      <c r="H383" s="4">
        <f>CHOOSE( CONTROL!$C$32, 10.0337, 10.0289) * CHOOSE(CONTROL!$C$15, $D$11, 100%, $F$11)</f>
        <v>10.0337</v>
      </c>
      <c r="I383" s="8">
        <f>CHOOSE( CONTROL!$C$32, 9.0273, 9.0226) * CHOOSE(CONTROL!$C$15, $D$11, 100%, $F$11)</f>
        <v>9.0273000000000003</v>
      </c>
      <c r="J383" s="4">
        <f>CHOOSE( CONTROL!$C$32, 8.9707, 8.966) * CHOOSE(CONTROL!$C$15, $D$11, 100%, $F$11)</f>
        <v>8.9707000000000008</v>
      </c>
      <c r="K383" s="4"/>
      <c r="L383" s="9">
        <v>29.520499999999998</v>
      </c>
      <c r="M383" s="9">
        <v>12.063700000000001</v>
      </c>
      <c r="N383" s="9">
        <v>4.9444999999999997</v>
      </c>
      <c r="O383" s="9">
        <v>0.37459999999999999</v>
      </c>
      <c r="P383" s="9">
        <v>1.2192000000000001</v>
      </c>
      <c r="Q383" s="9">
        <v>20.331700000000001</v>
      </c>
      <c r="R383" s="9"/>
      <c r="S383" s="11"/>
    </row>
    <row r="384" spans="1:19" ht="15.75">
      <c r="A384" s="13">
        <v>53570</v>
      </c>
      <c r="B384" s="8">
        <f>CHOOSE( CONTROL!$C$32, 8.6447, 8.6397) * CHOOSE(CONTROL!$C$15, $D$11, 100%, $F$11)</f>
        <v>8.6447000000000003</v>
      </c>
      <c r="C384" s="8">
        <f>CHOOSE( CONTROL!$C$32, 8.6551, 8.6502) * CHOOSE(CONTROL!$C$15, $D$11, 100%, $F$11)</f>
        <v>8.6550999999999991</v>
      </c>
      <c r="D384" s="8">
        <f>CHOOSE( CONTROL!$C$32, 8.6553, 8.6503) * CHOOSE( CONTROL!$C$15, $D$11, 100%, $F$11)</f>
        <v>8.6553000000000004</v>
      </c>
      <c r="E384" s="12">
        <f>CHOOSE( CONTROL!$C$32, 8.6536, 8.6487) * CHOOSE( CONTROL!$C$15, $D$11, 100%, $F$11)</f>
        <v>8.6536000000000008</v>
      </c>
      <c r="F384" s="4">
        <f>CHOOSE( CONTROL!$C$32, 9.6572, 9.6522) * CHOOSE(CONTROL!$C$15, $D$11, 100%, $F$11)</f>
        <v>9.6571999999999996</v>
      </c>
      <c r="G384" s="8">
        <f>CHOOSE( CONTROL!$C$32, 8.4131, 8.4083) * CHOOSE( CONTROL!$C$15, $D$11, 100%, $F$11)</f>
        <v>8.4131</v>
      </c>
      <c r="H384" s="4">
        <f>CHOOSE( CONTROL!$C$32, 9.3373, 9.3325) * CHOOSE(CONTROL!$C$15, $D$11, 100%, $F$11)</f>
        <v>9.3373000000000008</v>
      </c>
      <c r="I384" s="8">
        <f>CHOOSE( CONTROL!$C$32, 8.3258, 8.3211) * CHOOSE(CONTROL!$C$15, $D$11, 100%, $F$11)</f>
        <v>8.3257999999999992</v>
      </c>
      <c r="J384" s="4">
        <f>CHOOSE( CONTROL!$C$32, 8.2786, 8.2738) * CHOOSE(CONTROL!$C$15, $D$11, 100%, $F$11)</f>
        <v>8.2786000000000008</v>
      </c>
      <c r="K384" s="4"/>
      <c r="L384" s="9">
        <v>29.520499999999998</v>
      </c>
      <c r="M384" s="9">
        <v>12.063700000000001</v>
      </c>
      <c r="N384" s="9">
        <v>4.9444999999999997</v>
      </c>
      <c r="O384" s="9">
        <v>0.37459999999999999</v>
      </c>
      <c r="P384" s="9">
        <v>1.2192000000000001</v>
      </c>
      <c r="Q384" s="9">
        <v>20.331700000000001</v>
      </c>
      <c r="R384" s="9"/>
      <c r="S384" s="11"/>
    </row>
    <row r="385" spans="1:19" ht="15.75">
      <c r="A385" s="13">
        <v>53600</v>
      </c>
      <c r="B385" s="8">
        <f>CHOOSE( CONTROL!$C$32, 8.4638, 8.4589) * CHOOSE(CONTROL!$C$15, $D$11, 100%, $F$11)</f>
        <v>8.4638000000000009</v>
      </c>
      <c r="C385" s="8">
        <f>CHOOSE( CONTROL!$C$32, 8.4742, 8.4693) * CHOOSE(CONTROL!$C$15, $D$11, 100%, $F$11)</f>
        <v>8.4741999999999997</v>
      </c>
      <c r="D385" s="8">
        <f>CHOOSE( CONTROL!$C$32, 8.4747, 8.4698) * CHOOSE( CONTROL!$C$15, $D$11, 100%, $F$11)</f>
        <v>8.4747000000000003</v>
      </c>
      <c r="E385" s="12">
        <f>CHOOSE( CONTROL!$C$32, 8.4729, 8.468) * CHOOSE( CONTROL!$C$15, $D$11, 100%, $F$11)</f>
        <v>8.4728999999999992</v>
      </c>
      <c r="F385" s="4">
        <f>CHOOSE( CONTROL!$C$32, 9.4763, 9.4713) * CHOOSE(CONTROL!$C$15, $D$11, 100%, $F$11)</f>
        <v>9.4763000000000002</v>
      </c>
      <c r="G385" s="8">
        <f>CHOOSE( CONTROL!$C$32, 8.2372, 8.2324) * CHOOSE( CONTROL!$C$15, $D$11, 100%, $F$11)</f>
        <v>8.2371999999999996</v>
      </c>
      <c r="H385" s="4">
        <f>CHOOSE( CONTROL!$C$32, 9.161, 9.1562) * CHOOSE(CONTROL!$C$15, $D$11, 100%, $F$11)</f>
        <v>9.1609999999999996</v>
      </c>
      <c r="I385" s="8">
        <f>CHOOSE( CONTROL!$C$32, 8.1539, 8.1491) * CHOOSE(CONTROL!$C$15, $D$11, 100%, $F$11)</f>
        <v>8.1539000000000001</v>
      </c>
      <c r="J385" s="4">
        <f>CHOOSE( CONTROL!$C$32, 8.1053, 8.1005) * CHOOSE(CONTROL!$C$15, $D$11, 100%, $F$11)</f>
        <v>8.1052999999999997</v>
      </c>
      <c r="K385" s="4"/>
      <c r="L385" s="9">
        <v>28.568200000000001</v>
      </c>
      <c r="M385" s="9">
        <v>11.6745</v>
      </c>
      <c r="N385" s="9">
        <v>4.7850000000000001</v>
      </c>
      <c r="O385" s="9">
        <v>0.36249999999999999</v>
      </c>
      <c r="P385" s="9">
        <v>1.1798</v>
      </c>
      <c r="Q385" s="9">
        <v>19.675799999999999</v>
      </c>
      <c r="R385" s="9"/>
      <c r="S385" s="11"/>
    </row>
    <row r="386" spans="1:19" ht="15.75">
      <c r="A386" s="13">
        <v>53631</v>
      </c>
      <c r="B386" s="8">
        <f>8.8344 * CHOOSE(CONTROL!$C$15, $D$11, 100%, $F$11)</f>
        <v>8.8344000000000005</v>
      </c>
      <c r="C386" s="8">
        <f>8.8449 * CHOOSE(CONTROL!$C$15, $D$11, 100%, $F$11)</f>
        <v>8.8449000000000009</v>
      </c>
      <c r="D386" s="8">
        <f>8.8465 * CHOOSE( CONTROL!$C$15, $D$11, 100%, $F$11)</f>
        <v>8.8465000000000007</v>
      </c>
      <c r="E386" s="12">
        <f>8.8449 * CHOOSE( CONTROL!$C$15, $D$11, 100%, $F$11)</f>
        <v>8.8449000000000009</v>
      </c>
      <c r="F386" s="4">
        <f>9.8469 * CHOOSE(CONTROL!$C$15, $D$11, 100%, $F$11)</f>
        <v>9.8468999999999998</v>
      </c>
      <c r="G386" s="8">
        <f>8.5981 * CHOOSE( CONTROL!$C$15, $D$11, 100%, $F$11)</f>
        <v>8.5981000000000005</v>
      </c>
      <c r="H386" s="4">
        <f>9.5222 * CHOOSE(CONTROL!$C$15, $D$11, 100%, $F$11)</f>
        <v>9.5221999999999998</v>
      </c>
      <c r="I386" s="8">
        <f>8.5114 * CHOOSE(CONTROL!$C$15, $D$11, 100%, $F$11)</f>
        <v>8.5114000000000001</v>
      </c>
      <c r="J386" s="4">
        <f>8.4604 * CHOOSE(CONTROL!$C$15, $D$11, 100%, $F$11)</f>
        <v>8.4603999999999999</v>
      </c>
      <c r="K386" s="4"/>
      <c r="L386" s="9">
        <v>28.921800000000001</v>
      </c>
      <c r="M386" s="9">
        <v>12.063700000000001</v>
      </c>
      <c r="N386" s="9">
        <v>4.9444999999999997</v>
      </c>
      <c r="O386" s="9">
        <v>0.37459999999999999</v>
      </c>
      <c r="P386" s="9">
        <v>1.2192000000000001</v>
      </c>
      <c r="Q386" s="9">
        <v>20.331700000000001</v>
      </c>
      <c r="R386" s="9"/>
      <c r="S386" s="11"/>
    </row>
    <row r="387" spans="1:19" ht="15.75">
      <c r="A387" s="13">
        <v>53661</v>
      </c>
      <c r="B387" s="8">
        <f>9.5276 * CHOOSE(CONTROL!$C$15, $D$11, 100%, $F$11)</f>
        <v>9.5275999999999996</v>
      </c>
      <c r="C387" s="8">
        <f>9.5381 * CHOOSE(CONTROL!$C$15, $D$11, 100%, $F$11)</f>
        <v>9.5381</v>
      </c>
      <c r="D387" s="8">
        <f>9.5191 * CHOOSE( CONTROL!$C$15, $D$11, 100%, $F$11)</f>
        <v>9.5190999999999999</v>
      </c>
      <c r="E387" s="12">
        <f>9.5249 * CHOOSE( CONTROL!$C$15, $D$11, 100%, $F$11)</f>
        <v>9.5249000000000006</v>
      </c>
      <c r="F387" s="4">
        <f>10.5244 * CHOOSE(CONTROL!$C$15, $D$11, 100%, $F$11)</f>
        <v>10.5244</v>
      </c>
      <c r="G387" s="8">
        <f>9.2968 * CHOOSE( CONTROL!$C$15, $D$11, 100%, $F$11)</f>
        <v>9.2967999999999993</v>
      </c>
      <c r="H387" s="4">
        <f>10.1827 * CHOOSE(CONTROL!$C$15, $D$11, 100%, $F$11)</f>
        <v>10.182700000000001</v>
      </c>
      <c r="I387" s="8">
        <f>9.2225 * CHOOSE(CONTROL!$C$15, $D$11, 100%, $F$11)</f>
        <v>9.2225000000000001</v>
      </c>
      <c r="J387" s="4">
        <f>9.1246 * CHOOSE(CONTROL!$C$15, $D$11, 100%, $F$11)</f>
        <v>9.1245999999999992</v>
      </c>
      <c r="K387" s="4"/>
      <c r="L387" s="9">
        <v>26.515499999999999</v>
      </c>
      <c r="M387" s="9">
        <v>11.6745</v>
      </c>
      <c r="N387" s="9">
        <v>4.7850000000000001</v>
      </c>
      <c r="O387" s="9">
        <v>0.36249999999999999</v>
      </c>
      <c r="P387" s="9">
        <v>1.2522</v>
      </c>
      <c r="Q387" s="9">
        <v>19.675799999999999</v>
      </c>
      <c r="R387" s="9"/>
      <c r="S387" s="11"/>
    </row>
    <row r="388" spans="1:19" ht="15.75">
      <c r="A388" s="13">
        <v>53692</v>
      </c>
      <c r="B388" s="8">
        <f>9.5103 * CHOOSE(CONTROL!$C$15, $D$11, 100%, $F$11)</f>
        <v>9.5103000000000009</v>
      </c>
      <c r="C388" s="8">
        <f>9.5207 * CHOOSE(CONTROL!$C$15, $D$11, 100%, $F$11)</f>
        <v>9.5206999999999997</v>
      </c>
      <c r="D388" s="8">
        <f>9.5043 * CHOOSE( CONTROL!$C$15, $D$11, 100%, $F$11)</f>
        <v>9.5043000000000006</v>
      </c>
      <c r="E388" s="12">
        <f>9.5092 * CHOOSE( CONTROL!$C$15, $D$11, 100%, $F$11)</f>
        <v>9.5091999999999999</v>
      </c>
      <c r="F388" s="4">
        <f>10.5071 * CHOOSE(CONTROL!$C$15, $D$11, 100%, $F$11)</f>
        <v>10.507099999999999</v>
      </c>
      <c r="G388" s="8">
        <f>9.2819 * CHOOSE( CONTROL!$C$15, $D$11, 100%, $F$11)</f>
        <v>9.2819000000000003</v>
      </c>
      <c r="H388" s="4">
        <f>10.1658 * CHOOSE(CONTROL!$C$15, $D$11, 100%, $F$11)</f>
        <v>10.165800000000001</v>
      </c>
      <c r="I388" s="8">
        <f>9.2147 * CHOOSE(CONTROL!$C$15, $D$11, 100%, $F$11)</f>
        <v>9.2147000000000006</v>
      </c>
      <c r="J388" s="4">
        <f>9.108 * CHOOSE(CONTROL!$C$15, $D$11, 100%, $F$11)</f>
        <v>9.1080000000000005</v>
      </c>
      <c r="K388" s="4"/>
      <c r="L388" s="9">
        <v>27.3993</v>
      </c>
      <c r="M388" s="9">
        <v>12.063700000000001</v>
      </c>
      <c r="N388" s="9">
        <v>4.9444999999999997</v>
      </c>
      <c r="O388" s="9">
        <v>0.37459999999999999</v>
      </c>
      <c r="P388" s="9">
        <v>1.2939000000000001</v>
      </c>
      <c r="Q388" s="9">
        <v>20.331700000000001</v>
      </c>
      <c r="R388" s="9"/>
      <c r="S388" s="11"/>
    </row>
    <row r="389" spans="1:19" ht="15.75">
      <c r="A389" s="13">
        <v>53723</v>
      </c>
      <c r="B389" s="8">
        <f>9.8736 * CHOOSE(CONTROL!$C$15, $D$11, 100%, $F$11)</f>
        <v>9.8735999999999997</v>
      </c>
      <c r="C389" s="8">
        <f>9.884 * CHOOSE(CONTROL!$C$15, $D$11, 100%, $F$11)</f>
        <v>9.8840000000000003</v>
      </c>
      <c r="D389" s="8">
        <f>9.8826 * CHOOSE( CONTROL!$C$15, $D$11, 100%, $F$11)</f>
        <v>9.8826000000000001</v>
      </c>
      <c r="E389" s="12">
        <f>9.882 * CHOOSE( CONTROL!$C$15, $D$11, 100%, $F$11)</f>
        <v>9.8819999999999997</v>
      </c>
      <c r="F389" s="4">
        <f>10.8965 * CHOOSE(CONTROL!$C$15, $D$11, 100%, $F$11)</f>
        <v>10.8965</v>
      </c>
      <c r="G389" s="8">
        <f>9.6529 * CHOOSE( CONTROL!$C$15, $D$11, 100%, $F$11)</f>
        <v>9.6529000000000007</v>
      </c>
      <c r="H389" s="4">
        <f>10.5453 * CHOOSE(CONTROL!$C$15, $D$11, 100%, $F$11)</f>
        <v>10.545299999999999</v>
      </c>
      <c r="I389" s="8">
        <f>9.5694 * CHOOSE(CONTROL!$C$15, $D$11, 100%, $F$11)</f>
        <v>9.5693999999999999</v>
      </c>
      <c r="J389" s="4">
        <f>9.4561 * CHOOSE(CONTROL!$C$15, $D$11, 100%, $F$11)</f>
        <v>9.4560999999999993</v>
      </c>
      <c r="K389" s="4"/>
      <c r="L389" s="9">
        <v>27.3993</v>
      </c>
      <c r="M389" s="9">
        <v>12.063700000000001</v>
      </c>
      <c r="N389" s="9">
        <v>4.9444999999999997</v>
      </c>
      <c r="O389" s="9">
        <v>0.37459999999999999</v>
      </c>
      <c r="P389" s="9">
        <v>1.2939000000000001</v>
      </c>
      <c r="Q389" s="9">
        <v>20.2666</v>
      </c>
      <c r="R389" s="9"/>
      <c r="S389" s="11"/>
    </row>
    <row r="390" spans="1:19" ht="15.75">
      <c r="A390" s="13">
        <v>53751</v>
      </c>
      <c r="B390" s="8">
        <f>9.2356 * CHOOSE(CONTROL!$C$15, $D$11, 100%, $F$11)</f>
        <v>9.2355999999999998</v>
      </c>
      <c r="C390" s="8">
        <f>9.246 * CHOOSE(CONTROL!$C$15, $D$11, 100%, $F$11)</f>
        <v>9.2460000000000004</v>
      </c>
      <c r="D390" s="8">
        <f>9.2468 * CHOOSE( CONTROL!$C$15, $D$11, 100%, $F$11)</f>
        <v>9.2468000000000004</v>
      </c>
      <c r="E390" s="12">
        <f>9.2454 * CHOOSE( CONTROL!$C$15, $D$11, 100%, $F$11)</f>
        <v>9.2454000000000001</v>
      </c>
      <c r="F390" s="4">
        <f>10.2507 * CHOOSE(CONTROL!$C$15, $D$11, 100%, $F$11)</f>
        <v>10.2507</v>
      </c>
      <c r="G390" s="8">
        <f>9.0307 * CHOOSE( CONTROL!$C$15, $D$11, 100%, $F$11)</f>
        <v>9.0306999999999995</v>
      </c>
      <c r="H390" s="4">
        <f>9.9158 * CHOOSE(CONTROL!$C$15, $D$11, 100%, $F$11)</f>
        <v>9.9158000000000008</v>
      </c>
      <c r="I390" s="8">
        <f>8.9469 * CHOOSE(CONTROL!$C$15, $D$11, 100%, $F$11)</f>
        <v>8.9468999999999994</v>
      </c>
      <c r="J390" s="4">
        <f>8.8448 * CHOOSE(CONTROL!$C$15, $D$11, 100%, $F$11)</f>
        <v>8.8447999999999993</v>
      </c>
      <c r="K390" s="4"/>
      <c r="L390" s="9">
        <v>24.747800000000002</v>
      </c>
      <c r="M390" s="9">
        <v>10.8962</v>
      </c>
      <c r="N390" s="9">
        <v>4.4660000000000002</v>
      </c>
      <c r="O390" s="9">
        <v>0.33829999999999999</v>
      </c>
      <c r="P390" s="9">
        <v>1.1687000000000001</v>
      </c>
      <c r="Q390" s="9">
        <v>18.305299999999999</v>
      </c>
      <c r="R390" s="9"/>
      <c r="S390" s="11"/>
    </row>
    <row r="391" spans="1:19" ht="15.75">
      <c r="A391" s="13">
        <v>53782</v>
      </c>
      <c r="B391" s="8">
        <f>9.0391 * CHOOSE(CONTROL!$C$15, $D$11, 100%, $F$11)</f>
        <v>9.0390999999999995</v>
      </c>
      <c r="C391" s="8">
        <f>9.0495 * CHOOSE(CONTROL!$C$15, $D$11, 100%, $F$11)</f>
        <v>9.0495000000000001</v>
      </c>
      <c r="D391" s="8">
        <f>9.03 * CHOOSE( CONTROL!$C$15, $D$11, 100%, $F$11)</f>
        <v>9.0299999999999994</v>
      </c>
      <c r="E391" s="12">
        <f>9.036 * CHOOSE( CONTROL!$C$15, $D$11, 100%, $F$11)</f>
        <v>9.0359999999999996</v>
      </c>
      <c r="F391" s="4">
        <f>10.038 * CHOOSE(CONTROL!$C$15, $D$11, 100%, $F$11)</f>
        <v>10.038</v>
      </c>
      <c r="G391" s="8">
        <f>8.8185 * CHOOSE( CONTROL!$C$15, $D$11, 100%, $F$11)</f>
        <v>8.8185000000000002</v>
      </c>
      <c r="H391" s="4">
        <f>9.7085 * CHOOSE(CONTROL!$C$15, $D$11, 100%, $F$11)</f>
        <v>9.7085000000000008</v>
      </c>
      <c r="I391" s="8">
        <f>8.719 * CHOOSE(CONTROL!$C$15, $D$11, 100%, $F$11)</f>
        <v>8.7189999999999994</v>
      </c>
      <c r="J391" s="4">
        <f>8.6565 * CHOOSE(CONTROL!$C$15, $D$11, 100%, $F$11)</f>
        <v>8.6564999999999994</v>
      </c>
      <c r="K391" s="4"/>
      <c r="L391" s="9">
        <v>27.3993</v>
      </c>
      <c r="M391" s="9">
        <v>12.063700000000001</v>
      </c>
      <c r="N391" s="9">
        <v>4.9444999999999997</v>
      </c>
      <c r="O391" s="9">
        <v>0.37459999999999999</v>
      </c>
      <c r="P391" s="9">
        <v>1.2939000000000001</v>
      </c>
      <c r="Q391" s="9">
        <v>20.2666</v>
      </c>
      <c r="R391" s="9"/>
      <c r="S391" s="11"/>
    </row>
    <row r="392" spans="1:19" ht="15.75">
      <c r="A392" s="13">
        <v>53812</v>
      </c>
      <c r="B392" s="8">
        <f>9.1764 * CHOOSE(CONTROL!$C$15, $D$11, 100%, $F$11)</f>
        <v>9.1763999999999992</v>
      </c>
      <c r="C392" s="8">
        <f>9.1868 * CHOOSE(CONTROL!$C$15, $D$11, 100%, $F$11)</f>
        <v>9.1867999999999999</v>
      </c>
      <c r="D392" s="8">
        <f>9.1907 * CHOOSE( CONTROL!$C$15, $D$11, 100%, $F$11)</f>
        <v>9.1906999999999996</v>
      </c>
      <c r="E392" s="12">
        <f>9.1882 * CHOOSE( CONTROL!$C$15, $D$11, 100%, $F$11)</f>
        <v>9.1882000000000001</v>
      </c>
      <c r="F392" s="4">
        <f>10.1837 * CHOOSE(CONTROL!$C$15, $D$11, 100%, $F$11)</f>
        <v>10.1837</v>
      </c>
      <c r="G392" s="8">
        <f>8.9403 * CHOOSE( CONTROL!$C$15, $D$11, 100%, $F$11)</f>
        <v>8.9403000000000006</v>
      </c>
      <c r="H392" s="4">
        <f>9.8505 * CHOOSE(CONTROL!$C$15, $D$11, 100%, $F$11)</f>
        <v>9.8505000000000003</v>
      </c>
      <c r="I392" s="8">
        <f>8.8407 * CHOOSE(CONTROL!$C$15, $D$11, 100%, $F$11)</f>
        <v>8.8407</v>
      </c>
      <c r="J392" s="4">
        <f>8.7881 * CHOOSE(CONTROL!$C$15, $D$11, 100%, $F$11)</f>
        <v>8.7881</v>
      </c>
      <c r="K392" s="4"/>
      <c r="L392" s="9">
        <v>27.988800000000001</v>
      </c>
      <c r="M392" s="9">
        <v>11.6745</v>
      </c>
      <c r="N392" s="9">
        <v>4.7850000000000001</v>
      </c>
      <c r="O392" s="9">
        <v>0.36249999999999999</v>
      </c>
      <c r="P392" s="9">
        <v>1.1798</v>
      </c>
      <c r="Q392" s="9">
        <v>19.6128</v>
      </c>
      <c r="R392" s="9"/>
      <c r="S392" s="11"/>
    </row>
    <row r="393" spans="1:19" ht="15.75">
      <c r="A393" s="13">
        <v>53843</v>
      </c>
      <c r="B393" s="8">
        <f>CHOOSE( CONTROL!$C$32, 9.4257, 9.4208) * CHOOSE(CONTROL!$C$15, $D$11, 100%, $F$11)</f>
        <v>9.4257000000000009</v>
      </c>
      <c r="C393" s="8">
        <f>CHOOSE( CONTROL!$C$32, 9.4362, 9.4312) * CHOOSE(CONTROL!$C$15, $D$11, 100%, $F$11)</f>
        <v>9.4361999999999995</v>
      </c>
      <c r="D393" s="8">
        <f>CHOOSE( CONTROL!$C$32, 9.4148, 9.4099) * CHOOSE( CONTROL!$C$15, $D$11, 100%, $F$11)</f>
        <v>9.4147999999999996</v>
      </c>
      <c r="E393" s="12">
        <f>CHOOSE( CONTROL!$C$32, 9.421, 9.416) * CHOOSE( CONTROL!$C$15, $D$11, 100%, $F$11)</f>
        <v>9.4209999999999994</v>
      </c>
      <c r="F393" s="4">
        <f>CHOOSE( CONTROL!$C$32, 10.4006, 10.3957) * CHOOSE(CONTROL!$C$15, $D$11, 100%, $F$11)</f>
        <v>10.400600000000001</v>
      </c>
      <c r="G393" s="8">
        <f>CHOOSE( CONTROL!$C$32, 9.1647, 9.1599) * CHOOSE( CONTROL!$C$15, $D$11, 100%, $F$11)</f>
        <v>9.1646999999999998</v>
      </c>
      <c r="H393" s="4">
        <f>CHOOSE( CONTROL!$C$32, 10.062, 10.0572) * CHOOSE(CONTROL!$C$15, $D$11, 100%, $F$11)</f>
        <v>10.061999999999999</v>
      </c>
      <c r="I393" s="8">
        <f>CHOOSE( CONTROL!$C$32, 9.0582, 9.0535) * CHOOSE(CONTROL!$C$15, $D$11, 100%, $F$11)</f>
        <v>9.0581999999999994</v>
      </c>
      <c r="J393" s="4">
        <f>CHOOSE( CONTROL!$C$32, 9.027, 9.0222) * CHOOSE(CONTROL!$C$15, $D$11, 100%, $F$11)</f>
        <v>9.0269999999999992</v>
      </c>
      <c r="K393" s="4"/>
      <c r="L393" s="9">
        <v>29.520499999999998</v>
      </c>
      <c r="M393" s="9">
        <v>12.063700000000001</v>
      </c>
      <c r="N393" s="9">
        <v>4.9444999999999997</v>
      </c>
      <c r="O393" s="9">
        <v>0.37459999999999999</v>
      </c>
      <c r="P393" s="9">
        <v>1.2192000000000001</v>
      </c>
      <c r="Q393" s="9">
        <v>20.2666</v>
      </c>
      <c r="R393" s="9"/>
      <c r="S393" s="11"/>
    </row>
    <row r="394" spans="1:19" ht="15.75">
      <c r="A394" s="13">
        <v>53873</v>
      </c>
      <c r="B394" s="8">
        <f>CHOOSE( CONTROL!$C$32, 9.2743, 9.2694) * CHOOSE(CONTROL!$C$15, $D$11, 100%, $F$11)</f>
        <v>9.2743000000000002</v>
      </c>
      <c r="C394" s="8">
        <f>CHOOSE( CONTROL!$C$32, 9.2848, 9.2798) * CHOOSE(CONTROL!$C$15, $D$11, 100%, $F$11)</f>
        <v>9.2848000000000006</v>
      </c>
      <c r="D394" s="8">
        <f>CHOOSE( CONTROL!$C$32, 9.2769, 9.2719) * CHOOSE( CONTROL!$C$15, $D$11, 100%, $F$11)</f>
        <v>9.2768999999999995</v>
      </c>
      <c r="E394" s="12">
        <f>CHOOSE( CONTROL!$C$32, 9.2782, 9.2732) * CHOOSE( CONTROL!$C$15, $D$11, 100%, $F$11)</f>
        <v>9.2782</v>
      </c>
      <c r="F394" s="4">
        <f>CHOOSE( CONTROL!$C$32, 10.2685, 10.2636) * CHOOSE(CONTROL!$C$15, $D$11, 100%, $F$11)</f>
        <v>10.2685</v>
      </c>
      <c r="G394" s="8">
        <f>CHOOSE( CONTROL!$C$32, 9.0276, 9.0228) * CHOOSE( CONTROL!$C$15, $D$11, 100%, $F$11)</f>
        <v>9.0275999999999996</v>
      </c>
      <c r="H394" s="4">
        <f>CHOOSE( CONTROL!$C$32, 9.9332, 9.9284) * CHOOSE(CONTROL!$C$15, $D$11, 100%, $F$11)</f>
        <v>9.9331999999999994</v>
      </c>
      <c r="I394" s="8">
        <f>CHOOSE( CONTROL!$C$32, 8.9309, 8.9261) * CHOOSE(CONTROL!$C$15, $D$11, 100%, $F$11)</f>
        <v>8.9308999999999994</v>
      </c>
      <c r="J394" s="4">
        <f>CHOOSE( CONTROL!$C$32, 8.8819, 8.8772) * CHOOSE(CONTROL!$C$15, $D$11, 100%, $F$11)</f>
        <v>8.8818999999999999</v>
      </c>
      <c r="K394" s="4"/>
      <c r="L394" s="9">
        <v>28.568200000000001</v>
      </c>
      <c r="M394" s="9">
        <v>11.6745</v>
      </c>
      <c r="N394" s="9">
        <v>4.7850000000000001</v>
      </c>
      <c r="O394" s="9">
        <v>0.36249999999999999</v>
      </c>
      <c r="P394" s="9">
        <v>1.1798</v>
      </c>
      <c r="Q394" s="9">
        <v>19.6128</v>
      </c>
      <c r="R394" s="9"/>
      <c r="S394" s="11"/>
    </row>
    <row r="395" spans="1:19" ht="15.75">
      <c r="A395" s="13">
        <v>53904</v>
      </c>
      <c r="B395" s="8">
        <f>CHOOSE( CONTROL!$C$32, 9.673, 9.6681) * CHOOSE(CONTROL!$C$15, $D$11, 100%, $F$11)</f>
        <v>9.673</v>
      </c>
      <c r="C395" s="8">
        <f>CHOOSE( CONTROL!$C$32, 9.6834, 9.6785) * CHOOSE(CONTROL!$C$15, $D$11, 100%, $F$11)</f>
        <v>9.6834000000000007</v>
      </c>
      <c r="D395" s="8">
        <f>CHOOSE( CONTROL!$C$32, 9.6824, 9.6775) * CHOOSE( CONTROL!$C$15, $D$11, 100%, $F$11)</f>
        <v>9.6823999999999995</v>
      </c>
      <c r="E395" s="12">
        <f>CHOOSE( CONTROL!$C$32, 9.6812, 9.6763) * CHOOSE( CONTROL!$C$15, $D$11, 100%, $F$11)</f>
        <v>9.6812000000000005</v>
      </c>
      <c r="F395" s="4">
        <f>CHOOSE( CONTROL!$C$32, 10.6776, 10.6727) * CHOOSE(CONTROL!$C$15, $D$11, 100%, $F$11)</f>
        <v>10.6776</v>
      </c>
      <c r="G395" s="8">
        <f>CHOOSE( CONTROL!$C$32, 9.4203, 9.4155) * CHOOSE( CONTROL!$C$15, $D$11, 100%, $F$11)</f>
        <v>9.4202999999999992</v>
      </c>
      <c r="H395" s="4">
        <f>CHOOSE( CONTROL!$C$32, 10.332, 10.3272) * CHOOSE(CONTROL!$C$15, $D$11, 100%, $F$11)</f>
        <v>10.332000000000001</v>
      </c>
      <c r="I395" s="8">
        <f>CHOOSE( CONTROL!$C$32, 9.3207, 9.316) * CHOOSE(CONTROL!$C$15, $D$11, 100%, $F$11)</f>
        <v>9.3207000000000004</v>
      </c>
      <c r="J395" s="4">
        <f>CHOOSE( CONTROL!$C$32, 9.2639, 9.2592) * CHOOSE(CONTROL!$C$15, $D$11, 100%, $F$11)</f>
        <v>9.2638999999999996</v>
      </c>
      <c r="K395" s="4"/>
      <c r="L395" s="9">
        <v>29.520499999999998</v>
      </c>
      <c r="M395" s="9">
        <v>12.063700000000001</v>
      </c>
      <c r="N395" s="9">
        <v>4.9444999999999997</v>
      </c>
      <c r="O395" s="9">
        <v>0.37459999999999999</v>
      </c>
      <c r="P395" s="9">
        <v>1.2192000000000001</v>
      </c>
      <c r="Q395" s="9">
        <v>20.2666</v>
      </c>
      <c r="R395" s="9"/>
      <c r="S395" s="11"/>
    </row>
    <row r="396" spans="1:19" ht="15.75">
      <c r="A396" s="13">
        <v>53935</v>
      </c>
      <c r="B396" s="8">
        <f>CHOOSE( CONTROL!$C$32, 8.9271, 8.9221) * CHOOSE(CONTROL!$C$15, $D$11, 100%, $F$11)</f>
        <v>8.9270999999999994</v>
      </c>
      <c r="C396" s="8">
        <f>CHOOSE( CONTROL!$C$32, 8.9375, 8.9326) * CHOOSE(CONTROL!$C$15, $D$11, 100%, $F$11)</f>
        <v>8.9375</v>
      </c>
      <c r="D396" s="8">
        <f>CHOOSE( CONTROL!$C$32, 8.9377, 8.9327) * CHOOSE( CONTROL!$C$15, $D$11, 100%, $F$11)</f>
        <v>8.9376999999999995</v>
      </c>
      <c r="E396" s="12">
        <f>CHOOSE( CONTROL!$C$32, 8.936, 8.9311) * CHOOSE( CONTROL!$C$15, $D$11, 100%, $F$11)</f>
        <v>8.9359999999999999</v>
      </c>
      <c r="F396" s="4">
        <f>CHOOSE( CONTROL!$C$32, 9.9395, 9.9346) * CHOOSE(CONTROL!$C$15, $D$11, 100%, $F$11)</f>
        <v>9.9395000000000007</v>
      </c>
      <c r="G396" s="8">
        <f>CHOOSE( CONTROL!$C$32, 8.6884, 8.6836) * CHOOSE( CONTROL!$C$15, $D$11, 100%, $F$11)</f>
        <v>8.6883999999999997</v>
      </c>
      <c r="H396" s="4">
        <f>CHOOSE( CONTROL!$C$32, 9.6125, 9.6077) * CHOOSE(CONTROL!$C$15, $D$11, 100%, $F$11)</f>
        <v>9.6125000000000007</v>
      </c>
      <c r="I396" s="8">
        <f>CHOOSE( CONTROL!$C$32, 8.5966, 8.5918) * CHOOSE(CONTROL!$C$15, $D$11, 100%, $F$11)</f>
        <v>8.5966000000000005</v>
      </c>
      <c r="J396" s="4">
        <f>CHOOSE( CONTROL!$C$32, 8.5492, 8.5444) * CHOOSE(CONTROL!$C$15, $D$11, 100%, $F$11)</f>
        <v>8.5492000000000008</v>
      </c>
      <c r="K396" s="4"/>
      <c r="L396" s="9">
        <v>29.520499999999998</v>
      </c>
      <c r="M396" s="9">
        <v>12.063700000000001</v>
      </c>
      <c r="N396" s="9">
        <v>4.9444999999999997</v>
      </c>
      <c r="O396" s="9">
        <v>0.37459999999999999</v>
      </c>
      <c r="P396" s="9">
        <v>1.2192000000000001</v>
      </c>
      <c r="Q396" s="9">
        <v>20.2666</v>
      </c>
      <c r="R396" s="9"/>
      <c r="S396" s="11"/>
    </row>
    <row r="397" spans="1:19" ht="15.75">
      <c r="A397" s="13">
        <v>53965</v>
      </c>
      <c r="B397" s="8">
        <f>CHOOSE( CONTROL!$C$32, 8.7403, 8.7353) * CHOOSE(CONTROL!$C$15, $D$11, 100%, $F$11)</f>
        <v>8.7402999999999995</v>
      </c>
      <c r="C397" s="8">
        <f>CHOOSE( CONTROL!$C$32, 8.7507, 8.7458) * CHOOSE(CONTROL!$C$15, $D$11, 100%, $F$11)</f>
        <v>8.7507000000000001</v>
      </c>
      <c r="D397" s="8">
        <f>CHOOSE( CONTROL!$C$32, 8.7512, 8.7462) * CHOOSE( CONTROL!$C$15, $D$11, 100%, $F$11)</f>
        <v>8.7512000000000008</v>
      </c>
      <c r="E397" s="12">
        <f>CHOOSE( CONTROL!$C$32, 8.7494, 8.7445) * CHOOSE( CONTROL!$C$15, $D$11, 100%, $F$11)</f>
        <v>8.7493999999999996</v>
      </c>
      <c r="F397" s="4">
        <f>CHOOSE( CONTROL!$C$32, 9.7528, 9.7478) * CHOOSE(CONTROL!$C$15, $D$11, 100%, $F$11)</f>
        <v>9.7528000000000006</v>
      </c>
      <c r="G397" s="8">
        <f>CHOOSE( CONTROL!$C$32, 8.5067, 8.5019) * CHOOSE( CONTROL!$C$15, $D$11, 100%, $F$11)</f>
        <v>8.5067000000000004</v>
      </c>
      <c r="H397" s="4">
        <f>CHOOSE( CONTROL!$C$32, 9.4305, 9.4256) * CHOOSE(CONTROL!$C$15, $D$11, 100%, $F$11)</f>
        <v>9.4305000000000003</v>
      </c>
      <c r="I397" s="8">
        <f>CHOOSE( CONTROL!$C$32, 8.4189, 8.4142) * CHOOSE(CONTROL!$C$15, $D$11, 100%, $F$11)</f>
        <v>8.4189000000000007</v>
      </c>
      <c r="J397" s="4">
        <f>CHOOSE( CONTROL!$C$32, 8.3702, 8.3655) * CHOOSE(CONTROL!$C$15, $D$11, 100%, $F$11)</f>
        <v>8.3702000000000005</v>
      </c>
      <c r="K397" s="4"/>
      <c r="L397" s="9">
        <v>28.568200000000001</v>
      </c>
      <c r="M397" s="9">
        <v>11.6745</v>
      </c>
      <c r="N397" s="9">
        <v>4.7850000000000001</v>
      </c>
      <c r="O397" s="9">
        <v>0.36249999999999999</v>
      </c>
      <c r="P397" s="9">
        <v>1.1798</v>
      </c>
      <c r="Q397" s="9">
        <v>19.6128</v>
      </c>
      <c r="R397" s="9"/>
      <c r="S397" s="11"/>
    </row>
    <row r="398" spans="1:19" ht="15.75">
      <c r="A398" s="13">
        <v>53996</v>
      </c>
      <c r="B398" s="8">
        <f>9.1232 * CHOOSE(CONTROL!$C$15, $D$11, 100%, $F$11)</f>
        <v>9.1232000000000006</v>
      </c>
      <c r="C398" s="8">
        <f>9.1336 * CHOOSE(CONTROL!$C$15, $D$11, 100%, $F$11)</f>
        <v>9.1335999999999995</v>
      </c>
      <c r="D398" s="8">
        <f>9.1353 * CHOOSE( CONTROL!$C$15, $D$11, 100%, $F$11)</f>
        <v>9.1353000000000009</v>
      </c>
      <c r="E398" s="12">
        <f>9.1336 * CHOOSE( CONTROL!$C$15, $D$11, 100%, $F$11)</f>
        <v>9.1335999999999995</v>
      </c>
      <c r="F398" s="4">
        <f>10.1357 * CHOOSE(CONTROL!$C$15, $D$11, 100%, $F$11)</f>
        <v>10.1357</v>
      </c>
      <c r="G398" s="8">
        <f>8.8796 * CHOOSE( CONTROL!$C$15, $D$11, 100%, $F$11)</f>
        <v>8.8795999999999999</v>
      </c>
      <c r="H398" s="4">
        <f>9.8037 * CHOOSE(CONTROL!$C$15, $D$11, 100%, $F$11)</f>
        <v>9.8036999999999992</v>
      </c>
      <c r="I398" s="8">
        <f>8.7883 * CHOOSE(CONTROL!$C$15, $D$11, 100%, $F$11)</f>
        <v>8.7882999999999996</v>
      </c>
      <c r="J398" s="4">
        <f>8.7371 * CHOOSE(CONTROL!$C$15, $D$11, 100%, $F$11)</f>
        <v>8.7370999999999999</v>
      </c>
      <c r="K398" s="4"/>
      <c r="L398" s="9">
        <v>28.921800000000001</v>
      </c>
      <c r="M398" s="9">
        <v>12.063700000000001</v>
      </c>
      <c r="N398" s="9">
        <v>4.9444999999999997</v>
      </c>
      <c r="O398" s="9">
        <v>0.37459999999999999</v>
      </c>
      <c r="P398" s="9">
        <v>1.2192000000000001</v>
      </c>
      <c r="Q398" s="9">
        <v>20.2666</v>
      </c>
      <c r="R398" s="9"/>
      <c r="S398" s="11"/>
    </row>
    <row r="399" spans="1:19" ht="15.75">
      <c r="A399" s="13">
        <v>54026</v>
      </c>
      <c r="B399" s="8">
        <f>9.839 * CHOOSE(CONTROL!$C$15, $D$11, 100%, $F$11)</f>
        <v>9.8390000000000004</v>
      </c>
      <c r="C399" s="8">
        <f>9.8495 * CHOOSE(CONTROL!$C$15, $D$11, 100%, $F$11)</f>
        <v>9.8495000000000008</v>
      </c>
      <c r="D399" s="8">
        <f>9.8305 * CHOOSE( CONTROL!$C$15, $D$11, 100%, $F$11)</f>
        <v>9.8305000000000007</v>
      </c>
      <c r="E399" s="12">
        <f>9.8363 * CHOOSE( CONTROL!$C$15, $D$11, 100%, $F$11)</f>
        <v>9.8362999999999996</v>
      </c>
      <c r="F399" s="4">
        <f>10.8359 * CHOOSE(CONTROL!$C$15, $D$11, 100%, $F$11)</f>
        <v>10.835900000000001</v>
      </c>
      <c r="G399" s="8">
        <f>9.6003 * CHOOSE( CONTROL!$C$15, $D$11, 100%, $F$11)</f>
        <v>9.6003000000000007</v>
      </c>
      <c r="H399" s="4">
        <f>10.4862 * CHOOSE(CONTROL!$C$15, $D$11, 100%, $F$11)</f>
        <v>10.4862</v>
      </c>
      <c r="I399" s="8">
        <f>9.5211 * CHOOSE(CONTROL!$C$15, $D$11, 100%, $F$11)</f>
        <v>9.5211000000000006</v>
      </c>
      <c r="J399" s="4">
        <f>9.423 * CHOOSE(CONTROL!$C$15, $D$11, 100%, $F$11)</f>
        <v>9.423</v>
      </c>
      <c r="K399" s="4"/>
      <c r="L399" s="9">
        <v>26.515499999999999</v>
      </c>
      <c r="M399" s="9">
        <v>11.6745</v>
      </c>
      <c r="N399" s="9">
        <v>4.7850000000000001</v>
      </c>
      <c r="O399" s="9">
        <v>0.36249999999999999</v>
      </c>
      <c r="P399" s="9">
        <v>1.2522</v>
      </c>
      <c r="Q399" s="9">
        <v>19.6128</v>
      </c>
      <c r="R399" s="9"/>
      <c r="S399" s="11"/>
    </row>
    <row r="400" spans="1:19" ht="15.75">
      <c r="A400" s="13">
        <v>54057</v>
      </c>
      <c r="B400" s="8">
        <f>9.8212 * CHOOSE(CONTROL!$C$15, $D$11, 100%, $F$11)</f>
        <v>9.8211999999999993</v>
      </c>
      <c r="C400" s="8">
        <f>9.8316 * CHOOSE(CONTROL!$C$15, $D$11, 100%, $F$11)</f>
        <v>9.8315999999999999</v>
      </c>
      <c r="D400" s="8">
        <f>9.8152 * CHOOSE( CONTROL!$C$15, $D$11, 100%, $F$11)</f>
        <v>9.8152000000000008</v>
      </c>
      <c r="E400" s="12">
        <f>9.8201 * CHOOSE( CONTROL!$C$15, $D$11, 100%, $F$11)</f>
        <v>9.8201000000000001</v>
      </c>
      <c r="F400" s="4">
        <f>10.818 * CHOOSE(CONTROL!$C$15, $D$11, 100%, $F$11)</f>
        <v>10.818</v>
      </c>
      <c r="G400" s="8">
        <f>9.5849 * CHOOSE( CONTROL!$C$15, $D$11, 100%, $F$11)</f>
        <v>9.5848999999999993</v>
      </c>
      <c r="H400" s="4">
        <f>10.4688 * CHOOSE(CONTROL!$C$15, $D$11, 100%, $F$11)</f>
        <v>10.4688</v>
      </c>
      <c r="I400" s="8">
        <f>9.5127 * CHOOSE(CONTROL!$C$15, $D$11, 100%, $F$11)</f>
        <v>9.5127000000000006</v>
      </c>
      <c r="J400" s="4">
        <f>9.4059 * CHOOSE(CONTROL!$C$15, $D$11, 100%, $F$11)</f>
        <v>9.4059000000000008</v>
      </c>
      <c r="K400" s="4"/>
      <c r="L400" s="9">
        <v>27.3993</v>
      </c>
      <c r="M400" s="9">
        <v>12.063700000000001</v>
      </c>
      <c r="N400" s="9">
        <v>4.9444999999999997</v>
      </c>
      <c r="O400" s="9">
        <v>0.37459999999999999</v>
      </c>
      <c r="P400" s="9">
        <v>1.2939000000000001</v>
      </c>
      <c r="Q400" s="9">
        <v>20.2666</v>
      </c>
      <c r="R400" s="9"/>
      <c r="S400" s="11"/>
    </row>
    <row r="401" spans="1:19" ht="15.75">
      <c r="A401" s="13">
        <v>54088</v>
      </c>
      <c r="B401" s="8">
        <f>10.1963 * CHOOSE(CONTROL!$C$15, $D$11, 100%, $F$11)</f>
        <v>10.196300000000001</v>
      </c>
      <c r="C401" s="8">
        <f>10.2068 * CHOOSE(CONTROL!$C$15, $D$11, 100%, $F$11)</f>
        <v>10.206799999999999</v>
      </c>
      <c r="D401" s="8">
        <f>10.2053 * CHOOSE( CONTROL!$C$15, $D$11, 100%, $F$11)</f>
        <v>10.205299999999999</v>
      </c>
      <c r="E401" s="12">
        <f>10.2047 * CHOOSE( CONTROL!$C$15, $D$11, 100%, $F$11)</f>
        <v>10.204700000000001</v>
      </c>
      <c r="F401" s="4">
        <f>11.2192 * CHOOSE(CONTROL!$C$15, $D$11, 100%, $F$11)</f>
        <v>11.219200000000001</v>
      </c>
      <c r="G401" s="8">
        <f>9.9674 * CHOOSE( CONTROL!$C$15, $D$11, 100%, $F$11)</f>
        <v>9.9673999999999996</v>
      </c>
      <c r="H401" s="4">
        <f>10.8599 * CHOOSE(CONTROL!$C$15, $D$11, 100%, $F$11)</f>
        <v>10.8599</v>
      </c>
      <c r="I401" s="8">
        <f>9.8788 * CHOOSE(CONTROL!$C$15, $D$11, 100%, $F$11)</f>
        <v>9.8788</v>
      </c>
      <c r="J401" s="4">
        <f>9.7654 * CHOOSE(CONTROL!$C$15, $D$11, 100%, $F$11)</f>
        <v>9.7653999999999996</v>
      </c>
      <c r="K401" s="4"/>
      <c r="L401" s="9">
        <v>27.3993</v>
      </c>
      <c r="M401" s="9">
        <v>12.063700000000001</v>
      </c>
      <c r="N401" s="9">
        <v>4.9444999999999997</v>
      </c>
      <c r="O401" s="9">
        <v>0.37459999999999999</v>
      </c>
      <c r="P401" s="9">
        <v>1.2939000000000001</v>
      </c>
      <c r="Q401" s="9">
        <v>20.201499999999999</v>
      </c>
      <c r="R401" s="9"/>
      <c r="S401" s="11"/>
    </row>
    <row r="402" spans="1:19" ht="15.75">
      <c r="A402" s="13">
        <v>54116</v>
      </c>
      <c r="B402" s="8">
        <f>9.5375 * CHOOSE(CONTROL!$C$15, $D$11, 100%, $F$11)</f>
        <v>9.5374999999999996</v>
      </c>
      <c r="C402" s="8">
        <f>9.5479 * CHOOSE(CONTROL!$C$15, $D$11, 100%, $F$11)</f>
        <v>9.5479000000000003</v>
      </c>
      <c r="D402" s="8">
        <f>9.5487 * CHOOSE( CONTROL!$C$15, $D$11, 100%, $F$11)</f>
        <v>9.5487000000000002</v>
      </c>
      <c r="E402" s="12">
        <f>9.5473 * CHOOSE( CONTROL!$C$15, $D$11, 100%, $F$11)</f>
        <v>9.5472999999999999</v>
      </c>
      <c r="F402" s="4">
        <f>10.5526 * CHOOSE(CONTROL!$C$15, $D$11, 100%, $F$11)</f>
        <v>10.5526</v>
      </c>
      <c r="G402" s="8">
        <f>9.325 * CHOOSE( CONTROL!$C$15, $D$11, 100%, $F$11)</f>
        <v>9.3249999999999993</v>
      </c>
      <c r="H402" s="4">
        <f>10.2101 * CHOOSE(CONTROL!$C$15, $D$11, 100%, $F$11)</f>
        <v>10.210100000000001</v>
      </c>
      <c r="I402" s="8">
        <f>9.2363 * CHOOSE(CONTROL!$C$15, $D$11, 100%, $F$11)</f>
        <v>9.2363</v>
      </c>
      <c r="J402" s="4">
        <f>9.1341 * CHOOSE(CONTROL!$C$15, $D$11, 100%, $F$11)</f>
        <v>9.1341000000000001</v>
      </c>
      <c r="K402" s="4"/>
      <c r="L402" s="9">
        <v>25.631599999999999</v>
      </c>
      <c r="M402" s="9">
        <v>11.285299999999999</v>
      </c>
      <c r="N402" s="9">
        <v>4.6254999999999997</v>
      </c>
      <c r="O402" s="9">
        <v>0.35039999999999999</v>
      </c>
      <c r="P402" s="9">
        <v>1.2104999999999999</v>
      </c>
      <c r="Q402" s="9">
        <v>18.898099999999999</v>
      </c>
      <c r="R402" s="9"/>
      <c r="S402" s="11"/>
    </row>
    <row r="403" spans="1:19" ht="15.75">
      <c r="A403" s="13">
        <v>54148</v>
      </c>
      <c r="B403" s="8">
        <f>9.3345 * CHOOSE(CONTROL!$C$15, $D$11, 100%, $F$11)</f>
        <v>9.3345000000000002</v>
      </c>
      <c r="C403" s="8">
        <f>9.345 * CHOOSE(CONTROL!$C$15, $D$11, 100%, $F$11)</f>
        <v>9.3450000000000006</v>
      </c>
      <c r="D403" s="8">
        <f>9.3255 * CHOOSE( CONTROL!$C$15, $D$11, 100%, $F$11)</f>
        <v>9.3254999999999999</v>
      </c>
      <c r="E403" s="12">
        <f>9.3315 * CHOOSE( CONTROL!$C$15, $D$11, 100%, $F$11)</f>
        <v>9.3315000000000001</v>
      </c>
      <c r="F403" s="4">
        <f>10.3335 * CHOOSE(CONTROL!$C$15, $D$11, 100%, $F$11)</f>
        <v>10.333500000000001</v>
      </c>
      <c r="G403" s="8">
        <f>9.1065 * CHOOSE( CONTROL!$C$15, $D$11, 100%, $F$11)</f>
        <v>9.1065000000000005</v>
      </c>
      <c r="H403" s="4">
        <f>9.9965 * CHOOSE(CONTROL!$C$15, $D$11, 100%, $F$11)</f>
        <v>9.9964999999999993</v>
      </c>
      <c r="I403" s="8">
        <f>9.0022 * CHOOSE(CONTROL!$C$15, $D$11, 100%, $F$11)</f>
        <v>9.0022000000000002</v>
      </c>
      <c r="J403" s="4">
        <f>8.9396 * CHOOSE(CONTROL!$C$15, $D$11, 100%, $F$11)</f>
        <v>8.9396000000000004</v>
      </c>
      <c r="K403" s="4"/>
      <c r="L403" s="9">
        <v>27.3993</v>
      </c>
      <c r="M403" s="9">
        <v>12.063700000000001</v>
      </c>
      <c r="N403" s="9">
        <v>4.9444999999999997</v>
      </c>
      <c r="O403" s="9">
        <v>0.37459999999999999</v>
      </c>
      <c r="P403" s="9">
        <v>1.2939000000000001</v>
      </c>
      <c r="Q403" s="9">
        <v>20.201499999999999</v>
      </c>
      <c r="R403" s="9"/>
      <c r="S403" s="11"/>
    </row>
    <row r="404" spans="1:19" ht="15.75">
      <c r="A404" s="13">
        <v>54178</v>
      </c>
      <c r="B404" s="8">
        <f>9.4763 * CHOOSE(CONTROL!$C$15, $D$11, 100%, $F$11)</f>
        <v>9.4763000000000002</v>
      </c>
      <c r="C404" s="8">
        <f>9.4868 * CHOOSE(CONTROL!$C$15, $D$11, 100%, $F$11)</f>
        <v>9.4868000000000006</v>
      </c>
      <c r="D404" s="8">
        <f>9.4906 * CHOOSE( CONTROL!$C$15, $D$11, 100%, $F$11)</f>
        <v>9.4906000000000006</v>
      </c>
      <c r="E404" s="12">
        <f>9.4881 * CHOOSE( CONTROL!$C$15, $D$11, 100%, $F$11)</f>
        <v>9.4880999999999993</v>
      </c>
      <c r="F404" s="4">
        <f>10.4836 * CHOOSE(CONTROL!$C$15, $D$11, 100%, $F$11)</f>
        <v>10.483599999999999</v>
      </c>
      <c r="G404" s="8">
        <f>9.2327 * CHOOSE( CONTROL!$C$15, $D$11, 100%, $F$11)</f>
        <v>9.2326999999999995</v>
      </c>
      <c r="H404" s="4">
        <f>10.1429 * CHOOSE(CONTROL!$C$15, $D$11, 100%, $F$11)</f>
        <v>10.142899999999999</v>
      </c>
      <c r="I404" s="8">
        <f>9.1283 * CHOOSE(CONTROL!$C$15, $D$11, 100%, $F$11)</f>
        <v>9.1282999999999994</v>
      </c>
      <c r="J404" s="4">
        <f>9.0755 * CHOOSE(CONTROL!$C$15, $D$11, 100%, $F$11)</f>
        <v>9.0754999999999999</v>
      </c>
      <c r="K404" s="4"/>
      <c r="L404" s="9">
        <v>27.988800000000001</v>
      </c>
      <c r="M404" s="9">
        <v>11.6745</v>
      </c>
      <c r="N404" s="9">
        <v>4.7850000000000001</v>
      </c>
      <c r="O404" s="9">
        <v>0.36249999999999999</v>
      </c>
      <c r="P404" s="9">
        <v>1.1798</v>
      </c>
      <c r="Q404" s="9">
        <v>19.549800000000001</v>
      </c>
      <c r="R404" s="9"/>
      <c r="S404" s="11"/>
    </row>
    <row r="405" spans="1:19" ht="15.75">
      <c r="A405" s="13">
        <v>54209</v>
      </c>
      <c r="B405" s="8">
        <f>CHOOSE( CONTROL!$C$32, 9.7337, 9.7287) * CHOOSE(CONTROL!$C$15, $D$11, 100%, $F$11)</f>
        <v>9.7337000000000007</v>
      </c>
      <c r="C405" s="8">
        <f>CHOOSE( CONTROL!$C$32, 9.7441, 9.7392) * CHOOSE(CONTROL!$C$15, $D$11, 100%, $F$11)</f>
        <v>9.7440999999999995</v>
      </c>
      <c r="D405" s="8">
        <f>CHOOSE( CONTROL!$C$32, 9.7227, 9.7178) * CHOOSE( CONTROL!$C$15, $D$11, 100%, $F$11)</f>
        <v>9.7226999999999997</v>
      </c>
      <c r="E405" s="12">
        <f>CHOOSE( CONTROL!$C$32, 9.7289, 9.724) * CHOOSE( CONTROL!$C$15, $D$11, 100%, $F$11)</f>
        <v>9.7288999999999994</v>
      </c>
      <c r="F405" s="4">
        <f>CHOOSE( CONTROL!$C$32, 10.7086, 10.7036) * CHOOSE(CONTROL!$C$15, $D$11, 100%, $F$11)</f>
        <v>10.708600000000001</v>
      </c>
      <c r="G405" s="8">
        <f>CHOOSE( CONTROL!$C$32, 9.4649, 9.4601) * CHOOSE( CONTROL!$C$15, $D$11, 100%, $F$11)</f>
        <v>9.4649000000000001</v>
      </c>
      <c r="H405" s="4">
        <f>CHOOSE( CONTROL!$C$32, 10.3621, 10.3573) * CHOOSE(CONTROL!$C$15, $D$11, 100%, $F$11)</f>
        <v>10.3621</v>
      </c>
      <c r="I405" s="8">
        <f>CHOOSE( CONTROL!$C$32, 9.3534, 9.3487) * CHOOSE(CONTROL!$C$15, $D$11, 100%, $F$11)</f>
        <v>9.3534000000000006</v>
      </c>
      <c r="J405" s="4">
        <f>CHOOSE( CONTROL!$C$32, 9.322, 9.3173) * CHOOSE(CONTROL!$C$15, $D$11, 100%, $F$11)</f>
        <v>9.3219999999999992</v>
      </c>
      <c r="K405" s="4"/>
      <c r="L405" s="9">
        <v>29.520499999999998</v>
      </c>
      <c r="M405" s="9">
        <v>12.063700000000001</v>
      </c>
      <c r="N405" s="9">
        <v>4.9444999999999997</v>
      </c>
      <c r="O405" s="9">
        <v>0.37459999999999999</v>
      </c>
      <c r="P405" s="9">
        <v>1.2192000000000001</v>
      </c>
      <c r="Q405" s="9">
        <v>20.201499999999999</v>
      </c>
      <c r="R405" s="9"/>
      <c r="S405" s="11"/>
    </row>
    <row r="406" spans="1:19" ht="15.75">
      <c r="A406" s="13">
        <v>54239</v>
      </c>
      <c r="B406" s="8">
        <f>CHOOSE( CONTROL!$C$32, 9.5773, 9.5724) * CHOOSE(CONTROL!$C$15, $D$11, 100%, $F$11)</f>
        <v>9.5772999999999993</v>
      </c>
      <c r="C406" s="8">
        <f>CHOOSE( CONTROL!$C$32, 9.5878, 9.5828) * CHOOSE(CONTROL!$C$15, $D$11, 100%, $F$11)</f>
        <v>9.5877999999999997</v>
      </c>
      <c r="D406" s="8">
        <f>CHOOSE( CONTROL!$C$32, 9.5799, 9.5749) * CHOOSE( CONTROL!$C$15, $D$11, 100%, $F$11)</f>
        <v>9.5799000000000003</v>
      </c>
      <c r="E406" s="12">
        <f>CHOOSE( CONTROL!$C$32, 9.5812, 9.5762) * CHOOSE( CONTROL!$C$15, $D$11, 100%, $F$11)</f>
        <v>9.5812000000000008</v>
      </c>
      <c r="F406" s="4">
        <f>CHOOSE( CONTROL!$C$32, 10.5715, 10.5666) * CHOOSE(CONTROL!$C$15, $D$11, 100%, $F$11)</f>
        <v>10.5715</v>
      </c>
      <c r="G406" s="8">
        <f>CHOOSE( CONTROL!$C$32, 9.3229, 9.3181) * CHOOSE( CONTROL!$C$15, $D$11, 100%, $F$11)</f>
        <v>9.3229000000000006</v>
      </c>
      <c r="H406" s="4">
        <f>CHOOSE( CONTROL!$C$32, 10.2286, 10.2238) * CHOOSE(CONTROL!$C$15, $D$11, 100%, $F$11)</f>
        <v>10.2286</v>
      </c>
      <c r="I406" s="8">
        <f>CHOOSE( CONTROL!$C$32, 9.2213, 9.2166) * CHOOSE(CONTROL!$C$15, $D$11, 100%, $F$11)</f>
        <v>9.2212999999999994</v>
      </c>
      <c r="J406" s="4">
        <f>CHOOSE( CONTROL!$C$32, 9.1722, 9.1675) * CHOOSE(CONTROL!$C$15, $D$11, 100%, $F$11)</f>
        <v>9.1722000000000001</v>
      </c>
      <c r="K406" s="4"/>
      <c r="L406" s="9">
        <v>28.568200000000001</v>
      </c>
      <c r="M406" s="9">
        <v>11.6745</v>
      </c>
      <c r="N406" s="9">
        <v>4.7850000000000001</v>
      </c>
      <c r="O406" s="9">
        <v>0.36249999999999999</v>
      </c>
      <c r="P406" s="9">
        <v>1.1798</v>
      </c>
      <c r="Q406" s="9">
        <v>19.549800000000001</v>
      </c>
      <c r="R406" s="9"/>
      <c r="S406" s="11"/>
    </row>
    <row r="407" spans="1:19" ht="15.75">
      <c r="A407" s="13">
        <v>54270</v>
      </c>
      <c r="B407" s="8">
        <f>CHOOSE( CONTROL!$C$32, 9.989, 9.9841) * CHOOSE(CONTROL!$C$15, $D$11, 100%, $F$11)</f>
        <v>9.9890000000000008</v>
      </c>
      <c r="C407" s="8">
        <f>CHOOSE( CONTROL!$C$32, 9.9994, 9.9945) * CHOOSE(CONTROL!$C$15, $D$11, 100%, $F$11)</f>
        <v>9.9993999999999996</v>
      </c>
      <c r="D407" s="8">
        <f>CHOOSE( CONTROL!$C$32, 9.9984, 9.9935) * CHOOSE( CONTROL!$C$15, $D$11, 100%, $F$11)</f>
        <v>9.9984000000000002</v>
      </c>
      <c r="E407" s="12">
        <f>CHOOSE( CONTROL!$C$32, 9.9972, 9.9923) * CHOOSE( CONTROL!$C$15, $D$11, 100%, $F$11)</f>
        <v>9.9971999999999994</v>
      </c>
      <c r="F407" s="4">
        <f>CHOOSE( CONTROL!$C$32, 10.9937, 10.9887) * CHOOSE(CONTROL!$C$15, $D$11, 100%, $F$11)</f>
        <v>10.9937</v>
      </c>
      <c r="G407" s="8">
        <f>CHOOSE( CONTROL!$C$32, 9.7283, 9.7235) * CHOOSE( CONTROL!$C$15, $D$11, 100%, $F$11)</f>
        <v>9.7283000000000008</v>
      </c>
      <c r="H407" s="4">
        <f>CHOOSE( CONTROL!$C$32, 10.6401, 10.6352) * CHOOSE(CONTROL!$C$15, $D$11, 100%, $F$11)</f>
        <v>10.6401</v>
      </c>
      <c r="I407" s="8">
        <f>CHOOSE( CONTROL!$C$32, 9.6237, 9.6189) * CHOOSE(CONTROL!$C$15, $D$11, 100%, $F$11)</f>
        <v>9.6236999999999995</v>
      </c>
      <c r="J407" s="4">
        <f>CHOOSE( CONTROL!$C$32, 9.5667, 9.562) * CHOOSE(CONTROL!$C$15, $D$11, 100%, $F$11)</f>
        <v>9.5667000000000009</v>
      </c>
      <c r="K407" s="4"/>
      <c r="L407" s="9">
        <v>29.520499999999998</v>
      </c>
      <c r="M407" s="9">
        <v>12.063700000000001</v>
      </c>
      <c r="N407" s="9">
        <v>4.9444999999999997</v>
      </c>
      <c r="O407" s="9">
        <v>0.37459999999999999</v>
      </c>
      <c r="P407" s="9">
        <v>1.2192000000000001</v>
      </c>
      <c r="Q407" s="9">
        <v>20.201499999999999</v>
      </c>
      <c r="R407" s="9"/>
      <c r="S407" s="11"/>
    </row>
    <row r="408" spans="1:19" ht="15.75">
      <c r="A408" s="13">
        <v>54301</v>
      </c>
      <c r="B408" s="8">
        <f>CHOOSE( CONTROL!$C$32, 9.2187, 9.2138) * CHOOSE(CONTROL!$C$15, $D$11, 100%, $F$11)</f>
        <v>9.2187000000000001</v>
      </c>
      <c r="C408" s="8">
        <f>CHOOSE( CONTROL!$C$32, 9.2291, 9.2242) * CHOOSE(CONTROL!$C$15, $D$11, 100%, $F$11)</f>
        <v>9.2291000000000007</v>
      </c>
      <c r="D408" s="8">
        <f>CHOOSE( CONTROL!$C$32, 9.2293, 9.2244) * CHOOSE( CONTROL!$C$15, $D$11, 100%, $F$11)</f>
        <v>9.2293000000000003</v>
      </c>
      <c r="E408" s="12">
        <f>CHOOSE( CONTROL!$C$32, 9.2276, 9.2227) * CHOOSE( CONTROL!$C$15, $D$11, 100%, $F$11)</f>
        <v>9.2276000000000007</v>
      </c>
      <c r="F408" s="4">
        <f>CHOOSE( CONTROL!$C$32, 10.2312, 10.2262) * CHOOSE(CONTROL!$C$15, $D$11, 100%, $F$11)</f>
        <v>10.231199999999999</v>
      </c>
      <c r="G408" s="8">
        <f>CHOOSE( CONTROL!$C$32, 8.9726, 8.9678) * CHOOSE( CONTROL!$C$15, $D$11, 100%, $F$11)</f>
        <v>8.9725999999999999</v>
      </c>
      <c r="H408" s="4">
        <f>CHOOSE( CONTROL!$C$32, 9.8968, 9.892) * CHOOSE(CONTROL!$C$15, $D$11, 100%, $F$11)</f>
        <v>9.8968000000000007</v>
      </c>
      <c r="I408" s="8">
        <f>CHOOSE( CONTROL!$C$32, 8.8761, 8.8714) * CHOOSE(CONTROL!$C$15, $D$11, 100%, $F$11)</f>
        <v>8.8760999999999992</v>
      </c>
      <c r="J408" s="4">
        <f>CHOOSE( CONTROL!$C$32, 8.8286, 8.8239) * CHOOSE(CONTROL!$C$15, $D$11, 100%, $F$11)</f>
        <v>8.8285999999999998</v>
      </c>
      <c r="K408" s="4"/>
      <c r="L408" s="9">
        <v>29.520499999999998</v>
      </c>
      <c r="M408" s="9">
        <v>12.063700000000001</v>
      </c>
      <c r="N408" s="9">
        <v>4.9444999999999997</v>
      </c>
      <c r="O408" s="9">
        <v>0.37459999999999999</v>
      </c>
      <c r="P408" s="9">
        <v>1.2192000000000001</v>
      </c>
      <c r="Q408" s="9">
        <v>20.201499999999999</v>
      </c>
      <c r="R408" s="9"/>
      <c r="S408" s="11"/>
    </row>
    <row r="409" spans="1:19" ht="15.75">
      <c r="A409" s="13">
        <v>54331</v>
      </c>
      <c r="B409" s="8">
        <f>CHOOSE( CONTROL!$C$32, 9.0258, 9.0209) * CHOOSE(CONTROL!$C$15, $D$11, 100%, $F$11)</f>
        <v>9.0258000000000003</v>
      </c>
      <c r="C409" s="8">
        <f>CHOOSE( CONTROL!$C$32, 9.0362, 9.0313) * CHOOSE(CONTROL!$C$15, $D$11, 100%, $F$11)</f>
        <v>9.0361999999999991</v>
      </c>
      <c r="D409" s="8">
        <f>CHOOSE( CONTROL!$C$32, 9.0367, 9.0317) * CHOOSE( CONTROL!$C$15, $D$11, 100%, $F$11)</f>
        <v>9.0366999999999997</v>
      </c>
      <c r="E409" s="12">
        <f>CHOOSE( CONTROL!$C$32, 9.0349, 9.03) * CHOOSE( CONTROL!$C$15, $D$11, 100%, $F$11)</f>
        <v>9.0349000000000004</v>
      </c>
      <c r="F409" s="4">
        <f>CHOOSE( CONTROL!$C$32, 10.0383, 10.0333) * CHOOSE(CONTROL!$C$15, $D$11, 100%, $F$11)</f>
        <v>10.0383</v>
      </c>
      <c r="G409" s="8">
        <f>CHOOSE( CONTROL!$C$32, 8.785, 8.7802) * CHOOSE( CONTROL!$C$15, $D$11, 100%, $F$11)</f>
        <v>8.7850000000000001</v>
      </c>
      <c r="H409" s="4">
        <f>CHOOSE( CONTROL!$C$32, 9.7088, 9.704) * CHOOSE(CONTROL!$C$15, $D$11, 100%, $F$11)</f>
        <v>9.7088000000000001</v>
      </c>
      <c r="I409" s="8">
        <f>CHOOSE( CONTROL!$C$32, 8.6926, 8.6879) * CHOOSE(CONTROL!$C$15, $D$11, 100%, $F$11)</f>
        <v>8.6926000000000005</v>
      </c>
      <c r="J409" s="4">
        <f>CHOOSE( CONTROL!$C$32, 8.6438, 8.639) * CHOOSE(CONTROL!$C$15, $D$11, 100%, $F$11)</f>
        <v>8.6438000000000006</v>
      </c>
      <c r="K409" s="4"/>
      <c r="L409" s="9">
        <v>28.568200000000001</v>
      </c>
      <c r="M409" s="9">
        <v>11.6745</v>
      </c>
      <c r="N409" s="9">
        <v>4.7850000000000001</v>
      </c>
      <c r="O409" s="9">
        <v>0.36249999999999999</v>
      </c>
      <c r="P409" s="9">
        <v>1.1798</v>
      </c>
      <c r="Q409" s="9">
        <v>19.549800000000001</v>
      </c>
      <c r="R409" s="9"/>
      <c r="S409" s="11"/>
    </row>
    <row r="410" spans="1:19" ht="15.75">
      <c r="A410" s="13">
        <v>54362</v>
      </c>
      <c r="B410" s="8">
        <f>9.4214 * CHOOSE(CONTROL!$C$15, $D$11, 100%, $F$11)</f>
        <v>9.4214000000000002</v>
      </c>
      <c r="C410" s="8">
        <f>9.4318 * CHOOSE(CONTROL!$C$15, $D$11, 100%, $F$11)</f>
        <v>9.4318000000000008</v>
      </c>
      <c r="D410" s="8">
        <f>9.4335 * CHOOSE( CONTROL!$C$15, $D$11, 100%, $F$11)</f>
        <v>9.4335000000000004</v>
      </c>
      <c r="E410" s="12">
        <f>9.4318 * CHOOSE( CONTROL!$C$15, $D$11, 100%, $F$11)</f>
        <v>9.4318000000000008</v>
      </c>
      <c r="F410" s="4">
        <f>10.4339 * CHOOSE(CONTROL!$C$15, $D$11, 100%, $F$11)</f>
        <v>10.4339</v>
      </c>
      <c r="G410" s="8">
        <f>9.1703 * CHOOSE( CONTROL!$C$15, $D$11, 100%, $F$11)</f>
        <v>9.1702999999999992</v>
      </c>
      <c r="H410" s="4">
        <f>10.0944 * CHOOSE(CONTROL!$C$15, $D$11, 100%, $F$11)</f>
        <v>10.0944</v>
      </c>
      <c r="I410" s="8">
        <f>9.0741 * CHOOSE(CONTROL!$C$15, $D$11, 100%, $F$11)</f>
        <v>9.0740999999999996</v>
      </c>
      <c r="J410" s="4">
        <f>9.0228 * CHOOSE(CONTROL!$C$15, $D$11, 100%, $F$11)</f>
        <v>9.0228000000000002</v>
      </c>
      <c r="K410" s="4"/>
      <c r="L410" s="9">
        <v>28.921800000000001</v>
      </c>
      <c r="M410" s="9">
        <v>12.063700000000001</v>
      </c>
      <c r="N410" s="9">
        <v>4.9444999999999997</v>
      </c>
      <c r="O410" s="9">
        <v>0.37459999999999999</v>
      </c>
      <c r="P410" s="9">
        <v>1.2192000000000001</v>
      </c>
      <c r="Q410" s="9">
        <v>20.201499999999999</v>
      </c>
      <c r="R410" s="9"/>
      <c r="S410" s="11"/>
    </row>
    <row r="411" spans="1:19" ht="15.75">
      <c r="A411" s="13">
        <v>54392</v>
      </c>
      <c r="B411" s="8">
        <f>10.1607 * CHOOSE(CONTROL!$C$15, $D$11, 100%, $F$11)</f>
        <v>10.1607</v>
      </c>
      <c r="C411" s="8">
        <f>10.1711 * CHOOSE(CONTROL!$C$15, $D$11, 100%, $F$11)</f>
        <v>10.171099999999999</v>
      </c>
      <c r="D411" s="8">
        <f>10.1521 * CHOOSE( CONTROL!$C$15, $D$11, 100%, $F$11)</f>
        <v>10.152100000000001</v>
      </c>
      <c r="E411" s="12">
        <f>10.1579 * CHOOSE( CONTROL!$C$15, $D$11, 100%, $F$11)</f>
        <v>10.1579</v>
      </c>
      <c r="F411" s="4">
        <f>11.1575 * CHOOSE(CONTROL!$C$15, $D$11, 100%, $F$11)</f>
        <v>11.157500000000001</v>
      </c>
      <c r="G411" s="8">
        <f>9.9138 * CHOOSE( CONTROL!$C$15, $D$11, 100%, $F$11)</f>
        <v>9.9138000000000002</v>
      </c>
      <c r="H411" s="4">
        <f>10.7997 * CHOOSE(CONTROL!$C$15, $D$11, 100%, $F$11)</f>
        <v>10.7997</v>
      </c>
      <c r="I411" s="8">
        <f>9.8294 * CHOOSE(CONTROL!$C$15, $D$11, 100%, $F$11)</f>
        <v>9.8293999999999997</v>
      </c>
      <c r="J411" s="4">
        <f>9.7312 * CHOOSE(CONTROL!$C$15, $D$11, 100%, $F$11)</f>
        <v>9.7311999999999994</v>
      </c>
      <c r="K411" s="4"/>
      <c r="L411" s="9">
        <v>26.515499999999999</v>
      </c>
      <c r="M411" s="9">
        <v>11.6745</v>
      </c>
      <c r="N411" s="9">
        <v>4.7850000000000001</v>
      </c>
      <c r="O411" s="9">
        <v>0.36249999999999999</v>
      </c>
      <c r="P411" s="9">
        <v>1.2522</v>
      </c>
      <c r="Q411" s="9">
        <v>19.549800000000001</v>
      </c>
      <c r="R411" s="9"/>
      <c r="S411" s="11"/>
    </row>
    <row r="412" spans="1:19" ht="15.75">
      <c r="A412" s="13">
        <v>54423</v>
      </c>
      <c r="B412" s="8">
        <f>10.1422 * CHOOSE(CONTROL!$C$15, $D$11, 100%, $F$11)</f>
        <v>10.142200000000001</v>
      </c>
      <c r="C412" s="8">
        <f>10.1526 * CHOOSE(CONTROL!$C$15, $D$11, 100%, $F$11)</f>
        <v>10.1526</v>
      </c>
      <c r="D412" s="8">
        <f>10.1362 * CHOOSE( CONTROL!$C$15, $D$11, 100%, $F$11)</f>
        <v>10.136200000000001</v>
      </c>
      <c r="E412" s="12">
        <f>10.1411 * CHOOSE( CONTROL!$C$15, $D$11, 100%, $F$11)</f>
        <v>10.1411</v>
      </c>
      <c r="F412" s="4">
        <f>11.139 * CHOOSE(CONTROL!$C$15, $D$11, 100%, $F$11)</f>
        <v>11.138999999999999</v>
      </c>
      <c r="G412" s="8">
        <f>9.8978 * CHOOSE( CONTROL!$C$15, $D$11, 100%, $F$11)</f>
        <v>9.8978000000000002</v>
      </c>
      <c r="H412" s="4">
        <f>10.7817 * CHOOSE(CONTROL!$C$15, $D$11, 100%, $F$11)</f>
        <v>10.781700000000001</v>
      </c>
      <c r="I412" s="8">
        <f>9.8205 * CHOOSE(CONTROL!$C$15, $D$11, 100%, $F$11)</f>
        <v>9.8204999999999991</v>
      </c>
      <c r="J412" s="4">
        <f>9.7135 * CHOOSE(CONTROL!$C$15, $D$11, 100%, $F$11)</f>
        <v>9.7134999999999998</v>
      </c>
      <c r="K412" s="4"/>
      <c r="L412" s="9">
        <v>27.3993</v>
      </c>
      <c r="M412" s="9">
        <v>12.063700000000001</v>
      </c>
      <c r="N412" s="9">
        <v>4.9444999999999997</v>
      </c>
      <c r="O412" s="9">
        <v>0.37459999999999999</v>
      </c>
      <c r="P412" s="9">
        <v>1.2939000000000001</v>
      </c>
      <c r="Q412" s="9">
        <v>20.201499999999999</v>
      </c>
      <c r="R412" s="9"/>
      <c r="S412" s="11"/>
    </row>
    <row r="413" spans="1:19" ht="15.75">
      <c r="A413" s="13">
        <v>54454</v>
      </c>
      <c r="B413" s="8">
        <f>10.5296 * CHOOSE(CONTROL!$C$15, $D$11, 100%, $F$11)</f>
        <v>10.5296</v>
      </c>
      <c r="C413" s="8">
        <f>10.5401 * CHOOSE(CONTROL!$C$15, $D$11, 100%, $F$11)</f>
        <v>10.540100000000001</v>
      </c>
      <c r="D413" s="8">
        <f>10.5386 * CHOOSE( CONTROL!$C$15, $D$11, 100%, $F$11)</f>
        <v>10.538600000000001</v>
      </c>
      <c r="E413" s="12">
        <f>10.538 * CHOOSE( CONTROL!$C$15, $D$11, 100%, $F$11)</f>
        <v>10.538</v>
      </c>
      <c r="F413" s="4">
        <f>11.5525 * CHOOSE(CONTROL!$C$15, $D$11, 100%, $F$11)</f>
        <v>11.5525</v>
      </c>
      <c r="G413" s="8">
        <f>10.2923 * CHOOSE( CONTROL!$C$15, $D$11, 100%, $F$11)</f>
        <v>10.292299999999999</v>
      </c>
      <c r="H413" s="4">
        <f>11.1848 * CHOOSE(CONTROL!$C$15, $D$11, 100%, $F$11)</f>
        <v>11.184799999999999</v>
      </c>
      <c r="I413" s="8">
        <f>10.1984 * CHOOSE(CONTROL!$C$15, $D$11, 100%, $F$11)</f>
        <v>10.198399999999999</v>
      </c>
      <c r="J413" s="4">
        <f>10.0847 * CHOOSE(CONTROL!$C$15, $D$11, 100%, $F$11)</f>
        <v>10.0847</v>
      </c>
      <c r="K413" s="4"/>
      <c r="L413" s="9">
        <v>27.3993</v>
      </c>
      <c r="M413" s="9">
        <v>12.063700000000001</v>
      </c>
      <c r="N413" s="9">
        <v>4.9444999999999997</v>
      </c>
      <c r="O413" s="9">
        <v>0.37459999999999999</v>
      </c>
      <c r="P413" s="9">
        <v>1.2939000000000001</v>
      </c>
      <c r="Q413" s="9">
        <v>20.136399999999998</v>
      </c>
      <c r="R413" s="9"/>
      <c r="S413" s="11"/>
    </row>
    <row r="414" spans="1:19" ht="15.75">
      <c r="A414" s="13">
        <v>54482</v>
      </c>
      <c r="B414" s="8">
        <f>9.8492 * CHOOSE(CONTROL!$C$15, $D$11, 100%, $F$11)</f>
        <v>9.8491999999999997</v>
      </c>
      <c r="C414" s="8">
        <f>9.8597 * CHOOSE(CONTROL!$C$15, $D$11, 100%, $F$11)</f>
        <v>9.8597000000000001</v>
      </c>
      <c r="D414" s="8">
        <f>9.8605 * CHOOSE( CONTROL!$C$15, $D$11, 100%, $F$11)</f>
        <v>9.8605</v>
      </c>
      <c r="E414" s="12">
        <f>9.8591 * CHOOSE( CONTROL!$C$15, $D$11, 100%, $F$11)</f>
        <v>9.8590999999999998</v>
      </c>
      <c r="F414" s="4">
        <f>10.8643 * CHOOSE(CONTROL!$C$15, $D$11, 100%, $F$11)</f>
        <v>10.8643</v>
      </c>
      <c r="G414" s="8">
        <f>9.6289 * CHOOSE( CONTROL!$C$15, $D$11, 100%, $F$11)</f>
        <v>9.6288999999999998</v>
      </c>
      <c r="H414" s="4">
        <f>10.514 * CHOOSE(CONTROL!$C$15, $D$11, 100%, $F$11)</f>
        <v>10.513999999999999</v>
      </c>
      <c r="I414" s="8">
        <f>9.5351 * CHOOSE(CONTROL!$C$15, $D$11, 100%, $F$11)</f>
        <v>9.5350999999999999</v>
      </c>
      <c r="J414" s="4">
        <f>9.4328 * CHOOSE(CONTROL!$C$15, $D$11, 100%, $F$11)</f>
        <v>9.4328000000000003</v>
      </c>
      <c r="K414" s="4"/>
      <c r="L414" s="9">
        <v>24.747800000000002</v>
      </c>
      <c r="M414" s="9">
        <v>10.8962</v>
      </c>
      <c r="N414" s="9">
        <v>4.4660000000000002</v>
      </c>
      <c r="O414" s="9">
        <v>0.33829999999999999</v>
      </c>
      <c r="P414" s="9">
        <v>1.1687000000000001</v>
      </c>
      <c r="Q414" s="9">
        <v>18.1877</v>
      </c>
      <c r="R414" s="9"/>
      <c r="S414" s="11"/>
    </row>
    <row r="415" spans="1:19" ht="15.75">
      <c r="A415" s="13">
        <v>54513</v>
      </c>
      <c r="B415" s="8">
        <f>9.6397 * CHOOSE(CONTROL!$C$15, $D$11, 100%, $F$11)</f>
        <v>9.6396999999999995</v>
      </c>
      <c r="C415" s="8">
        <f>9.6501 * CHOOSE(CONTROL!$C$15, $D$11, 100%, $F$11)</f>
        <v>9.6501000000000001</v>
      </c>
      <c r="D415" s="8">
        <f>9.6306 * CHOOSE( CONTROL!$C$15, $D$11, 100%, $F$11)</f>
        <v>9.6305999999999994</v>
      </c>
      <c r="E415" s="12">
        <f>9.6366 * CHOOSE( CONTROL!$C$15, $D$11, 100%, $F$11)</f>
        <v>9.6365999999999996</v>
      </c>
      <c r="F415" s="4">
        <f>10.6386 * CHOOSE(CONTROL!$C$15, $D$11, 100%, $F$11)</f>
        <v>10.6386</v>
      </c>
      <c r="G415" s="8">
        <f>9.4039 * CHOOSE( CONTROL!$C$15, $D$11, 100%, $F$11)</f>
        <v>9.4039000000000001</v>
      </c>
      <c r="H415" s="4">
        <f>10.2939 * CHOOSE(CONTROL!$C$15, $D$11, 100%, $F$11)</f>
        <v>10.293900000000001</v>
      </c>
      <c r="I415" s="8">
        <f>9.2947 * CHOOSE(CONTROL!$C$15, $D$11, 100%, $F$11)</f>
        <v>9.2947000000000006</v>
      </c>
      <c r="J415" s="4">
        <f>9.232 * CHOOSE(CONTROL!$C$15, $D$11, 100%, $F$11)</f>
        <v>9.2319999999999993</v>
      </c>
      <c r="K415" s="4"/>
      <c r="L415" s="9">
        <v>27.3993</v>
      </c>
      <c r="M415" s="9">
        <v>12.063700000000001</v>
      </c>
      <c r="N415" s="9">
        <v>4.9444999999999997</v>
      </c>
      <c r="O415" s="9">
        <v>0.37459999999999999</v>
      </c>
      <c r="P415" s="9">
        <v>1.2939000000000001</v>
      </c>
      <c r="Q415" s="9">
        <v>20.136399999999998</v>
      </c>
      <c r="R415" s="9"/>
      <c r="S415" s="11"/>
    </row>
    <row r="416" spans="1:19" ht="15.75">
      <c r="A416" s="13">
        <v>54543</v>
      </c>
      <c r="B416" s="8">
        <f>9.7861 * CHOOSE(CONTROL!$C$15, $D$11, 100%, $F$11)</f>
        <v>9.7860999999999994</v>
      </c>
      <c r="C416" s="8">
        <f>9.7965 * CHOOSE(CONTROL!$C$15, $D$11, 100%, $F$11)</f>
        <v>9.7965</v>
      </c>
      <c r="D416" s="8">
        <f>9.8004 * CHOOSE( CONTROL!$C$15, $D$11, 100%, $F$11)</f>
        <v>9.8003999999999998</v>
      </c>
      <c r="E416" s="12">
        <f>9.7979 * CHOOSE( CONTROL!$C$15, $D$11, 100%, $F$11)</f>
        <v>9.7979000000000003</v>
      </c>
      <c r="F416" s="4">
        <f>10.7934 * CHOOSE(CONTROL!$C$15, $D$11, 100%, $F$11)</f>
        <v>10.7934</v>
      </c>
      <c r="G416" s="8">
        <f>9.5346 * CHOOSE( CONTROL!$C$15, $D$11, 100%, $F$11)</f>
        <v>9.5345999999999993</v>
      </c>
      <c r="H416" s="4">
        <f>10.4448 * CHOOSE(CONTROL!$C$15, $D$11, 100%, $F$11)</f>
        <v>10.444800000000001</v>
      </c>
      <c r="I416" s="8">
        <f>9.4252 * CHOOSE(CONTROL!$C$15, $D$11, 100%, $F$11)</f>
        <v>9.4252000000000002</v>
      </c>
      <c r="J416" s="4">
        <f>9.3723 * CHOOSE(CONTROL!$C$15, $D$11, 100%, $F$11)</f>
        <v>9.3722999999999992</v>
      </c>
      <c r="K416" s="4"/>
      <c r="L416" s="9">
        <v>27.988800000000001</v>
      </c>
      <c r="M416" s="9">
        <v>11.6745</v>
      </c>
      <c r="N416" s="9">
        <v>4.7850000000000001</v>
      </c>
      <c r="O416" s="9">
        <v>0.36249999999999999</v>
      </c>
      <c r="P416" s="9">
        <v>1.1798</v>
      </c>
      <c r="Q416" s="9">
        <v>19.486799999999999</v>
      </c>
      <c r="R416" s="9"/>
      <c r="S416" s="11"/>
    </row>
    <row r="417" spans="1:19" ht="15.75">
      <c r="A417" s="13">
        <v>54574</v>
      </c>
      <c r="B417" s="8">
        <f>CHOOSE( CONTROL!$C$32, 10.0517, 10.0467) * CHOOSE(CONTROL!$C$15, $D$11, 100%, $F$11)</f>
        <v>10.0517</v>
      </c>
      <c r="C417" s="8">
        <f>CHOOSE( CONTROL!$C$32, 10.0621, 10.0572) * CHOOSE(CONTROL!$C$15, $D$11, 100%, $F$11)</f>
        <v>10.062099999999999</v>
      </c>
      <c r="D417" s="8">
        <f>CHOOSE( CONTROL!$C$32, 10.0407, 10.0358) * CHOOSE( CONTROL!$C$15, $D$11, 100%, $F$11)</f>
        <v>10.040699999999999</v>
      </c>
      <c r="E417" s="12">
        <f>CHOOSE( CONTROL!$C$32, 10.0469, 10.042) * CHOOSE( CONTROL!$C$15, $D$11, 100%, $F$11)</f>
        <v>10.046900000000001</v>
      </c>
      <c r="F417" s="4">
        <f>CHOOSE( CONTROL!$C$32, 11.0266, 11.0216) * CHOOSE(CONTROL!$C$15, $D$11, 100%, $F$11)</f>
        <v>11.0266</v>
      </c>
      <c r="G417" s="8">
        <f>CHOOSE( CONTROL!$C$32, 9.7749, 9.7701) * CHOOSE( CONTROL!$C$15, $D$11, 100%, $F$11)</f>
        <v>9.7749000000000006</v>
      </c>
      <c r="H417" s="4">
        <f>CHOOSE( CONTROL!$C$32, 10.6721, 10.6673) * CHOOSE(CONTROL!$C$15, $D$11, 100%, $F$11)</f>
        <v>10.6721</v>
      </c>
      <c r="I417" s="8">
        <f>CHOOSE( CONTROL!$C$32, 9.6583, 9.6535) * CHOOSE(CONTROL!$C$15, $D$11, 100%, $F$11)</f>
        <v>9.6583000000000006</v>
      </c>
      <c r="J417" s="4">
        <f>CHOOSE( CONTROL!$C$32, 9.6267, 9.622) * CHOOSE(CONTROL!$C$15, $D$11, 100%, $F$11)</f>
        <v>9.6266999999999996</v>
      </c>
      <c r="K417" s="4"/>
      <c r="L417" s="9">
        <v>29.520499999999998</v>
      </c>
      <c r="M417" s="9">
        <v>12.063700000000001</v>
      </c>
      <c r="N417" s="9">
        <v>4.9444999999999997</v>
      </c>
      <c r="O417" s="9">
        <v>0.37459999999999999</v>
      </c>
      <c r="P417" s="9">
        <v>1.2192000000000001</v>
      </c>
      <c r="Q417" s="9">
        <v>20.136399999999998</v>
      </c>
      <c r="R417" s="9"/>
      <c r="S417" s="11"/>
    </row>
    <row r="418" spans="1:19" ht="15.75">
      <c r="A418" s="13">
        <v>54604</v>
      </c>
      <c r="B418" s="8">
        <f>CHOOSE( CONTROL!$C$32, 9.8902, 9.8853) * CHOOSE(CONTROL!$C$15, $D$11, 100%, $F$11)</f>
        <v>9.8902000000000001</v>
      </c>
      <c r="C418" s="8">
        <f>CHOOSE( CONTROL!$C$32, 9.9006, 9.8957) * CHOOSE(CONTROL!$C$15, $D$11, 100%, $F$11)</f>
        <v>9.9006000000000007</v>
      </c>
      <c r="D418" s="8">
        <f>CHOOSE( CONTROL!$C$32, 9.8927, 9.8878) * CHOOSE( CONTROL!$C$15, $D$11, 100%, $F$11)</f>
        <v>9.8926999999999996</v>
      </c>
      <c r="E418" s="12">
        <f>CHOOSE( CONTROL!$C$32, 9.894, 9.8891) * CHOOSE( CONTROL!$C$15, $D$11, 100%, $F$11)</f>
        <v>9.8940000000000001</v>
      </c>
      <c r="F418" s="4">
        <f>CHOOSE( CONTROL!$C$32, 10.8844, 10.8795) * CHOOSE(CONTROL!$C$15, $D$11, 100%, $F$11)</f>
        <v>10.884399999999999</v>
      </c>
      <c r="G418" s="8">
        <f>CHOOSE( CONTROL!$C$32, 9.6279, 9.6231) * CHOOSE( CONTROL!$C$15, $D$11, 100%, $F$11)</f>
        <v>9.6279000000000003</v>
      </c>
      <c r="H418" s="4">
        <f>CHOOSE( CONTROL!$C$32, 10.5336, 10.5288) * CHOOSE(CONTROL!$C$15, $D$11, 100%, $F$11)</f>
        <v>10.5336</v>
      </c>
      <c r="I418" s="8">
        <f>CHOOSE( CONTROL!$C$32, 9.5213, 9.5166) * CHOOSE(CONTROL!$C$15, $D$11, 100%, $F$11)</f>
        <v>9.5213000000000001</v>
      </c>
      <c r="J418" s="4">
        <f>CHOOSE( CONTROL!$C$32, 9.472, 9.4673) * CHOOSE(CONTROL!$C$15, $D$11, 100%, $F$11)</f>
        <v>9.4719999999999995</v>
      </c>
      <c r="K418" s="4"/>
      <c r="L418" s="9">
        <v>28.568200000000001</v>
      </c>
      <c r="M418" s="9">
        <v>11.6745</v>
      </c>
      <c r="N418" s="9">
        <v>4.7850000000000001</v>
      </c>
      <c r="O418" s="9">
        <v>0.36249999999999999</v>
      </c>
      <c r="P418" s="9">
        <v>1.1798</v>
      </c>
      <c r="Q418" s="9">
        <v>19.486799999999999</v>
      </c>
      <c r="R418" s="9"/>
      <c r="S418" s="11"/>
    </row>
    <row r="419" spans="1:19" ht="15.75">
      <c r="A419" s="13">
        <v>54635</v>
      </c>
      <c r="B419" s="8">
        <f>CHOOSE( CONTROL!$C$32, 10.3154, 10.3104) * CHOOSE(CONTROL!$C$15, $D$11, 100%, $F$11)</f>
        <v>10.3154</v>
      </c>
      <c r="C419" s="8">
        <f>CHOOSE( CONTROL!$C$32, 10.3258, 10.3209) * CHOOSE(CONTROL!$C$15, $D$11, 100%, $F$11)</f>
        <v>10.325799999999999</v>
      </c>
      <c r="D419" s="8">
        <f>CHOOSE( CONTROL!$C$32, 10.3248, 10.3199) * CHOOSE( CONTROL!$C$15, $D$11, 100%, $F$11)</f>
        <v>10.3248</v>
      </c>
      <c r="E419" s="12">
        <f>CHOOSE( CONTROL!$C$32, 10.3236, 10.3187) * CHOOSE( CONTROL!$C$15, $D$11, 100%, $F$11)</f>
        <v>10.323600000000001</v>
      </c>
      <c r="F419" s="4">
        <f>CHOOSE( CONTROL!$C$32, 11.32, 11.3151) * CHOOSE(CONTROL!$C$15, $D$11, 100%, $F$11)</f>
        <v>11.32</v>
      </c>
      <c r="G419" s="8">
        <f>CHOOSE( CONTROL!$C$32, 10.0465, 10.0417) * CHOOSE( CONTROL!$C$15, $D$11, 100%, $F$11)</f>
        <v>10.0465</v>
      </c>
      <c r="H419" s="4">
        <f>CHOOSE( CONTROL!$C$32, 10.9582, 10.9534) * CHOOSE(CONTROL!$C$15, $D$11, 100%, $F$11)</f>
        <v>10.9582</v>
      </c>
      <c r="I419" s="8">
        <f>CHOOSE( CONTROL!$C$32, 9.9365, 9.9318) * CHOOSE(CONTROL!$C$15, $D$11, 100%, $F$11)</f>
        <v>9.9365000000000006</v>
      </c>
      <c r="J419" s="4">
        <f>CHOOSE( CONTROL!$C$32, 9.8794, 9.8747) * CHOOSE(CONTROL!$C$15, $D$11, 100%, $F$11)</f>
        <v>9.8794000000000004</v>
      </c>
      <c r="K419" s="4"/>
      <c r="L419" s="9">
        <v>29.520499999999998</v>
      </c>
      <c r="M419" s="9">
        <v>12.063700000000001</v>
      </c>
      <c r="N419" s="9">
        <v>4.9444999999999997</v>
      </c>
      <c r="O419" s="9">
        <v>0.37459999999999999</v>
      </c>
      <c r="P419" s="9">
        <v>1.2192000000000001</v>
      </c>
      <c r="Q419" s="9">
        <v>20.136399999999998</v>
      </c>
      <c r="R419" s="9"/>
      <c r="S419" s="11"/>
    </row>
    <row r="420" spans="1:19" ht="15.75">
      <c r="A420" s="13">
        <v>54666</v>
      </c>
      <c r="B420" s="8">
        <f>CHOOSE( CONTROL!$C$32, 9.5199, 9.5149) * CHOOSE(CONTROL!$C$15, $D$11, 100%, $F$11)</f>
        <v>9.5198999999999998</v>
      </c>
      <c r="C420" s="8">
        <f>CHOOSE( CONTROL!$C$32, 9.5303, 9.5254) * CHOOSE(CONTROL!$C$15, $D$11, 100%, $F$11)</f>
        <v>9.5303000000000004</v>
      </c>
      <c r="D420" s="8">
        <f>CHOOSE( CONTROL!$C$32, 9.5305, 9.5255) * CHOOSE( CONTROL!$C$15, $D$11, 100%, $F$11)</f>
        <v>9.5305</v>
      </c>
      <c r="E420" s="12">
        <f>CHOOSE( CONTROL!$C$32, 9.5288, 9.5239) * CHOOSE( CONTROL!$C$15, $D$11, 100%, $F$11)</f>
        <v>9.5288000000000004</v>
      </c>
      <c r="F420" s="4">
        <f>CHOOSE( CONTROL!$C$32, 10.5323, 10.5274) * CHOOSE(CONTROL!$C$15, $D$11, 100%, $F$11)</f>
        <v>10.532299999999999</v>
      </c>
      <c r="G420" s="8">
        <f>CHOOSE( CONTROL!$C$32, 9.2662, 9.2614) * CHOOSE( CONTROL!$C$15, $D$11, 100%, $F$11)</f>
        <v>9.2661999999999995</v>
      </c>
      <c r="H420" s="4">
        <f>CHOOSE( CONTROL!$C$32, 10.1904, 10.1856) * CHOOSE(CONTROL!$C$15, $D$11, 100%, $F$11)</f>
        <v>10.1904</v>
      </c>
      <c r="I420" s="8">
        <f>CHOOSE( CONTROL!$C$32, 9.1649, 9.1601) * CHOOSE(CONTROL!$C$15, $D$11, 100%, $F$11)</f>
        <v>9.1648999999999994</v>
      </c>
      <c r="J420" s="4">
        <f>CHOOSE( CONTROL!$C$32, 9.1172, 9.1124) * CHOOSE(CONTROL!$C$15, $D$11, 100%, $F$11)</f>
        <v>9.1172000000000004</v>
      </c>
      <c r="K420" s="4"/>
      <c r="L420" s="9">
        <v>29.520499999999998</v>
      </c>
      <c r="M420" s="9">
        <v>12.063700000000001</v>
      </c>
      <c r="N420" s="9">
        <v>4.9444999999999997</v>
      </c>
      <c r="O420" s="9">
        <v>0.37459999999999999</v>
      </c>
      <c r="P420" s="9">
        <v>1.2192000000000001</v>
      </c>
      <c r="Q420" s="9">
        <v>20.136399999999998</v>
      </c>
      <c r="R420" s="9"/>
      <c r="S420" s="11"/>
    </row>
    <row r="421" spans="1:19" ht="15.75">
      <c r="A421" s="13">
        <v>54696</v>
      </c>
      <c r="B421" s="8">
        <f>CHOOSE( CONTROL!$C$32, 9.3207, 9.3157) * CHOOSE(CONTROL!$C$15, $D$11, 100%, $F$11)</f>
        <v>9.3207000000000004</v>
      </c>
      <c r="C421" s="8">
        <f>CHOOSE( CONTROL!$C$32, 9.3311, 9.3262) * CHOOSE(CONTROL!$C$15, $D$11, 100%, $F$11)</f>
        <v>9.3310999999999993</v>
      </c>
      <c r="D421" s="8">
        <f>CHOOSE( CONTROL!$C$32, 9.3315, 9.3266) * CHOOSE( CONTROL!$C$15, $D$11, 100%, $F$11)</f>
        <v>9.3315000000000001</v>
      </c>
      <c r="E421" s="12">
        <f>CHOOSE( CONTROL!$C$32, 9.3298, 9.3249) * CHOOSE( CONTROL!$C$15, $D$11, 100%, $F$11)</f>
        <v>9.3298000000000005</v>
      </c>
      <c r="F421" s="4">
        <f>CHOOSE( CONTROL!$C$32, 10.3331, 10.3282) * CHOOSE(CONTROL!$C$15, $D$11, 100%, $F$11)</f>
        <v>10.3331</v>
      </c>
      <c r="G421" s="8">
        <f>CHOOSE( CONTROL!$C$32, 9.0724, 9.0676) * CHOOSE( CONTROL!$C$15, $D$11, 100%, $F$11)</f>
        <v>9.0724</v>
      </c>
      <c r="H421" s="4">
        <f>CHOOSE( CONTROL!$C$32, 9.9962, 9.9914) * CHOOSE(CONTROL!$C$15, $D$11, 100%, $F$11)</f>
        <v>9.9962</v>
      </c>
      <c r="I421" s="8">
        <f>CHOOSE( CONTROL!$C$32, 8.9753, 8.9706) * CHOOSE(CONTROL!$C$15, $D$11, 100%, $F$11)</f>
        <v>8.9753000000000007</v>
      </c>
      <c r="J421" s="4">
        <f>CHOOSE( CONTROL!$C$32, 8.9263, 8.9216) * CHOOSE(CONTROL!$C$15, $D$11, 100%, $F$11)</f>
        <v>8.9262999999999995</v>
      </c>
      <c r="K421" s="4"/>
      <c r="L421" s="9">
        <v>28.568200000000001</v>
      </c>
      <c r="M421" s="9">
        <v>11.6745</v>
      </c>
      <c r="N421" s="9">
        <v>4.7850000000000001</v>
      </c>
      <c r="O421" s="9">
        <v>0.36249999999999999</v>
      </c>
      <c r="P421" s="9">
        <v>1.1798</v>
      </c>
      <c r="Q421" s="9">
        <v>19.486799999999999</v>
      </c>
      <c r="R421" s="9"/>
      <c r="S421" s="11"/>
    </row>
    <row r="422" spans="1:19" ht="15.75">
      <c r="A422" s="13">
        <v>54727</v>
      </c>
      <c r="B422" s="8">
        <f>9.7293 * CHOOSE(CONTROL!$C$15, $D$11, 100%, $F$11)</f>
        <v>9.7293000000000003</v>
      </c>
      <c r="C422" s="8">
        <f>9.7398 * CHOOSE(CONTROL!$C$15, $D$11, 100%, $F$11)</f>
        <v>9.7398000000000007</v>
      </c>
      <c r="D422" s="8">
        <f>9.7414 * CHOOSE( CONTROL!$C$15, $D$11, 100%, $F$11)</f>
        <v>9.7414000000000005</v>
      </c>
      <c r="E422" s="12">
        <f>9.7398 * CHOOSE( CONTROL!$C$15, $D$11, 100%, $F$11)</f>
        <v>9.7398000000000007</v>
      </c>
      <c r="F422" s="4">
        <f>10.7418 * CHOOSE(CONTROL!$C$15, $D$11, 100%, $F$11)</f>
        <v>10.7418</v>
      </c>
      <c r="G422" s="8">
        <f>9.4705 * CHOOSE( CONTROL!$C$15, $D$11, 100%, $F$11)</f>
        <v>9.4704999999999995</v>
      </c>
      <c r="H422" s="4">
        <f>10.3946 * CHOOSE(CONTROL!$C$15, $D$11, 100%, $F$11)</f>
        <v>10.394600000000001</v>
      </c>
      <c r="I422" s="8">
        <f>9.3694 * CHOOSE(CONTROL!$C$15, $D$11, 100%, $F$11)</f>
        <v>9.3694000000000006</v>
      </c>
      <c r="J422" s="4">
        <f>9.3179 * CHOOSE(CONTROL!$C$15, $D$11, 100%, $F$11)</f>
        <v>9.3178999999999998</v>
      </c>
      <c r="K422" s="4"/>
      <c r="L422" s="9">
        <v>28.921800000000001</v>
      </c>
      <c r="M422" s="9">
        <v>12.063700000000001</v>
      </c>
      <c r="N422" s="9">
        <v>4.9444999999999997</v>
      </c>
      <c r="O422" s="9">
        <v>0.37459999999999999</v>
      </c>
      <c r="P422" s="9">
        <v>1.2192000000000001</v>
      </c>
      <c r="Q422" s="9">
        <v>20.136399999999998</v>
      </c>
      <c r="R422" s="9"/>
      <c r="S422" s="11"/>
    </row>
    <row r="423" spans="1:19" ht="15.75">
      <c r="A423" s="13">
        <v>54757</v>
      </c>
      <c r="B423" s="8">
        <f>10.4928 * CHOOSE(CONTROL!$C$15, $D$11, 100%, $F$11)</f>
        <v>10.492800000000001</v>
      </c>
      <c r="C423" s="8">
        <f>10.5032 * CHOOSE(CONTROL!$C$15, $D$11, 100%, $F$11)</f>
        <v>10.5032</v>
      </c>
      <c r="D423" s="8">
        <f>10.4843 * CHOOSE( CONTROL!$C$15, $D$11, 100%, $F$11)</f>
        <v>10.484299999999999</v>
      </c>
      <c r="E423" s="12">
        <f>10.4901 * CHOOSE( CONTROL!$C$15, $D$11, 100%, $F$11)</f>
        <v>10.4901</v>
      </c>
      <c r="F423" s="4">
        <f>11.4896 * CHOOSE(CONTROL!$C$15, $D$11, 100%, $F$11)</f>
        <v>11.489599999999999</v>
      </c>
      <c r="G423" s="8">
        <f>10.2376 * CHOOSE( CONTROL!$C$15, $D$11, 100%, $F$11)</f>
        <v>10.2376</v>
      </c>
      <c r="H423" s="4">
        <f>11.1235 * CHOOSE(CONTROL!$C$15, $D$11, 100%, $F$11)</f>
        <v>11.1235</v>
      </c>
      <c r="I423" s="8">
        <f>10.1478 * CHOOSE(CONTROL!$C$15, $D$11, 100%, $F$11)</f>
        <v>10.1478</v>
      </c>
      <c r="J423" s="4">
        <f>10.0494 * CHOOSE(CONTROL!$C$15, $D$11, 100%, $F$11)</f>
        <v>10.0494</v>
      </c>
      <c r="K423" s="4"/>
      <c r="L423" s="9">
        <v>26.515499999999999</v>
      </c>
      <c r="M423" s="9">
        <v>11.6745</v>
      </c>
      <c r="N423" s="9">
        <v>4.7850000000000001</v>
      </c>
      <c r="O423" s="9">
        <v>0.36249999999999999</v>
      </c>
      <c r="P423" s="9">
        <v>1.2522</v>
      </c>
      <c r="Q423" s="9">
        <v>19.486799999999999</v>
      </c>
      <c r="R423" s="9"/>
      <c r="S423" s="11"/>
    </row>
    <row r="424" spans="1:19" ht="15.75">
      <c r="A424" s="13">
        <v>54788</v>
      </c>
      <c r="B424" s="8">
        <f>10.4737 * CHOOSE(CONTROL!$C$15, $D$11, 100%, $F$11)</f>
        <v>10.473699999999999</v>
      </c>
      <c r="C424" s="8">
        <f>10.4841 * CHOOSE(CONTROL!$C$15, $D$11, 100%, $F$11)</f>
        <v>10.4841</v>
      </c>
      <c r="D424" s="8">
        <f>10.4678 * CHOOSE( CONTROL!$C$15, $D$11, 100%, $F$11)</f>
        <v>10.4678</v>
      </c>
      <c r="E424" s="12">
        <f>10.4727 * CHOOSE( CONTROL!$C$15, $D$11, 100%, $F$11)</f>
        <v>10.4727</v>
      </c>
      <c r="F424" s="4">
        <f>11.4705 * CHOOSE(CONTROL!$C$15, $D$11, 100%, $F$11)</f>
        <v>11.470499999999999</v>
      </c>
      <c r="G424" s="8">
        <f>10.221 * CHOOSE( CONTROL!$C$15, $D$11, 100%, $F$11)</f>
        <v>10.221</v>
      </c>
      <c r="H424" s="4">
        <f>11.1049 * CHOOSE(CONTROL!$C$15, $D$11, 100%, $F$11)</f>
        <v>11.104900000000001</v>
      </c>
      <c r="I424" s="8">
        <f>10.1383 * CHOOSE(CONTROL!$C$15, $D$11, 100%, $F$11)</f>
        <v>10.138299999999999</v>
      </c>
      <c r="J424" s="4">
        <f>10.0312 * CHOOSE(CONTROL!$C$15, $D$11, 100%, $F$11)</f>
        <v>10.0312</v>
      </c>
      <c r="K424" s="4"/>
      <c r="L424" s="9">
        <v>27.3993</v>
      </c>
      <c r="M424" s="9">
        <v>12.063700000000001</v>
      </c>
      <c r="N424" s="9">
        <v>4.9444999999999997</v>
      </c>
      <c r="O424" s="9">
        <v>0.37459999999999999</v>
      </c>
      <c r="P424" s="9">
        <v>1.2939000000000001</v>
      </c>
      <c r="Q424" s="9">
        <v>20.136399999999998</v>
      </c>
      <c r="R424" s="9"/>
      <c r="S424" s="11"/>
    </row>
    <row r="425" spans="1:19" ht="15.75">
      <c r="A425" s="13">
        <v>54819</v>
      </c>
      <c r="B425" s="8">
        <f>10.8738 * CHOOSE(CONTROL!$C$15, $D$11, 100%, $F$11)</f>
        <v>10.873799999999999</v>
      </c>
      <c r="C425" s="8">
        <f>10.8843 * CHOOSE(CONTROL!$C$15, $D$11, 100%, $F$11)</f>
        <v>10.8843</v>
      </c>
      <c r="D425" s="8">
        <f>10.8828 * CHOOSE( CONTROL!$C$15, $D$11, 100%, $F$11)</f>
        <v>10.8828</v>
      </c>
      <c r="E425" s="12">
        <f>10.8822 * CHOOSE( CONTROL!$C$15, $D$11, 100%, $F$11)</f>
        <v>10.882199999999999</v>
      </c>
      <c r="F425" s="4">
        <f>11.8967 * CHOOSE(CONTROL!$C$15, $D$11, 100%, $F$11)</f>
        <v>11.896699999999999</v>
      </c>
      <c r="G425" s="8">
        <f>10.6278 * CHOOSE( CONTROL!$C$15, $D$11, 100%, $F$11)</f>
        <v>10.627800000000001</v>
      </c>
      <c r="H425" s="4">
        <f>11.5203 * CHOOSE(CONTROL!$C$15, $D$11, 100%, $F$11)</f>
        <v>11.520300000000001</v>
      </c>
      <c r="I425" s="8">
        <f>10.5283 * CHOOSE(CONTROL!$C$15, $D$11, 100%, $F$11)</f>
        <v>10.5283</v>
      </c>
      <c r="J425" s="4">
        <f>10.4145 * CHOOSE(CONTROL!$C$15, $D$11, 100%, $F$11)</f>
        <v>10.4145</v>
      </c>
      <c r="K425" s="4"/>
      <c r="L425" s="9">
        <v>27.3993</v>
      </c>
      <c r="M425" s="9">
        <v>12.063700000000001</v>
      </c>
      <c r="N425" s="9">
        <v>4.9444999999999997</v>
      </c>
      <c r="O425" s="9">
        <v>0.37459999999999999</v>
      </c>
      <c r="P425" s="9">
        <v>1.2939000000000001</v>
      </c>
      <c r="Q425" s="9">
        <v>20.071300000000001</v>
      </c>
      <c r="R425" s="9"/>
      <c r="S425" s="11"/>
    </row>
    <row r="426" spans="1:19" ht="15.75">
      <c r="A426" s="13">
        <v>54847</v>
      </c>
      <c r="B426" s="8">
        <f>10.1712 * CHOOSE(CONTROL!$C$15, $D$11, 100%, $F$11)</f>
        <v>10.171200000000001</v>
      </c>
      <c r="C426" s="8">
        <f>10.1816 * CHOOSE(CONTROL!$C$15, $D$11, 100%, $F$11)</f>
        <v>10.1816</v>
      </c>
      <c r="D426" s="8">
        <f>10.1824 * CHOOSE( CONTROL!$C$15, $D$11, 100%, $F$11)</f>
        <v>10.182399999999999</v>
      </c>
      <c r="E426" s="12">
        <f>10.181 * CHOOSE( CONTROL!$C$15, $D$11, 100%, $F$11)</f>
        <v>10.180999999999999</v>
      </c>
      <c r="F426" s="4">
        <f>11.1862 * CHOOSE(CONTROL!$C$15, $D$11, 100%, $F$11)</f>
        <v>11.186199999999999</v>
      </c>
      <c r="G426" s="8">
        <f>9.9427 * CHOOSE( CONTROL!$C$15, $D$11, 100%, $F$11)</f>
        <v>9.9427000000000003</v>
      </c>
      <c r="H426" s="4">
        <f>10.8278 * CHOOSE(CONTROL!$C$15, $D$11, 100%, $F$11)</f>
        <v>10.8278</v>
      </c>
      <c r="I426" s="8">
        <f>9.8438 * CHOOSE(CONTROL!$C$15, $D$11, 100%, $F$11)</f>
        <v>9.8437999999999999</v>
      </c>
      <c r="J426" s="4">
        <f>9.7413 * CHOOSE(CONTROL!$C$15, $D$11, 100%, $F$11)</f>
        <v>9.7413000000000007</v>
      </c>
      <c r="K426" s="4"/>
      <c r="L426" s="9">
        <v>24.747800000000002</v>
      </c>
      <c r="M426" s="9">
        <v>10.8962</v>
      </c>
      <c r="N426" s="9">
        <v>4.4660000000000002</v>
      </c>
      <c r="O426" s="9">
        <v>0.33829999999999999</v>
      </c>
      <c r="P426" s="9">
        <v>1.1687000000000001</v>
      </c>
      <c r="Q426" s="9">
        <v>18.128900000000002</v>
      </c>
      <c r="R426" s="9"/>
      <c r="S426" s="11"/>
    </row>
    <row r="427" spans="1:19" ht="15.75">
      <c r="A427" s="13">
        <v>54878</v>
      </c>
      <c r="B427" s="8">
        <f>9.9548 * CHOOSE(CONTROL!$C$15, $D$11, 100%, $F$11)</f>
        <v>9.9548000000000005</v>
      </c>
      <c r="C427" s="8">
        <f>9.9652 * CHOOSE(CONTROL!$C$15, $D$11, 100%, $F$11)</f>
        <v>9.9651999999999994</v>
      </c>
      <c r="D427" s="8">
        <f>9.9457 * CHOOSE( CONTROL!$C$15, $D$11, 100%, $F$11)</f>
        <v>9.9457000000000004</v>
      </c>
      <c r="E427" s="12">
        <f>9.9517 * CHOOSE( CONTROL!$C$15, $D$11, 100%, $F$11)</f>
        <v>9.9517000000000007</v>
      </c>
      <c r="F427" s="4">
        <f>10.9537 * CHOOSE(CONTROL!$C$15, $D$11, 100%, $F$11)</f>
        <v>10.9537</v>
      </c>
      <c r="G427" s="8">
        <f>9.7111 * CHOOSE( CONTROL!$C$15, $D$11, 100%, $F$11)</f>
        <v>9.7111000000000001</v>
      </c>
      <c r="H427" s="4">
        <f>10.6011 * CHOOSE(CONTROL!$C$15, $D$11, 100%, $F$11)</f>
        <v>10.601100000000001</v>
      </c>
      <c r="I427" s="8">
        <f>9.5968 * CHOOSE(CONTROL!$C$15, $D$11, 100%, $F$11)</f>
        <v>9.5968</v>
      </c>
      <c r="J427" s="4">
        <f>9.5339 * CHOOSE(CONTROL!$C$15, $D$11, 100%, $F$11)</f>
        <v>9.5338999999999992</v>
      </c>
      <c r="K427" s="4"/>
      <c r="L427" s="9">
        <v>27.3993</v>
      </c>
      <c r="M427" s="9">
        <v>12.063700000000001</v>
      </c>
      <c r="N427" s="9">
        <v>4.9444999999999997</v>
      </c>
      <c r="O427" s="9">
        <v>0.37459999999999999</v>
      </c>
      <c r="P427" s="9">
        <v>1.2939000000000001</v>
      </c>
      <c r="Q427" s="9">
        <v>20.071300000000001</v>
      </c>
      <c r="R427" s="9"/>
      <c r="S427" s="11"/>
    </row>
    <row r="428" spans="1:19" ht="15.75">
      <c r="A428" s="13">
        <v>54908</v>
      </c>
      <c r="B428" s="8">
        <f>10.106 * CHOOSE(CONTROL!$C$15, $D$11, 100%, $F$11)</f>
        <v>10.106</v>
      </c>
      <c r="C428" s="8">
        <f>10.1164 * CHOOSE(CONTROL!$C$15, $D$11, 100%, $F$11)</f>
        <v>10.116400000000001</v>
      </c>
      <c r="D428" s="8">
        <f>10.1203 * CHOOSE( CONTROL!$C$15, $D$11, 100%, $F$11)</f>
        <v>10.1203</v>
      </c>
      <c r="E428" s="12">
        <f>10.1178 * CHOOSE( CONTROL!$C$15, $D$11, 100%, $F$11)</f>
        <v>10.117800000000001</v>
      </c>
      <c r="F428" s="4">
        <f>11.1132 * CHOOSE(CONTROL!$C$15, $D$11, 100%, $F$11)</f>
        <v>11.113200000000001</v>
      </c>
      <c r="G428" s="8">
        <f>9.8464 * CHOOSE( CONTROL!$C$15, $D$11, 100%, $F$11)</f>
        <v>9.8463999999999992</v>
      </c>
      <c r="H428" s="4">
        <f>10.7566 * CHOOSE(CONTROL!$C$15, $D$11, 100%, $F$11)</f>
        <v>10.756600000000001</v>
      </c>
      <c r="I428" s="8">
        <f>9.7319 * CHOOSE(CONTROL!$C$15, $D$11, 100%, $F$11)</f>
        <v>9.7318999999999996</v>
      </c>
      <c r="J428" s="4">
        <f>9.6788 * CHOOSE(CONTROL!$C$15, $D$11, 100%, $F$11)</f>
        <v>9.6788000000000007</v>
      </c>
      <c r="K428" s="4"/>
      <c r="L428" s="9">
        <v>27.988800000000001</v>
      </c>
      <c r="M428" s="9">
        <v>11.6745</v>
      </c>
      <c r="N428" s="9">
        <v>4.7850000000000001</v>
      </c>
      <c r="O428" s="9">
        <v>0.36249999999999999</v>
      </c>
      <c r="P428" s="9">
        <v>1.1798</v>
      </c>
      <c r="Q428" s="9">
        <v>19.4238</v>
      </c>
      <c r="R428" s="9"/>
      <c r="S428" s="11"/>
    </row>
    <row r="429" spans="1:19" ht="15.75">
      <c r="A429" s="13">
        <v>54939</v>
      </c>
      <c r="B429" s="8">
        <f>CHOOSE( CONTROL!$C$32, 10.3801, 10.3751) * CHOOSE(CONTROL!$C$15, $D$11, 100%, $F$11)</f>
        <v>10.380100000000001</v>
      </c>
      <c r="C429" s="8">
        <f>CHOOSE( CONTROL!$C$32, 10.3905, 10.3856) * CHOOSE(CONTROL!$C$15, $D$11, 100%, $F$11)</f>
        <v>10.390499999999999</v>
      </c>
      <c r="D429" s="8">
        <f>CHOOSE( CONTROL!$C$32, 10.3691, 10.3642) * CHOOSE( CONTROL!$C$15, $D$11, 100%, $F$11)</f>
        <v>10.3691</v>
      </c>
      <c r="E429" s="12">
        <f>CHOOSE( CONTROL!$C$32, 10.3753, 10.3704) * CHOOSE( CONTROL!$C$15, $D$11, 100%, $F$11)</f>
        <v>10.375299999999999</v>
      </c>
      <c r="F429" s="4">
        <f>CHOOSE( CONTROL!$C$32, 11.355, 11.35) * CHOOSE(CONTROL!$C$15, $D$11, 100%, $F$11)</f>
        <v>11.355</v>
      </c>
      <c r="G429" s="8">
        <f>CHOOSE( CONTROL!$C$32, 10.095, 10.0902) * CHOOSE( CONTROL!$C$15, $D$11, 100%, $F$11)</f>
        <v>10.095000000000001</v>
      </c>
      <c r="H429" s="4">
        <f>CHOOSE( CONTROL!$C$32, 10.9922, 10.9874) * CHOOSE(CONTROL!$C$15, $D$11, 100%, $F$11)</f>
        <v>10.9922</v>
      </c>
      <c r="I429" s="8">
        <f>CHOOSE( CONTROL!$C$32, 9.9731, 9.9684) * CHOOSE(CONTROL!$C$15, $D$11, 100%, $F$11)</f>
        <v>9.9731000000000005</v>
      </c>
      <c r="J429" s="4">
        <f>CHOOSE( CONTROL!$C$32, 9.9414, 9.9367) * CHOOSE(CONTROL!$C$15, $D$11, 100%, $F$11)</f>
        <v>9.9413999999999998</v>
      </c>
      <c r="K429" s="4"/>
      <c r="L429" s="9">
        <v>29.520499999999998</v>
      </c>
      <c r="M429" s="9">
        <v>12.063700000000001</v>
      </c>
      <c r="N429" s="9">
        <v>4.9444999999999997</v>
      </c>
      <c r="O429" s="9">
        <v>0.37459999999999999</v>
      </c>
      <c r="P429" s="9">
        <v>1.2192000000000001</v>
      </c>
      <c r="Q429" s="9">
        <v>20.071300000000001</v>
      </c>
      <c r="R429" s="9"/>
      <c r="S429" s="11"/>
    </row>
    <row r="430" spans="1:19" ht="15.75">
      <c r="A430" s="13">
        <v>54969</v>
      </c>
      <c r="B430" s="8">
        <f>CHOOSE( CONTROL!$C$32, 10.2133, 10.2084) * CHOOSE(CONTROL!$C$15, $D$11, 100%, $F$11)</f>
        <v>10.2133</v>
      </c>
      <c r="C430" s="8">
        <f>CHOOSE( CONTROL!$C$32, 10.2238, 10.2188) * CHOOSE(CONTROL!$C$15, $D$11, 100%, $F$11)</f>
        <v>10.223800000000001</v>
      </c>
      <c r="D430" s="8">
        <f>CHOOSE( CONTROL!$C$32, 10.2159, 10.2109) * CHOOSE( CONTROL!$C$15, $D$11, 100%, $F$11)</f>
        <v>10.2159</v>
      </c>
      <c r="E430" s="12">
        <f>CHOOSE( CONTROL!$C$32, 10.2172, 10.2122) * CHOOSE( CONTROL!$C$15, $D$11, 100%, $F$11)</f>
        <v>10.2172</v>
      </c>
      <c r="F430" s="4">
        <f>CHOOSE( CONTROL!$C$32, 11.2075, 11.2026) * CHOOSE(CONTROL!$C$15, $D$11, 100%, $F$11)</f>
        <v>11.2075</v>
      </c>
      <c r="G430" s="8">
        <f>CHOOSE( CONTROL!$C$32, 9.9429, 9.9381) * CHOOSE( CONTROL!$C$15, $D$11, 100%, $F$11)</f>
        <v>9.9428999999999998</v>
      </c>
      <c r="H430" s="4">
        <f>CHOOSE( CONTROL!$C$32, 10.8485, 10.8437) * CHOOSE(CONTROL!$C$15, $D$11, 100%, $F$11)</f>
        <v>10.8485</v>
      </c>
      <c r="I430" s="8">
        <f>CHOOSE( CONTROL!$C$32, 9.8311, 9.8263) * CHOOSE(CONTROL!$C$15, $D$11, 100%, $F$11)</f>
        <v>9.8310999999999993</v>
      </c>
      <c r="J430" s="4">
        <f>CHOOSE( CONTROL!$C$32, 9.7817, 9.7769) * CHOOSE(CONTROL!$C$15, $D$11, 100%, $F$11)</f>
        <v>9.7817000000000007</v>
      </c>
      <c r="K430" s="4"/>
      <c r="L430" s="9">
        <v>28.568200000000001</v>
      </c>
      <c r="M430" s="9">
        <v>11.6745</v>
      </c>
      <c r="N430" s="9">
        <v>4.7850000000000001</v>
      </c>
      <c r="O430" s="9">
        <v>0.36249999999999999</v>
      </c>
      <c r="P430" s="9">
        <v>1.1798</v>
      </c>
      <c r="Q430" s="9">
        <v>19.4238</v>
      </c>
      <c r="R430" s="9"/>
      <c r="S430" s="11"/>
    </row>
    <row r="431" spans="1:19" ht="15.75">
      <c r="A431" s="13">
        <v>55000</v>
      </c>
      <c r="B431" s="8">
        <f>CHOOSE( CONTROL!$C$32, 10.6524, 10.6475) * CHOOSE(CONTROL!$C$15, $D$11, 100%, $F$11)</f>
        <v>10.6524</v>
      </c>
      <c r="C431" s="8">
        <f>CHOOSE( CONTROL!$C$32, 10.6628, 10.6579) * CHOOSE(CONTROL!$C$15, $D$11, 100%, $F$11)</f>
        <v>10.662800000000001</v>
      </c>
      <c r="D431" s="8">
        <f>CHOOSE( CONTROL!$C$32, 10.6618, 10.6569) * CHOOSE( CONTROL!$C$15, $D$11, 100%, $F$11)</f>
        <v>10.661799999999999</v>
      </c>
      <c r="E431" s="12">
        <f>CHOOSE( CONTROL!$C$32, 10.6606, 10.6557) * CHOOSE( CONTROL!$C$15, $D$11, 100%, $F$11)</f>
        <v>10.660600000000001</v>
      </c>
      <c r="F431" s="4">
        <f>CHOOSE( CONTROL!$C$32, 11.657, 11.6521) * CHOOSE(CONTROL!$C$15, $D$11, 100%, $F$11)</f>
        <v>11.657</v>
      </c>
      <c r="G431" s="8">
        <f>CHOOSE( CONTROL!$C$32, 10.375, 10.3702) * CHOOSE( CONTROL!$C$15, $D$11, 100%, $F$11)</f>
        <v>10.375</v>
      </c>
      <c r="H431" s="4">
        <f>CHOOSE( CONTROL!$C$32, 11.2867, 11.2819) * CHOOSE(CONTROL!$C$15, $D$11, 100%, $F$11)</f>
        <v>11.2867</v>
      </c>
      <c r="I431" s="8">
        <f>CHOOSE( CONTROL!$C$32, 10.2596, 10.2549) * CHOOSE(CONTROL!$C$15, $D$11, 100%, $F$11)</f>
        <v>10.259600000000001</v>
      </c>
      <c r="J431" s="4">
        <f>CHOOSE( CONTROL!$C$32, 10.2024, 10.1976) * CHOOSE(CONTROL!$C$15, $D$11, 100%, $F$11)</f>
        <v>10.202400000000001</v>
      </c>
      <c r="K431" s="4"/>
      <c r="L431" s="9">
        <v>29.520499999999998</v>
      </c>
      <c r="M431" s="9">
        <v>12.063700000000001</v>
      </c>
      <c r="N431" s="9">
        <v>4.9444999999999997</v>
      </c>
      <c r="O431" s="9">
        <v>0.37459999999999999</v>
      </c>
      <c r="P431" s="9">
        <v>1.2192000000000001</v>
      </c>
      <c r="Q431" s="9">
        <v>20.071300000000001</v>
      </c>
      <c r="R431" s="9"/>
      <c r="S431" s="11"/>
    </row>
    <row r="432" spans="1:19" ht="15.75">
      <c r="A432" s="13">
        <v>55031</v>
      </c>
      <c r="B432" s="8">
        <f>CHOOSE( CONTROL!$C$32, 9.8309, 9.8259) * CHOOSE(CONTROL!$C$15, $D$11, 100%, $F$11)</f>
        <v>9.8308999999999997</v>
      </c>
      <c r="C432" s="8">
        <f>CHOOSE( CONTROL!$C$32, 9.8413, 9.8364) * CHOOSE(CONTROL!$C$15, $D$11, 100%, $F$11)</f>
        <v>9.8413000000000004</v>
      </c>
      <c r="D432" s="8">
        <f>CHOOSE( CONTROL!$C$32, 9.8415, 9.8365) * CHOOSE( CONTROL!$C$15, $D$11, 100%, $F$11)</f>
        <v>9.8414999999999999</v>
      </c>
      <c r="E432" s="12">
        <f>CHOOSE( CONTROL!$C$32, 9.8398, 9.8349) * CHOOSE( CONTROL!$C$15, $D$11, 100%, $F$11)</f>
        <v>9.8398000000000003</v>
      </c>
      <c r="F432" s="4">
        <f>CHOOSE( CONTROL!$C$32, 10.8433, 10.8384) * CHOOSE(CONTROL!$C$15, $D$11, 100%, $F$11)</f>
        <v>10.843299999999999</v>
      </c>
      <c r="G432" s="8">
        <f>CHOOSE( CONTROL!$C$32, 9.5694, 9.5646) * CHOOSE( CONTROL!$C$15, $D$11, 100%, $F$11)</f>
        <v>9.5693999999999999</v>
      </c>
      <c r="H432" s="4">
        <f>CHOOSE( CONTROL!$C$32, 10.4935, 10.4887) * CHOOSE(CONTROL!$C$15, $D$11, 100%, $F$11)</f>
        <v>10.493499999999999</v>
      </c>
      <c r="I432" s="8">
        <f>CHOOSE( CONTROL!$C$32, 9.463, 9.4583) * CHOOSE(CONTROL!$C$15, $D$11, 100%, $F$11)</f>
        <v>9.4629999999999992</v>
      </c>
      <c r="J432" s="4">
        <f>CHOOSE( CONTROL!$C$32, 9.4152, 9.4105) * CHOOSE(CONTROL!$C$15, $D$11, 100%, $F$11)</f>
        <v>9.4152000000000005</v>
      </c>
      <c r="K432" s="4"/>
      <c r="L432" s="9">
        <v>29.520499999999998</v>
      </c>
      <c r="M432" s="9">
        <v>12.063700000000001</v>
      </c>
      <c r="N432" s="9">
        <v>4.9444999999999997</v>
      </c>
      <c r="O432" s="9">
        <v>0.37459999999999999</v>
      </c>
      <c r="P432" s="9">
        <v>1.2192000000000001</v>
      </c>
      <c r="Q432" s="9">
        <v>20.071300000000001</v>
      </c>
      <c r="R432" s="9"/>
      <c r="S432" s="11"/>
    </row>
    <row r="433" spans="1:19" ht="15.75">
      <c r="A433" s="13">
        <v>55061</v>
      </c>
      <c r="B433" s="8">
        <f>CHOOSE( CONTROL!$C$32, 9.6251, 9.6202) * CHOOSE(CONTROL!$C$15, $D$11, 100%, $F$11)</f>
        <v>9.6250999999999998</v>
      </c>
      <c r="C433" s="8">
        <f>CHOOSE( CONTROL!$C$32, 9.6356, 9.6306) * CHOOSE(CONTROL!$C$15, $D$11, 100%, $F$11)</f>
        <v>9.6356000000000002</v>
      </c>
      <c r="D433" s="8">
        <f>CHOOSE( CONTROL!$C$32, 9.636, 9.6311) * CHOOSE( CONTROL!$C$15, $D$11, 100%, $F$11)</f>
        <v>9.6359999999999992</v>
      </c>
      <c r="E433" s="12">
        <f>CHOOSE( CONTROL!$C$32, 9.6343, 9.6293) * CHOOSE( CONTROL!$C$15, $D$11, 100%, $F$11)</f>
        <v>9.6342999999999996</v>
      </c>
      <c r="F433" s="4">
        <f>CHOOSE( CONTROL!$C$32, 10.6376, 10.6327) * CHOOSE(CONTROL!$C$15, $D$11, 100%, $F$11)</f>
        <v>10.637600000000001</v>
      </c>
      <c r="G433" s="8">
        <f>CHOOSE( CONTROL!$C$32, 9.3692, 9.3644) * CHOOSE( CONTROL!$C$15, $D$11, 100%, $F$11)</f>
        <v>9.3691999999999993</v>
      </c>
      <c r="H433" s="4">
        <f>CHOOSE( CONTROL!$C$32, 10.293, 10.2882) * CHOOSE(CONTROL!$C$15, $D$11, 100%, $F$11)</f>
        <v>10.292999999999999</v>
      </c>
      <c r="I433" s="8">
        <f>CHOOSE( CONTROL!$C$32, 9.2672, 9.2625) * CHOOSE(CONTROL!$C$15, $D$11, 100%, $F$11)</f>
        <v>9.2672000000000008</v>
      </c>
      <c r="J433" s="4">
        <f>CHOOSE( CONTROL!$C$32, 9.2181, 9.2133) * CHOOSE(CONTROL!$C$15, $D$11, 100%, $F$11)</f>
        <v>9.2180999999999997</v>
      </c>
      <c r="K433" s="4"/>
      <c r="L433" s="9">
        <v>28.568200000000001</v>
      </c>
      <c r="M433" s="9">
        <v>11.6745</v>
      </c>
      <c r="N433" s="9">
        <v>4.7850000000000001</v>
      </c>
      <c r="O433" s="9">
        <v>0.36249999999999999</v>
      </c>
      <c r="P433" s="9">
        <v>1.1798</v>
      </c>
      <c r="Q433" s="9">
        <v>19.4238</v>
      </c>
      <c r="R433" s="9"/>
      <c r="S433" s="11"/>
    </row>
    <row r="434" spans="1:19" ht="15.75">
      <c r="A434" s="13">
        <v>55092</v>
      </c>
      <c r="B434" s="8">
        <f>10.0474 * CHOOSE(CONTROL!$C$15, $D$11, 100%, $F$11)</f>
        <v>10.0474</v>
      </c>
      <c r="C434" s="8">
        <f>10.0578 * CHOOSE(CONTROL!$C$15, $D$11, 100%, $F$11)</f>
        <v>10.0578</v>
      </c>
      <c r="D434" s="8">
        <f>10.0595 * CHOOSE( CONTROL!$C$15, $D$11, 100%, $F$11)</f>
        <v>10.0595</v>
      </c>
      <c r="E434" s="12">
        <f>10.0578 * CHOOSE( CONTROL!$C$15, $D$11, 100%, $F$11)</f>
        <v>10.0578</v>
      </c>
      <c r="F434" s="4">
        <f>11.0598 * CHOOSE(CONTROL!$C$15, $D$11, 100%, $F$11)</f>
        <v>11.059799999999999</v>
      </c>
      <c r="G434" s="8">
        <f>9.7805 * CHOOSE( CONTROL!$C$15, $D$11, 100%, $F$11)</f>
        <v>9.7805</v>
      </c>
      <c r="H434" s="4">
        <f>10.7046 * CHOOSE(CONTROL!$C$15, $D$11, 100%, $F$11)</f>
        <v>10.704599999999999</v>
      </c>
      <c r="I434" s="8">
        <f>9.6742 * CHOOSE(CONTROL!$C$15, $D$11, 100%, $F$11)</f>
        <v>9.6742000000000008</v>
      </c>
      <c r="J434" s="4">
        <f>9.6226 * CHOOSE(CONTROL!$C$15, $D$11, 100%, $F$11)</f>
        <v>9.6226000000000003</v>
      </c>
      <c r="K434" s="4"/>
      <c r="L434" s="9">
        <v>28.921800000000001</v>
      </c>
      <c r="M434" s="9">
        <v>12.063700000000001</v>
      </c>
      <c r="N434" s="9">
        <v>4.9444999999999997</v>
      </c>
      <c r="O434" s="9">
        <v>0.37459999999999999</v>
      </c>
      <c r="P434" s="9">
        <v>1.2192000000000001</v>
      </c>
      <c r="Q434" s="9">
        <v>20.071300000000001</v>
      </c>
      <c r="R434" s="9"/>
      <c r="S434" s="11"/>
    </row>
    <row r="435" spans="1:19" ht="15.75">
      <c r="A435" s="13">
        <v>55122</v>
      </c>
      <c r="B435" s="8">
        <f>10.8358 * CHOOSE(CONTROL!$C$15, $D$11, 100%, $F$11)</f>
        <v>10.835800000000001</v>
      </c>
      <c r="C435" s="8">
        <f>10.8462 * CHOOSE(CONTROL!$C$15, $D$11, 100%, $F$11)</f>
        <v>10.8462</v>
      </c>
      <c r="D435" s="8">
        <f>10.8273 * CHOOSE( CONTROL!$C$15, $D$11, 100%, $F$11)</f>
        <v>10.827299999999999</v>
      </c>
      <c r="E435" s="12">
        <f>10.8331 * CHOOSE( CONTROL!$C$15, $D$11, 100%, $F$11)</f>
        <v>10.8331</v>
      </c>
      <c r="F435" s="4">
        <f>11.8326 * CHOOSE(CONTROL!$C$15, $D$11, 100%, $F$11)</f>
        <v>11.832599999999999</v>
      </c>
      <c r="G435" s="8">
        <f>10.5719 * CHOOSE( CONTROL!$C$15, $D$11, 100%, $F$11)</f>
        <v>10.571899999999999</v>
      </c>
      <c r="H435" s="4">
        <f>11.4578 * CHOOSE(CONTROL!$C$15, $D$11, 100%, $F$11)</f>
        <v>11.457800000000001</v>
      </c>
      <c r="I435" s="8">
        <f>10.4766 * CHOOSE(CONTROL!$C$15, $D$11, 100%, $F$11)</f>
        <v>10.476599999999999</v>
      </c>
      <c r="J435" s="4">
        <f>10.3781 * CHOOSE(CONTROL!$C$15, $D$11, 100%, $F$11)</f>
        <v>10.3781</v>
      </c>
      <c r="K435" s="4"/>
      <c r="L435" s="9">
        <v>26.515499999999999</v>
      </c>
      <c r="M435" s="9">
        <v>11.6745</v>
      </c>
      <c r="N435" s="9">
        <v>4.7850000000000001</v>
      </c>
      <c r="O435" s="9">
        <v>0.36249999999999999</v>
      </c>
      <c r="P435" s="9">
        <v>1.2522</v>
      </c>
      <c r="Q435" s="9">
        <v>19.4238</v>
      </c>
      <c r="R435" s="9"/>
      <c r="S435" s="11"/>
    </row>
    <row r="436" spans="1:19" ht="15.75">
      <c r="A436" s="13">
        <v>55153</v>
      </c>
      <c r="B436" s="8">
        <f>10.8161 * CHOOSE(CONTROL!$C$15, $D$11, 100%, $F$11)</f>
        <v>10.8161</v>
      </c>
      <c r="C436" s="8">
        <f>10.8265 * CHOOSE(CONTROL!$C$15, $D$11, 100%, $F$11)</f>
        <v>10.826499999999999</v>
      </c>
      <c r="D436" s="8">
        <f>10.8101 * CHOOSE( CONTROL!$C$15, $D$11, 100%, $F$11)</f>
        <v>10.8101</v>
      </c>
      <c r="E436" s="12">
        <f>10.815 * CHOOSE( CONTROL!$C$15, $D$11, 100%, $F$11)</f>
        <v>10.815</v>
      </c>
      <c r="F436" s="4">
        <f>11.8129 * CHOOSE(CONTROL!$C$15, $D$11, 100%, $F$11)</f>
        <v>11.812900000000001</v>
      </c>
      <c r="G436" s="8">
        <f>10.5547 * CHOOSE( CONTROL!$C$15, $D$11, 100%, $F$11)</f>
        <v>10.5547</v>
      </c>
      <c r="H436" s="4">
        <f>11.4386 * CHOOSE(CONTROL!$C$15, $D$11, 100%, $F$11)</f>
        <v>11.438599999999999</v>
      </c>
      <c r="I436" s="8">
        <f>10.4665 * CHOOSE(CONTROL!$C$15, $D$11, 100%, $F$11)</f>
        <v>10.4665</v>
      </c>
      <c r="J436" s="4">
        <f>10.3592 * CHOOSE(CONTROL!$C$15, $D$11, 100%, $F$11)</f>
        <v>10.3592</v>
      </c>
      <c r="K436" s="4"/>
      <c r="L436" s="9">
        <v>27.3993</v>
      </c>
      <c r="M436" s="9">
        <v>12.063700000000001</v>
      </c>
      <c r="N436" s="9">
        <v>4.9444999999999997</v>
      </c>
      <c r="O436" s="9">
        <v>0.37459999999999999</v>
      </c>
      <c r="P436" s="9">
        <v>1.2939000000000001</v>
      </c>
      <c r="Q436" s="9">
        <v>20.071300000000001</v>
      </c>
      <c r="R436" s="9"/>
      <c r="S436" s="11"/>
    </row>
    <row r="437" spans="1:19" ht="15.75">
      <c r="A437" s="13">
        <v>55184</v>
      </c>
      <c r="B437" s="8">
        <f>11.2293 * CHOOSE(CONTROL!$C$15, $D$11, 100%, $F$11)</f>
        <v>11.2293</v>
      </c>
      <c r="C437" s="8">
        <f>11.2397 * CHOOSE(CONTROL!$C$15, $D$11, 100%, $F$11)</f>
        <v>11.239699999999999</v>
      </c>
      <c r="D437" s="8">
        <f>11.2383 * CHOOSE( CONTROL!$C$15, $D$11, 100%, $F$11)</f>
        <v>11.238300000000001</v>
      </c>
      <c r="E437" s="12">
        <f>11.2377 * CHOOSE( CONTROL!$C$15, $D$11, 100%, $F$11)</f>
        <v>11.2377</v>
      </c>
      <c r="F437" s="4">
        <f>12.2522 * CHOOSE(CONTROL!$C$15, $D$11, 100%, $F$11)</f>
        <v>12.2522</v>
      </c>
      <c r="G437" s="8">
        <f>10.9743 * CHOOSE( CONTROL!$C$15, $D$11, 100%, $F$11)</f>
        <v>10.974299999999999</v>
      </c>
      <c r="H437" s="4">
        <f>11.8668 * CHOOSE(CONTROL!$C$15, $D$11, 100%, $F$11)</f>
        <v>11.8668</v>
      </c>
      <c r="I437" s="8">
        <f>10.8691 * CHOOSE(CONTROL!$C$15, $D$11, 100%, $F$11)</f>
        <v>10.8691</v>
      </c>
      <c r="J437" s="4">
        <f>10.7551 * CHOOSE(CONTROL!$C$15, $D$11, 100%, $F$11)</f>
        <v>10.755100000000001</v>
      </c>
      <c r="K437" s="4"/>
      <c r="L437" s="9">
        <v>27.3993</v>
      </c>
      <c r="M437" s="9">
        <v>12.063700000000001</v>
      </c>
      <c r="N437" s="9">
        <v>4.9444999999999997</v>
      </c>
      <c r="O437" s="9">
        <v>0.37459999999999999</v>
      </c>
      <c r="P437" s="9">
        <v>1.2939000000000001</v>
      </c>
      <c r="Q437" s="9">
        <v>20.007999999999999</v>
      </c>
      <c r="R437" s="9"/>
      <c r="S437" s="11"/>
    </row>
    <row r="438" spans="1:19" ht="15.75">
      <c r="A438" s="13">
        <v>55212</v>
      </c>
      <c r="B438" s="8">
        <f>10.5036 * CHOOSE(CONTROL!$C$15, $D$11, 100%, $F$11)</f>
        <v>10.5036</v>
      </c>
      <c r="C438" s="8">
        <f>10.5141 * CHOOSE(CONTROL!$C$15, $D$11, 100%, $F$11)</f>
        <v>10.514099999999999</v>
      </c>
      <c r="D438" s="8">
        <f>10.5149 * CHOOSE( CONTROL!$C$15, $D$11, 100%, $F$11)</f>
        <v>10.514900000000001</v>
      </c>
      <c r="E438" s="12">
        <f>10.5135 * CHOOSE( CONTROL!$C$15, $D$11, 100%, $F$11)</f>
        <v>10.513500000000001</v>
      </c>
      <c r="F438" s="4">
        <f>11.5187 * CHOOSE(CONTROL!$C$15, $D$11, 100%, $F$11)</f>
        <v>11.518700000000001</v>
      </c>
      <c r="G438" s="8">
        <f>10.2668 * CHOOSE( CONTROL!$C$15, $D$11, 100%, $F$11)</f>
        <v>10.2668</v>
      </c>
      <c r="H438" s="4">
        <f>11.1519 * CHOOSE(CONTROL!$C$15, $D$11, 100%, $F$11)</f>
        <v>11.151899999999999</v>
      </c>
      <c r="I438" s="8">
        <f>10.1625 * CHOOSE(CONTROL!$C$15, $D$11, 100%, $F$11)</f>
        <v>10.1625</v>
      </c>
      <c r="J438" s="4">
        <f>10.0598 * CHOOSE(CONTROL!$C$15, $D$11, 100%, $F$11)</f>
        <v>10.059799999999999</v>
      </c>
      <c r="K438" s="4"/>
      <c r="L438" s="9">
        <v>24.747800000000002</v>
      </c>
      <c r="M438" s="9">
        <v>10.8962</v>
      </c>
      <c r="N438" s="9">
        <v>4.4660000000000002</v>
      </c>
      <c r="O438" s="9">
        <v>0.33829999999999999</v>
      </c>
      <c r="P438" s="9">
        <v>1.1687000000000001</v>
      </c>
      <c r="Q438" s="9">
        <v>18.0718</v>
      </c>
      <c r="R438" s="9"/>
      <c r="S438" s="11"/>
    </row>
    <row r="439" spans="1:19" ht="15.75">
      <c r="A439" s="13">
        <v>55243</v>
      </c>
      <c r="B439" s="8">
        <f>10.2801 * CHOOSE(CONTROL!$C$15, $D$11, 100%, $F$11)</f>
        <v>10.280099999999999</v>
      </c>
      <c r="C439" s="8">
        <f>10.2906 * CHOOSE(CONTROL!$C$15, $D$11, 100%, $F$11)</f>
        <v>10.2906</v>
      </c>
      <c r="D439" s="8">
        <f>10.2711 * CHOOSE( CONTROL!$C$15, $D$11, 100%, $F$11)</f>
        <v>10.271100000000001</v>
      </c>
      <c r="E439" s="12">
        <f>10.2771 * CHOOSE( CONTROL!$C$15, $D$11, 100%, $F$11)</f>
        <v>10.277100000000001</v>
      </c>
      <c r="F439" s="4">
        <f>11.2791 * CHOOSE(CONTROL!$C$15, $D$11, 100%, $F$11)</f>
        <v>11.2791</v>
      </c>
      <c r="G439" s="8">
        <f>10.0283 * CHOOSE( CONTROL!$C$15, $D$11, 100%, $F$11)</f>
        <v>10.0283</v>
      </c>
      <c r="H439" s="4">
        <f>10.9183 * CHOOSE(CONTROL!$C$15, $D$11, 100%, $F$11)</f>
        <v>10.9183</v>
      </c>
      <c r="I439" s="8">
        <f>9.9087 * CHOOSE(CONTROL!$C$15, $D$11, 100%, $F$11)</f>
        <v>9.9086999999999996</v>
      </c>
      <c r="J439" s="4">
        <f>9.8457 * CHOOSE(CONTROL!$C$15, $D$11, 100%, $F$11)</f>
        <v>9.8457000000000008</v>
      </c>
      <c r="K439" s="4"/>
      <c r="L439" s="9">
        <v>27.3993</v>
      </c>
      <c r="M439" s="9">
        <v>12.063700000000001</v>
      </c>
      <c r="N439" s="9">
        <v>4.9444999999999997</v>
      </c>
      <c r="O439" s="9">
        <v>0.37459999999999999</v>
      </c>
      <c r="P439" s="9">
        <v>1.2939000000000001</v>
      </c>
      <c r="Q439" s="9">
        <v>20.007999999999999</v>
      </c>
      <c r="R439" s="9"/>
      <c r="S439" s="11"/>
    </row>
    <row r="440" spans="1:19" ht="15.75">
      <c r="A440" s="13">
        <v>55273</v>
      </c>
      <c r="B440" s="8">
        <f>10.4363 * CHOOSE(CONTROL!$C$15, $D$11, 100%, $F$11)</f>
        <v>10.436299999999999</v>
      </c>
      <c r="C440" s="8">
        <f>10.4468 * CHOOSE(CONTROL!$C$15, $D$11, 100%, $F$11)</f>
        <v>10.4468</v>
      </c>
      <c r="D440" s="8">
        <f>10.4506 * CHOOSE( CONTROL!$C$15, $D$11, 100%, $F$11)</f>
        <v>10.4506</v>
      </c>
      <c r="E440" s="12">
        <f>10.4481 * CHOOSE( CONTROL!$C$15, $D$11, 100%, $F$11)</f>
        <v>10.4481</v>
      </c>
      <c r="F440" s="4">
        <f>11.4436 * CHOOSE(CONTROL!$C$15, $D$11, 100%, $F$11)</f>
        <v>11.4436</v>
      </c>
      <c r="G440" s="8">
        <f>10.1684 * CHOOSE( CONTROL!$C$15, $D$11, 100%, $F$11)</f>
        <v>10.1684</v>
      </c>
      <c r="H440" s="4">
        <f>11.0786 * CHOOSE(CONTROL!$C$15, $D$11, 100%, $F$11)</f>
        <v>11.0786</v>
      </c>
      <c r="I440" s="8">
        <f>10.0486 * CHOOSE(CONTROL!$C$15, $D$11, 100%, $F$11)</f>
        <v>10.0486</v>
      </c>
      <c r="J440" s="4">
        <f>9.9953 * CHOOSE(CONTROL!$C$15, $D$11, 100%, $F$11)</f>
        <v>9.9953000000000003</v>
      </c>
      <c r="K440" s="4"/>
      <c r="L440" s="9">
        <v>27.988800000000001</v>
      </c>
      <c r="M440" s="9">
        <v>11.6745</v>
      </c>
      <c r="N440" s="9">
        <v>4.7850000000000001</v>
      </c>
      <c r="O440" s="9">
        <v>0.36249999999999999</v>
      </c>
      <c r="P440" s="9">
        <v>1.1798</v>
      </c>
      <c r="Q440" s="9">
        <v>19.3626</v>
      </c>
      <c r="R440" s="9"/>
      <c r="S440" s="11"/>
    </row>
    <row r="441" spans="1:19" ht="15.75">
      <c r="A441" s="13">
        <v>55304</v>
      </c>
      <c r="B441" s="8">
        <f>CHOOSE( CONTROL!$C$32, 10.7192, 10.7143) * CHOOSE(CONTROL!$C$15, $D$11, 100%, $F$11)</f>
        <v>10.719200000000001</v>
      </c>
      <c r="C441" s="8">
        <f>CHOOSE( CONTROL!$C$32, 10.7296, 10.7247) * CHOOSE(CONTROL!$C$15, $D$11, 100%, $F$11)</f>
        <v>10.7296</v>
      </c>
      <c r="D441" s="8">
        <f>CHOOSE( CONTROL!$C$32, 10.7083, 10.7033) * CHOOSE( CONTROL!$C$15, $D$11, 100%, $F$11)</f>
        <v>10.708299999999999</v>
      </c>
      <c r="E441" s="12">
        <f>CHOOSE( CONTROL!$C$32, 10.7144, 10.7095) * CHOOSE( CONTROL!$C$15, $D$11, 100%, $F$11)</f>
        <v>10.714399999999999</v>
      </c>
      <c r="F441" s="4">
        <f>CHOOSE( CONTROL!$C$32, 11.6941, 11.6892) * CHOOSE(CONTROL!$C$15, $D$11, 100%, $F$11)</f>
        <v>11.694100000000001</v>
      </c>
      <c r="G441" s="8">
        <f>CHOOSE( CONTROL!$C$32, 10.4256, 10.4208) * CHOOSE( CONTROL!$C$15, $D$11, 100%, $F$11)</f>
        <v>10.425599999999999</v>
      </c>
      <c r="H441" s="4">
        <f>CHOOSE( CONTROL!$C$32, 11.3228, 11.318) * CHOOSE(CONTROL!$C$15, $D$11, 100%, $F$11)</f>
        <v>11.322800000000001</v>
      </c>
      <c r="I441" s="8">
        <f>CHOOSE( CONTROL!$C$32, 10.2982, 10.2935) * CHOOSE(CONTROL!$C$15, $D$11, 100%, $F$11)</f>
        <v>10.2982</v>
      </c>
      <c r="J441" s="4">
        <f>CHOOSE( CONTROL!$C$32, 10.2664, 10.2617) * CHOOSE(CONTROL!$C$15, $D$11, 100%, $F$11)</f>
        <v>10.266400000000001</v>
      </c>
      <c r="K441" s="4"/>
      <c r="L441" s="9">
        <v>29.520499999999998</v>
      </c>
      <c r="M441" s="9">
        <v>12.063700000000001</v>
      </c>
      <c r="N441" s="9">
        <v>4.9444999999999997</v>
      </c>
      <c r="O441" s="9">
        <v>0.37459999999999999</v>
      </c>
      <c r="P441" s="9">
        <v>1.2192000000000001</v>
      </c>
      <c r="Q441" s="9">
        <v>20.007999999999999</v>
      </c>
      <c r="R441" s="9"/>
      <c r="S441" s="11"/>
    </row>
    <row r="442" spans="1:19" ht="15.75">
      <c r="A442" s="13">
        <v>55334</v>
      </c>
      <c r="B442" s="8">
        <f>CHOOSE( CONTROL!$C$32, 10.547, 10.5421) * CHOOSE(CONTROL!$C$15, $D$11, 100%, $F$11)</f>
        <v>10.547000000000001</v>
      </c>
      <c r="C442" s="8">
        <f>CHOOSE( CONTROL!$C$32, 10.5575, 10.5525) * CHOOSE(CONTROL!$C$15, $D$11, 100%, $F$11)</f>
        <v>10.557499999999999</v>
      </c>
      <c r="D442" s="8">
        <f>CHOOSE( CONTROL!$C$32, 10.5496, 10.5446) * CHOOSE( CONTROL!$C$15, $D$11, 100%, $F$11)</f>
        <v>10.5496</v>
      </c>
      <c r="E442" s="12">
        <f>CHOOSE( CONTROL!$C$32, 10.5509, 10.5459) * CHOOSE( CONTROL!$C$15, $D$11, 100%, $F$11)</f>
        <v>10.5509</v>
      </c>
      <c r="F442" s="4">
        <f>CHOOSE( CONTROL!$C$32, 11.5412, 11.5363) * CHOOSE(CONTROL!$C$15, $D$11, 100%, $F$11)</f>
        <v>11.5412</v>
      </c>
      <c r="G442" s="8">
        <f>CHOOSE( CONTROL!$C$32, 10.2682, 10.2634) * CHOOSE( CONTROL!$C$15, $D$11, 100%, $F$11)</f>
        <v>10.2682</v>
      </c>
      <c r="H442" s="4">
        <f>CHOOSE( CONTROL!$C$32, 11.1738, 11.169) * CHOOSE(CONTROL!$C$15, $D$11, 100%, $F$11)</f>
        <v>11.1738</v>
      </c>
      <c r="I442" s="8">
        <f>CHOOSE( CONTROL!$C$32, 10.151, 10.1462) * CHOOSE(CONTROL!$C$15, $D$11, 100%, $F$11)</f>
        <v>10.151</v>
      </c>
      <c r="J442" s="4">
        <f>CHOOSE( CONTROL!$C$32, 10.1014, 10.0967) * CHOOSE(CONTROL!$C$15, $D$11, 100%, $F$11)</f>
        <v>10.1014</v>
      </c>
      <c r="K442" s="4"/>
      <c r="L442" s="9">
        <v>28.568200000000001</v>
      </c>
      <c r="M442" s="9">
        <v>11.6745</v>
      </c>
      <c r="N442" s="9">
        <v>4.7850000000000001</v>
      </c>
      <c r="O442" s="9">
        <v>0.36249999999999999</v>
      </c>
      <c r="P442" s="9">
        <v>1.1798</v>
      </c>
      <c r="Q442" s="9">
        <v>19.3626</v>
      </c>
      <c r="R442" s="9"/>
      <c r="S442" s="11"/>
    </row>
    <row r="443" spans="1:19" ht="15.75">
      <c r="A443" s="13">
        <v>55365</v>
      </c>
      <c r="B443" s="8">
        <f>CHOOSE( CONTROL!$C$32, 11.0004, 10.9955) * CHOOSE(CONTROL!$C$15, $D$11, 100%, $F$11)</f>
        <v>11.000400000000001</v>
      </c>
      <c r="C443" s="8">
        <f>CHOOSE( CONTROL!$C$32, 11.0109, 11.0059) * CHOOSE(CONTROL!$C$15, $D$11, 100%, $F$11)</f>
        <v>11.010899999999999</v>
      </c>
      <c r="D443" s="8">
        <f>CHOOSE( CONTROL!$C$32, 11.0099, 11.0049) * CHOOSE( CONTROL!$C$15, $D$11, 100%, $F$11)</f>
        <v>11.0099</v>
      </c>
      <c r="E443" s="12">
        <f>CHOOSE( CONTROL!$C$32, 11.0087, 11.0037) * CHOOSE( CONTROL!$C$15, $D$11, 100%, $F$11)</f>
        <v>11.008699999999999</v>
      </c>
      <c r="F443" s="4">
        <f>CHOOSE( CONTROL!$C$32, 12.0051, 12.0001) * CHOOSE(CONTROL!$C$15, $D$11, 100%, $F$11)</f>
        <v>12.005100000000001</v>
      </c>
      <c r="G443" s="8">
        <f>CHOOSE( CONTROL!$C$32, 10.7143, 10.7095) * CHOOSE( CONTROL!$C$15, $D$11, 100%, $F$11)</f>
        <v>10.7143</v>
      </c>
      <c r="H443" s="4">
        <f>CHOOSE( CONTROL!$C$32, 11.626, 11.6212) * CHOOSE(CONTROL!$C$15, $D$11, 100%, $F$11)</f>
        <v>11.625999999999999</v>
      </c>
      <c r="I443" s="8">
        <f>CHOOSE( CONTROL!$C$32, 10.5933, 10.5886) * CHOOSE(CONTROL!$C$15, $D$11, 100%, $F$11)</f>
        <v>10.593299999999999</v>
      </c>
      <c r="J443" s="4">
        <f>CHOOSE( CONTROL!$C$32, 10.5359, 10.5311) * CHOOSE(CONTROL!$C$15, $D$11, 100%, $F$11)</f>
        <v>10.5359</v>
      </c>
      <c r="K443" s="4"/>
      <c r="L443" s="9">
        <v>29.520499999999998</v>
      </c>
      <c r="M443" s="9">
        <v>12.063700000000001</v>
      </c>
      <c r="N443" s="9">
        <v>4.9444999999999997</v>
      </c>
      <c r="O443" s="9">
        <v>0.37459999999999999</v>
      </c>
      <c r="P443" s="9">
        <v>1.2192000000000001</v>
      </c>
      <c r="Q443" s="9">
        <v>20.007999999999999</v>
      </c>
      <c r="R443" s="9"/>
      <c r="S443" s="11"/>
    </row>
    <row r="444" spans="1:19" ht="15.75">
      <c r="A444" s="13">
        <v>55396</v>
      </c>
      <c r="B444" s="8">
        <f>CHOOSE( CONTROL!$C$32, 10.152, 10.1471) * CHOOSE(CONTROL!$C$15, $D$11, 100%, $F$11)</f>
        <v>10.151999999999999</v>
      </c>
      <c r="C444" s="8">
        <f>CHOOSE( CONTROL!$C$32, 10.1625, 10.1575) * CHOOSE(CONTROL!$C$15, $D$11, 100%, $F$11)</f>
        <v>10.1625</v>
      </c>
      <c r="D444" s="8">
        <f>CHOOSE( CONTROL!$C$32, 10.1626, 10.1577) * CHOOSE( CONTROL!$C$15, $D$11, 100%, $F$11)</f>
        <v>10.162599999999999</v>
      </c>
      <c r="E444" s="12">
        <f>CHOOSE( CONTROL!$C$32, 10.161, 10.156) * CHOOSE( CONTROL!$C$15, $D$11, 100%, $F$11)</f>
        <v>10.161</v>
      </c>
      <c r="F444" s="4">
        <f>CHOOSE( CONTROL!$C$32, 11.1645, 11.1596) * CHOOSE(CONTROL!$C$15, $D$11, 100%, $F$11)</f>
        <v>11.1645</v>
      </c>
      <c r="G444" s="8">
        <f>CHOOSE( CONTROL!$C$32, 9.8824, 9.8776) * CHOOSE( CONTROL!$C$15, $D$11, 100%, $F$11)</f>
        <v>9.8824000000000005</v>
      </c>
      <c r="H444" s="4">
        <f>CHOOSE( CONTROL!$C$32, 10.8066, 10.8018) * CHOOSE(CONTROL!$C$15, $D$11, 100%, $F$11)</f>
        <v>10.8066</v>
      </c>
      <c r="I444" s="8">
        <f>CHOOSE( CONTROL!$C$32, 9.7709, 9.7662) * CHOOSE(CONTROL!$C$15, $D$11, 100%, $F$11)</f>
        <v>9.7708999999999993</v>
      </c>
      <c r="J444" s="4">
        <f>CHOOSE( CONTROL!$C$32, 9.7229, 9.7182) * CHOOSE(CONTROL!$C$15, $D$11, 100%, $F$11)</f>
        <v>9.7228999999999992</v>
      </c>
      <c r="K444" s="4"/>
      <c r="L444" s="9">
        <v>29.520499999999998</v>
      </c>
      <c r="M444" s="9">
        <v>12.063700000000001</v>
      </c>
      <c r="N444" s="9">
        <v>4.9444999999999997</v>
      </c>
      <c r="O444" s="9">
        <v>0.37459999999999999</v>
      </c>
      <c r="P444" s="9">
        <v>1.2192000000000001</v>
      </c>
      <c r="Q444" s="9">
        <v>20.007999999999999</v>
      </c>
      <c r="R444" s="9"/>
      <c r="S444" s="11"/>
    </row>
    <row r="445" spans="1:19" ht="15.75">
      <c r="A445" s="13">
        <v>55426</v>
      </c>
      <c r="B445" s="8">
        <f>CHOOSE( CONTROL!$C$32, 9.9396, 9.9347) * CHOOSE(CONTROL!$C$15, $D$11, 100%, $F$11)</f>
        <v>9.9396000000000004</v>
      </c>
      <c r="C445" s="8">
        <f>CHOOSE( CONTROL!$C$32, 9.95, 9.9451) * CHOOSE(CONTROL!$C$15, $D$11, 100%, $F$11)</f>
        <v>9.9499999999999993</v>
      </c>
      <c r="D445" s="8">
        <f>CHOOSE( CONTROL!$C$32, 9.9505, 9.9456) * CHOOSE( CONTROL!$C$15, $D$11, 100%, $F$11)</f>
        <v>9.9504999999999999</v>
      </c>
      <c r="E445" s="12">
        <f>CHOOSE( CONTROL!$C$32, 9.9487, 9.9438) * CHOOSE( CONTROL!$C$15, $D$11, 100%, $F$11)</f>
        <v>9.9487000000000005</v>
      </c>
      <c r="F445" s="4">
        <f>CHOOSE( CONTROL!$C$32, 10.9521, 10.9471) * CHOOSE(CONTROL!$C$15, $D$11, 100%, $F$11)</f>
        <v>10.9521</v>
      </c>
      <c r="G445" s="8">
        <f>CHOOSE( CONTROL!$C$32, 9.6758, 9.671) * CHOOSE( CONTROL!$C$15, $D$11, 100%, $F$11)</f>
        <v>9.6758000000000006</v>
      </c>
      <c r="H445" s="4">
        <f>CHOOSE( CONTROL!$C$32, 10.5995, 10.5947) * CHOOSE(CONTROL!$C$15, $D$11, 100%, $F$11)</f>
        <v>10.599500000000001</v>
      </c>
      <c r="I445" s="8">
        <f>CHOOSE( CONTROL!$C$32, 9.5687, 9.5639) * CHOOSE(CONTROL!$C$15, $D$11, 100%, $F$11)</f>
        <v>9.5686999999999998</v>
      </c>
      <c r="J445" s="4">
        <f>CHOOSE( CONTROL!$C$32, 9.5194, 9.5146) * CHOOSE(CONTROL!$C$15, $D$11, 100%, $F$11)</f>
        <v>9.5193999999999992</v>
      </c>
      <c r="K445" s="4"/>
      <c r="L445" s="9">
        <v>28.568200000000001</v>
      </c>
      <c r="M445" s="9">
        <v>11.6745</v>
      </c>
      <c r="N445" s="9">
        <v>4.7850000000000001</v>
      </c>
      <c r="O445" s="9">
        <v>0.36249999999999999</v>
      </c>
      <c r="P445" s="9">
        <v>1.1798</v>
      </c>
      <c r="Q445" s="9">
        <v>19.3626</v>
      </c>
      <c r="R445" s="9"/>
      <c r="S445" s="11"/>
    </row>
    <row r="446" spans="1:19" ht="15.75">
      <c r="A446" s="13">
        <v>55457</v>
      </c>
      <c r="B446" s="8">
        <f>10.3758 * CHOOSE(CONTROL!$C$15, $D$11, 100%, $F$11)</f>
        <v>10.3758</v>
      </c>
      <c r="C446" s="8">
        <f>10.3862 * CHOOSE(CONTROL!$C$15, $D$11, 100%, $F$11)</f>
        <v>10.386200000000001</v>
      </c>
      <c r="D446" s="8">
        <f>10.3879 * CHOOSE( CONTROL!$C$15, $D$11, 100%, $F$11)</f>
        <v>10.3879</v>
      </c>
      <c r="E446" s="12">
        <f>10.3862 * CHOOSE( CONTROL!$C$15, $D$11, 100%, $F$11)</f>
        <v>10.386200000000001</v>
      </c>
      <c r="F446" s="4">
        <f>11.3883 * CHOOSE(CONTROL!$C$15, $D$11, 100%, $F$11)</f>
        <v>11.388299999999999</v>
      </c>
      <c r="G446" s="8">
        <f>10.1006 * CHOOSE( CONTROL!$C$15, $D$11, 100%, $F$11)</f>
        <v>10.1006</v>
      </c>
      <c r="H446" s="4">
        <f>11.0247 * CHOOSE(CONTROL!$C$15, $D$11, 100%, $F$11)</f>
        <v>11.024699999999999</v>
      </c>
      <c r="I446" s="8">
        <f>9.9891 * CHOOSE(CONTROL!$C$15, $D$11, 100%, $F$11)</f>
        <v>9.9891000000000005</v>
      </c>
      <c r="J446" s="4">
        <f>9.9373 * CHOOSE(CONTROL!$C$15, $D$11, 100%, $F$11)</f>
        <v>9.9373000000000005</v>
      </c>
      <c r="K446" s="4"/>
      <c r="L446" s="9">
        <v>28.921800000000001</v>
      </c>
      <c r="M446" s="9">
        <v>12.063700000000001</v>
      </c>
      <c r="N446" s="9">
        <v>4.9444999999999997</v>
      </c>
      <c r="O446" s="9">
        <v>0.37459999999999999</v>
      </c>
      <c r="P446" s="9">
        <v>1.2192000000000001</v>
      </c>
      <c r="Q446" s="9">
        <v>20.007999999999999</v>
      </c>
      <c r="R446" s="9"/>
      <c r="S446" s="11"/>
    </row>
    <row r="447" spans="1:19" ht="15.75">
      <c r="A447" s="13">
        <v>55487</v>
      </c>
      <c r="B447" s="8">
        <f>11.19 * CHOOSE(CONTROL!$C$15, $D$11, 100%, $F$11)</f>
        <v>11.19</v>
      </c>
      <c r="C447" s="8">
        <f>11.2004 * CHOOSE(CONTROL!$C$15, $D$11, 100%, $F$11)</f>
        <v>11.2004</v>
      </c>
      <c r="D447" s="8">
        <f>11.1815 * CHOOSE( CONTROL!$C$15, $D$11, 100%, $F$11)</f>
        <v>11.1815</v>
      </c>
      <c r="E447" s="12">
        <f>11.1873 * CHOOSE( CONTROL!$C$15, $D$11, 100%, $F$11)</f>
        <v>11.1873</v>
      </c>
      <c r="F447" s="4">
        <f>12.1868 * CHOOSE(CONTROL!$C$15, $D$11, 100%, $F$11)</f>
        <v>12.1868</v>
      </c>
      <c r="G447" s="8">
        <f>10.9172 * CHOOSE( CONTROL!$C$15, $D$11, 100%, $F$11)</f>
        <v>10.917199999999999</v>
      </c>
      <c r="H447" s="4">
        <f>11.8031 * CHOOSE(CONTROL!$C$15, $D$11, 100%, $F$11)</f>
        <v>11.803100000000001</v>
      </c>
      <c r="I447" s="8">
        <f>10.8162 * CHOOSE(CONTROL!$C$15, $D$11, 100%, $F$11)</f>
        <v>10.8162</v>
      </c>
      <c r="J447" s="4">
        <f>10.7175 * CHOOSE(CONTROL!$C$15, $D$11, 100%, $F$11)</f>
        <v>10.717499999999999</v>
      </c>
      <c r="K447" s="4"/>
      <c r="L447" s="9">
        <v>26.515499999999999</v>
      </c>
      <c r="M447" s="9">
        <v>11.6745</v>
      </c>
      <c r="N447" s="9">
        <v>4.7850000000000001</v>
      </c>
      <c r="O447" s="9">
        <v>0.36249999999999999</v>
      </c>
      <c r="P447" s="9">
        <v>1.2522</v>
      </c>
      <c r="Q447" s="9">
        <v>19.3626</v>
      </c>
      <c r="R447" s="9"/>
      <c r="S447" s="11"/>
    </row>
    <row r="448" spans="1:19" ht="15.75">
      <c r="A448" s="13">
        <v>55518</v>
      </c>
      <c r="B448" s="8">
        <f>11.1696 * CHOOSE(CONTROL!$C$15, $D$11, 100%, $F$11)</f>
        <v>11.169600000000001</v>
      </c>
      <c r="C448" s="8">
        <f>11.1801 * CHOOSE(CONTROL!$C$15, $D$11, 100%, $F$11)</f>
        <v>11.180099999999999</v>
      </c>
      <c r="D448" s="8">
        <f>11.1637 * CHOOSE( CONTROL!$C$15, $D$11, 100%, $F$11)</f>
        <v>11.1637</v>
      </c>
      <c r="E448" s="12">
        <f>11.1686 * CHOOSE( CONTROL!$C$15, $D$11, 100%, $F$11)</f>
        <v>11.1686</v>
      </c>
      <c r="F448" s="4">
        <f>12.1665 * CHOOSE(CONTROL!$C$15, $D$11, 100%, $F$11)</f>
        <v>12.166499999999999</v>
      </c>
      <c r="G448" s="8">
        <f>10.8994 * CHOOSE( CONTROL!$C$15, $D$11, 100%, $F$11)</f>
        <v>10.8994</v>
      </c>
      <c r="H448" s="4">
        <f>11.7833 * CHOOSE(CONTROL!$C$15, $D$11, 100%, $F$11)</f>
        <v>11.783300000000001</v>
      </c>
      <c r="I448" s="8">
        <f>10.8055 * CHOOSE(CONTROL!$C$15, $D$11, 100%, $F$11)</f>
        <v>10.8055</v>
      </c>
      <c r="J448" s="4">
        <f>10.698 * CHOOSE(CONTROL!$C$15, $D$11, 100%, $F$11)</f>
        <v>10.698</v>
      </c>
      <c r="K448" s="4"/>
      <c r="L448" s="9">
        <v>27.3993</v>
      </c>
      <c r="M448" s="9">
        <v>12.063700000000001</v>
      </c>
      <c r="N448" s="9">
        <v>4.9444999999999997</v>
      </c>
      <c r="O448" s="9">
        <v>0.37459999999999999</v>
      </c>
      <c r="P448" s="9">
        <v>1.2939000000000001</v>
      </c>
      <c r="Q448" s="9">
        <v>20.007999999999999</v>
      </c>
      <c r="R448" s="9"/>
      <c r="S448" s="11"/>
    </row>
    <row r="449" spans="1:19" ht="15.75">
      <c r="A449" s="13">
        <v>55549</v>
      </c>
      <c r="B449" s="8">
        <f>11.5963 * CHOOSE(CONTROL!$C$15, $D$11, 100%, $F$11)</f>
        <v>11.596299999999999</v>
      </c>
      <c r="C449" s="8">
        <f>11.6068 * CHOOSE(CONTROL!$C$15, $D$11, 100%, $F$11)</f>
        <v>11.6068</v>
      </c>
      <c r="D449" s="8">
        <f>11.6054 * CHOOSE( CONTROL!$C$15, $D$11, 100%, $F$11)</f>
        <v>11.605399999999999</v>
      </c>
      <c r="E449" s="12">
        <f>11.6048 * CHOOSE( CONTROL!$C$15, $D$11, 100%, $F$11)</f>
        <v>11.604799999999999</v>
      </c>
      <c r="F449" s="4">
        <f>12.6193 * CHOOSE(CONTROL!$C$15, $D$11, 100%, $F$11)</f>
        <v>12.619300000000001</v>
      </c>
      <c r="G449" s="8">
        <f>11.3321 * CHOOSE( CONTROL!$C$15, $D$11, 100%, $F$11)</f>
        <v>11.332100000000001</v>
      </c>
      <c r="H449" s="4">
        <f>12.2246 * CHOOSE(CONTROL!$C$15, $D$11, 100%, $F$11)</f>
        <v>12.224600000000001</v>
      </c>
      <c r="I449" s="8">
        <f>11.221 * CHOOSE(CONTROL!$C$15, $D$11, 100%, $F$11)</f>
        <v>11.221</v>
      </c>
      <c r="J449" s="4">
        <f>11.1069 * CHOOSE(CONTROL!$C$15, $D$11, 100%, $F$11)</f>
        <v>11.1069</v>
      </c>
      <c r="K449" s="4"/>
      <c r="L449" s="9">
        <v>27.3993</v>
      </c>
      <c r="M449" s="9">
        <v>12.063700000000001</v>
      </c>
      <c r="N449" s="9">
        <v>4.9444999999999997</v>
      </c>
      <c r="O449" s="9">
        <v>0.37459999999999999</v>
      </c>
      <c r="P449" s="9">
        <v>1.2939000000000001</v>
      </c>
      <c r="Q449" s="9">
        <v>19.942900000000002</v>
      </c>
      <c r="R449" s="9"/>
      <c r="S449" s="11"/>
    </row>
    <row r="450" spans="1:19" ht="15.75">
      <c r="A450" s="13">
        <v>55577</v>
      </c>
      <c r="B450" s="8">
        <f>10.847 * CHOOSE(CONTROL!$C$15, $D$11, 100%, $F$11)</f>
        <v>10.847</v>
      </c>
      <c r="C450" s="8">
        <f>10.8574 * CHOOSE(CONTROL!$C$15, $D$11, 100%, $F$11)</f>
        <v>10.8574</v>
      </c>
      <c r="D450" s="8">
        <f>10.8582 * CHOOSE( CONTROL!$C$15, $D$11, 100%, $F$11)</f>
        <v>10.8582</v>
      </c>
      <c r="E450" s="12">
        <f>10.8568 * CHOOSE( CONTROL!$C$15, $D$11, 100%, $F$11)</f>
        <v>10.8568</v>
      </c>
      <c r="F450" s="4">
        <f>11.8621 * CHOOSE(CONTROL!$C$15, $D$11, 100%, $F$11)</f>
        <v>11.8621</v>
      </c>
      <c r="G450" s="8">
        <f>10.6015 * CHOOSE( CONTROL!$C$15, $D$11, 100%, $F$11)</f>
        <v>10.6015</v>
      </c>
      <c r="H450" s="4">
        <f>11.4866 * CHOOSE(CONTROL!$C$15, $D$11, 100%, $F$11)</f>
        <v>11.486599999999999</v>
      </c>
      <c r="I450" s="8">
        <f>10.4917 * CHOOSE(CONTROL!$C$15, $D$11, 100%, $F$11)</f>
        <v>10.4917</v>
      </c>
      <c r="J450" s="4">
        <f>10.3888 * CHOOSE(CONTROL!$C$15, $D$11, 100%, $F$11)</f>
        <v>10.3888</v>
      </c>
      <c r="K450" s="4"/>
      <c r="L450" s="9">
        <v>25.631599999999999</v>
      </c>
      <c r="M450" s="9">
        <v>11.285299999999999</v>
      </c>
      <c r="N450" s="9">
        <v>4.6254999999999997</v>
      </c>
      <c r="O450" s="9">
        <v>0.35039999999999999</v>
      </c>
      <c r="P450" s="9">
        <v>1.2104999999999999</v>
      </c>
      <c r="Q450" s="9">
        <v>18.656300000000002</v>
      </c>
      <c r="R450" s="9"/>
      <c r="S450" s="11"/>
    </row>
    <row r="451" spans="1:19" ht="15.75">
      <c r="A451" s="13">
        <v>55609</v>
      </c>
      <c r="B451" s="8">
        <f>10.6162 * CHOOSE(CONTROL!$C$15, $D$11, 100%, $F$11)</f>
        <v>10.616199999999999</v>
      </c>
      <c r="C451" s="8">
        <f>10.6266 * CHOOSE(CONTROL!$C$15, $D$11, 100%, $F$11)</f>
        <v>10.6266</v>
      </c>
      <c r="D451" s="8">
        <f>10.6071 * CHOOSE( CONTROL!$C$15, $D$11, 100%, $F$11)</f>
        <v>10.607100000000001</v>
      </c>
      <c r="E451" s="12">
        <f>10.6131 * CHOOSE( CONTROL!$C$15, $D$11, 100%, $F$11)</f>
        <v>10.613099999999999</v>
      </c>
      <c r="F451" s="4">
        <f>11.6151 * CHOOSE(CONTROL!$C$15, $D$11, 100%, $F$11)</f>
        <v>11.6151</v>
      </c>
      <c r="G451" s="8">
        <f>10.3558 * CHOOSE( CONTROL!$C$15, $D$11, 100%, $F$11)</f>
        <v>10.3558</v>
      </c>
      <c r="H451" s="4">
        <f>11.2458 * CHOOSE(CONTROL!$C$15, $D$11, 100%, $F$11)</f>
        <v>11.245799999999999</v>
      </c>
      <c r="I451" s="8">
        <f>10.2309 * CHOOSE(CONTROL!$C$15, $D$11, 100%, $F$11)</f>
        <v>10.2309</v>
      </c>
      <c r="J451" s="4">
        <f>10.1677 * CHOOSE(CONTROL!$C$15, $D$11, 100%, $F$11)</f>
        <v>10.1677</v>
      </c>
      <c r="K451" s="4"/>
      <c r="L451" s="9">
        <v>27.3993</v>
      </c>
      <c r="M451" s="9">
        <v>12.063700000000001</v>
      </c>
      <c r="N451" s="9">
        <v>4.9444999999999997</v>
      </c>
      <c r="O451" s="9">
        <v>0.37459999999999999</v>
      </c>
      <c r="P451" s="9">
        <v>1.2939000000000001</v>
      </c>
      <c r="Q451" s="9">
        <v>19.942900000000002</v>
      </c>
      <c r="R451" s="9"/>
      <c r="S451" s="11"/>
    </row>
    <row r="452" spans="1:19" ht="15.75">
      <c r="A452" s="13">
        <v>55639</v>
      </c>
      <c r="B452" s="8">
        <f>10.7775 * CHOOSE(CONTROL!$C$15, $D$11, 100%, $F$11)</f>
        <v>10.7775</v>
      </c>
      <c r="C452" s="8">
        <f>10.7879 * CHOOSE(CONTROL!$C$15, $D$11, 100%, $F$11)</f>
        <v>10.7879</v>
      </c>
      <c r="D452" s="8">
        <f>10.7917 * CHOOSE( CONTROL!$C$15, $D$11, 100%, $F$11)</f>
        <v>10.791700000000001</v>
      </c>
      <c r="E452" s="12">
        <f>10.7893 * CHOOSE( CONTROL!$C$15, $D$11, 100%, $F$11)</f>
        <v>10.789300000000001</v>
      </c>
      <c r="F452" s="4">
        <f>11.7847 * CHOOSE(CONTROL!$C$15, $D$11, 100%, $F$11)</f>
        <v>11.784700000000001</v>
      </c>
      <c r="G452" s="8">
        <f>10.501 * CHOOSE( CONTROL!$C$15, $D$11, 100%, $F$11)</f>
        <v>10.500999999999999</v>
      </c>
      <c r="H452" s="4">
        <f>11.4112 * CHOOSE(CONTROL!$C$15, $D$11, 100%, $F$11)</f>
        <v>11.411199999999999</v>
      </c>
      <c r="I452" s="8">
        <f>10.3756 * CHOOSE(CONTROL!$C$15, $D$11, 100%, $F$11)</f>
        <v>10.3756</v>
      </c>
      <c r="J452" s="4">
        <f>10.3222 * CHOOSE(CONTROL!$C$15, $D$11, 100%, $F$11)</f>
        <v>10.3222</v>
      </c>
      <c r="K452" s="4"/>
      <c r="L452" s="9">
        <v>27.988800000000001</v>
      </c>
      <c r="M452" s="9">
        <v>11.6745</v>
      </c>
      <c r="N452" s="9">
        <v>4.7850000000000001</v>
      </c>
      <c r="O452" s="9">
        <v>0.36249999999999999</v>
      </c>
      <c r="P452" s="9">
        <v>1.1798</v>
      </c>
      <c r="Q452" s="9">
        <v>19.299600000000002</v>
      </c>
      <c r="R452" s="9"/>
      <c r="S452" s="11"/>
    </row>
    <row r="453" spans="1:19" ht="15.75">
      <c r="A453" s="13">
        <v>55670</v>
      </c>
      <c r="B453" s="8">
        <f>CHOOSE( CONTROL!$C$32, 11.0694, 11.0645) * CHOOSE(CONTROL!$C$15, $D$11, 100%, $F$11)</f>
        <v>11.0694</v>
      </c>
      <c r="C453" s="8">
        <f>CHOOSE( CONTROL!$C$32, 11.0799, 11.0749) * CHOOSE(CONTROL!$C$15, $D$11, 100%, $F$11)</f>
        <v>11.0799</v>
      </c>
      <c r="D453" s="8">
        <f>CHOOSE( CONTROL!$C$32, 11.0585, 11.0536) * CHOOSE( CONTROL!$C$15, $D$11, 100%, $F$11)</f>
        <v>11.0585</v>
      </c>
      <c r="E453" s="12">
        <f>CHOOSE( CONTROL!$C$32, 11.0647, 11.0597) * CHOOSE( CONTROL!$C$15, $D$11, 100%, $F$11)</f>
        <v>11.0647</v>
      </c>
      <c r="F453" s="4">
        <f>CHOOSE( CONTROL!$C$32, 12.0443, 12.0394) * CHOOSE(CONTROL!$C$15, $D$11, 100%, $F$11)</f>
        <v>12.0443</v>
      </c>
      <c r="G453" s="8">
        <f>CHOOSE( CONTROL!$C$32, 10.767, 10.7622) * CHOOSE( CONTROL!$C$15, $D$11, 100%, $F$11)</f>
        <v>10.766999999999999</v>
      </c>
      <c r="H453" s="4">
        <f>CHOOSE( CONTROL!$C$32, 11.6642, 11.6594) * CHOOSE(CONTROL!$C$15, $D$11, 100%, $F$11)</f>
        <v>11.664199999999999</v>
      </c>
      <c r="I453" s="8">
        <f>CHOOSE( CONTROL!$C$32, 10.634, 10.6292) * CHOOSE(CONTROL!$C$15, $D$11, 100%, $F$11)</f>
        <v>10.634</v>
      </c>
      <c r="J453" s="4">
        <f>CHOOSE( CONTROL!$C$32, 10.602, 10.5972) * CHOOSE(CONTROL!$C$15, $D$11, 100%, $F$11)</f>
        <v>10.602</v>
      </c>
      <c r="K453" s="4"/>
      <c r="L453" s="9">
        <v>29.520499999999998</v>
      </c>
      <c r="M453" s="9">
        <v>12.063700000000001</v>
      </c>
      <c r="N453" s="9">
        <v>4.9444999999999997</v>
      </c>
      <c r="O453" s="9">
        <v>0.37459999999999999</v>
      </c>
      <c r="P453" s="9">
        <v>1.2192000000000001</v>
      </c>
      <c r="Q453" s="9">
        <v>19.942900000000002</v>
      </c>
      <c r="R453" s="9"/>
      <c r="S453" s="11"/>
    </row>
    <row r="454" spans="1:19" ht="15.75">
      <c r="A454" s="13">
        <v>55700</v>
      </c>
      <c r="B454" s="8">
        <f>CHOOSE( CONTROL!$C$32, 10.8916, 10.8867) * CHOOSE(CONTROL!$C$15, $D$11, 100%, $F$11)</f>
        <v>10.8916</v>
      </c>
      <c r="C454" s="8">
        <f>CHOOSE( CONTROL!$C$32, 10.9021, 10.8971) * CHOOSE(CONTROL!$C$15, $D$11, 100%, $F$11)</f>
        <v>10.902100000000001</v>
      </c>
      <c r="D454" s="8">
        <f>CHOOSE( CONTROL!$C$32, 10.8942, 10.8892) * CHOOSE( CONTROL!$C$15, $D$11, 100%, $F$11)</f>
        <v>10.8942</v>
      </c>
      <c r="E454" s="12">
        <f>CHOOSE( CONTROL!$C$32, 10.8955, 10.8905) * CHOOSE( CONTROL!$C$15, $D$11, 100%, $F$11)</f>
        <v>10.8955</v>
      </c>
      <c r="F454" s="4">
        <f>CHOOSE( CONTROL!$C$32, 11.8858, 11.8809) * CHOOSE(CONTROL!$C$15, $D$11, 100%, $F$11)</f>
        <v>11.8858</v>
      </c>
      <c r="G454" s="8">
        <f>CHOOSE( CONTROL!$C$32, 10.6041, 10.5993) * CHOOSE( CONTROL!$C$15, $D$11, 100%, $F$11)</f>
        <v>10.604100000000001</v>
      </c>
      <c r="H454" s="4">
        <f>CHOOSE( CONTROL!$C$32, 11.5097, 11.5049) * CHOOSE(CONTROL!$C$15, $D$11, 100%, $F$11)</f>
        <v>11.5097</v>
      </c>
      <c r="I454" s="8">
        <f>CHOOSE( CONTROL!$C$32, 10.4813, 10.4766) * CHOOSE(CONTROL!$C$15, $D$11, 100%, $F$11)</f>
        <v>10.481299999999999</v>
      </c>
      <c r="J454" s="4">
        <f>CHOOSE( CONTROL!$C$32, 10.4316, 10.4269) * CHOOSE(CONTROL!$C$15, $D$11, 100%, $F$11)</f>
        <v>10.4316</v>
      </c>
      <c r="K454" s="4"/>
      <c r="L454" s="9">
        <v>28.568200000000001</v>
      </c>
      <c r="M454" s="9">
        <v>11.6745</v>
      </c>
      <c r="N454" s="9">
        <v>4.7850000000000001</v>
      </c>
      <c r="O454" s="9">
        <v>0.36249999999999999</v>
      </c>
      <c r="P454" s="9">
        <v>1.1798</v>
      </c>
      <c r="Q454" s="9">
        <v>19.299600000000002</v>
      </c>
      <c r="R454" s="9"/>
      <c r="S454" s="11"/>
    </row>
    <row r="455" spans="1:19" ht="15.75">
      <c r="A455" s="13">
        <v>55731</v>
      </c>
      <c r="B455" s="8">
        <f>CHOOSE( CONTROL!$C$32, 11.3599, 11.3549) * CHOOSE(CONTROL!$C$15, $D$11, 100%, $F$11)</f>
        <v>11.3599</v>
      </c>
      <c r="C455" s="8">
        <f>CHOOSE( CONTROL!$C$32, 11.3703, 11.3654) * CHOOSE(CONTROL!$C$15, $D$11, 100%, $F$11)</f>
        <v>11.3703</v>
      </c>
      <c r="D455" s="8">
        <f>CHOOSE( CONTROL!$C$32, 11.3693, 11.3644) * CHOOSE( CONTROL!$C$15, $D$11, 100%, $F$11)</f>
        <v>11.369300000000001</v>
      </c>
      <c r="E455" s="12">
        <f>CHOOSE( CONTROL!$C$32, 11.3681, 11.3632) * CHOOSE( CONTROL!$C$15, $D$11, 100%, $F$11)</f>
        <v>11.3681</v>
      </c>
      <c r="F455" s="4">
        <f>CHOOSE( CONTROL!$C$32, 12.3645, 12.3596) * CHOOSE(CONTROL!$C$15, $D$11, 100%, $F$11)</f>
        <v>12.3645</v>
      </c>
      <c r="G455" s="8">
        <f>CHOOSE( CONTROL!$C$32, 11.0646, 11.0598) * CHOOSE( CONTROL!$C$15, $D$11, 100%, $F$11)</f>
        <v>11.0646</v>
      </c>
      <c r="H455" s="4">
        <f>CHOOSE( CONTROL!$C$32, 11.9763, 11.9715) * CHOOSE(CONTROL!$C$15, $D$11, 100%, $F$11)</f>
        <v>11.9763</v>
      </c>
      <c r="I455" s="8">
        <f>CHOOSE( CONTROL!$C$32, 10.9379, 10.9331) * CHOOSE(CONTROL!$C$15, $D$11, 100%, $F$11)</f>
        <v>10.937900000000001</v>
      </c>
      <c r="J455" s="4">
        <f>CHOOSE( CONTROL!$C$32, 10.8803, 10.8755) * CHOOSE(CONTROL!$C$15, $D$11, 100%, $F$11)</f>
        <v>10.8803</v>
      </c>
      <c r="K455" s="4"/>
      <c r="L455" s="9">
        <v>29.520499999999998</v>
      </c>
      <c r="M455" s="9">
        <v>12.063700000000001</v>
      </c>
      <c r="N455" s="9">
        <v>4.9444999999999997</v>
      </c>
      <c r="O455" s="9">
        <v>0.37459999999999999</v>
      </c>
      <c r="P455" s="9">
        <v>1.2192000000000001</v>
      </c>
      <c r="Q455" s="9">
        <v>19.942900000000002</v>
      </c>
      <c r="R455" s="9"/>
      <c r="S455" s="11"/>
    </row>
    <row r="456" spans="1:19" ht="15.75">
      <c r="A456" s="13">
        <v>55762</v>
      </c>
      <c r="B456" s="8">
        <f>CHOOSE( CONTROL!$C$32, 10.4837, 10.4788) * CHOOSE(CONTROL!$C$15, $D$11, 100%, $F$11)</f>
        <v>10.483700000000001</v>
      </c>
      <c r="C456" s="8">
        <f>CHOOSE( CONTROL!$C$32, 10.4942, 10.4892) * CHOOSE(CONTROL!$C$15, $D$11, 100%, $F$11)</f>
        <v>10.494199999999999</v>
      </c>
      <c r="D456" s="8">
        <f>CHOOSE( CONTROL!$C$32, 10.4943, 10.4894) * CHOOSE( CONTROL!$C$15, $D$11, 100%, $F$11)</f>
        <v>10.494300000000001</v>
      </c>
      <c r="E456" s="12">
        <f>CHOOSE( CONTROL!$C$32, 10.4927, 10.4877) * CHOOSE( CONTROL!$C$15, $D$11, 100%, $F$11)</f>
        <v>10.492699999999999</v>
      </c>
      <c r="F456" s="4">
        <f>CHOOSE( CONTROL!$C$32, 11.4962, 11.4913) * CHOOSE(CONTROL!$C$15, $D$11, 100%, $F$11)</f>
        <v>11.4962</v>
      </c>
      <c r="G456" s="8">
        <f>CHOOSE( CONTROL!$C$32, 10.2058, 10.201) * CHOOSE( CONTROL!$C$15, $D$11, 100%, $F$11)</f>
        <v>10.2058</v>
      </c>
      <c r="H456" s="4">
        <f>CHOOSE( CONTROL!$C$32, 11.1299, 11.1251) * CHOOSE(CONTROL!$C$15, $D$11, 100%, $F$11)</f>
        <v>11.129899999999999</v>
      </c>
      <c r="I456" s="8">
        <f>CHOOSE( CONTROL!$C$32, 10.0889, 10.0842) * CHOOSE(CONTROL!$C$15, $D$11, 100%, $F$11)</f>
        <v>10.088900000000001</v>
      </c>
      <c r="J456" s="4">
        <f>CHOOSE( CONTROL!$C$32, 10.0408, 10.036) * CHOOSE(CONTROL!$C$15, $D$11, 100%, $F$11)</f>
        <v>10.040800000000001</v>
      </c>
      <c r="K456" s="4"/>
      <c r="L456" s="9">
        <v>29.520499999999998</v>
      </c>
      <c r="M456" s="9">
        <v>12.063700000000001</v>
      </c>
      <c r="N456" s="9">
        <v>4.9444999999999997</v>
      </c>
      <c r="O456" s="9">
        <v>0.37459999999999999</v>
      </c>
      <c r="P456" s="9">
        <v>1.2192000000000001</v>
      </c>
      <c r="Q456" s="9">
        <v>19.942900000000002</v>
      </c>
      <c r="R456" s="9"/>
      <c r="S456" s="11"/>
    </row>
    <row r="457" spans="1:19" ht="15.75">
      <c r="A457" s="13">
        <v>55792</v>
      </c>
      <c r="B457" s="8">
        <f>CHOOSE( CONTROL!$C$32, 10.2643, 10.2594) * CHOOSE(CONTROL!$C$15, $D$11, 100%, $F$11)</f>
        <v>10.2643</v>
      </c>
      <c r="C457" s="8">
        <f>CHOOSE( CONTROL!$C$32, 10.2748, 10.2698) * CHOOSE(CONTROL!$C$15, $D$11, 100%, $F$11)</f>
        <v>10.274800000000001</v>
      </c>
      <c r="D457" s="8">
        <f>CHOOSE( CONTROL!$C$32, 10.2752, 10.2703) * CHOOSE( CONTROL!$C$15, $D$11, 100%, $F$11)</f>
        <v>10.2752</v>
      </c>
      <c r="E457" s="12">
        <f>CHOOSE( CONTROL!$C$32, 10.2735, 10.2685) * CHOOSE( CONTROL!$C$15, $D$11, 100%, $F$11)</f>
        <v>10.2735</v>
      </c>
      <c r="F457" s="4">
        <f>CHOOSE( CONTROL!$C$32, 11.2768, 11.2719) * CHOOSE(CONTROL!$C$15, $D$11, 100%, $F$11)</f>
        <v>11.2768</v>
      </c>
      <c r="G457" s="8">
        <f>CHOOSE( CONTROL!$C$32, 9.9923, 9.9875) * CHOOSE( CONTROL!$C$15, $D$11, 100%, $F$11)</f>
        <v>9.9923000000000002</v>
      </c>
      <c r="H457" s="4">
        <f>CHOOSE( CONTROL!$C$32, 10.9161, 10.9113) * CHOOSE(CONTROL!$C$15, $D$11, 100%, $F$11)</f>
        <v>10.9161</v>
      </c>
      <c r="I457" s="8">
        <f>CHOOSE( CONTROL!$C$32, 9.88, 9.8753) * CHOOSE(CONTROL!$C$15, $D$11, 100%, $F$11)</f>
        <v>9.8800000000000008</v>
      </c>
      <c r="J457" s="4">
        <f>CHOOSE( CONTROL!$C$32, 9.8305, 9.8258) * CHOOSE(CONTROL!$C$15, $D$11, 100%, $F$11)</f>
        <v>9.8305000000000007</v>
      </c>
      <c r="K457" s="4"/>
      <c r="L457" s="9">
        <v>28.568200000000001</v>
      </c>
      <c r="M457" s="9">
        <v>11.6745</v>
      </c>
      <c r="N457" s="9">
        <v>4.7850000000000001</v>
      </c>
      <c r="O457" s="9">
        <v>0.36249999999999999</v>
      </c>
      <c r="P457" s="9">
        <v>1.1798</v>
      </c>
      <c r="Q457" s="9">
        <v>19.299600000000002</v>
      </c>
      <c r="R457" s="9"/>
      <c r="S457" s="11"/>
    </row>
    <row r="458" spans="1:19" ht="15.75">
      <c r="A458" s="13">
        <v>55823</v>
      </c>
      <c r="B458" s="8">
        <f>10.7149 * CHOOSE(CONTROL!$C$15, $D$11, 100%, $F$11)</f>
        <v>10.7149</v>
      </c>
      <c r="C458" s="8">
        <f>10.7254 * CHOOSE(CONTROL!$C$15, $D$11, 100%, $F$11)</f>
        <v>10.7254</v>
      </c>
      <c r="D458" s="8">
        <f>10.7271 * CHOOSE( CONTROL!$C$15, $D$11, 100%, $F$11)</f>
        <v>10.7271</v>
      </c>
      <c r="E458" s="12">
        <f>10.7254 * CHOOSE( CONTROL!$C$15, $D$11, 100%, $F$11)</f>
        <v>10.7254</v>
      </c>
      <c r="F458" s="4">
        <f>11.7274 * CHOOSE(CONTROL!$C$15, $D$11, 100%, $F$11)</f>
        <v>11.727399999999999</v>
      </c>
      <c r="G458" s="8">
        <f>10.4312 * CHOOSE( CONTROL!$C$15, $D$11, 100%, $F$11)</f>
        <v>10.4312</v>
      </c>
      <c r="H458" s="4">
        <f>11.3553 * CHOOSE(CONTROL!$C$15, $D$11, 100%, $F$11)</f>
        <v>11.3553</v>
      </c>
      <c r="I458" s="8">
        <f>10.3143 * CHOOSE(CONTROL!$C$15, $D$11, 100%, $F$11)</f>
        <v>10.314299999999999</v>
      </c>
      <c r="J458" s="4">
        <f>10.2623 * CHOOSE(CONTROL!$C$15, $D$11, 100%, $F$11)</f>
        <v>10.2623</v>
      </c>
      <c r="K458" s="4"/>
      <c r="L458" s="9">
        <v>28.921800000000001</v>
      </c>
      <c r="M458" s="9">
        <v>12.063700000000001</v>
      </c>
      <c r="N458" s="9">
        <v>4.9444999999999997</v>
      </c>
      <c r="O458" s="9">
        <v>0.37459999999999999</v>
      </c>
      <c r="P458" s="9">
        <v>1.2192000000000001</v>
      </c>
      <c r="Q458" s="9">
        <v>19.942900000000002</v>
      </c>
      <c r="R458" s="9"/>
      <c r="S458" s="11"/>
    </row>
    <row r="459" spans="1:19" ht="15.75">
      <c r="A459" s="13">
        <v>55853</v>
      </c>
      <c r="B459" s="8">
        <f>11.5558 * CHOOSE(CONTROL!$C$15, $D$11, 100%, $F$11)</f>
        <v>11.5558</v>
      </c>
      <c r="C459" s="8">
        <f>11.5662 * CHOOSE(CONTROL!$C$15, $D$11, 100%, $F$11)</f>
        <v>11.5662</v>
      </c>
      <c r="D459" s="8">
        <f>11.5473 * CHOOSE( CONTROL!$C$15, $D$11, 100%, $F$11)</f>
        <v>11.5473</v>
      </c>
      <c r="E459" s="12">
        <f>11.5531 * CHOOSE( CONTROL!$C$15, $D$11, 100%, $F$11)</f>
        <v>11.553100000000001</v>
      </c>
      <c r="F459" s="4">
        <f>12.5526 * CHOOSE(CONTROL!$C$15, $D$11, 100%, $F$11)</f>
        <v>12.5526</v>
      </c>
      <c r="G459" s="8">
        <f>11.2738 * CHOOSE( CONTROL!$C$15, $D$11, 100%, $F$11)</f>
        <v>11.2738</v>
      </c>
      <c r="H459" s="4">
        <f>12.1597 * CHOOSE(CONTROL!$C$15, $D$11, 100%, $F$11)</f>
        <v>12.159700000000001</v>
      </c>
      <c r="I459" s="8">
        <f>11.1669 * CHOOSE(CONTROL!$C$15, $D$11, 100%, $F$11)</f>
        <v>11.1669</v>
      </c>
      <c r="J459" s="4">
        <f>11.068 * CHOOSE(CONTROL!$C$15, $D$11, 100%, $F$11)</f>
        <v>11.068</v>
      </c>
      <c r="K459" s="4"/>
      <c r="L459" s="9">
        <v>26.515499999999999</v>
      </c>
      <c r="M459" s="9">
        <v>11.6745</v>
      </c>
      <c r="N459" s="9">
        <v>4.7850000000000001</v>
      </c>
      <c r="O459" s="9">
        <v>0.36249999999999999</v>
      </c>
      <c r="P459" s="9">
        <v>1.2522</v>
      </c>
      <c r="Q459" s="9">
        <v>19.299600000000002</v>
      </c>
      <c r="R459" s="9"/>
      <c r="S459" s="11"/>
    </row>
    <row r="460" spans="1:19" ht="15.75">
      <c r="A460" s="13">
        <v>55884</v>
      </c>
      <c r="B460" s="8">
        <f>11.5348 * CHOOSE(CONTROL!$C$15, $D$11, 100%, $F$11)</f>
        <v>11.534800000000001</v>
      </c>
      <c r="C460" s="8">
        <f>11.5452 * CHOOSE(CONTROL!$C$15, $D$11, 100%, $F$11)</f>
        <v>11.545199999999999</v>
      </c>
      <c r="D460" s="8">
        <f>11.5288 * CHOOSE( CONTROL!$C$15, $D$11, 100%, $F$11)</f>
        <v>11.5288</v>
      </c>
      <c r="E460" s="12">
        <f>11.5337 * CHOOSE( CONTROL!$C$15, $D$11, 100%, $F$11)</f>
        <v>11.5337</v>
      </c>
      <c r="F460" s="4">
        <f>12.5316 * CHOOSE(CONTROL!$C$15, $D$11, 100%, $F$11)</f>
        <v>12.531599999999999</v>
      </c>
      <c r="G460" s="8">
        <f>11.2553 * CHOOSE( CONTROL!$C$15, $D$11, 100%, $F$11)</f>
        <v>11.2553</v>
      </c>
      <c r="H460" s="4">
        <f>12.1392 * CHOOSE(CONTROL!$C$15, $D$11, 100%, $F$11)</f>
        <v>12.139200000000001</v>
      </c>
      <c r="I460" s="8">
        <f>11.1555 * CHOOSE(CONTROL!$C$15, $D$11, 100%, $F$11)</f>
        <v>11.1555</v>
      </c>
      <c r="J460" s="4">
        <f>11.0479 * CHOOSE(CONTROL!$C$15, $D$11, 100%, $F$11)</f>
        <v>11.0479</v>
      </c>
      <c r="K460" s="4"/>
      <c r="L460" s="9">
        <v>27.3993</v>
      </c>
      <c r="M460" s="9">
        <v>12.063700000000001</v>
      </c>
      <c r="N460" s="9">
        <v>4.9444999999999997</v>
      </c>
      <c r="O460" s="9">
        <v>0.37459999999999999</v>
      </c>
      <c r="P460" s="9">
        <v>1.2939000000000001</v>
      </c>
      <c r="Q460" s="9">
        <v>19.942900000000002</v>
      </c>
      <c r="R460" s="9"/>
      <c r="S460" s="11"/>
    </row>
    <row r="461" spans="1:19" ht="15.75">
      <c r="A461" s="13">
        <v>55915</v>
      </c>
      <c r="B461" s="8">
        <f>11.9754 * CHOOSE(CONTROL!$C$15, $D$11, 100%, $F$11)</f>
        <v>11.9754</v>
      </c>
      <c r="C461" s="8">
        <f>11.9859 * CHOOSE(CONTROL!$C$15, $D$11, 100%, $F$11)</f>
        <v>11.985900000000001</v>
      </c>
      <c r="D461" s="8">
        <f>11.9844 * CHOOSE( CONTROL!$C$15, $D$11, 100%, $F$11)</f>
        <v>11.984400000000001</v>
      </c>
      <c r="E461" s="12">
        <f>11.9838 * CHOOSE( CONTROL!$C$15, $D$11, 100%, $F$11)</f>
        <v>11.9838</v>
      </c>
      <c r="F461" s="4">
        <f>12.9983 * CHOOSE(CONTROL!$C$15, $D$11, 100%, $F$11)</f>
        <v>12.9983</v>
      </c>
      <c r="G461" s="8">
        <f>11.7017 * CHOOSE( CONTROL!$C$15, $D$11, 100%, $F$11)</f>
        <v>11.701700000000001</v>
      </c>
      <c r="H461" s="4">
        <f>12.5942 * CHOOSE(CONTROL!$C$15, $D$11, 100%, $F$11)</f>
        <v>12.594200000000001</v>
      </c>
      <c r="I461" s="8">
        <f>11.5844 * CHOOSE(CONTROL!$C$15, $D$11, 100%, $F$11)</f>
        <v>11.5844</v>
      </c>
      <c r="J461" s="4">
        <f>11.4701 * CHOOSE(CONTROL!$C$15, $D$11, 100%, $F$11)</f>
        <v>11.4701</v>
      </c>
      <c r="K461" s="4"/>
      <c r="L461" s="9">
        <v>27.3993</v>
      </c>
      <c r="M461" s="9">
        <v>12.063700000000001</v>
      </c>
      <c r="N461" s="9">
        <v>4.9444999999999997</v>
      </c>
      <c r="O461" s="9">
        <v>0.37459999999999999</v>
      </c>
      <c r="P461" s="9">
        <v>1.2939000000000001</v>
      </c>
      <c r="Q461" s="9">
        <v>19.877800000000001</v>
      </c>
      <c r="R461" s="9"/>
      <c r="S461" s="11"/>
    </row>
    <row r="462" spans="1:19" ht="15.75">
      <c r="A462" s="13">
        <v>55943</v>
      </c>
      <c r="B462" s="8">
        <f>11.2016 * CHOOSE(CONTROL!$C$15, $D$11, 100%, $F$11)</f>
        <v>11.201599999999999</v>
      </c>
      <c r="C462" s="8">
        <f>11.212 * CHOOSE(CONTROL!$C$15, $D$11, 100%, $F$11)</f>
        <v>11.212</v>
      </c>
      <c r="D462" s="8">
        <f>11.2128 * CHOOSE( CONTROL!$C$15, $D$11, 100%, $F$11)</f>
        <v>11.2128</v>
      </c>
      <c r="E462" s="12">
        <f>11.2114 * CHOOSE( CONTROL!$C$15, $D$11, 100%, $F$11)</f>
        <v>11.211399999999999</v>
      </c>
      <c r="F462" s="4">
        <f>12.2166 * CHOOSE(CONTROL!$C$15, $D$11, 100%, $F$11)</f>
        <v>12.2166</v>
      </c>
      <c r="G462" s="8">
        <f>10.9471 * CHOOSE( CONTROL!$C$15, $D$11, 100%, $F$11)</f>
        <v>10.947100000000001</v>
      </c>
      <c r="H462" s="4">
        <f>11.8322 * CHOOSE(CONTROL!$C$15, $D$11, 100%, $F$11)</f>
        <v>11.8322</v>
      </c>
      <c r="I462" s="8">
        <f>10.8316 * CHOOSE(CONTROL!$C$15, $D$11, 100%, $F$11)</f>
        <v>10.8316</v>
      </c>
      <c r="J462" s="4">
        <f>10.7286 * CHOOSE(CONTROL!$C$15, $D$11, 100%, $F$11)</f>
        <v>10.7286</v>
      </c>
      <c r="K462" s="4"/>
      <c r="L462" s="9">
        <v>24.747800000000002</v>
      </c>
      <c r="M462" s="9">
        <v>10.8962</v>
      </c>
      <c r="N462" s="9">
        <v>4.4660000000000002</v>
      </c>
      <c r="O462" s="9">
        <v>0.33829999999999999</v>
      </c>
      <c r="P462" s="9">
        <v>1.1687000000000001</v>
      </c>
      <c r="Q462" s="9">
        <v>17.9542</v>
      </c>
      <c r="R462" s="9"/>
      <c r="S462" s="11"/>
    </row>
    <row r="463" spans="1:19" ht="15.75">
      <c r="A463" s="13">
        <v>55974</v>
      </c>
      <c r="B463" s="8">
        <f>10.9632 * CHOOSE(CONTROL!$C$15, $D$11, 100%, $F$11)</f>
        <v>10.963200000000001</v>
      </c>
      <c r="C463" s="8">
        <f>10.9736 * CHOOSE(CONTROL!$C$15, $D$11, 100%, $F$11)</f>
        <v>10.973599999999999</v>
      </c>
      <c r="D463" s="8">
        <f>10.9541 * CHOOSE( CONTROL!$C$15, $D$11, 100%, $F$11)</f>
        <v>10.9541</v>
      </c>
      <c r="E463" s="12">
        <f>10.9601 * CHOOSE( CONTROL!$C$15, $D$11, 100%, $F$11)</f>
        <v>10.960100000000001</v>
      </c>
      <c r="F463" s="4">
        <f>11.9621 * CHOOSE(CONTROL!$C$15, $D$11, 100%, $F$11)</f>
        <v>11.9621</v>
      </c>
      <c r="G463" s="8">
        <f>10.6941 * CHOOSE( CONTROL!$C$15, $D$11, 100%, $F$11)</f>
        <v>10.694100000000001</v>
      </c>
      <c r="H463" s="4">
        <f>11.5841 * CHOOSE(CONTROL!$C$15, $D$11, 100%, $F$11)</f>
        <v>11.584099999999999</v>
      </c>
      <c r="I463" s="8">
        <f>10.5636 * CHOOSE(CONTROL!$C$15, $D$11, 100%, $F$11)</f>
        <v>10.563599999999999</v>
      </c>
      <c r="J463" s="4">
        <f>10.5002 * CHOOSE(CONTROL!$C$15, $D$11, 100%, $F$11)</f>
        <v>10.5002</v>
      </c>
      <c r="K463" s="4"/>
      <c r="L463" s="9">
        <v>27.3993</v>
      </c>
      <c r="M463" s="9">
        <v>12.063700000000001</v>
      </c>
      <c r="N463" s="9">
        <v>4.9444999999999997</v>
      </c>
      <c r="O463" s="9">
        <v>0.37459999999999999</v>
      </c>
      <c r="P463" s="9">
        <v>1.2939000000000001</v>
      </c>
      <c r="Q463" s="9">
        <v>19.877800000000001</v>
      </c>
      <c r="R463" s="9"/>
      <c r="S463" s="11"/>
    </row>
    <row r="464" spans="1:19" ht="15.75">
      <c r="A464" s="13">
        <v>56004</v>
      </c>
      <c r="B464" s="8">
        <f>11.1298 * CHOOSE(CONTROL!$C$15, $D$11, 100%, $F$11)</f>
        <v>11.129799999999999</v>
      </c>
      <c r="C464" s="8">
        <f>11.1402 * CHOOSE(CONTROL!$C$15, $D$11, 100%, $F$11)</f>
        <v>11.1402</v>
      </c>
      <c r="D464" s="8">
        <f>11.144 * CHOOSE( CONTROL!$C$15, $D$11, 100%, $F$11)</f>
        <v>11.144</v>
      </c>
      <c r="E464" s="12">
        <f>11.1416 * CHOOSE( CONTROL!$C$15, $D$11, 100%, $F$11)</f>
        <v>11.1416</v>
      </c>
      <c r="F464" s="4">
        <f>12.137 * CHOOSE(CONTROL!$C$15, $D$11, 100%, $F$11)</f>
        <v>12.137</v>
      </c>
      <c r="G464" s="8">
        <f>10.8444 * CHOOSE( CONTROL!$C$15, $D$11, 100%, $F$11)</f>
        <v>10.8444</v>
      </c>
      <c r="H464" s="4">
        <f>11.7546 * CHOOSE(CONTROL!$C$15, $D$11, 100%, $F$11)</f>
        <v>11.7546</v>
      </c>
      <c r="I464" s="8">
        <f>10.7133 * CHOOSE(CONTROL!$C$15, $D$11, 100%, $F$11)</f>
        <v>10.7133</v>
      </c>
      <c r="J464" s="4">
        <f>10.6598 * CHOOSE(CONTROL!$C$15, $D$11, 100%, $F$11)</f>
        <v>10.659800000000001</v>
      </c>
      <c r="K464" s="4"/>
      <c r="L464" s="9">
        <v>27.988800000000001</v>
      </c>
      <c r="M464" s="9">
        <v>11.6745</v>
      </c>
      <c r="N464" s="9">
        <v>4.7850000000000001</v>
      </c>
      <c r="O464" s="9">
        <v>0.36249999999999999</v>
      </c>
      <c r="P464" s="9">
        <v>1.1798</v>
      </c>
      <c r="Q464" s="9">
        <v>19.236599999999999</v>
      </c>
      <c r="R464" s="9"/>
      <c r="S464" s="11"/>
    </row>
    <row r="465" spans="1:19" ht="15.75">
      <c r="A465" s="13">
        <v>56035</v>
      </c>
      <c r="B465" s="8">
        <f>CHOOSE( CONTROL!$C$32, 11.4311, 11.4262) * CHOOSE(CONTROL!$C$15, $D$11, 100%, $F$11)</f>
        <v>11.431100000000001</v>
      </c>
      <c r="C465" s="8">
        <f>CHOOSE( CONTROL!$C$32, 11.4416, 11.4366) * CHOOSE(CONTROL!$C$15, $D$11, 100%, $F$11)</f>
        <v>11.441599999999999</v>
      </c>
      <c r="D465" s="8">
        <f>CHOOSE( CONTROL!$C$32, 11.4202, 11.4153) * CHOOSE( CONTROL!$C$15, $D$11, 100%, $F$11)</f>
        <v>11.420199999999999</v>
      </c>
      <c r="E465" s="12">
        <f>CHOOSE( CONTROL!$C$32, 11.4264, 11.4214) * CHOOSE( CONTROL!$C$15, $D$11, 100%, $F$11)</f>
        <v>11.426399999999999</v>
      </c>
      <c r="F465" s="4">
        <f>CHOOSE( CONTROL!$C$32, 12.406, 12.4011) * CHOOSE(CONTROL!$C$15, $D$11, 100%, $F$11)</f>
        <v>12.406000000000001</v>
      </c>
      <c r="G465" s="8">
        <f>CHOOSE( CONTROL!$C$32, 11.1196, 11.1147) * CHOOSE( CONTROL!$C$15, $D$11, 100%, $F$11)</f>
        <v>11.1196</v>
      </c>
      <c r="H465" s="4">
        <f>CHOOSE( CONTROL!$C$32, 12.0168, 12.012) * CHOOSE(CONTROL!$C$15, $D$11, 100%, $F$11)</f>
        <v>12.0168</v>
      </c>
      <c r="I465" s="8">
        <f>CHOOSE( CONTROL!$C$32, 10.9807, 10.976) * CHOOSE(CONTROL!$C$15, $D$11, 100%, $F$11)</f>
        <v>10.980700000000001</v>
      </c>
      <c r="J465" s="4">
        <f>CHOOSE( CONTROL!$C$32, 10.9485, 10.9438) * CHOOSE(CONTROL!$C$15, $D$11, 100%, $F$11)</f>
        <v>10.948499999999999</v>
      </c>
      <c r="K465" s="4"/>
      <c r="L465" s="9">
        <v>29.520499999999998</v>
      </c>
      <c r="M465" s="9">
        <v>12.063700000000001</v>
      </c>
      <c r="N465" s="9">
        <v>4.9444999999999997</v>
      </c>
      <c r="O465" s="9">
        <v>0.37459999999999999</v>
      </c>
      <c r="P465" s="9">
        <v>1.2192000000000001</v>
      </c>
      <c r="Q465" s="9">
        <v>19.877800000000001</v>
      </c>
      <c r="R465" s="9"/>
      <c r="S465" s="11"/>
    </row>
    <row r="466" spans="1:19" ht="15.75">
      <c r="A466" s="13">
        <v>56065</v>
      </c>
      <c r="B466" s="8">
        <f>CHOOSE( CONTROL!$C$32, 11.2475, 11.2426) * CHOOSE(CONTROL!$C$15, $D$11, 100%, $F$11)</f>
        <v>11.2475</v>
      </c>
      <c r="C466" s="8">
        <f>CHOOSE( CONTROL!$C$32, 11.2579, 11.253) * CHOOSE(CONTROL!$C$15, $D$11, 100%, $F$11)</f>
        <v>11.257899999999999</v>
      </c>
      <c r="D466" s="8">
        <f>CHOOSE( CONTROL!$C$32, 11.25, 11.2451) * CHOOSE( CONTROL!$C$15, $D$11, 100%, $F$11)</f>
        <v>11.25</v>
      </c>
      <c r="E466" s="12">
        <f>CHOOSE( CONTROL!$C$32, 11.2513, 11.2464) * CHOOSE( CONTROL!$C$15, $D$11, 100%, $F$11)</f>
        <v>11.251300000000001</v>
      </c>
      <c r="F466" s="4">
        <f>CHOOSE( CONTROL!$C$32, 12.2417, 12.2368) * CHOOSE(CONTROL!$C$15, $D$11, 100%, $F$11)</f>
        <v>12.2417</v>
      </c>
      <c r="G466" s="8">
        <f>CHOOSE( CONTROL!$C$32, 10.951, 10.9462) * CHOOSE( CONTROL!$C$15, $D$11, 100%, $F$11)</f>
        <v>10.951000000000001</v>
      </c>
      <c r="H466" s="4">
        <f>CHOOSE( CONTROL!$C$32, 11.8566, 11.8518) * CHOOSE(CONTROL!$C$15, $D$11, 100%, $F$11)</f>
        <v>11.8566</v>
      </c>
      <c r="I466" s="8">
        <f>CHOOSE( CONTROL!$C$32, 10.8225, 10.8178) * CHOOSE(CONTROL!$C$15, $D$11, 100%, $F$11)</f>
        <v>10.8225</v>
      </c>
      <c r="J466" s="4">
        <f>CHOOSE( CONTROL!$C$32, 10.7726, 10.7679) * CHOOSE(CONTROL!$C$15, $D$11, 100%, $F$11)</f>
        <v>10.772600000000001</v>
      </c>
      <c r="K466" s="4"/>
      <c r="L466" s="9">
        <v>28.568200000000001</v>
      </c>
      <c r="M466" s="9">
        <v>11.6745</v>
      </c>
      <c r="N466" s="9">
        <v>4.7850000000000001</v>
      </c>
      <c r="O466" s="9">
        <v>0.36249999999999999</v>
      </c>
      <c r="P466" s="9">
        <v>1.1798</v>
      </c>
      <c r="Q466" s="9">
        <v>19.236599999999999</v>
      </c>
      <c r="R466" s="9"/>
      <c r="S466" s="11"/>
    </row>
    <row r="467" spans="1:19" ht="15.75">
      <c r="A467" s="13">
        <v>56096</v>
      </c>
      <c r="B467" s="8">
        <f>CHOOSE( CONTROL!$C$32, 11.7311, 11.7261) * CHOOSE(CONTROL!$C$15, $D$11, 100%, $F$11)</f>
        <v>11.7311</v>
      </c>
      <c r="C467" s="8">
        <f>CHOOSE( CONTROL!$C$32, 11.7415, 11.7366) * CHOOSE(CONTROL!$C$15, $D$11, 100%, $F$11)</f>
        <v>11.7415</v>
      </c>
      <c r="D467" s="8">
        <f>CHOOSE( CONTROL!$C$32, 11.7405, 11.7356) * CHOOSE( CONTROL!$C$15, $D$11, 100%, $F$11)</f>
        <v>11.740500000000001</v>
      </c>
      <c r="E467" s="12">
        <f>CHOOSE( CONTROL!$C$32, 11.7393, 11.7344) * CHOOSE( CONTROL!$C$15, $D$11, 100%, $F$11)</f>
        <v>11.7393</v>
      </c>
      <c r="F467" s="4">
        <f>CHOOSE( CONTROL!$C$32, 12.7357, 12.7308) * CHOOSE(CONTROL!$C$15, $D$11, 100%, $F$11)</f>
        <v>12.7357</v>
      </c>
      <c r="G467" s="8">
        <f>CHOOSE( CONTROL!$C$32, 11.4264, 11.4216) * CHOOSE( CONTROL!$C$15, $D$11, 100%, $F$11)</f>
        <v>11.426399999999999</v>
      </c>
      <c r="H467" s="4">
        <f>CHOOSE( CONTROL!$C$32, 12.3381, 12.3333) * CHOOSE(CONTROL!$C$15, $D$11, 100%, $F$11)</f>
        <v>12.338100000000001</v>
      </c>
      <c r="I467" s="8">
        <f>CHOOSE( CONTROL!$C$32, 11.2937, 11.289) * CHOOSE(CONTROL!$C$15, $D$11, 100%, $F$11)</f>
        <v>11.293699999999999</v>
      </c>
      <c r="J467" s="4">
        <f>CHOOSE( CONTROL!$C$32, 11.2359, 11.2312) * CHOOSE(CONTROL!$C$15, $D$11, 100%, $F$11)</f>
        <v>11.235900000000001</v>
      </c>
      <c r="K467" s="4"/>
      <c r="L467" s="9">
        <v>29.520499999999998</v>
      </c>
      <c r="M467" s="9">
        <v>12.063700000000001</v>
      </c>
      <c r="N467" s="9">
        <v>4.9444999999999997</v>
      </c>
      <c r="O467" s="9">
        <v>0.37459999999999999</v>
      </c>
      <c r="P467" s="9">
        <v>1.2192000000000001</v>
      </c>
      <c r="Q467" s="9">
        <v>19.877800000000001</v>
      </c>
      <c r="R467" s="9"/>
      <c r="S467" s="11"/>
    </row>
    <row r="468" spans="1:19" ht="15.75">
      <c r="A468" s="13">
        <v>56127</v>
      </c>
      <c r="B468" s="8">
        <f>CHOOSE( CONTROL!$C$32, 10.8263, 10.8213) * CHOOSE(CONTROL!$C$15, $D$11, 100%, $F$11)</f>
        <v>10.8263</v>
      </c>
      <c r="C468" s="8">
        <f>CHOOSE( CONTROL!$C$32, 10.8367, 10.8318) * CHOOSE(CONTROL!$C$15, $D$11, 100%, $F$11)</f>
        <v>10.8367</v>
      </c>
      <c r="D468" s="8">
        <f>CHOOSE( CONTROL!$C$32, 10.8369, 10.8319) * CHOOSE( CONTROL!$C$15, $D$11, 100%, $F$11)</f>
        <v>10.8369</v>
      </c>
      <c r="E468" s="12">
        <f>CHOOSE( CONTROL!$C$32, 10.8352, 10.8303) * CHOOSE( CONTROL!$C$15, $D$11, 100%, $F$11)</f>
        <v>10.8352</v>
      </c>
      <c r="F468" s="4">
        <f>CHOOSE( CONTROL!$C$32, 11.8387, 11.8338) * CHOOSE(CONTROL!$C$15, $D$11, 100%, $F$11)</f>
        <v>11.838699999999999</v>
      </c>
      <c r="G468" s="8">
        <f>CHOOSE( CONTROL!$C$32, 10.5397, 10.5348) * CHOOSE( CONTROL!$C$15, $D$11, 100%, $F$11)</f>
        <v>10.5397</v>
      </c>
      <c r="H468" s="4">
        <f>CHOOSE( CONTROL!$C$32, 11.4638, 11.459) * CHOOSE(CONTROL!$C$15, $D$11, 100%, $F$11)</f>
        <v>11.463800000000001</v>
      </c>
      <c r="I468" s="8">
        <f>CHOOSE( CONTROL!$C$32, 10.4173, 10.4126) * CHOOSE(CONTROL!$C$15, $D$11, 100%, $F$11)</f>
        <v>10.417299999999999</v>
      </c>
      <c r="J468" s="4">
        <f>CHOOSE( CONTROL!$C$32, 10.369, 10.3642) * CHOOSE(CONTROL!$C$15, $D$11, 100%, $F$11)</f>
        <v>10.369</v>
      </c>
      <c r="K468" s="4"/>
      <c r="L468" s="9">
        <v>29.520499999999998</v>
      </c>
      <c r="M468" s="9">
        <v>12.063700000000001</v>
      </c>
      <c r="N468" s="9">
        <v>4.9444999999999997</v>
      </c>
      <c r="O468" s="9">
        <v>0.37459999999999999</v>
      </c>
      <c r="P468" s="9">
        <v>1.2192000000000001</v>
      </c>
      <c r="Q468" s="9">
        <v>19.877800000000001</v>
      </c>
      <c r="R468" s="9"/>
      <c r="S468" s="11"/>
    </row>
    <row r="469" spans="1:19" ht="15.75">
      <c r="A469" s="13">
        <v>56157</v>
      </c>
      <c r="B469" s="8">
        <f>CHOOSE( CONTROL!$C$32, 10.5997, 10.5948) * CHOOSE(CONTROL!$C$15, $D$11, 100%, $F$11)</f>
        <v>10.5997</v>
      </c>
      <c r="C469" s="8">
        <f>CHOOSE( CONTROL!$C$32, 10.6101, 10.6052) * CHOOSE(CONTROL!$C$15, $D$11, 100%, $F$11)</f>
        <v>10.610099999999999</v>
      </c>
      <c r="D469" s="8">
        <f>CHOOSE( CONTROL!$C$32, 10.6106, 10.6056) * CHOOSE( CONTROL!$C$15, $D$11, 100%, $F$11)</f>
        <v>10.6106</v>
      </c>
      <c r="E469" s="12">
        <f>CHOOSE( CONTROL!$C$32, 10.6088, 10.6039) * CHOOSE( CONTROL!$C$15, $D$11, 100%, $F$11)</f>
        <v>10.6088</v>
      </c>
      <c r="F469" s="4">
        <f>CHOOSE( CONTROL!$C$32, 11.6122, 11.6072) * CHOOSE(CONTROL!$C$15, $D$11, 100%, $F$11)</f>
        <v>11.6122</v>
      </c>
      <c r="G469" s="8">
        <f>CHOOSE( CONTROL!$C$32, 10.3192, 10.3144) * CHOOSE( CONTROL!$C$15, $D$11, 100%, $F$11)</f>
        <v>10.3192</v>
      </c>
      <c r="H469" s="4">
        <f>CHOOSE( CONTROL!$C$32, 11.243, 11.2382) * CHOOSE(CONTROL!$C$15, $D$11, 100%, $F$11)</f>
        <v>11.243</v>
      </c>
      <c r="I469" s="8">
        <f>CHOOSE( CONTROL!$C$32, 10.2015, 10.1968) * CHOOSE(CONTROL!$C$15, $D$11, 100%, $F$11)</f>
        <v>10.201499999999999</v>
      </c>
      <c r="J469" s="4">
        <f>CHOOSE( CONTROL!$C$32, 10.1519, 10.1471) * CHOOSE(CONTROL!$C$15, $D$11, 100%, $F$11)</f>
        <v>10.151899999999999</v>
      </c>
      <c r="K469" s="4"/>
      <c r="L469" s="9">
        <v>28.568200000000001</v>
      </c>
      <c r="M469" s="9">
        <v>11.6745</v>
      </c>
      <c r="N469" s="9">
        <v>4.7850000000000001</v>
      </c>
      <c r="O469" s="9">
        <v>0.36249999999999999</v>
      </c>
      <c r="P469" s="9">
        <v>1.1798</v>
      </c>
      <c r="Q469" s="9">
        <v>19.236599999999999</v>
      </c>
      <c r="R469" s="9"/>
      <c r="S469" s="11"/>
    </row>
    <row r="470" spans="1:19" ht="15.75">
      <c r="A470" s="13">
        <v>56188</v>
      </c>
      <c r="B470" s="8">
        <f>11.0652 * CHOOSE(CONTROL!$C$15, $D$11, 100%, $F$11)</f>
        <v>11.065200000000001</v>
      </c>
      <c r="C470" s="8">
        <f>11.0756 * CHOOSE(CONTROL!$C$15, $D$11, 100%, $F$11)</f>
        <v>11.0756</v>
      </c>
      <c r="D470" s="8">
        <f>11.0773 * CHOOSE( CONTROL!$C$15, $D$11, 100%, $F$11)</f>
        <v>11.077299999999999</v>
      </c>
      <c r="E470" s="12">
        <f>11.0756 * CHOOSE( CONTROL!$C$15, $D$11, 100%, $F$11)</f>
        <v>11.0756</v>
      </c>
      <c r="F470" s="4">
        <f>12.0777 * CHOOSE(CONTROL!$C$15, $D$11, 100%, $F$11)</f>
        <v>12.0777</v>
      </c>
      <c r="G470" s="8">
        <f>10.7726 * CHOOSE( CONTROL!$C$15, $D$11, 100%, $F$11)</f>
        <v>10.772600000000001</v>
      </c>
      <c r="H470" s="4">
        <f>11.6967 * CHOOSE(CONTROL!$C$15, $D$11, 100%, $F$11)</f>
        <v>11.6967</v>
      </c>
      <c r="I470" s="8">
        <f>10.65 * CHOOSE(CONTROL!$C$15, $D$11, 100%, $F$11)</f>
        <v>10.65</v>
      </c>
      <c r="J470" s="4">
        <f>10.5979 * CHOOSE(CONTROL!$C$15, $D$11, 100%, $F$11)</f>
        <v>10.597899999999999</v>
      </c>
      <c r="K470" s="4"/>
      <c r="L470" s="9">
        <v>28.921800000000001</v>
      </c>
      <c r="M470" s="9">
        <v>12.063700000000001</v>
      </c>
      <c r="N470" s="9">
        <v>4.9444999999999997</v>
      </c>
      <c r="O470" s="9">
        <v>0.37459999999999999</v>
      </c>
      <c r="P470" s="9">
        <v>1.2192000000000001</v>
      </c>
      <c r="Q470" s="9">
        <v>19.877800000000001</v>
      </c>
      <c r="R470" s="9"/>
      <c r="S470" s="11"/>
    </row>
    <row r="471" spans="1:19" ht="15.75">
      <c r="A471" s="13">
        <v>56218</v>
      </c>
      <c r="B471" s="8">
        <f>11.9335 * CHOOSE(CONTROL!$C$15, $D$11, 100%, $F$11)</f>
        <v>11.9335</v>
      </c>
      <c r="C471" s="8">
        <f>11.944 * CHOOSE(CONTROL!$C$15, $D$11, 100%, $F$11)</f>
        <v>11.944000000000001</v>
      </c>
      <c r="D471" s="8">
        <f>11.925 * CHOOSE( CONTROL!$C$15, $D$11, 100%, $F$11)</f>
        <v>11.925000000000001</v>
      </c>
      <c r="E471" s="12">
        <f>11.9308 * CHOOSE( CONTROL!$C$15, $D$11, 100%, $F$11)</f>
        <v>11.9308</v>
      </c>
      <c r="F471" s="4">
        <f>12.9303 * CHOOSE(CONTROL!$C$15, $D$11, 100%, $F$11)</f>
        <v>12.930300000000001</v>
      </c>
      <c r="G471" s="8">
        <f>11.642 * CHOOSE( CONTROL!$C$15, $D$11, 100%, $F$11)</f>
        <v>11.641999999999999</v>
      </c>
      <c r="H471" s="4">
        <f>12.5279 * CHOOSE(CONTROL!$C$15, $D$11, 100%, $F$11)</f>
        <v>12.527900000000001</v>
      </c>
      <c r="I471" s="8">
        <f>11.529 * CHOOSE(CONTROL!$C$15, $D$11, 100%, $F$11)</f>
        <v>11.529</v>
      </c>
      <c r="J471" s="4">
        <f>11.43 * CHOOSE(CONTROL!$C$15, $D$11, 100%, $F$11)</f>
        <v>11.43</v>
      </c>
      <c r="K471" s="4"/>
      <c r="L471" s="9">
        <v>26.515499999999999</v>
      </c>
      <c r="M471" s="9">
        <v>11.6745</v>
      </c>
      <c r="N471" s="9">
        <v>4.7850000000000001</v>
      </c>
      <c r="O471" s="9">
        <v>0.36249999999999999</v>
      </c>
      <c r="P471" s="9">
        <v>1.2522</v>
      </c>
      <c r="Q471" s="9">
        <v>19.236599999999999</v>
      </c>
      <c r="R471" s="9"/>
      <c r="S471" s="11"/>
    </row>
    <row r="472" spans="1:19" ht="15.75">
      <c r="A472" s="13">
        <v>56249</v>
      </c>
      <c r="B472" s="8">
        <f>11.9118 * CHOOSE(CONTROL!$C$15, $D$11, 100%, $F$11)</f>
        <v>11.911799999999999</v>
      </c>
      <c r="C472" s="8">
        <f>11.9223 * CHOOSE(CONTROL!$C$15, $D$11, 100%, $F$11)</f>
        <v>11.9223</v>
      </c>
      <c r="D472" s="8">
        <f>11.9059 * CHOOSE( CONTROL!$C$15, $D$11, 100%, $F$11)</f>
        <v>11.905900000000001</v>
      </c>
      <c r="E472" s="12">
        <f>11.9108 * CHOOSE( CONTROL!$C$15, $D$11, 100%, $F$11)</f>
        <v>11.9108</v>
      </c>
      <c r="F472" s="4">
        <f>12.9087 * CHOOSE(CONTROL!$C$15, $D$11, 100%, $F$11)</f>
        <v>12.9087</v>
      </c>
      <c r="G472" s="8">
        <f>11.6228 * CHOOSE( CONTROL!$C$15, $D$11, 100%, $F$11)</f>
        <v>11.6228</v>
      </c>
      <c r="H472" s="4">
        <f>12.5067 * CHOOSE(CONTROL!$C$15, $D$11, 100%, $F$11)</f>
        <v>12.5067</v>
      </c>
      <c r="I472" s="8">
        <f>11.517 * CHOOSE(CONTROL!$C$15, $D$11, 100%, $F$11)</f>
        <v>11.516999999999999</v>
      </c>
      <c r="J472" s="4">
        <f>11.4092 * CHOOSE(CONTROL!$C$15, $D$11, 100%, $F$11)</f>
        <v>11.4092</v>
      </c>
      <c r="K472" s="4"/>
      <c r="L472" s="9">
        <v>27.3993</v>
      </c>
      <c r="M472" s="9">
        <v>12.063700000000001</v>
      </c>
      <c r="N472" s="9">
        <v>4.9444999999999997</v>
      </c>
      <c r="O472" s="9">
        <v>0.37459999999999999</v>
      </c>
      <c r="P472" s="9">
        <v>1.2939000000000001</v>
      </c>
      <c r="Q472" s="9">
        <v>19.877800000000001</v>
      </c>
      <c r="R472" s="9"/>
      <c r="S472" s="11"/>
    </row>
    <row r="473" spans="1:19" ht="15.75">
      <c r="A473" s="13">
        <v>56280</v>
      </c>
      <c r="B473" s="8">
        <f>12.3669 * CHOOSE(CONTROL!$C$15, $D$11, 100%, $F$11)</f>
        <v>12.366899999999999</v>
      </c>
      <c r="C473" s="8">
        <f>12.3773 * CHOOSE(CONTROL!$C$15, $D$11, 100%, $F$11)</f>
        <v>12.3773</v>
      </c>
      <c r="D473" s="8">
        <f>12.3759 * CHOOSE( CONTROL!$C$15, $D$11, 100%, $F$11)</f>
        <v>12.3759</v>
      </c>
      <c r="E473" s="12">
        <f>12.3753 * CHOOSE( CONTROL!$C$15, $D$11, 100%, $F$11)</f>
        <v>12.375299999999999</v>
      </c>
      <c r="F473" s="4">
        <f>13.3898 * CHOOSE(CONTROL!$C$15, $D$11, 100%, $F$11)</f>
        <v>13.389799999999999</v>
      </c>
      <c r="G473" s="8">
        <f>12.0833 * CHOOSE( CONTROL!$C$15, $D$11, 100%, $F$11)</f>
        <v>12.083299999999999</v>
      </c>
      <c r="H473" s="4">
        <f>12.9758 * CHOOSE(CONTROL!$C$15, $D$11, 100%, $F$11)</f>
        <v>12.9758</v>
      </c>
      <c r="I473" s="8">
        <f>11.9597 * CHOOSE(CONTROL!$C$15, $D$11, 100%, $F$11)</f>
        <v>11.9597</v>
      </c>
      <c r="J473" s="4">
        <f>11.8452 * CHOOSE(CONTROL!$C$15, $D$11, 100%, $F$11)</f>
        <v>11.8452</v>
      </c>
      <c r="K473" s="4"/>
      <c r="L473" s="9">
        <v>27.3993</v>
      </c>
      <c r="M473" s="9">
        <v>12.063700000000001</v>
      </c>
      <c r="N473" s="9">
        <v>4.9444999999999997</v>
      </c>
      <c r="O473" s="9">
        <v>0.37459999999999999</v>
      </c>
      <c r="P473" s="9">
        <v>1.2939000000000001</v>
      </c>
      <c r="Q473" s="9">
        <v>19.814599999999999</v>
      </c>
      <c r="R473" s="9"/>
      <c r="S473" s="11"/>
    </row>
    <row r="474" spans="1:19" ht="15.75">
      <c r="A474" s="13">
        <v>56308</v>
      </c>
      <c r="B474" s="8">
        <f>11.5677 * CHOOSE(CONTROL!$C$15, $D$11, 100%, $F$11)</f>
        <v>11.5677</v>
      </c>
      <c r="C474" s="8">
        <f>11.5782 * CHOOSE(CONTROL!$C$15, $D$11, 100%, $F$11)</f>
        <v>11.578200000000001</v>
      </c>
      <c r="D474" s="8">
        <f>11.579 * CHOOSE( CONTROL!$C$15, $D$11, 100%, $F$11)</f>
        <v>11.579000000000001</v>
      </c>
      <c r="E474" s="12">
        <f>11.5776 * CHOOSE( CONTROL!$C$15, $D$11, 100%, $F$11)</f>
        <v>11.5776</v>
      </c>
      <c r="F474" s="4">
        <f>12.5828 * CHOOSE(CONTROL!$C$15, $D$11, 100%, $F$11)</f>
        <v>12.582800000000001</v>
      </c>
      <c r="G474" s="8">
        <f>11.304 * CHOOSE( CONTROL!$C$15, $D$11, 100%, $F$11)</f>
        <v>11.304</v>
      </c>
      <c r="H474" s="4">
        <f>12.1891 * CHOOSE(CONTROL!$C$15, $D$11, 100%, $F$11)</f>
        <v>12.1891</v>
      </c>
      <c r="I474" s="8">
        <f>11.1826 * CHOOSE(CONTROL!$C$15, $D$11, 100%, $F$11)</f>
        <v>11.182600000000001</v>
      </c>
      <c r="J474" s="4">
        <f>11.0794 * CHOOSE(CONTROL!$C$15, $D$11, 100%, $F$11)</f>
        <v>11.0794</v>
      </c>
      <c r="K474" s="4"/>
      <c r="L474" s="9">
        <v>24.747800000000002</v>
      </c>
      <c r="M474" s="9">
        <v>10.8962</v>
      </c>
      <c r="N474" s="9">
        <v>4.4660000000000002</v>
      </c>
      <c r="O474" s="9">
        <v>0.33829999999999999</v>
      </c>
      <c r="P474" s="9">
        <v>1.1687000000000001</v>
      </c>
      <c r="Q474" s="9">
        <v>17.896999999999998</v>
      </c>
      <c r="R474" s="9"/>
      <c r="S474" s="11"/>
    </row>
    <row r="475" spans="1:19" ht="15.75">
      <c r="A475" s="13">
        <v>56339</v>
      </c>
      <c r="B475" s="8">
        <f>11.3216 * CHOOSE(CONTROL!$C$15, $D$11, 100%, $F$11)</f>
        <v>11.3216</v>
      </c>
      <c r="C475" s="8">
        <f>11.332 * CHOOSE(CONTROL!$C$15, $D$11, 100%, $F$11)</f>
        <v>11.332000000000001</v>
      </c>
      <c r="D475" s="8">
        <f>11.3125 * CHOOSE( CONTROL!$C$15, $D$11, 100%, $F$11)</f>
        <v>11.3125</v>
      </c>
      <c r="E475" s="12">
        <f>11.3185 * CHOOSE( CONTROL!$C$15, $D$11, 100%, $F$11)</f>
        <v>11.3185</v>
      </c>
      <c r="F475" s="4">
        <f>12.3205 * CHOOSE(CONTROL!$C$15, $D$11, 100%, $F$11)</f>
        <v>12.320499999999999</v>
      </c>
      <c r="G475" s="8">
        <f>11.0434 * CHOOSE( CONTROL!$C$15, $D$11, 100%, $F$11)</f>
        <v>11.0434</v>
      </c>
      <c r="H475" s="4">
        <f>11.9334 * CHOOSE(CONTROL!$C$15, $D$11, 100%, $F$11)</f>
        <v>11.933400000000001</v>
      </c>
      <c r="I475" s="8">
        <f>10.9072 * CHOOSE(CONTROL!$C$15, $D$11, 100%, $F$11)</f>
        <v>10.9072</v>
      </c>
      <c r="J475" s="4">
        <f>10.8436 * CHOOSE(CONTROL!$C$15, $D$11, 100%, $F$11)</f>
        <v>10.8436</v>
      </c>
      <c r="K475" s="4"/>
      <c r="L475" s="9">
        <v>27.3993</v>
      </c>
      <c r="M475" s="9">
        <v>12.063700000000001</v>
      </c>
      <c r="N475" s="9">
        <v>4.9444999999999997</v>
      </c>
      <c r="O475" s="9">
        <v>0.37459999999999999</v>
      </c>
      <c r="P475" s="9">
        <v>1.2939000000000001</v>
      </c>
      <c r="Q475" s="9">
        <v>19.814599999999999</v>
      </c>
      <c r="R475" s="9"/>
      <c r="S475" s="11"/>
    </row>
    <row r="476" spans="1:19" ht="15.75">
      <c r="A476" s="13">
        <v>56369</v>
      </c>
      <c r="B476" s="8">
        <f>11.4936 * CHOOSE(CONTROL!$C$15, $D$11, 100%, $F$11)</f>
        <v>11.493600000000001</v>
      </c>
      <c r="C476" s="8">
        <f>11.504 * CHOOSE(CONTROL!$C$15, $D$11, 100%, $F$11)</f>
        <v>11.504</v>
      </c>
      <c r="D476" s="8">
        <f>11.5079 * CHOOSE( CONTROL!$C$15, $D$11, 100%, $F$11)</f>
        <v>11.507899999999999</v>
      </c>
      <c r="E476" s="12">
        <f>11.5054 * CHOOSE( CONTROL!$C$15, $D$11, 100%, $F$11)</f>
        <v>11.5054</v>
      </c>
      <c r="F476" s="4">
        <f>12.5008 * CHOOSE(CONTROL!$C$15, $D$11, 100%, $F$11)</f>
        <v>12.5008</v>
      </c>
      <c r="G476" s="8">
        <f>11.199 * CHOOSE( CONTROL!$C$15, $D$11, 100%, $F$11)</f>
        <v>11.199</v>
      </c>
      <c r="H476" s="4">
        <f>12.1092 * CHOOSE(CONTROL!$C$15, $D$11, 100%, $F$11)</f>
        <v>12.1092</v>
      </c>
      <c r="I476" s="8">
        <f>11.0621 * CHOOSE(CONTROL!$C$15, $D$11, 100%, $F$11)</f>
        <v>11.062099999999999</v>
      </c>
      <c r="J476" s="4">
        <f>11.0084 * CHOOSE(CONTROL!$C$15, $D$11, 100%, $F$11)</f>
        <v>11.0084</v>
      </c>
      <c r="K476" s="4"/>
      <c r="L476" s="9">
        <v>27.988800000000001</v>
      </c>
      <c r="M476" s="9">
        <v>11.6745</v>
      </c>
      <c r="N476" s="9">
        <v>4.7850000000000001</v>
      </c>
      <c r="O476" s="9">
        <v>0.36249999999999999</v>
      </c>
      <c r="P476" s="9">
        <v>1.1798</v>
      </c>
      <c r="Q476" s="9">
        <v>19.1754</v>
      </c>
      <c r="R476" s="9"/>
      <c r="S476" s="11"/>
    </row>
    <row r="477" spans="1:19" ht="15.75">
      <c r="A477" s="13">
        <v>56400</v>
      </c>
      <c r="B477" s="8">
        <f>CHOOSE( CONTROL!$C$32, 11.8046, 11.7997) * CHOOSE(CONTROL!$C$15, $D$11, 100%, $F$11)</f>
        <v>11.804600000000001</v>
      </c>
      <c r="C477" s="8">
        <f>CHOOSE( CONTROL!$C$32, 11.8151, 11.8101) * CHOOSE(CONTROL!$C$15, $D$11, 100%, $F$11)</f>
        <v>11.815099999999999</v>
      </c>
      <c r="D477" s="8">
        <f>CHOOSE( CONTROL!$C$32, 11.7937, 11.7888) * CHOOSE( CONTROL!$C$15, $D$11, 100%, $F$11)</f>
        <v>11.793699999999999</v>
      </c>
      <c r="E477" s="12">
        <f>CHOOSE( CONTROL!$C$32, 11.7999, 11.7949) * CHOOSE( CONTROL!$C$15, $D$11, 100%, $F$11)</f>
        <v>11.799899999999999</v>
      </c>
      <c r="F477" s="4">
        <f>CHOOSE( CONTROL!$C$32, 12.7795, 12.7746) * CHOOSE(CONTROL!$C$15, $D$11, 100%, $F$11)</f>
        <v>12.779500000000001</v>
      </c>
      <c r="G477" s="8">
        <f>CHOOSE( CONTROL!$C$32, 11.4836, 11.4788) * CHOOSE( CONTROL!$C$15, $D$11, 100%, $F$11)</f>
        <v>11.483599999999999</v>
      </c>
      <c r="H477" s="4">
        <f>CHOOSE( CONTROL!$C$32, 12.3809, 12.3761) * CHOOSE(CONTROL!$C$15, $D$11, 100%, $F$11)</f>
        <v>12.3809</v>
      </c>
      <c r="I477" s="8">
        <f>CHOOSE( CONTROL!$C$32, 11.3388, 11.3341) * CHOOSE(CONTROL!$C$15, $D$11, 100%, $F$11)</f>
        <v>11.338800000000001</v>
      </c>
      <c r="J477" s="4">
        <f>CHOOSE( CONTROL!$C$32, 11.3064, 11.3017) * CHOOSE(CONTROL!$C$15, $D$11, 100%, $F$11)</f>
        <v>11.3064</v>
      </c>
      <c r="K477" s="4"/>
      <c r="L477" s="9">
        <v>29.520499999999998</v>
      </c>
      <c r="M477" s="9">
        <v>12.063700000000001</v>
      </c>
      <c r="N477" s="9">
        <v>4.9444999999999997</v>
      </c>
      <c r="O477" s="9">
        <v>0.37459999999999999</v>
      </c>
      <c r="P477" s="9">
        <v>1.2192000000000001</v>
      </c>
      <c r="Q477" s="9">
        <v>19.814599999999999</v>
      </c>
      <c r="R477" s="9"/>
      <c r="S477" s="11"/>
    </row>
    <row r="478" spans="1:19" ht="15.75">
      <c r="A478" s="13">
        <v>56430</v>
      </c>
      <c r="B478" s="8">
        <f>CHOOSE( CONTROL!$C$32, 11.615, 11.6101) * CHOOSE(CONTROL!$C$15, $D$11, 100%, $F$11)</f>
        <v>11.615</v>
      </c>
      <c r="C478" s="8">
        <f>CHOOSE( CONTROL!$C$32, 11.6254, 11.6205) * CHOOSE(CONTROL!$C$15, $D$11, 100%, $F$11)</f>
        <v>11.625400000000001</v>
      </c>
      <c r="D478" s="8">
        <f>CHOOSE( CONTROL!$C$32, 11.6175, 11.6126) * CHOOSE( CONTROL!$C$15, $D$11, 100%, $F$11)</f>
        <v>11.6175</v>
      </c>
      <c r="E478" s="12">
        <f>CHOOSE( CONTROL!$C$32, 11.6188, 11.6139) * CHOOSE( CONTROL!$C$15, $D$11, 100%, $F$11)</f>
        <v>11.6188</v>
      </c>
      <c r="F478" s="4">
        <f>CHOOSE( CONTROL!$C$32, 12.6092, 12.6043) * CHOOSE(CONTROL!$C$15, $D$11, 100%, $F$11)</f>
        <v>12.6092</v>
      </c>
      <c r="G478" s="8">
        <f>CHOOSE( CONTROL!$C$32, 11.3092, 11.3044) * CHOOSE( CONTROL!$C$15, $D$11, 100%, $F$11)</f>
        <v>11.309200000000001</v>
      </c>
      <c r="H478" s="4">
        <f>CHOOSE( CONTROL!$C$32, 12.2149, 12.21) * CHOOSE(CONTROL!$C$15, $D$11, 100%, $F$11)</f>
        <v>12.2149</v>
      </c>
      <c r="I478" s="8">
        <f>CHOOSE( CONTROL!$C$32, 11.1748, 11.1701) * CHOOSE(CONTROL!$C$15, $D$11, 100%, $F$11)</f>
        <v>11.174799999999999</v>
      </c>
      <c r="J478" s="4">
        <f>CHOOSE( CONTROL!$C$32, 11.1247, 11.12) * CHOOSE(CONTROL!$C$15, $D$11, 100%, $F$11)</f>
        <v>11.124700000000001</v>
      </c>
      <c r="K478" s="4"/>
      <c r="L478" s="9">
        <v>28.568200000000001</v>
      </c>
      <c r="M478" s="9">
        <v>11.6745</v>
      </c>
      <c r="N478" s="9">
        <v>4.7850000000000001</v>
      </c>
      <c r="O478" s="9">
        <v>0.36249999999999999</v>
      </c>
      <c r="P478" s="9">
        <v>1.1798</v>
      </c>
      <c r="Q478" s="9">
        <v>19.1754</v>
      </c>
      <c r="R478" s="9"/>
      <c r="S478" s="11"/>
    </row>
    <row r="479" spans="1:19" ht="15.75">
      <c r="A479" s="13">
        <v>56461</v>
      </c>
      <c r="B479" s="8">
        <f>CHOOSE( CONTROL!$C$32, 12.1144, 12.1094) * CHOOSE(CONTROL!$C$15, $D$11, 100%, $F$11)</f>
        <v>12.1144</v>
      </c>
      <c r="C479" s="8">
        <f>CHOOSE( CONTROL!$C$32, 12.1248, 12.1199) * CHOOSE(CONTROL!$C$15, $D$11, 100%, $F$11)</f>
        <v>12.1248</v>
      </c>
      <c r="D479" s="8">
        <f>CHOOSE( CONTROL!$C$32, 12.1238, 12.1189) * CHOOSE( CONTROL!$C$15, $D$11, 100%, $F$11)</f>
        <v>12.123799999999999</v>
      </c>
      <c r="E479" s="12">
        <f>CHOOSE( CONTROL!$C$32, 12.1226, 12.1177) * CHOOSE( CONTROL!$C$15, $D$11, 100%, $F$11)</f>
        <v>12.1226</v>
      </c>
      <c r="F479" s="4">
        <f>CHOOSE( CONTROL!$C$32, 13.119, 13.1141) * CHOOSE(CONTROL!$C$15, $D$11, 100%, $F$11)</f>
        <v>13.119</v>
      </c>
      <c r="G479" s="8">
        <f>CHOOSE( CONTROL!$C$32, 11.8001, 11.7953) * CHOOSE( CONTROL!$C$15, $D$11, 100%, $F$11)</f>
        <v>11.8001</v>
      </c>
      <c r="H479" s="4">
        <f>CHOOSE( CONTROL!$C$32, 12.7118, 12.707) * CHOOSE(CONTROL!$C$15, $D$11, 100%, $F$11)</f>
        <v>12.7118</v>
      </c>
      <c r="I479" s="8">
        <f>CHOOSE( CONTROL!$C$32, 11.6612, 11.6565) * CHOOSE(CONTROL!$C$15, $D$11, 100%, $F$11)</f>
        <v>11.661199999999999</v>
      </c>
      <c r="J479" s="4">
        <f>CHOOSE( CONTROL!$C$32, 11.6032, 11.5985) * CHOOSE(CONTROL!$C$15, $D$11, 100%, $F$11)</f>
        <v>11.603199999999999</v>
      </c>
      <c r="K479" s="4"/>
      <c r="L479" s="9">
        <v>29.520499999999998</v>
      </c>
      <c r="M479" s="9">
        <v>12.063700000000001</v>
      </c>
      <c r="N479" s="9">
        <v>4.9444999999999997</v>
      </c>
      <c r="O479" s="9">
        <v>0.37459999999999999</v>
      </c>
      <c r="P479" s="9">
        <v>1.2192000000000001</v>
      </c>
      <c r="Q479" s="9">
        <v>19.814599999999999</v>
      </c>
      <c r="R479" s="9"/>
      <c r="S479" s="11"/>
    </row>
    <row r="480" spans="1:19" ht="15.75">
      <c r="A480" s="13">
        <v>56492</v>
      </c>
      <c r="B480" s="8">
        <f>CHOOSE( CONTROL!$C$32, 11.18, 11.1751) * CHOOSE(CONTROL!$C$15, $D$11, 100%, $F$11)</f>
        <v>11.18</v>
      </c>
      <c r="C480" s="8">
        <f>CHOOSE( CONTROL!$C$32, 11.1904, 11.1855) * CHOOSE(CONTROL!$C$15, $D$11, 100%, $F$11)</f>
        <v>11.1904</v>
      </c>
      <c r="D480" s="8">
        <f>CHOOSE( CONTROL!$C$32, 11.1906, 11.1857) * CHOOSE( CONTROL!$C$15, $D$11, 100%, $F$11)</f>
        <v>11.1906</v>
      </c>
      <c r="E480" s="12">
        <f>CHOOSE( CONTROL!$C$32, 11.1889, 11.184) * CHOOSE( CONTROL!$C$15, $D$11, 100%, $F$11)</f>
        <v>11.1889</v>
      </c>
      <c r="F480" s="4">
        <f>CHOOSE( CONTROL!$C$32, 12.1925, 12.1875) * CHOOSE(CONTROL!$C$15, $D$11, 100%, $F$11)</f>
        <v>12.192500000000001</v>
      </c>
      <c r="G480" s="8">
        <f>CHOOSE( CONTROL!$C$32, 10.8845, 10.8797) * CHOOSE( CONTROL!$C$15, $D$11, 100%, $F$11)</f>
        <v>10.884499999999999</v>
      </c>
      <c r="H480" s="4">
        <f>CHOOSE( CONTROL!$C$32, 11.8086, 11.8038) * CHOOSE(CONTROL!$C$15, $D$11, 100%, $F$11)</f>
        <v>11.8086</v>
      </c>
      <c r="I480" s="8">
        <f>CHOOSE( CONTROL!$C$32, 10.7564, 10.7517) * CHOOSE(CONTROL!$C$15, $D$11, 100%, $F$11)</f>
        <v>10.756399999999999</v>
      </c>
      <c r="J480" s="4">
        <f>CHOOSE( CONTROL!$C$32, 10.7079, 10.7032) * CHOOSE(CONTROL!$C$15, $D$11, 100%, $F$11)</f>
        <v>10.7079</v>
      </c>
      <c r="K480" s="4"/>
      <c r="L480" s="9">
        <v>29.520499999999998</v>
      </c>
      <c r="M480" s="9">
        <v>12.063700000000001</v>
      </c>
      <c r="N480" s="9">
        <v>4.9444999999999997</v>
      </c>
      <c r="O480" s="9">
        <v>0.37459999999999999</v>
      </c>
      <c r="P480" s="9">
        <v>1.2192000000000001</v>
      </c>
      <c r="Q480" s="9">
        <v>19.814599999999999</v>
      </c>
      <c r="R480" s="9"/>
      <c r="S480" s="11"/>
    </row>
    <row r="481" spans="1:19" ht="15.75">
      <c r="A481" s="13">
        <v>56522</v>
      </c>
      <c r="B481" s="8">
        <f>CHOOSE( CONTROL!$C$32, 10.946, 10.9411) * CHOOSE(CONTROL!$C$15, $D$11, 100%, $F$11)</f>
        <v>10.946</v>
      </c>
      <c r="C481" s="8">
        <f>CHOOSE( CONTROL!$C$32, 10.9565, 10.9515) * CHOOSE(CONTROL!$C$15, $D$11, 100%, $F$11)</f>
        <v>10.9565</v>
      </c>
      <c r="D481" s="8">
        <f>CHOOSE( CONTROL!$C$32, 10.9569, 10.952) * CHOOSE( CONTROL!$C$15, $D$11, 100%, $F$11)</f>
        <v>10.956899999999999</v>
      </c>
      <c r="E481" s="12">
        <f>CHOOSE( CONTROL!$C$32, 10.9552, 10.9502) * CHOOSE( CONTROL!$C$15, $D$11, 100%, $F$11)</f>
        <v>10.9552</v>
      </c>
      <c r="F481" s="4">
        <f>CHOOSE( CONTROL!$C$32, 11.9585, 11.9536) * CHOOSE(CONTROL!$C$15, $D$11, 100%, $F$11)</f>
        <v>11.958500000000001</v>
      </c>
      <c r="G481" s="8">
        <f>CHOOSE( CONTROL!$C$32, 10.6568, 10.652) * CHOOSE( CONTROL!$C$15, $D$11, 100%, $F$11)</f>
        <v>10.6568</v>
      </c>
      <c r="H481" s="4">
        <f>CHOOSE( CONTROL!$C$32, 11.5806, 11.5757) * CHOOSE(CONTROL!$C$15, $D$11, 100%, $F$11)</f>
        <v>11.5806</v>
      </c>
      <c r="I481" s="8">
        <f>CHOOSE( CONTROL!$C$32, 10.5335, 10.5288) * CHOOSE(CONTROL!$C$15, $D$11, 100%, $F$11)</f>
        <v>10.5335</v>
      </c>
      <c r="J481" s="4">
        <f>CHOOSE( CONTROL!$C$32, 10.4837, 10.479) * CHOOSE(CONTROL!$C$15, $D$11, 100%, $F$11)</f>
        <v>10.483700000000001</v>
      </c>
      <c r="K481" s="4"/>
      <c r="L481" s="9">
        <v>28.568200000000001</v>
      </c>
      <c r="M481" s="9">
        <v>11.6745</v>
      </c>
      <c r="N481" s="9">
        <v>4.7850000000000001</v>
      </c>
      <c r="O481" s="9">
        <v>0.36249999999999999</v>
      </c>
      <c r="P481" s="9">
        <v>1.1798</v>
      </c>
      <c r="Q481" s="9">
        <v>19.1754</v>
      </c>
      <c r="R481" s="9"/>
      <c r="S481" s="11"/>
    </row>
    <row r="482" spans="1:19" ht="15.75">
      <c r="A482" s="13">
        <v>56553</v>
      </c>
      <c r="B482" s="8">
        <f>11.4269 * CHOOSE(CONTROL!$C$15, $D$11, 100%, $F$11)</f>
        <v>11.4269</v>
      </c>
      <c r="C482" s="8">
        <f>11.4373 * CHOOSE(CONTROL!$C$15, $D$11, 100%, $F$11)</f>
        <v>11.4373</v>
      </c>
      <c r="D482" s="8">
        <f>11.439 * CHOOSE( CONTROL!$C$15, $D$11, 100%, $F$11)</f>
        <v>11.439</v>
      </c>
      <c r="E482" s="12">
        <f>11.4373 * CHOOSE( CONTROL!$C$15, $D$11, 100%, $F$11)</f>
        <v>11.4373</v>
      </c>
      <c r="F482" s="4">
        <f>12.4394 * CHOOSE(CONTROL!$C$15, $D$11, 100%, $F$11)</f>
        <v>12.439399999999999</v>
      </c>
      <c r="G482" s="8">
        <f>11.1252 * CHOOSE( CONTROL!$C$15, $D$11, 100%, $F$11)</f>
        <v>11.1252</v>
      </c>
      <c r="H482" s="4">
        <f>12.0493 * CHOOSE(CONTROL!$C$15, $D$11, 100%, $F$11)</f>
        <v>12.049300000000001</v>
      </c>
      <c r="I482" s="8">
        <f>10.9968 * CHOOSE(CONTROL!$C$15, $D$11, 100%, $F$11)</f>
        <v>10.9968</v>
      </c>
      <c r="J482" s="4">
        <f>10.9445 * CHOOSE(CONTROL!$C$15, $D$11, 100%, $F$11)</f>
        <v>10.9445</v>
      </c>
      <c r="K482" s="4"/>
      <c r="L482" s="9">
        <v>28.921800000000001</v>
      </c>
      <c r="M482" s="9">
        <v>12.063700000000001</v>
      </c>
      <c r="N482" s="9">
        <v>4.9444999999999997</v>
      </c>
      <c r="O482" s="9">
        <v>0.37459999999999999</v>
      </c>
      <c r="P482" s="9">
        <v>1.2192000000000001</v>
      </c>
      <c r="Q482" s="9">
        <v>19.814599999999999</v>
      </c>
      <c r="R482" s="9"/>
      <c r="S482" s="11"/>
    </row>
    <row r="483" spans="1:19" ht="15.75">
      <c r="A483" s="13">
        <v>56583</v>
      </c>
      <c r="B483" s="8">
        <f>12.3236 * CHOOSE(CONTROL!$C$15, $D$11, 100%, $F$11)</f>
        <v>12.323600000000001</v>
      </c>
      <c r="C483" s="8">
        <f>12.3341 * CHOOSE(CONTROL!$C$15, $D$11, 100%, $F$11)</f>
        <v>12.334099999999999</v>
      </c>
      <c r="D483" s="8">
        <f>12.3151 * CHOOSE( CONTROL!$C$15, $D$11, 100%, $F$11)</f>
        <v>12.315099999999999</v>
      </c>
      <c r="E483" s="12">
        <f>12.3209 * CHOOSE( CONTROL!$C$15, $D$11, 100%, $F$11)</f>
        <v>12.3209</v>
      </c>
      <c r="F483" s="4">
        <f>13.3205 * CHOOSE(CONTROL!$C$15, $D$11, 100%, $F$11)</f>
        <v>13.320499999999999</v>
      </c>
      <c r="G483" s="8">
        <f>12.0223 * CHOOSE( CONTROL!$C$15, $D$11, 100%, $F$11)</f>
        <v>12.0223</v>
      </c>
      <c r="H483" s="4">
        <f>12.9082 * CHOOSE(CONTROL!$C$15, $D$11, 100%, $F$11)</f>
        <v>12.908200000000001</v>
      </c>
      <c r="I483" s="8">
        <f>11.903 * CHOOSE(CONTROL!$C$15, $D$11, 100%, $F$11)</f>
        <v>11.903</v>
      </c>
      <c r="J483" s="4">
        <f>11.8038 * CHOOSE(CONTROL!$C$15, $D$11, 100%, $F$11)</f>
        <v>11.803800000000001</v>
      </c>
      <c r="K483" s="4"/>
      <c r="L483" s="9">
        <v>26.515499999999999</v>
      </c>
      <c r="M483" s="9">
        <v>11.6745</v>
      </c>
      <c r="N483" s="9">
        <v>4.7850000000000001</v>
      </c>
      <c r="O483" s="9">
        <v>0.36249999999999999</v>
      </c>
      <c r="P483" s="9">
        <v>1.2522</v>
      </c>
      <c r="Q483" s="9">
        <v>19.1754</v>
      </c>
      <c r="R483" s="9"/>
      <c r="S483" s="11"/>
    </row>
    <row r="484" spans="1:19" ht="15.75">
      <c r="A484" s="13">
        <v>56614</v>
      </c>
      <c r="B484" s="8">
        <f>12.3012 * CHOOSE(CONTROL!$C$15, $D$11, 100%, $F$11)</f>
        <v>12.3012</v>
      </c>
      <c r="C484" s="8">
        <f>12.3117 * CHOOSE(CONTROL!$C$15, $D$11, 100%, $F$11)</f>
        <v>12.3117</v>
      </c>
      <c r="D484" s="8">
        <f>12.2953 * CHOOSE( CONTROL!$C$15, $D$11, 100%, $F$11)</f>
        <v>12.295299999999999</v>
      </c>
      <c r="E484" s="12">
        <f>12.3002 * CHOOSE( CONTROL!$C$15, $D$11, 100%, $F$11)</f>
        <v>12.3002</v>
      </c>
      <c r="F484" s="4">
        <f>13.2981 * CHOOSE(CONTROL!$C$15, $D$11, 100%, $F$11)</f>
        <v>13.2981</v>
      </c>
      <c r="G484" s="8">
        <f>12.0024 * CHOOSE( CONTROL!$C$15, $D$11, 100%, $F$11)</f>
        <v>12.0024</v>
      </c>
      <c r="H484" s="4">
        <f>12.8863 * CHOOSE(CONTROL!$C$15, $D$11, 100%, $F$11)</f>
        <v>12.8863</v>
      </c>
      <c r="I484" s="8">
        <f>11.8903 * CHOOSE(CONTROL!$C$15, $D$11, 100%, $F$11)</f>
        <v>11.8903</v>
      </c>
      <c r="J484" s="4">
        <f>11.7823 * CHOOSE(CONTROL!$C$15, $D$11, 100%, $F$11)</f>
        <v>11.782299999999999</v>
      </c>
      <c r="K484" s="4"/>
      <c r="L484" s="9">
        <v>27.3993</v>
      </c>
      <c r="M484" s="9">
        <v>12.063700000000001</v>
      </c>
      <c r="N484" s="9">
        <v>4.9444999999999997</v>
      </c>
      <c r="O484" s="9">
        <v>0.37459999999999999</v>
      </c>
      <c r="P484" s="9">
        <v>1.2939000000000001</v>
      </c>
      <c r="Q484" s="9">
        <v>19.814599999999999</v>
      </c>
      <c r="R484" s="9"/>
      <c r="S484" s="11"/>
    </row>
    <row r="485" spans="1:19" ht="15.75">
      <c r="A485" s="13">
        <v>56645</v>
      </c>
      <c r="B485" s="8">
        <f>12.7712 * CHOOSE(CONTROL!$C$15, $D$11, 100%, $F$11)</f>
        <v>12.7712</v>
      </c>
      <c r="C485" s="8">
        <f>12.7816 * CHOOSE(CONTROL!$C$15, $D$11, 100%, $F$11)</f>
        <v>12.781599999999999</v>
      </c>
      <c r="D485" s="8">
        <f>12.7802 * CHOOSE( CONTROL!$C$15, $D$11, 100%, $F$11)</f>
        <v>12.780200000000001</v>
      </c>
      <c r="E485" s="12">
        <f>12.7796 * CHOOSE( CONTROL!$C$15, $D$11, 100%, $F$11)</f>
        <v>12.7796</v>
      </c>
      <c r="F485" s="4">
        <f>13.7941 * CHOOSE(CONTROL!$C$15, $D$11, 100%, $F$11)</f>
        <v>13.7941</v>
      </c>
      <c r="G485" s="8">
        <f>12.4773 * CHOOSE( CONTROL!$C$15, $D$11, 100%, $F$11)</f>
        <v>12.4773</v>
      </c>
      <c r="H485" s="4">
        <f>13.3698 * CHOOSE(CONTROL!$C$15, $D$11, 100%, $F$11)</f>
        <v>13.3698</v>
      </c>
      <c r="I485" s="8">
        <f>12.3473 * CHOOSE(CONTROL!$C$15, $D$11, 100%, $F$11)</f>
        <v>12.347300000000001</v>
      </c>
      <c r="J485" s="4">
        <f>12.2326 * CHOOSE(CONTROL!$C$15, $D$11, 100%, $F$11)</f>
        <v>12.2326</v>
      </c>
      <c r="K485" s="4"/>
      <c r="L485" s="9">
        <v>27.3993</v>
      </c>
      <c r="M485" s="9">
        <v>12.063700000000001</v>
      </c>
      <c r="N485" s="9">
        <v>4.9444999999999997</v>
      </c>
      <c r="O485" s="9">
        <v>0.37459999999999999</v>
      </c>
      <c r="P485" s="9">
        <v>1.2939000000000001</v>
      </c>
      <c r="Q485" s="9">
        <v>19.751300000000001</v>
      </c>
      <c r="R485" s="9"/>
      <c r="S485" s="11"/>
    </row>
    <row r="486" spans="1:19" ht="15.75">
      <c r="A486" s="13">
        <v>56673</v>
      </c>
      <c r="B486" s="8">
        <f>11.9459 * CHOOSE(CONTROL!$C$15, $D$11, 100%, $F$11)</f>
        <v>11.9459</v>
      </c>
      <c r="C486" s="8">
        <f>11.9563 * CHOOSE(CONTROL!$C$15, $D$11, 100%, $F$11)</f>
        <v>11.956300000000001</v>
      </c>
      <c r="D486" s="8">
        <f>11.9571 * CHOOSE( CONTROL!$C$15, $D$11, 100%, $F$11)</f>
        <v>11.957100000000001</v>
      </c>
      <c r="E486" s="12">
        <f>11.9557 * CHOOSE( CONTROL!$C$15, $D$11, 100%, $F$11)</f>
        <v>11.9557</v>
      </c>
      <c r="F486" s="4">
        <f>12.961 * CHOOSE(CONTROL!$C$15, $D$11, 100%, $F$11)</f>
        <v>12.961</v>
      </c>
      <c r="G486" s="8">
        <f>11.6726 * CHOOSE( CONTROL!$C$15, $D$11, 100%, $F$11)</f>
        <v>11.672599999999999</v>
      </c>
      <c r="H486" s="4">
        <f>12.5577 * CHOOSE(CONTROL!$C$15, $D$11, 100%, $F$11)</f>
        <v>12.557700000000001</v>
      </c>
      <c r="I486" s="8">
        <f>11.5452 * CHOOSE(CONTROL!$C$15, $D$11, 100%, $F$11)</f>
        <v>11.545199999999999</v>
      </c>
      <c r="J486" s="4">
        <f>11.4418 * CHOOSE(CONTROL!$C$15, $D$11, 100%, $F$11)</f>
        <v>11.441800000000001</v>
      </c>
      <c r="K486" s="4"/>
      <c r="L486" s="9">
        <v>24.747800000000002</v>
      </c>
      <c r="M486" s="9">
        <v>10.8962</v>
      </c>
      <c r="N486" s="9">
        <v>4.4660000000000002</v>
      </c>
      <c r="O486" s="9">
        <v>0.33829999999999999</v>
      </c>
      <c r="P486" s="9">
        <v>1.1687000000000001</v>
      </c>
      <c r="Q486" s="9">
        <v>17.8399</v>
      </c>
      <c r="R486" s="9"/>
      <c r="S486" s="11"/>
    </row>
    <row r="487" spans="1:19" ht="15.75">
      <c r="A487" s="13">
        <v>56704</v>
      </c>
      <c r="B487" s="8">
        <f>11.6917 * CHOOSE(CONTROL!$C$15, $D$11, 100%, $F$11)</f>
        <v>11.691700000000001</v>
      </c>
      <c r="C487" s="8">
        <f>11.7021 * CHOOSE(CONTROL!$C$15, $D$11, 100%, $F$11)</f>
        <v>11.7021</v>
      </c>
      <c r="D487" s="8">
        <f>11.6826 * CHOOSE( CONTROL!$C$15, $D$11, 100%, $F$11)</f>
        <v>11.682600000000001</v>
      </c>
      <c r="E487" s="12">
        <f>11.6886 * CHOOSE( CONTROL!$C$15, $D$11, 100%, $F$11)</f>
        <v>11.688599999999999</v>
      </c>
      <c r="F487" s="4">
        <f>12.6906 * CHOOSE(CONTROL!$C$15, $D$11, 100%, $F$11)</f>
        <v>12.6906</v>
      </c>
      <c r="G487" s="8">
        <f>11.4042 * CHOOSE( CONTROL!$C$15, $D$11, 100%, $F$11)</f>
        <v>11.404199999999999</v>
      </c>
      <c r="H487" s="4">
        <f>12.2942 * CHOOSE(CONTROL!$C$15, $D$11, 100%, $F$11)</f>
        <v>12.2942</v>
      </c>
      <c r="I487" s="8">
        <f>11.262 * CHOOSE(CONTROL!$C$15, $D$11, 100%, $F$11)</f>
        <v>11.262</v>
      </c>
      <c r="J487" s="4">
        <f>11.1982 * CHOOSE(CONTROL!$C$15, $D$11, 100%, $F$11)</f>
        <v>11.1982</v>
      </c>
      <c r="K487" s="4"/>
      <c r="L487" s="9">
        <v>27.3993</v>
      </c>
      <c r="M487" s="9">
        <v>12.063700000000001</v>
      </c>
      <c r="N487" s="9">
        <v>4.9444999999999997</v>
      </c>
      <c r="O487" s="9">
        <v>0.37459999999999999</v>
      </c>
      <c r="P487" s="9">
        <v>1.2939000000000001</v>
      </c>
      <c r="Q487" s="9">
        <v>19.751300000000001</v>
      </c>
      <c r="R487" s="9"/>
      <c r="S487" s="11"/>
    </row>
    <row r="488" spans="1:19" ht="15.75">
      <c r="A488" s="13">
        <v>56734</v>
      </c>
      <c r="B488" s="8">
        <f>11.8693 * CHOOSE(CONTROL!$C$15, $D$11, 100%, $F$11)</f>
        <v>11.869300000000001</v>
      </c>
      <c r="C488" s="8">
        <f>11.8797 * CHOOSE(CONTROL!$C$15, $D$11, 100%, $F$11)</f>
        <v>11.8797</v>
      </c>
      <c r="D488" s="8">
        <f>11.8836 * CHOOSE( CONTROL!$C$15, $D$11, 100%, $F$11)</f>
        <v>11.883599999999999</v>
      </c>
      <c r="E488" s="12">
        <f>11.8811 * CHOOSE( CONTROL!$C$15, $D$11, 100%, $F$11)</f>
        <v>11.8811</v>
      </c>
      <c r="F488" s="4">
        <f>12.8766 * CHOOSE(CONTROL!$C$15, $D$11, 100%, $F$11)</f>
        <v>12.8766</v>
      </c>
      <c r="G488" s="8">
        <f>11.5653 * CHOOSE( CONTROL!$C$15, $D$11, 100%, $F$11)</f>
        <v>11.565300000000001</v>
      </c>
      <c r="H488" s="4">
        <f>12.4755 * CHOOSE(CONTROL!$C$15, $D$11, 100%, $F$11)</f>
        <v>12.4755</v>
      </c>
      <c r="I488" s="8">
        <f>11.4223 * CHOOSE(CONTROL!$C$15, $D$11, 100%, $F$11)</f>
        <v>11.4223</v>
      </c>
      <c r="J488" s="4">
        <f>11.3684 * CHOOSE(CONTROL!$C$15, $D$11, 100%, $F$11)</f>
        <v>11.368399999999999</v>
      </c>
      <c r="K488" s="4"/>
      <c r="L488" s="9">
        <v>27.988800000000001</v>
      </c>
      <c r="M488" s="9">
        <v>11.6745</v>
      </c>
      <c r="N488" s="9">
        <v>4.7850000000000001</v>
      </c>
      <c r="O488" s="9">
        <v>0.36249999999999999</v>
      </c>
      <c r="P488" s="9">
        <v>1.1798</v>
      </c>
      <c r="Q488" s="9">
        <v>19.1142</v>
      </c>
      <c r="R488" s="9"/>
      <c r="S488" s="11"/>
    </row>
    <row r="489" spans="1:19" ht="15.75">
      <c r="A489" s="13">
        <v>56765</v>
      </c>
      <c r="B489" s="8">
        <f>CHOOSE( CONTROL!$C$32, 12.1904, 12.1854) * CHOOSE(CONTROL!$C$15, $D$11, 100%, $F$11)</f>
        <v>12.1904</v>
      </c>
      <c r="C489" s="8">
        <f>CHOOSE( CONTROL!$C$32, 12.2008, 12.1959) * CHOOSE(CONTROL!$C$15, $D$11, 100%, $F$11)</f>
        <v>12.200799999999999</v>
      </c>
      <c r="D489" s="8">
        <f>CHOOSE( CONTROL!$C$32, 12.1795, 12.1745) * CHOOSE( CONTROL!$C$15, $D$11, 100%, $F$11)</f>
        <v>12.179500000000001</v>
      </c>
      <c r="E489" s="12">
        <f>CHOOSE( CONTROL!$C$32, 12.1856, 12.1807) * CHOOSE( CONTROL!$C$15, $D$11, 100%, $F$11)</f>
        <v>12.185600000000001</v>
      </c>
      <c r="F489" s="4">
        <f>CHOOSE( CONTROL!$C$32, 13.1653, 13.1603) * CHOOSE(CONTROL!$C$15, $D$11, 100%, $F$11)</f>
        <v>13.1653</v>
      </c>
      <c r="G489" s="8">
        <f>CHOOSE( CONTROL!$C$32, 11.8596, 11.8548) * CHOOSE( CONTROL!$C$15, $D$11, 100%, $F$11)</f>
        <v>11.8596</v>
      </c>
      <c r="H489" s="4">
        <f>CHOOSE( CONTROL!$C$32, 12.7569, 12.7521) * CHOOSE(CONTROL!$C$15, $D$11, 100%, $F$11)</f>
        <v>12.7569</v>
      </c>
      <c r="I489" s="8">
        <f>CHOOSE( CONTROL!$C$32, 11.7086, 11.7039) * CHOOSE(CONTROL!$C$15, $D$11, 100%, $F$11)</f>
        <v>11.708600000000001</v>
      </c>
      <c r="J489" s="4">
        <f>CHOOSE( CONTROL!$C$32, 11.6761, 11.6713) * CHOOSE(CONTROL!$C$15, $D$11, 100%, $F$11)</f>
        <v>11.6761</v>
      </c>
      <c r="K489" s="4"/>
      <c r="L489" s="9">
        <v>29.520499999999998</v>
      </c>
      <c r="M489" s="9">
        <v>12.063700000000001</v>
      </c>
      <c r="N489" s="9">
        <v>4.9444999999999997</v>
      </c>
      <c r="O489" s="9">
        <v>0.37459999999999999</v>
      </c>
      <c r="P489" s="9">
        <v>1.2192000000000001</v>
      </c>
      <c r="Q489" s="9">
        <v>19.751300000000001</v>
      </c>
      <c r="R489" s="9"/>
      <c r="S489" s="11"/>
    </row>
    <row r="490" spans="1:19" ht="15.75">
      <c r="A490" s="13">
        <v>56795</v>
      </c>
      <c r="B490" s="8">
        <f>CHOOSE( CONTROL!$C$32, 11.9945, 11.9896) * CHOOSE(CONTROL!$C$15, $D$11, 100%, $F$11)</f>
        <v>11.9945</v>
      </c>
      <c r="C490" s="8">
        <f>CHOOSE( CONTROL!$C$32, 12.005, 12) * CHOOSE(CONTROL!$C$15, $D$11, 100%, $F$11)</f>
        <v>12.005000000000001</v>
      </c>
      <c r="D490" s="8">
        <f>CHOOSE( CONTROL!$C$32, 11.9971, 11.9921) * CHOOSE( CONTROL!$C$15, $D$11, 100%, $F$11)</f>
        <v>11.9971</v>
      </c>
      <c r="E490" s="12">
        <f>CHOOSE( CONTROL!$C$32, 11.9984, 11.9934) * CHOOSE( CONTROL!$C$15, $D$11, 100%, $F$11)</f>
        <v>11.9984</v>
      </c>
      <c r="F490" s="4">
        <f>CHOOSE( CONTROL!$C$32, 12.9887, 12.9838) * CHOOSE(CONTROL!$C$15, $D$11, 100%, $F$11)</f>
        <v>12.9887</v>
      </c>
      <c r="G490" s="8">
        <f>CHOOSE( CONTROL!$C$32, 11.6792, 11.6744) * CHOOSE( CONTROL!$C$15, $D$11, 100%, $F$11)</f>
        <v>11.6792</v>
      </c>
      <c r="H490" s="4">
        <f>CHOOSE( CONTROL!$C$32, 12.5848, 12.58) * CHOOSE(CONTROL!$C$15, $D$11, 100%, $F$11)</f>
        <v>12.5848</v>
      </c>
      <c r="I490" s="8">
        <f>CHOOSE( CONTROL!$C$32, 11.5387, 11.5339) * CHOOSE(CONTROL!$C$15, $D$11, 100%, $F$11)</f>
        <v>11.5387</v>
      </c>
      <c r="J490" s="4">
        <f>CHOOSE( CONTROL!$C$32, 11.4884, 11.4837) * CHOOSE(CONTROL!$C$15, $D$11, 100%, $F$11)</f>
        <v>11.4884</v>
      </c>
      <c r="K490" s="4"/>
      <c r="L490" s="9">
        <v>28.568200000000001</v>
      </c>
      <c r="M490" s="9">
        <v>11.6745</v>
      </c>
      <c r="N490" s="9">
        <v>4.7850000000000001</v>
      </c>
      <c r="O490" s="9">
        <v>0.36249999999999999</v>
      </c>
      <c r="P490" s="9">
        <v>1.1798</v>
      </c>
      <c r="Q490" s="9">
        <v>19.1142</v>
      </c>
      <c r="R490" s="9"/>
      <c r="S490" s="11"/>
    </row>
    <row r="491" spans="1:19" ht="15.75">
      <c r="A491" s="13">
        <v>56826</v>
      </c>
      <c r="B491" s="8">
        <f>CHOOSE( CONTROL!$C$32, 12.5102, 12.5053) * CHOOSE(CONTROL!$C$15, $D$11, 100%, $F$11)</f>
        <v>12.510199999999999</v>
      </c>
      <c r="C491" s="8">
        <f>CHOOSE( CONTROL!$C$32, 12.5207, 12.5157) * CHOOSE(CONTROL!$C$15, $D$11, 100%, $F$11)</f>
        <v>12.5207</v>
      </c>
      <c r="D491" s="8">
        <f>CHOOSE( CONTROL!$C$32, 12.5197, 12.5147) * CHOOSE( CONTROL!$C$15, $D$11, 100%, $F$11)</f>
        <v>12.5197</v>
      </c>
      <c r="E491" s="12">
        <f>CHOOSE( CONTROL!$C$32, 12.5185, 12.5135) * CHOOSE( CONTROL!$C$15, $D$11, 100%, $F$11)</f>
        <v>12.5185</v>
      </c>
      <c r="F491" s="4">
        <f>CHOOSE( CONTROL!$C$32, 13.5149, 13.51) * CHOOSE(CONTROL!$C$15, $D$11, 100%, $F$11)</f>
        <v>13.514900000000001</v>
      </c>
      <c r="G491" s="8">
        <f>CHOOSE( CONTROL!$C$32, 12.186, 12.1812) * CHOOSE( CONTROL!$C$15, $D$11, 100%, $F$11)</f>
        <v>12.186</v>
      </c>
      <c r="H491" s="4">
        <f>CHOOSE( CONTROL!$C$32, 13.0977, 13.0929) * CHOOSE(CONTROL!$C$15, $D$11, 100%, $F$11)</f>
        <v>13.0977</v>
      </c>
      <c r="I491" s="8">
        <f>CHOOSE( CONTROL!$C$32, 12.0407, 12.036) * CHOOSE(CONTROL!$C$15, $D$11, 100%, $F$11)</f>
        <v>12.040699999999999</v>
      </c>
      <c r="J491" s="4">
        <f>CHOOSE( CONTROL!$C$32, 11.9826, 11.9778) * CHOOSE(CONTROL!$C$15, $D$11, 100%, $F$11)</f>
        <v>11.9826</v>
      </c>
      <c r="K491" s="4"/>
      <c r="L491" s="9">
        <v>29.520499999999998</v>
      </c>
      <c r="M491" s="9">
        <v>12.063700000000001</v>
      </c>
      <c r="N491" s="9">
        <v>4.9444999999999997</v>
      </c>
      <c r="O491" s="9">
        <v>0.37459999999999999</v>
      </c>
      <c r="P491" s="9">
        <v>1.2192000000000001</v>
      </c>
      <c r="Q491" s="9">
        <v>19.751300000000001</v>
      </c>
      <c r="R491" s="9"/>
      <c r="S491" s="11"/>
    </row>
    <row r="492" spans="1:19" ht="15.75">
      <c r="A492" s="13">
        <v>56857</v>
      </c>
      <c r="B492" s="8">
        <f>CHOOSE( CONTROL!$C$32, 11.5453, 11.5404) * CHOOSE(CONTROL!$C$15, $D$11, 100%, $F$11)</f>
        <v>11.545299999999999</v>
      </c>
      <c r="C492" s="8">
        <f>CHOOSE( CONTROL!$C$32, 11.5557, 11.5508) * CHOOSE(CONTROL!$C$15, $D$11, 100%, $F$11)</f>
        <v>11.5557</v>
      </c>
      <c r="D492" s="8">
        <f>CHOOSE( CONTROL!$C$32, 11.5559, 11.551) * CHOOSE( CONTROL!$C$15, $D$11, 100%, $F$11)</f>
        <v>11.555899999999999</v>
      </c>
      <c r="E492" s="12">
        <f>CHOOSE( CONTROL!$C$32, 11.5542, 11.5493) * CHOOSE( CONTROL!$C$15, $D$11, 100%, $F$11)</f>
        <v>11.5542</v>
      </c>
      <c r="F492" s="4">
        <f>CHOOSE( CONTROL!$C$32, 12.5578, 12.5528) * CHOOSE(CONTROL!$C$15, $D$11, 100%, $F$11)</f>
        <v>12.5578</v>
      </c>
      <c r="G492" s="8">
        <f>CHOOSE( CONTROL!$C$32, 11.2406, 11.2357) * CHOOSE( CONTROL!$C$15, $D$11, 100%, $F$11)</f>
        <v>11.240600000000001</v>
      </c>
      <c r="H492" s="4">
        <f>CHOOSE( CONTROL!$C$32, 12.1647, 12.1599) * CHOOSE(CONTROL!$C$15, $D$11, 100%, $F$11)</f>
        <v>12.1647</v>
      </c>
      <c r="I492" s="8">
        <f>CHOOSE( CONTROL!$C$32, 11.1066, 11.1019) * CHOOSE(CONTROL!$C$15, $D$11, 100%, $F$11)</f>
        <v>11.1066</v>
      </c>
      <c r="J492" s="4">
        <f>CHOOSE( CONTROL!$C$32, 11.058, 11.0532) * CHOOSE(CONTROL!$C$15, $D$11, 100%, $F$11)</f>
        <v>11.058</v>
      </c>
      <c r="K492" s="4"/>
      <c r="L492" s="9">
        <v>29.520499999999998</v>
      </c>
      <c r="M492" s="9">
        <v>12.063700000000001</v>
      </c>
      <c r="N492" s="9">
        <v>4.9444999999999997</v>
      </c>
      <c r="O492" s="9">
        <v>0.37459999999999999</v>
      </c>
      <c r="P492" s="9">
        <v>1.2192000000000001</v>
      </c>
      <c r="Q492" s="9">
        <v>19.751300000000001</v>
      </c>
      <c r="R492" s="9"/>
      <c r="S492" s="11"/>
    </row>
    <row r="493" spans="1:19" ht="15.75">
      <c r="A493" s="13">
        <v>56887</v>
      </c>
      <c r="B493" s="8">
        <f>CHOOSE( CONTROL!$C$32, 11.3037, 11.2987) * CHOOSE(CONTROL!$C$15, $D$11, 100%, $F$11)</f>
        <v>11.303699999999999</v>
      </c>
      <c r="C493" s="8">
        <f>CHOOSE( CONTROL!$C$32, 11.3141, 11.3092) * CHOOSE(CONTROL!$C$15, $D$11, 100%, $F$11)</f>
        <v>11.3141</v>
      </c>
      <c r="D493" s="8">
        <f>CHOOSE( CONTROL!$C$32, 11.3146, 11.3096) * CHOOSE( CONTROL!$C$15, $D$11, 100%, $F$11)</f>
        <v>11.3146</v>
      </c>
      <c r="E493" s="12">
        <f>CHOOSE( CONTROL!$C$32, 11.3128, 11.3079) * CHOOSE( CONTROL!$C$15, $D$11, 100%, $F$11)</f>
        <v>11.312799999999999</v>
      </c>
      <c r="F493" s="4">
        <f>CHOOSE( CONTROL!$C$32, 12.3161, 12.3112) * CHOOSE(CONTROL!$C$15, $D$11, 100%, $F$11)</f>
        <v>12.3161</v>
      </c>
      <c r="G493" s="8">
        <f>CHOOSE( CONTROL!$C$32, 11.0054, 11.0006) * CHOOSE( CONTROL!$C$15, $D$11, 100%, $F$11)</f>
        <v>11.0054</v>
      </c>
      <c r="H493" s="4">
        <f>CHOOSE( CONTROL!$C$32, 11.9292, 11.9244) * CHOOSE(CONTROL!$C$15, $D$11, 100%, $F$11)</f>
        <v>11.9292</v>
      </c>
      <c r="I493" s="8">
        <f>CHOOSE( CONTROL!$C$32, 10.8764, 10.8716) * CHOOSE(CONTROL!$C$15, $D$11, 100%, $F$11)</f>
        <v>10.8764</v>
      </c>
      <c r="J493" s="4">
        <f>CHOOSE( CONTROL!$C$32, 10.8264, 10.8217) * CHOOSE(CONTROL!$C$15, $D$11, 100%, $F$11)</f>
        <v>10.8264</v>
      </c>
      <c r="K493" s="4"/>
      <c r="L493" s="9">
        <v>28.568200000000001</v>
      </c>
      <c r="M493" s="9">
        <v>11.6745</v>
      </c>
      <c r="N493" s="9">
        <v>4.7850000000000001</v>
      </c>
      <c r="O493" s="9">
        <v>0.36249999999999999</v>
      </c>
      <c r="P493" s="9">
        <v>1.1798</v>
      </c>
      <c r="Q493" s="9">
        <v>19.1142</v>
      </c>
      <c r="R493" s="9"/>
      <c r="S493" s="11"/>
    </row>
    <row r="494" spans="1:19" ht="15.75">
      <c r="A494" s="13">
        <v>56918</v>
      </c>
      <c r="B494" s="8">
        <f>11.8004 * CHOOSE(CONTROL!$C$15, $D$11, 100%, $F$11)</f>
        <v>11.8004</v>
      </c>
      <c r="C494" s="8">
        <f>11.8109 * CHOOSE(CONTROL!$C$15, $D$11, 100%, $F$11)</f>
        <v>11.8109</v>
      </c>
      <c r="D494" s="8">
        <f>11.8126 * CHOOSE( CONTROL!$C$15, $D$11, 100%, $F$11)</f>
        <v>11.8126</v>
      </c>
      <c r="E494" s="12">
        <f>11.8109 * CHOOSE( CONTROL!$C$15, $D$11, 100%, $F$11)</f>
        <v>11.8109</v>
      </c>
      <c r="F494" s="4">
        <f>12.8129 * CHOOSE(CONTROL!$C$15, $D$11, 100%, $F$11)</f>
        <v>12.812900000000001</v>
      </c>
      <c r="G494" s="8">
        <f>11.4893 * CHOOSE( CONTROL!$C$15, $D$11, 100%, $F$11)</f>
        <v>11.4893</v>
      </c>
      <c r="H494" s="4">
        <f>12.4134 * CHOOSE(CONTROL!$C$15, $D$11, 100%, $F$11)</f>
        <v>12.413399999999999</v>
      </c>
      <c r="I494" s="8">
        <f>11.3549 * CHOOSE(CONTROL!$C$15, $D$11, 100%, $F$11)</f>
        <v>11.354900000000001</v>
      </c>
      <c r="J494" s="4">
        <f>11.3024 * CHOOSE(CONTROL!$C$15, $D$11, 100%, $F$11)</f>
        <v>11.3024</v>
      </c>
      <c r="K494" s="4"/>
      <c r="L494" s="9">
        <v>28.921800000000001</v>
      </c>
      <c r="M494" s="9">
        <v>12.063700000000001</v>
      </c>
      <c r="N494" s="9">
        <v>4.9444999999999997</v>
      </c>
      <c r="O494" s="9">
        <v>0.37459999999999999</v>
      </c>
      <c r="P494" s="9">
        <v>1.2192000000000001</v>
      </c>
      <c r="Q494" s="9">
        <v>19.751300000000001</v>
      </c>
      <c r="R494" s="9"/>
      <c r="S494" s="11"/>
    </row>
    <row r="495" spans="1:19" ht="15.75">
      <c r="A495" s="13">
        <v>56948</v>
      </c>
      <c r="B495" s="8">
        <f>12.7265 * CHOOSE(CONTROL!$C$15, $D$11, 100%, $F$11)</f>
        <v>12.7265</v>
      </c>
      <c r="C495" s="8">
        <f>12.7369 * CHOOSE(CONTROL!$C$15, $D$11, 100%, $F$11)</f>
        <v>12.7369</v>
      </c>
      <c r="D495" s="8">
        <f>12.718 * CHOOSE( CONTROL!$C$15, $D$11, 100%, $F$11)</f>
        <v>12.718</v>
      </c>
      <c r="E495" s="12">
        <f>12.7238 * CHOOSE( CONTROL!$C$15, $D$11, 100%, $F$11)</f>
        <v>12.723800000000001</v>
      </c>
      <c r="F495" s="4">
        <f>13.7233 * CHOOSE(CONTROL!$C$15, $D$11, 100%, $F$11)</f>
        <v>13.7233</v>
      </c>
      <c r="G495" s="8">
        <f>12.415 * CHOOSE( CONTROL!$C$15, $D$11, 100%, $F$11)</f>
        <v>12.414999999999999</v>
      </c>
      <c r="H495" s="4">
        <f>13.3009 * CHOOSE(CONTROL!$C$15, $D$11, 100%, $F$11)</f>
        <v>13.3009</v>
      </c>
      <c r="I495" s="8">
        <f>12.2892 * CHOOSE(CONTROL!$C$15, $D$11, 100%, $F$11)</f>
        <v>12.289199999999999</v>
      </c>
      <c r="J495" s="4">
        <f>12.1898 * CHOOSE(CONTROL!$C$15, $D$11, 100%, $F$11)</f>
        <v>12.1898</v>
      </c>
      <c r="K495" s="4"/>
      <c r="L495" s="9">
        <v>26.515499999999999</v>
      </c>
      <c r="M495" s="9">
        <v>11.6745</v>
      </c>
      <c r="N495" s="9">
        <v>4.7850000000000001</v>
      </c>
      <c r="O495" s="9">
        <v>0.36249999999999999</v>
      </c>
      <c r="P495" s="9">
        <v>1.2522</v>
      </c>
      <c r="Q495" s="9">
        <v>19.1142</v>
      </c>
      <c r="R495" s="9"/>
      <c r="S495" s="11"/>
    </row>
    <row r="496" spans="1:19" ht="15.75">
      <c r="A496" s="13">
        <v>56979</v>
      </c>
      <c r="B496" s="8">
        <f>12.7034 * CHOOSE(CONTROL!$C$15, $D$11, 100%, $F$11)</f>
        <v>12.7034</v>
      </c>
      <c r="C496" s="8">
        <f>12.7138 * CHOOSE(CONTROL!$C$15, $D$11, 100%, $F$11)</f>
        <v>12.713800000000001</v>
      </c>
      <c r="D496" s="8">
        <f>12.6974 * CHOOSE( CONTROL!$C$15, $D$11, 100%, $F$11)</f>
        <v>12.6974</v>
      </c>
      <c r="E496" s="12">
        <f>12.7023 * CHOOSE( CONTROL!$C$15, $D$11, 100%, $F$11)</f>
        <v>12.702299999999999</v>
      </c>
      <c r="F496" s="4">
        <f>13.7002 * CHOOSE(CONTROL!$C$15, $D$11, 100%, $F$11)</f>
        <v>13.700200000000001</v>
      </c>
      <c r="G496" s="8">
        <f>12.3944 * CHOOSE( CONTROL!$C$15, $D$11, 100%, $F$11)</f>
        <v>12.394399999999999</v>
      </c>
      <c r="H496" s="4">
        <f>13.2783 * CHOOSE(CONTROL!$C$15, $D$11, 100%, $F$11)</f>
        <v>13.2783</v>
      </c>
      <c r="I496" s="8">
        <f>12.2758 * CHOOSE(CONTROL!$C$15, $D$11, 100%, $F$11)</f>
        <v>12.2758</v>
      </c>
      <c r="J496" s="4">
        <f>12.1676 * CHOOSE(CONTROL!$C$15, $D$11, 100%, $F$11)</f>
        <v>12.1676</v>
      </c>
      <c r="K496" s="4"/>
      <c r="L496" s="9">
        <v>27.3993</v>
      </c>
      <c r="M496" s="9">
        <v>12.063700000000001</v>
      </c>
      <c r="N496" s="9">
        <v>4.9444999999999997</v>
      </c>
      <c r="O496" s="9">
        <v>0.37459999999999999</v>
      </c>
      <c r="P496" s="9">
        <v>1.2939000000000001</v>
      </c>
      <c r="Q496" s="9">
        <v>19.751300000000001</v>
      </c>
      <c r="R496" s="9"/>
      <c r="S496" s="11"/>
    </row>
    <row r="497" spans="1:19" ht="15.75">
      <c r="A497" s="13">
        <v>57010</v>
      </c>
      <c r="B497" s="8">
        <f>13.1887 * CHOOSE(CONTROL!$C$15, $D$11, 100%, $F$11)</f>
        <v>13.188700000000001</v>
      </c>
      <c r="C497" s="8">
        <f>13.1991 * CHOOSE(CONTROL!$C$15, $D$11, 100%, $F$11)</f>
        <v>13.1991</v>
      </c>
      <c r="D497" s="8">
        <f>13.1977 * CHOOSE( CONTROL!$C$15, $D$11, 100%, $F$11)</f>
        <v>13.197699999999999</v>
      </c>
      <c r="E497" s="12">
        <f>13.1971 * CHOOSE( CONTROL!$C$15, $D$11, 100%, $F$11)</f>
        <v>13.197100000000001</v>
      </c>
      <c r="F497" s="4">
        <f>14.2116 * CHOOSE(CONTROL!$C$15, $D$11, 100%, $F$11)</f>
        <v>14.211600000000001</v>
      </c>
      <c r="G497" s="8">
        <f>12.8843 * CHOOSE( CONTROL!$C$15, $D$11, 100%, $F$11)</f>
        <v>12.8843</v>
      </c>
      <c r="H497" s="4">
        <f>13.7768 * CHOOSE(CONTROL!$C$15, $D$11, 100%, $F$11)</f>
        <v>13.7768</v>
      </c>
      <c r="I497" s="8">
        <f>12.7476 * CHOOSE(CONTROL!$C$15, $D$11, 100%, $F$11)</f>
        <v>12.7476</v>
      </c>
      <c r="J497" s="4">
        <f>12.6326 * CHOOSE(CONTROL!$C$15, $D$11, 100%, $F$11)</f>
        <v>12.6326</v>
      </c>
      <c r="K497" s="4"/>
      <c r="L497" s="9">
        <v>27.3993</v>
      </c>
      <c r="M497" s="9">
        <v>12.063700000000001</v>
      </c>
      <c r="N497" s="9">
        <v>4.9444999999999997</v>
      </c>
      <c r="O497" s="9">
        <v>0.37459999999999999</v>
      </c>
      <c r="P497" s="9">
        <v>1.2939000000000001</v>
      </c>
      <c r="Q497" s="9">
        <v>19.688099999999999</v>
      </c>
      <c r="R497" s="9"/>
      <c r="S497" s="11"/>
    </row>
    <row r="498" spans="1:19" ht="15.75">
      <c r="A498" s="13">
        <v>57038</v>
      </c>
      <c r="B498" s="8">
        <f>12.3364 * CHOOSE(CONTROL!$C$15, $D$11, 100%, $F$11)</f>
        <v>12.336399999999999</v>
      </c>
      <c r="C498" s="8">
        <f>12.3468 * CHOOSE(CONTROL!$C$15, $D$11, 100%, $F$11)</f>
        <v>12.3468</v>
      </c>
      <c r="D498" s="8">
        <f>12.3476 * CHOOSE( CONTROL!$C$15, $D$11, 100%, $F$11)</f>
        <v>12.3476</v>
      </c>
      <c r="E498" s="12">
        <f>12.3462 * CHOOSE( CONTROL!$C$15, $D$11, 100%, $F$11)</f>
        <v>12.3462</v>
      </c>
      <c r="F498" s="4">
        <f>13.3515 * CHOOSE(CONTROL!$C$15, $D$11, 100%, $F$11)</f>
        <v>13.3515</v>
      </c>
      <c r="G498" s="8">
        <f>12.0533 * CHOOSE( CONTROL!$C$15, $D$11, 100%, $F$11)</f>
        <v>12.0533</v>
      </c>
      <c r="H498" s="4">
        <f>12.9384 * CHOOSE(CONTROL!$C$15, $D$11, 100%, $F$11)</f>
        <v>12.9384</v>
      </c>
      <c r="I498" s="8">
        <f>11.9195 * CHOOSE(CONTROL!$C$15, $D$11, 100%, $F$11)</f>
        <v>11.919499999999999</v>
      </c>
      <c r="J498" s="4">
        <f>11.816 * CHOOSE(CONTROL!$C$15, $D$11, 100%, $F$11)</f>
        <v>11.816000000000001</v>
      </c>
      <c r="K498" s="4"/>
      <c r="L498" s="9">
        <v>25.631599999999999</v>
      </c>
      <c r="M498" s="9">
        <v>11.285299999999999</v>
      </c>
      <c r="N498" s="9">
        <v>4.6254999999999997</v>
      </c>
      <c r="O498" s="9">
        <v>0.35039999999999999</v>
      </c>
      <c r="P498" s="9">
        <v>1.2104999999999999</v>
      </c>
      <c r="Q498" s="9">
        <v>18.417899999999999</v>
      </c>
      <c r="R498" s="9"/>
      <c r="S498" s="11"/>
    </row>
    <row r="499" spans="1:19" ht="15.75">
      <c r="A499" s="13">
        <v>57070</v>
      </c>
      <c r="B499" s="8">
        <f>12.0739 * CHOOSE(CONTROL!$C$15, $D$11, 100%, $F$11)</f>
        <v>12.0739</v>
      </c>
      <c r="C499" s="8">
        <f>12.0843 * CHOOSE(CONTROL!$C$15, $D$11, 100%, $F$11)</f>
        <v>12.084300000000001</v>
      </c>
      <c r="D499" s="8">
        <f>12.0648 * CHOOSE( CONTROL!$C$15, $D$11, 100%, $F$11)</f>
        <v>12.0648</v>
      </c>
      <c r="E499" s="12">
        <f>12.0708 * CHOOSE( CONTROL!$C$15, $D$11, 100%, $F$11)</f>
        <v>12.0708</v>
      </c>
      <c r="F499" s="4">
        <f>13.0728 * CHOOSE(CONTROL!$C$15, $D$11, 100%, $F$11)</f>
        <v>13.072800000000001</v>
      </c>
      <c r="G499" s="8">
        <f>11.7767 * CHOOSE( CONTROL!$C$15, $D$11, 100%, $F$11)</f>
        <v>11.7767</v>
      </c>
      <c r="H499" s="4">
        <f>12.6667 * CHOOSE(CONTROL!$C$15, $D$11, 100%, $F$11)</f>
        <v>12.666700000000001</v>
      </c>
      <c r="I499" s="8">
        <f>11.6284 * CHOOSE(CONTROL!$C$15, $D$11, 100%, $F$11)</f>
        <v>11.628399999999999</v>
      </c>
      <c r="J499" s="4">
        <f>11.5644 * CHOOSE(CONTROL!$C$15, $D$11, 100%, $F$11)</f>
        <v>11.564399999999999</v>
      </c>
      <c r="K499" s="4"/>
      <c r="L499" s="9">
        <v>27.3993</v>
      </c>
      <c r="M499" s="9">
        <v>12.063700000000001</v>
      </c>
      <c r="N499" s="9">
        <v>4.9444999999999997</v>
      </c>
      <c r="O499" s="9">
        <v>0.37459999999999999</v>
      </c>
      <c r="P499" s="9">
        <v>1.2939000000000001</v>
      </c>
      <c r="Q499" s="9">
        <v>19.688099999999999</v>
      </c>
      <c r="R499" s="9"/>
      <c r="S499" s="11"/>
    </row>
    <row r="500" spans="1:19" ht="15.75">
      <c r="A500" s="13">
        <v>57100</v>
      </c>
      <c r="B500" s="8">
        <f>12.2573 * CHOOSE(CONTROL!$C$15, $D$11, 100%, $F$11)</f>
        <v>12.257300000000001</v>
      </c>
      <c r="C500" s="8">
        <f>12.2677 * CHOOSE(CONTROL!$C$15, $D$11, 100%, $F$11)</f>
        <v>12.2677</v>
      </c>
      <c r="D500" s="8">
        <f>12.2716 * CHOOSE( CONTROL!$C$15, $D$11, 100%, $F$11)</f>
        <v>12.271599999999999</v>
      </c>
      <c r="E500" s="12">
        <f>12.2691 * CHOOSE( CONTROL!$C$15, $D$11, 100%, $F$11)</f>
        <v>12.2691</v>
      </c>
      <c r="F500" s="4">
        <f>13.2646 * CHOOSE(CONTROL!$C$15, $D$11, 100%, $F$11)</f>
        <v>13.2646</v>
      </c>
      <c r="G500" s="8">
        <f>11.9435 * CHOOSE( CONTROL!$C$15, $D$11, 100%, $F$11)</f>
        <v>11.9435</v>
      </c>
      <c r="H500" s="4">
        <f>12.8537 * CHOOSE(CONTROL!$C$15, $D$11, 100%, $F$11)</f>
        <v>12.8537</v>
      </c>
      <c r="I500" s="8">
        <f>11.7943 * CHOOSE(CONTROL!$C$15, $D$11, 100%, $F$11)</f>
        <v>11.7943</v>
      </c>
      <c r="J500" s="4">
        <f>11.7402 * CHOOSE(CONTROL!$C$15, $D$11, 100%, $F$11)</f>
        <v>11.7402</v>
      </c>
      <c r="K500" s="4"/>
      <c r="L500" s="9">
        <v>27.988800000000001</v>
      </c>
      <c r="M500" s="9">
        <v>11.6745</v>
      </c>
      <c r="N500" s="9">
        <v>4.7850000000000001</v>
      </c>
      <c r="O500" s="9">
        <v>0.36249999999999999</v>
      </c>
      <c r="P500" s="9">
        <v>1.1798</v>
      </c>
      <c r="Q500" s="9">
        <v>19.053000000000001</v>
      </c>
      <c r="R500" s="9"/>
      <c r="S500" s="11"/>
    </row>
    <row r="501" spans="1:19" ht="15.75">
      <c r="A501" s="13">
        <v>57131</v>
      </c>
      <c r="B501" s="8">
        <f>CHOOSE( CONTROL!$C$32, 12.5887, 12.5838) * CHOOSE(CONTROL!$C$15, $D$11, 100%, $F$11)</f>
        <v>12.588699999999999</v>
      </c>
      <c r="C501" s="8">
        <f>CHOOSE( CONTROL!$C$32, 12.5992, 12.5942) * CHOOSE(CONTROL!$C$15, $D$11, 100%, $F$11)</f>
        <v>12.5992</v>
      </c>
      <c r="D501" s="8">
        <f>CHOOSE( CONTROL!$C$32, 12.5778, 12.5729) * CHOOSE( CONTROL!$C$15, $D$11, 100%, $F$11)</f>
        <v>12.5778</v>
      </c>
      <c r="E501" s="12">
        <f>CHOOSE( CONTROL!$C$32, 12.584, 12.579) * CHOOSE( CONTROL!$C$15, $D$11, 100%, $F$11)</f>
        <v>12.584</v>
      </c>
      <c r="F501" s="4">
        <f>CHOOSE( CONTROL!$C$32, 13.5636, 13.5587) * CHOOSE(CONTROL!$C$15, $D$11, 100%, $F$11)</f>
        <v>13.563599999999999</v>
      </c>
      <c r="G501" s="8">
        <f>CHOOSE( CONTROL!$C$32, 12.2479, 12.2431) * CHOOSE( CONTROL!$C$15, $D$11, 100%, $F$11)</f>
        <v>12.2479</v>
      </c>
      <c r="H501" s="4">
        <f>CHOOSE( CONTROL!$C$32, 13.1452, 13.1404) * CHOOSE(CONTROL!$C$15, $D$11, 100%, $F$11)</f>
        <v>13.145200000000001</v>
      </c>
      <c r="I501" s="8">
        <f>CHOOSE( CONTROL!$C$32, 12.0905, 12.0858) * CHOOSE(CONTROL!$C$15, $D$11, 100%, $F$11)</f>
        <v>12.0905</v>
      </c>
      <c r="J501" s="4">
        <f>CHOOSE( CONTROL!$C$32, 12.0578, 12.053) * CHOOSE(CONTROL!$C$15, $D$11, 100%, $F$11)</f>
        <v>12.0578</v>
      </c>
      <c r="K501" s="4"/>
      <c r="L501" s="9">
        <v>29.520499999999998</v>
      </c>
      <c r="M501" s="9">
        <v>12.063700000000001</v>
      </c>
      <c r="N501" s="9">
        <v>4.9444999999999997</v>
      </c>
      <c r="O501" s="9">
        <v>0.37459999999999999</v>
      </c>
      <c r="P501" s="9">
        <v>1.2192000000000001</v>
      </c>
      <c r="Q501" s="9">
        <v>19.688099999999999</v>
      </c>
      <c r="R501" s="9"/>
      <c r="S501" s="11"/>
    </row>
    <row r="502" spans="1:19" ht="15.75">
      <c r="A502" s="13">
        <v>57161</v>
      </c>
      <c r="B502" s="8">
        <f>CHOOSE( CONTROL!$C$32, 12.3865, 12.3815) * CHOOSE(CONTROL!$C$15, $D$11, 100%, $F$11)</f>
        <v>12.3865</v>
      </c>
      <c r="C502" s="8">
        <f>CHOOSE( CONTROL!$C$32, 12.3969, 12.392) * CHOOSE(CONTROL!$C$15, $D$11, 100%, $F$11)</f>
        <v>12.3969</v>
      </c>
      <c r="D502" s="8">
        <f>CHOOSE( CONTROL!$C$32, 12.389, 12.3841) * CHOOSE( CONTROL!$C$15, $D$11, 100%, $F$11)</f>
        <v>12.388999999999999</v>
      </c>
      <c r="E502" s="12">
        <f>CHOOSE( CONTROL!$C$32, 12.3903, 12.3854) * CHOOSE( CONTROL!$C$15, $D$11, 100%, $F$11)</f>
        <v>12.3903</v>
      </c>
      <c r="F502" s="4">
        <f>CHOOSE( CONTROL!$C$32, 13.3807, 13.3758) * CHOOSE(CONTROL!$C$15, $D$11, 100%, $F$11)</f>
        <v>13.380699999999999</v>
      </c>
      <c r="G502" s="8">
        <f>CHOOSE( CONTROL!$C$32, 12.0612, 12.0564) * CHOOSE( CONTROL!$C$15, $D$11, 100%, $F$11)</f>
        <v>12.061199999999999</v>
      </c>
      <c r="H502" s="4">
        <f>CHOOSE( CONTROL!$C$32, 12.9669, 12.9621) * CHOOSE(CONTROL!$C$15, $D$11, 100%, $F$11)</f>
        <v>12.966900000000001</v>
      </c>
      <c r="I502" s="8">
        <f>CHOOSE( CONTROL!$C$32, 11.9144, 11.9097) * CHOOSE(CONTROL!$C$15, $D$11, 100%, $F$11)</f>
        <v>11.914400000000001</v>
      </c>
      <c r="J502" s="4">
        <f>CHOOSE( CONTROL!$C$32, 11.864, 11.8592) * CHOOSE(CONTROL!$C$15, $D$11, 100%, $F$11)</f>
        <v>11.864000000000001</v>
      </c>
      <c r="K502" s="4"/>
      <c r="L502" s="9">
        <v>28.568200000000001</v>
      </c>
      <c r="M502" s="9">
        <v>11.6745</v>
      </c>
      <c r="N502" s="9">
        <v>4.7850000000000001</v>
      </c>
      <c r="O502" s="9">
        <v>0.36249999999999999</v>
      </c>
      <c r="P502" s="9">
        <v>1.1798</v>
      </c>
      <c r="Q502" s="9">
        <v>19.053000000000001</v>
      </c>
      <c r="R502" s="9"/>
      <c r="S502" s="11"/>
    </row>
    <row r="503" spans="1:19" ht="15.75">
      <c r="A503" s="13">
        <v>57192</v>
      </c>
      <c r="B503" s="8">
        <f>CHOOSE( CONTROL!$C$32, 12.919, 12.9141) * CHOOSE(CONTROL!$C$15, $D$11, 100%, $F$11)</f>
        <v>12.919</v>
      </c>
      <c r="C503" s="8">
        <f>CHOOSE( CONTROL!$C$32, 12.9295, 12.9246) * CHOOSE(CONTROL!$C$15, $D$11, 100%, $F$11)</f>
        <v>12.929500000000001</v>
      </c>
      <c r="D503" s="8">
        <f>CHOOSE( CONTROL!$C$32, 12.9285, 12.9236) * CHOOSE( CONTROL!$C$15, $D$11, 100%, $F$11)</f>
        <v>12.9285</v>
      </c>
      <c r="E503" s="12">
        <f>CHOOSE( CONTROL!$C$32, 12.9273, 12.9224) * CHOOSE( CONTROL!$C$15, $D$11, 100%, $F$11)</f>
        <v>12.927300000000001</v>
      </c>
      <c r="F503" s="4">
        <f>CHOOSE( CONTROL!$C$32, 13.9237, 13.9188) * CHOOSE(CONTROL!$C$15, $D$11, 100%, $F$11)</f>
        <v>13.9237</v>
      </c>
      <c r="G503" s="8">
        <f>CHOOSE( CONTROL!$C$32, 12.5845, 12.5797) * CHOOSE( CONTROL!$C$15, $D$11, 100%, $F$11)</f>
        <v>12.5845</v>
      </c>
      <c r="H503" s="4">
        <f>CHOOSE( CONTROL!$C$32, 13.4962, 13.4914) * CHOOSE(CONTROL!$C$15, $D$11, 100%, $F$11)</f>
        <v>13.4962</v>
      </c>
      <c r="I503" s="8">
        <f>CHOOSE( CONTROL!$C$32, 12.4326, 12.4279) * CHOOSE(CONTROL!$C$15, $D$11, 100%, $F$11)</f>
        <v>12.432600000000001</v>
      </c>
      <c r="J503" s="4">
        <f>CHOOSE( CONTROL!$C$32, 12.3743, 12.3695) * CHOOSE(CONTROL!$C$15, $D$11, 100%, $F$11)</f>
        <v>12.3743</v>
      </c>
      <c r="K503" s="4"/>
      <c r="L503" s="9">
        <v>29.520499999999998</v>
      </c>
      <c r="M503" s="9">
        <v>12.063700000000001</v>
      </c>
      <c r="N503" s="9">
        <v>4.9444999999999997</v>
      </c>
      <c r="O503" s="9">
        <v>0.37459999999999999</v>
      </c>
      <c r="P503" s="9">
        <v>1.2192000000000001</v>
      </c>
      <c r="Q503" s="9">
        <v>19.688099999999999</v>
      </c>
      <c r="R503" s="9"/>
      <c r="S503" s="11"/>
    </row>
    <row r="504" spans="1:19" ht="15.75">
      <c r="A504" s="13">
        <v>57223</v>
      </c>
      <c r="B504" s="8">
        <f>CHOOSE( CONTROL!$C$32, 11.9226, 11.9176) * CHOOSE(CONTROL!$C$15, $D$11, 100%, $F$11)</f>
        <v>11.922599999999999</v>
      </c>
      <c r="C504" s="8">
        <f>CHOOSE( CONTROL!$C$32, 11.933, 11.9281) * CHOOSE(CONTROL!$C$15, $D$11, 100%, $F$11)</f>
        <v>11.933</v>
      </c>
      <c r="D504" s="8">
        <f>CHOOSE( CONTROL!$C$32, 11.9332, 11.9282) * CHOOSE( CONTROL!$C$15, $D$11, 100%, $F$11)</f>
        <v>11.933199999999999</v>
      </c>
      <c r="E504" s="12">
        <f>CHOOSE( CONTROL!$C$32, 11.9315, 11.9266) * CHOOSE( CONTROL!$C$15, $D$11, 100%, $F$11)</f>
        <v>11.9315</v>
      </c>
      <c r="F504" s="4">
        <f>CHOOSE( CONTROL!$C$32, 12.935, 12.9301) * CHOOSE(CONTROL!$C$15, $D$11, 100%, $F$11)</f>
        <v>12.935</v>
      </c>
      <c r="G504" s="8">
        <f>CHOOSE( CONTROL!$C$32, 11.6083, 11.6035) * CHOOSE( CONTROL!$C$15, $D$11, 100%, $F$11)</f>
        <v>11.6083</v>
      </c>
      <c r="H504" s="4">
        <f>CHOOSE( CONTROL!$C$32, 12.5324, 12.5276) * CHOOSE(CONTROL!$C$15, $D$11, 100%, $F$11)</f>
        <v>12.532400000000001</v>
      </c>
      <c r="I504" s="8">
        <f>CHOOSE( CONTROL!$C$32, 11.4683, 11.4635) * CHOOSE(CONTROL!$C$15, $D$11, 100%, $F$11)</f>
        <v>11.468299999999999</v>
      </c>
      <c r="J504" s="4">
        <f>CHOOSE( CONTROL!$C$32, 11.4194, 11.4147) * CHOOSE(CONTROL!$C$15, $D$11, 100%, $F$11)</f>
        <v>11.4194</v>
      </c>
      <c r="K504" s="4"/>
      <c r="L504" s="9">
        <v>29.520499999999998</v>
      </c>
      <c r="M504" s="9">
        <v>12.063700000000001</v>
      </c>
      <c r="N504" s="9">
        <v>4.9444999999999997</v>
      </c>
      <c r="O504" s="9">
        <v>0.37459999999999999</v>
      </c>
      <c r="P504" s="9">
        <v>1.2192000000000001</v>
      </c>
      <c r="Q504" s="9">
        <v>19.688099999999999</v>
      </c>
      <c r="R504" s="9"/>
      <c r="S504" s="11"/>
    </row>
    <row r="505" spans="1:19" ht="15.75">
      <c r="A505" s="13">
        <v>57253</v>
      </c>
      <c r="B505" s="8">
        <f>CHOOSE( CONTROL!$C$32, 11.673, 11.6681) * CHOOSE(CONTROL!$C$15, $D$11, 100%, $F$11)</f>
        <v>11.673</v>
      </c>
      <c r="C505" s="8">
        <f>CHOOSE( CONTROL!$C$32, 11.6835, 11.6785) * CHOOSE(CONTROL!$C$15, $D$11, 100%, $F$11)</f>
        <v>11.6835</v>
      </c>
      <c r="D505" s="8">
        <f>CHOOSE( CONTROL!$C$32, 11.6839, 11.679) * CHOOSE( CONTROL!$C$15, $D$11, 100%, $F$11)</f>
        <v>11.6839</v>
      </c>
      <c r="E505" s="12">
        <f>CHOOSE( CONTROL!$C$32, 11.6822, 11.6772) * CHOOSE( CONTROL!$C$15, $D$11, 100%, $F$11)</f>
        <v>11.6822</v>
      </c>
      <c r="F505" s="4">
        <f>CHOOSE( CONTROL!$C$32, 12.6855, 12.6806) * CHOOSE(CONTROL!$C$15, $D$11, 100%, $F$11)</f>
        <v>12.685499999999999</v>
      </c>
      <c r="G505" s="8">
        <f>CHOOSE( CONTROL!$C$32, 11.3655, 11.3607) * CHOOSE( CONTROL!$C$15, $D$11, 100%, $F$11)</f>
        <v>11.365500000000001</v>
      </c>
      <c r="H505" s="4">
        <f>CHOOSE( CONTROL!$C$32, 12.2892, 12.2844) * CHOOSE(CONTROL!$C$15, $D$11, 100%, $F$11)</f>
        <v>12.289199999999999</v>
      </c>
      <c r="I505" s="8">
        <f>CHOOSE( CONTROL!$C$32, 11.2305, 11.2257) * CHOOSE(CONTROL!$C$15, $D$11, 100%, $F$11)</f>
        <v>11.230499999999999</v>
      </c>
      <c r="J505" s="4">
        <f>CHOOSE( CONTROL!$C$32, 11.1803, 11.1756) * CHOOSE(CONTROL!$C$15, $D$11, 100%, $F$11)</f>
        <v>11.180300000000001</v>
      </c>
      <c r="K505" s="4"/>
      <c r="L505" s="9">
        <v>28.568200000000001</v>
      </c>
      <c r="M505" s="9">
        <v>11.6745</v>
      </c>
      <c r="N505" s="9">
        <v>4.7850000000000001</v>
      </c>
      <c r="O505" s="9">
        <v>0.36249999999999999</v>
      </c>
      <c r="P505" s="9">
        <v>1.1798</v>
      </c>
      <c r="Q505" s="9">
        <v>19.053000000000001</v>
      </c>
      <c r="R505" s="9"/>
      <c r="S505" s="11"/>
    </row>
    <row r="506" spans="1:19" ht="15.75">
      <c r="A506" s="13">
        <v>57284</v>
      </c>
      <c r="B506" s="8">
        <f>12.1862 * CHOOSE(CONTROL!$C$15, $D$11, 100%, $F$11)</f>
        <v>12.186199999999999</v>
      </c>
      <c r="C506" s="8">
        <f>12.1966 * CHOOSE(CONTROL!$C$15, $D$11, 100%, $F$11)</f>
        <v>12.1966</v>
      </c>
      <c r="D506" s="8">
        <f>12.1983 * CHOOSE( CONTROL!$C$15, $D$11, 100%, $F$11)</f>
        <v>12.1983</v>
      </c>
      <c r="E506" s="12">
        <f>12.1966 * CHOOSE( CONTROL!$C$15, $D$11, 100%, $F$11)</f>
        <v>12.1966</v>
      </c>
      <c r="F506" s="4">
        <f>13.1987 * CHOOSE(CONTROL!$C$15, $D$11, 100%, $F$11)</f>
        <v>13.198700000000001</v>
      </c>
      <c r="G506" s="8">
        <f>11.8654 * CHOOSE( CONTROL!$C$15, $D$11, 100%, $F$11)</f>
        <v>11.865399999999999</v>
      </c>
      <c r="H506" s="4">
        <f>12.7894 * CHOOSE(CONTROL!$C$15, $D$11, 100%, $F$11)</f>
        <v>12.789400000000001</v>
      </c>
      <c r="I506" s="8">
        <f>11.7247 * CHOOSE(CONTROL!$C$15, $D$11, 100%, $F$11)</f>
        <v>11.7247</v>
      </c>
      <c r="J506" s="4">
        <f>11.6721 * CHOOSE(CONTROL!$C$15, $D$11, 100%, $F$11)</f>
        <v>11.6721</v>
      </c>
      <c r="K506" s="4"/>
      <c r="L506" s="9">
        <v>28.921800000000001</v>
      </c>
      <c r="M506" s="9">
        <v>12.063700000000001</v>
      </c>
      <c r="N506" s="9">
        <v>4.9444999999999997</v>
      </c>
      <c r="O506" s="9">
        <v>0.37459999999999999</v>
      </c>
      <c r="P506" s="9">
        <v>1.2192000000000001</v>
      </c>
      <c r="Q506" s="9">
        <v>19.688099999999999</v>
      </c>
      <c r="R506" s="9"/>
      <c r="S506" s="11"/>
    </row>
    <row r="507" spans="1:19" ht="15.75">
      <c r="A507" s="13">
        <v>57314</v>
      </c>
      <c r="B507" s="8">
        <f>13.1425 * CHOOSE(CONTROL!$C$15, $D$11, 100%, $F$11)</f>
        <v>13.1425</v>
      </c>
      <c r="C507" s="8">
        <f>13.153 * CHOOSE(CONTROL!$C$15, $D$11, 100%, $F$11)</f>
        <v>13.153</v>
      </c>
      <c r="D507" s="8">
        <f>13.134 * CHOOSE( CONTROL!$C$15, $D$11, 100%, $F$11)</f>
        <v>13.134</v>
      </c>
      <c r="E507" s="12">
        <f>13.1398 * CHOOSE( CONTROL!$C$15, $D$11, 100%, $F$11)</f>
        <v>13.139799999999999</v>
      </c>
      <c r="F507" s="4">
        <f>14.1394 * CHOOSE(CONTROL!$C$15, $D$11, 100%, $F$11)</f>
        <v>14.1394</v>
      </c>
      <c r="G507" s="8">
        <f>12.8205 * CHOOSE( CONTROL!$C$15, $D$11, 100%, $F$11)</f>
        <v>12.820499999999999</v>
      </c>
      <c r="H507" s="4">
        <f>13.7064 * CHOOSE(CONTROL!$C$15, $D$11, 100%, $F$11)</f>
        <v>13.7064</v>
      </c>
      <c r="I507" s="8">
        <f>12.6881 * CHOOSE(CONTROL!$C$15, $D$11, 100%, $F$11)</f>
        <v>12.6881</v>
      </c>
      <c r="J507" s="4">
        <f>12.5884 * CHOOSE(CONTROL!$C$15, $D$11, 100%, $F$11)</f>
        <v>12.5884</v>
      </c>
      <c r="K507" s="4"/>
      <c r="L507" s="9">
        <v>26.515499999999999</v>
      </c>
      <c r="M507" s="9">
        <v>11.6745</v>
      </c>
      <c r="N507" s="9">
        <v>4.7850000000000001</v>
      </c>
      <c r="O507" s="9">
        <v>0.36249999999999999</v>
      </c>
      <c r="P507" s="9">
        <v>1.2522</v>
      </c>
      <c r="Q507" s="9">
        <v>19.053000000000001</v>
      </c>
      <c r="R507" s="9"/>
      <c r="S507" s="11"/>
    </row>
    <row r="508" spans="1:19" ht="15.75">
      <c r="A508" s="13">
        <v>57345</v>
      </c>
      <c r="B508" s="8">
        <f>13.1187 * CHOOSE(CONTROL!$C$15, $D$11, 100%, $F$11)</f>
        <v>13.1187</v>
      </c>
      <c r="C508" s="8">
        <f>13.1291 * CHOOSE(CONTROL!$C$15, $D$11, 100%, $F$11)</f>
        <v>13.129099999999999</v>
      </c>
      <c r="D508" s="8">
        <f>13.1127 * CHOOSE( CONTROL!$C$15, $D$11, 100%, $F$11)</f>
        <v>13.1127</v>
      </c>
      <c r="E508" s="12">
        <f>13.1176 * CHOOSE( CONTROL!$C$15, $D$11, 100%, $F$11)</f>
        <v>13.117599999999999</v>
      </c>
      <c r="F508" s="4">
        <f>14.1155 * CHOOSE(CONTROL!$C$15, $D$11, 100%, $F$11)</f>
        <v>14.115500000000001</v>
      </c>
      <c r="G508" s="8">
        <f>12.7992 * CHOOSE( CONTROL!$C$15, $D$11, 100%, $F$11)</f>
        <v>12.799200000000001</v>
      </c>
      <c r="H508" s="4">
        <f>13.6831 * CHOOSE(CONTROL!$C$15, $D$11, 100%, $F$11)</f>
        <v>13.6831</v>
      </c>
      <c r="I508" s="8">
        <f>12.6739 * CHOOSE(CONTROL!$C$15, $D$11, 100%, $F$11)</f>
        <v>12.6739</v>
      </c>
      <c r="J508" s="4">
        <f>12.5655 * CHOOSE(CONTROL!$C$15, $D$11, 100%, $F$11)</f>
        <v>12.5655</v>
      </c>
      <c r="K508" s="4"/>
      <c r="L508" s="9">
        <v>27.3993</v>
      </c>
      <c r="M508" s="9">
        <v>12.063700000000001</v>
      </c>
      <c r="N508" s="9">
        <v>4.9444999999999997</v>
      </c>
      <c r="O508" s="9">
        <v>0.37459999999999999</v>
      </c>
      <c r="P508" s="9">
        <v>1.2939000000000001</v>
      </c>
      <c r="Q508" s="9">
        <v>19.688099999999999</v>
      </c>
      <c r="R508" s="9"/>
      <c r="S508" s="11"/>
    </row>
    <row r="509" spans="1:19" ht="15.75">
      <c r="A509" s="13">
        <v>57376</v>
      </c>
      <c r="B509" s="8">
        <f>13.6198 * CHOOSE(CONTROL!$C$15, $D$11, 100%, $F$11)</f>
        <v>13.6198</v>
      </c>
      <c r="C509" s="8">
        <f>13.6303 * CHOOSE(CONTROL!$C$15, $D$11, 100%, $F$11)</f>
        <v>13.6303</v>
      </c>
      <c r="D509" s="8">
        <f>13.6289 * CHOOSE( CONTROL!$C$15, $D$11, 100%, $F$11)</f>
        <v>13.6289</v>
      </c>
      <c r="E509" s="12">
        <f>13.6283 * CHOOSE( CONTROL!$C$15, $D$11, 100%, $F$11)</f>
        <v>13.628299999999999</v>
      </c>
      <c r="F509" s="4">
        <f>14.6428 * CHOOSE(CONTROL!$C$15, $D$11, 100%, $F$11)</f>
        <v>14.642799999999999</v>
      </c>
      <c r="G509" s="8">
        <f>13.3046 * CHOOSE( CONTROL!$C$15, $D$11, 100%, $F$11)</f>
        <v>13.304600000000001</v>
      </c>
      <c r="H509" s="4">
        <f>14.1971 * CHOOSE(CONTROL!$C$15, $D$11, 100%, $F$11)</f>
        <v>14.197100000000001</v>
      </c>
      <c r="I509" s="8">
        <f>13.1609 * CHOOSE(CONTROL!$C$15, $D$11, 100%, $F$11)</f>
        <v>13.1609</v>
      </c>
      <c r="J509" s="4">
        <f>13.0458 * CHOOSE(CONTROL!$C$15, $D$11, 100%, $F$11)</f>
        <v>13.0458</v>
      </c>
      <c r="K509" s="4"/>
      <c r="L509" s="9">
        <v>27.3993</v>
      </c>
      <c r="M509" s="9">
        <v>12.063700000000001</v>
      </c>
      <c r="N509" s="9">
        <v>4.9444999999999997</v>
      </c>
      <c r="O509" s="9">
        <v>0.37459999999999999</v>
      </c>
      <c r="P509" s="9">
        <v>1.2939000000000001</v>
      </c>
      <c r="Q509" s="9">
        <v>19.688099999999999</v>
      </c>
      <c r="R509" s="9"/>
      <c r="S509" s="11"/>
    </row>
    <row r="510" spans="1:19" ht="15.75">
      <c r="A510" s="13">
        <v>57404</v>
      </c>
      <c r="B510" s="8">
        <f>12.7397 * CHOOSE(CONTROL!$C$15, $D$11, 100%, $F$11)</f>
        <v>12.739699999999999</v>
      </c>
      <c r="C510" s="8">
        <f>12.7501 * CHOOSE(CONTROL!$C$15, $D$11, 100%, $F$11)</f>
        <v>12.7501</v>
      </c>
      <c r="D510" s="8">
        <f>12.7509 * CHOOSE( CONTROL!$C$15, $D$11, 100%, $F$11)</f>
        <v>12.7509</v>
      </c>
      <c r="E510" s="12">
        <f>12.7495 * CHOOSE( CONTROL!$C$15, $D$11, 100%, $F$11)</f>
        <v>12.749499999999999</v>
      </c>
      <c r="F510" s="4">
        <f>13.7548 * CHOOSE(CONTROL!$C$15, $D$11, 100%, $F$11)</f>
        <v>13.754799999999999</v>
      </c>
      <c r="G510" s="8">
        <f>12.4464 * CHOOSE( CONTROL!$C$15, $D$11, 100%, $F$11)</f>
        <v>12.446400000000001</v>
      </c>
      <c r="H510" s="4">
        <f>13.3315 * CHOOSE(CONTROL!$C$15, $D$11, 100%, $F$11)</f>
        <v>13.3315</v>
      </c>
      <c r="I510" s="8">
        <f>12.3061 * CHOOSE(CONTROL!$C$15, $D$11, 100%, $F$11)</f>
        <v>12.306100000000001</v>
      </c>
      <c r="J510" s="4">
        <f>12.2024 * CHOOSE(CONTROL!$C$15, $D$11, 100%, $F$11)</f>
        <v>12.202400000000001</v>
      </c>
      <c r="K510" s="4"/>
      <c r="L510" s="9">
        <v>24.747800000000002</v>
      </c>
      <c r="M510" s="9">
        <v>10.8962</v>
      </c>
      <c r="N510" s="9">
        <v>4.4660000000000002</v>
      </c>
      <c r="O510" s="9">
        <v>0.33829999999999999</v>
      </c>
      <c r="P510" s="9">
        <v>1.1687000000000001</v>
      </c>
      <c r="Q510" s="9">
        <v>17.782800000000002</v>
      </c>
      <c r="R510" s="9"/>
      <c r="S510" s="11"/>
    </row>
    <row r="511" spans="1:19" ht="15.75">
      <c r="A511" s="13">
        <v>57435</v>
      </c>
      <c r="B511" s="8">
        <f>12.4686 * CHOOSE(CONTROL!$C$15, $D$11, 100%, $F$11)</f>
        <v>12.4686</v>
      </c>
      <c r="C511" s="8">
        <f>12.479 * CHOOSE(CONTROL!$C$15, $D$11, 100%, $F$11)</f>
        <v>12.478999999999999</v>
      </c>
      <c r="D511" s="8">
        <f>12.4595 * CHOOSE( CONTROL!$C$15, $D$11, 100%, $F$11)</f>
        <v>12.4595</v>
      </c>
      <c r="E511" s="12">
        <f>12.4655 * CHOOSE( CONTROL!$C$15, $D$11, 100%, $F$11)</f>
        <v>12.4655</v>
      </c>
      <c r="F511" s="4">
        <f>13.4675 * CHOOSE(CONTROL!$C$15, $D$11, 100%, $F$11)</f>
        <v>13.467499999999999</v>
      </c>
      <c r="G511" s="8">
        <f>12.1615 * CHOOSE( CONTROL!$C$15, $D$11, 100%, $F$11)</f>
        <v>12.1615</v>
      </c>
      <c r="H511" s="4">
        <f>13.0515 * CHOOSE(CONTROL!$C$15, $D$11, 100%, $F$11)</f>
        <v>13.051500000000001</v>
      </c>
      <c r="I511" s="8">
        <f>12.0067 * CHOOSE(CONTROL!$C$15, $D$11, 100%, $F$11)</f>
        <v>12.0067</v>
      </c>
      <c r="J511" s="4">
        <f>11.9426 * CHOOSE(CONTROL!$C$15, $D$11, 100%, $F$11)</f>
        <v>11.942600000000001</v>
      </c>
      <c r="K511" s="4"/>
      <c r="L511" s="9">
        <v>27.3993</v>
      </c>
      <c r="M511" s="9">
        <v>12.063700000000001</v>
      </c>
      <c r="N511" s="9">
        <v>4.9444999999999997</v>
      </c>
      <c r="O511" s="9">
        <v>0.37459999999999999</v>
      </c>
      <c r="P511" s="9">
        <v>1.2939000000000001</v>
      </c>
      <c r="Q511" s="9">
        <v>19.688099999999999</v>
      </c>
      <c r="R511" s="9"/>
      <c r="S511" s="11"/>
    </row>
    <row r="512" spans="1:19" ht="15.75">
      <c r="A512" s="13">
        <v>57465</v>
      </c>
      <c r="B512" s="8">
        <f>12.658 * CHOOSE(CONTROL!$C$15, $D$11, 100%, $F$11)</f>
        <v>12.657999999999999</v>
      </c>
      <c r="C512" s="8">
        <f>12.6684 * CHOOSE(CONTROL!$C$15, $D$11, 100%, $F$11)</f>
        <v>12.6684</v>
      </c>
      <c r="D512" s="8">
        <f>12.6723 * CHOOSE( CONTROL!$C$15, $D$11, 100%, $F$11)</f>
        <v>12.6723</v>
      </c>
      <c r="E512" s="12">
        <f>12.6698 * CHOOSE( CONTROL!$C$15, $D$11, 100%, $F$11)</f>
        <v>12.6698</v>
      </c>
      <c r="F512" s="4">
        <f>13.6653 * CHOOSE(CONTROL!$C$15, $D$11, 100%, $F$11)</f>
        <v>13.6653</v>
      </c>
      <c r="G512" s="8">
        <f>12.3341 * CHOOSE( CONTROL!$C$15, $D$11, 100%, $F$11)</f>
        <v>12.334099999999999</v>
      </c>
      <c r="H512" s="4">
        <f>13.2443 * CHOOSE(CONTROL!$C$15, $D$11, 100%, $F$11)</f>
        <v>13.244300000000001</v>
      </c>
      <c r="I512" s="8">
        <f>12.1784 * CHOOSE(CONTROL!$C$15, $D$11, 100%, $F$11)</f>
        <v>12.1784</v>
      </c>
      <c r="J512" s="4">
        <f>12.1241 * CHOOSE(CONTROL!$C$15, $D$11, 100%, $F$11)</f>
        <v>12.1241</v>
      </c>
      <c r="K512" s="4"/>
      <c r="L512" s="9">
        <v>27.988800000000001</v>
      </c>
      <c r="M512" s="9">
        <v>11.6745</v>
      </c>
      <c r="N512" s="9">
        <v>4.7850000000000001</v>
      </c>
      <c r="O512" s="9">
        <v>0.36249999999999999</v>
      </c>
      <c r="P512" s="9">
        <v>1.1798</v>
      </c>
      <c r="Q512" s="9">
        <v>19.053000000000001</v>
      </c>
      <c r="R512" s="9"/>
      <c r="S512" s="11"/>
    </row>
    <row r="513" spans="1:19" ht="15.75">
      <c r="A513" s="13">
        <v>57496</v>
      </c>
      <c r="B513" s="8">
        <f>CHOOSE( CONTROL!$C$32, 13.0001, 12.9952) * CHOOSE(CONTROL!$C$15, $D$11, 100%, $F$11)</f>
        <v>13.0001</v>
      </c>
      <c r="C513" s="8">
        <f>CHOOSE( CONTROL!$C$32, 13.0105, 13.0056) * CHOOSE(CONTROL!$C$15, $D$11, 100%, $F$11)</f>
        <v>13.0105</v>
      </c>
      <c r="D513" s="8">
        <f>CHOOSE( CONTROL!$C$32, 12.9892, 12.9842) * CHOOSE( CONTROL!$C$15, $D$11, 100%, $F$11)</f>
        <v>12.9892</v>
      </c>
      <c r="E513" s="12">
        <f>CHOOSE( CONTROL!$C$32, 12.9953, 12.9904) * CHOOSE( CONTROL!$C$15, $D$11, 100%, $F$11)</f>
        <v>12.9953</v>
      </c>
      <c r="F513" s="4">
        <f>CHOOSE( CONTROL!$C$32, 13.975, 13.9701) * CHOOSE(CONTROL!$C$15, $D$11, 100%, $F$11)</f>
        <v>13.975</v>
      </c>
      <c r="G513" s="8">
        <f>CHOOSE( CONTROL!$C$32, 12.6489, 12.6441) * CHOOSE( CONTROL!$C$15, $D$11, 100%, $F$11)</f>
        <v>12.648899999999999</v>
      </c>
      <c r="H513" s="4">
        <f>CHOOSE( CONTROL!$C$32, 13.5462, 13.5414) * CHOOSE(CONTROL!$C$15, $D$11, 100%, $F$11)</f>
        <v>13.546200000000001</v>
      </c>
      <c r="I513" s="8">
        <f>CHOOSE( CONTROL!$C$32, 12.4849, 12.4801) * CHOOSE(CONTROL!$C$15, $D$11, 100%, $F$11)</f>
        <v>12.4849</v>
      </c>
      <c r="J513" s="4">
        <f>CHOOSE( CONTROL!$C$32, 12.4519, 12.4472) * CHOOSE(CONTROL!$C$15, $D$11, 100%, $F$11)</f>
        <v>12.4519</v>
      </c>
      <c r="K513" s="4"/>
      <c r="L513" s="9">
        <v>29.520499999999998</v>
      </c>
      <c r="M513" s="9">
        <v>12.063700000000001</v>
      </c>
      <c r="N513" s="9">
        <v>4.9444999999999997</v>
      </c>
      <c r="O513" s="9">
        <v>0.37459999999999999</v>
      </c>
      <c r="P513" s="9">
        <v>1.2192000000000001</v>
      </c>
      <c r="Q513" s="9">
        <v>19.688099999999999</v>
      </c>
      <c r="R513" s="9"/>
      <c r="S513" s="11"/>
    </row>
    <row r="514" spans="1:19" ht="15.75">
      <c r="A514" s="13">
        <v>57526</v>
      </c>
      <c r="B514" s="8">
        <f>CHOOSE( CONTROL!$C$32, 12.7912, 12.7863) * CHOOSE(CONTROL!$C$15, $D$11, 100%, $F$11)</f>
        <v>12.7912</v>
      </c>
      <c r="C514" s="8">
        <f>CHOOSE( CONTROL!$C$32, 12.8017, 12.7967) * CHOOSE(CONTROL!$C$15, $D$11, 100%, $F$11)</f>
        <v>12.8017</v>
      </c>
      <c r="D514" s="8">
        <f>CHOOSE( CONTROL!$C$32, 12.7938, 12.7888) * CHOOSE( CONTROL!$C$15, $D$11, 100%, $F$11)</f>
        <v>12.793799999999999</v>
      </c>
      <c r="E514" s="12">
        <f>CHOOSE( CONTROL!$C$32, 12.7951, 12.7901) * CHOOSE( CONTROL!$C$15, $D$11, 100%, $F$11)</f>
        <v>12.7951</v>
      </c>
      <c r="F514" s="4">
        <f>CHOOSE( CONTROL!$C$32, 13.7854, 13.7805) * CHOOSE(CONTROL!$C$15, $D$11, 100%, $F$11)</f>
        <v>13.785399999999999</v>
      </c>
      <c r="G514" s="8">
        <f>CHOOSE( CONTROL!$C$32, 12.4558, 12.451) * CHOOSE( CONTROL!$C$15, $D$11, 100%, $F$11)</f>
        <v>12.4558</v>
      </c>
      <c r="H514" s="4">
        <f>CHOOSE( CONTROL!$C$32, 13.3614, 13.3566) * CHOOSE(CONTROL!$C$15, $D$11, 100%, $F$11)</f>
        <v>13.3614</v>
      </c>
      <c r="I514" s="8">
        <f>CHOOSE( CONTROL!$C$32, 12.3025, 12.2977) * CHOOSE(CONTROL!$C$15, $D$11, 100%, $F$11)</f>
        <v>12.3025</v>
      </c>
      <c r="J514" s="4">
        <f>CHOOSE( CONTROL!$C$32, 12.2518, 12.2471) * CHOOSE(CONTROL!$C$15, $D$11, 100%, $F$11)</f>
        <v>12.251799999999999</v>
      </c>
      <c r="K514" s="4"/>
      <c r="L514" s="9">
        <v>28.568200000000001</v>
      </c>
      <c r="M514" s="9">
        <v>11.6745</v>
      </c>
      <c r="N514" s="9">
        <v>4.7850000000000001</v>
      </c>
      <c r="O514" s="9">
        <v>0.36249999999999999</v>
      </c>
      <c r="P514" s="9">
        <v>1.1798</v>
      </c>
      <c r="Q514" s="9">
        <v>19.053000000000001</v>
      </c>
      <c r="R514" s="9"/>
      <c r="S514" s="11"/>
    </row>
    <row r="515" spans="1:19" ht="15.75">
      <c r="A515" s="13">
        <v>57557</v>
      </c>
      <c r="B515" s="8">
        <f>CHOOSE( CONTROL!$C$32, 13.3412, 13.3363) * CHOOSE(CONTROL!$C$15, $D$11, 100%, $F$11)</f>
        <v>13.341200000000001</v>
      </c>
      <c r="C515" s="8">
        <f>CHOOSE( CONTROL!$C$32, 13.3517, 13.3467) * CHOOSE(CONTROL!$C$15, $D$11, 100%, $F$11)</f>
        <v>13.351699999999999</v>
      </c>
      <c r="D515" s="8">
        <f>CHOOSE( CONTROL!$C$32, 13.3507, 13.3457) * CHOOSE( CONTROL!$C$15, $D$11, 100%, $F$11)</f>
        <v>13.3507</v>
      </c>
      <c r="E515" s="12">
        <f>CHOOSE( CONTROL!$C$32, 13.3495, 13.3445) * CHOOSE( CONTROL!$C$15, $D$11, 100%, $F$11)</f>
        <v>13.349500000000001</v>
      </c>
      <c r="F515" s="4">
        <f>CHOOSE( CONTROL!$C$32, 14.3459, 14.3409) * CHOOSE(CONTROL!$C$15, $D$11, 100%, $F$11)</f>
        <v>14.3459</v>
      </c>
      <c r="G515" s="8">
        <f>CHOOSE( CONTROL!$C$32, 12.996, 12.9912) * CHOOSE( CONTROL!$C$15, $D$11, 100%, $F$11)</f>
        <v>12.996</v>
      </c>
      <c r="H515" s="4">
        <f>CHOOSE( CONTROL!$C$32, 13.9077, 13.9029) * CHOOSE(CONTROL!$C$15, $D$11, 100%, $F$11)</f>
        <v>13.9077</v>
      </c>
      <c r="I515" s="8">
        <f>CHOOSE( CONTROL!$C$32, 12.8374, 12.8326) * CHOOSE(CONTROL!$C$15, $D$11, 100%, $F$11)</f>
        <v>12.837400000000001</v>
      </c>
      <c r="J515" s="4">
        <f>CHOOSE( CONTROL!$C$32, 12.7788, 12.7741) * CHOOSE(CONTROL!$C$15, $D$11, 100%, $F$11)</f>
        <v>12.7788</v>
      </c>
      <c r="K515" s="4"/>
      <c r="L515" s="9">
        <v>29.520499999999998</v>
      </c>
      <c r="M515" s="9">
        <v>12.063700000000001</v>
      </c>
      <c r="N515" s="9">
        <v>4.9444999999999997</v>
      </c>
      <c r="O515" s="9">
        <v>0.37459999999999999</v>
      </c>
      <c r="P515" s="9">
        <v>1.2192000000000001</v>
      </c>
      <c r="Q515" s="9">
        <v>19.688099999999999</v>
      </c>
      <c r="R515" s="9"/>
      <c r="S515" s="11"/>
    </row>
    <row r="516" spans="1:19" ht="15.75">
      <c r="A516" s="13">
        <v>57588</v>
      </c>
      <c r="B516" s="8">
        <f>CHOOSE( CONTROL!$C$32, 12.3121, 12.3072) * CHOOSE(CONTROL!$C$15, $D$11, 100%, $F$11)</f>
        <v>12.312099999999999</v>
      </c>
      <c r="C516" s="8">
        <f>CHOOSE( CONTROL!$C$32, 12.3226, 12.3176) * CHOOSE(CONTROL!$C$15, $D$11, 100%, $F$11)</f>
        <v>12.3226</v>
      </c>
      <c r="D516" s="8">
        <f>CHOOSE( CONTROL!$C$32, 12.3227, 12.3178) * CHOOSE( CONTROL!$C$15, $D$11, 100%, $F$11)</f>
        <v>12.322699999999999</v>
      </c>
      <c r="E516" s="12">
        <f>CHOOSE( CONTROL!$C$32, 12.3211, 12.3161) * CHOOSE( CONTROL!$C$15, $D$11, 100%, $F$11)</f>
        <v>12.321099999999999</v>
      </c>
      <c r="F516" s="4">
        <f>CHOOSE( CONTROL!$C$32, 13.3246, 13.3197) * CHOOSE(CONTROL!$C$15, $D$11, 100%, $F$11)</f>
        <v>13.3246</v>
      </c>
      <c r="G516" s="8">
        <f>CHOOSE( CONTROL!$C$32, 11.988, 11.9832) * CHOOSE( CONTROL!$C$15, $D$11, 100%, $F$11)</f>
        <v>11.988</v>
      </c>
      <c r="H516" s="4">
        <f>CHOOSE( CONTROL!$C$32, 12.9122, 12.9074) * CHOOSE(CONTROL!$C$15, $D$11, 100%, $F$11)</f>
        <v>12.9122</v>
      </c>
      <c r="I516" s="8">
        <f>CHOOSE( CONTROL!$C$32, 11.8418, 11.837) * CHOOSE(CONTROL!$C$15, $D$11, 100%, $F$11)</f>
        <v>11.841799999999999</v>
      </c>
      <c r="J516" s="4">
        <f>CHOOSE( CONTROL!$C$32, 11.7927, 11.788) * CHOOSE(CONTROL!$C$15, $D$11, 100%, $F$11)</f>
        <v>11.7927</v>
      </c>
      <c r="K516" s="4"/>
      <c r="L516" s="9">
        <v>29.520499999999998</v>
      </c>
      <c r="M516" s="9">
        <v>12.063700000000001</v>
      </c>
      <c r="N516" s="9">
        <v>4.9444999999999997</v>
      </c>
      <c r="O516" s="9">
        <v>0.37459999999999999</v>
      </c>
      <c r="P516" s="9">
        <v>1.2192000000000001</v>
      </c>
      <c r="Q516" s="9">
        <v>19.688099999999999</v>
      </c>
      <c r="R516" s="9"/>
      <c r="S516" s="11"/>
    </row>
    <row r="517" spans="1:19" ht="15.75">
      <c r="A517" s="13">
        <v>57618</v>
      </c>
      <c r="B517" s="8">
        <f>CHOOSE( CONTROL!$C$32, 12.0545, 12.0495) * CHOOSE(CONTROL!$C$15, $D$11, 100%, $F$11)</f>
        <v>12.054500000000001</v>
      </c>
      <c r="C517" s="8">
        <f>CHOOSE( CONTROL!$C$32, 12.0649, 12.06) * CHOOSE(CONTROL!$C$15, $D$11, 100%, $F$11)</f>
        <v>12.0649</v>
      </c>
      <c r="D517" s="8">
        <f>CHOOSE( CONTROL!$C$32, 12.0653, 12.0604) * CHOOSE( CONTROL!$C$15, $D$11, 100%, $F$11)</f>
        <v>12.065300000000001</v>
      </c>
      <c r="E517" s="12">
        <f>CHOOSE( CONTROL!$C$32, 12.0636, 12.0587) * CHOOSE( CONTROL!$C$15, $D$11, 100%, $F$11)</f>
        <v>12.063599999999999</v>
      </c>
      <c r="F517" s="4">
        <f>CHOOSE( CONTROL!$C$32, 13.0669, 13.062) * CHOOSE(CONTROL!$C$15, $D$11, 100%, $F$11)</f>
        <v>13.0669</v>
      </c>
      <c r="G517" s="8">
        <f>CHOOSE( CONTROL!$C$32, 11.7373, 11.7325) * CHOOSE( CONTROL!$C$15, $D$11, 100%, $F$11)</f>
        <v>11.737299999999999</v>
      </c>
      <c r="H517" s="4">
        <f>CHOOSE( CONTROL!$C$32, 12.661, 12.6562) * CHOOSE(CONTROL!$C$15, $D$11, 100%, $F$11)</f>
        <v>12.661</v>
      </c>
      <c r="I517" s="8">
        <f>CHOOSE( CONTROL!$C$32, 11.5961, 11.5914) * CHOOSE(CONTROL!$C$15, $D$11, 100%, $F$11)</f>
        <v>11.5961</v>
      </c>
      <c r="J517" s="4">
        <f>CHOOSE( CONTROL!$C$32, 11.5458, 11.5411) * CHOOSE(CONTROL!$C$15, $D$11, 100%, $F$11)</f>
        <v>11.5458</v>
      </c>
      <c r="K517" s="4"/>
      <c r="L517" s="9">
        <v>28.568200000000001</v>
      </c>
      <c r="M517" s="9">
        <v>11.6745</v>
      </c>
      <c r="N517" s="9">
        <v>4.7850000000000001</v>
      </c>
      <c r="O517" s="9">
        <v>0.36249999999999999</v>
      </c>
      <c r="P517" s="9">
        <v>1.1798</v>
      </c>
      <c r="Q517" s="9">
        <v>19.053000000000001</v>
      </c>
      <c r="R517" s="9"/>
      <c r="S517" s="11"/>
    </row>
    <row r="518" spans="1:19" ht="15.75">
      <c r="A518" s="13">
        <v>57649</v>
      </c>
      <c r="B518" s="8">
        <f>12.5846 * CHOOSE(CONTROL!$C$15, $D$11, 100%, $F$11)</f>
        <v>12.5846</v>
      </c>
      <c r="C518" s="8">
        <f>12.595 * CHOOSE(CONTROL!$C$15, $D$11, 100%, $F$11)</f>
        <v>12.595000000000001</v>
      </c>
      <c r="D518" s="8">
        <f>12.5967 * CHOOSE( CONTROL!$C$15, $D$11, 100%, $F$11)</f>
        <v>12.5967</v>
      </c>
      <c r="E518" s="12">
        <f>12.595 * CHOOSE( CONTROL!$C$15, $D$11, 100%, $F$11)</f>
        <v>12.595000000000001</v>
      </c>
      <c r="F518" s="4">
        <f>13.597 * CHOOSE(CONTROL!$C$15, $D$11, 100%, $F$11)</f>
        <v>13.597</v>
      </c>
      <c r="G518" s="8">
        <f>12.2537 * CHOOSE( CONTROL!$C$15, $D$11, 100%, $F$11)</f>
        <v>12.2537</v>
      </c>
      <c r="H518" s="4">
        <f>13.1778 * CHOOSE(CONTROL!$C$15, $D$11, 100%, $F$11)</f>
        <v>13.1778</v>
      </c>
      <c r="I518" s="8">
        <f>12.1066 * CHOOSE(CONTROL!$C$15, $D$11, 100%, $F$11)</f>
        <v>12.1066</v>
      </c>
      <c r="J518" s="4">
        <f>12.0538 * CHOOSE(CONTROL!$C$15, $D$11, 100%, $F$11)</f>
        <v>12.053800000000001</v>
      </c>
      <c r="K518" s="4"/>
      <c r="L518" s="9">
        <v>28.921800000000001</v>
      </c>
      <c r="M518" s="9">
        <v>12.063700000000001</v>
      </c>
      <c r="N518" s="9">
        <v>4.9444999999999997</v>
      </c>
      <c r="O518" s="9">
        <v>0.37459999999999999</v>
      </c>
      <c r="P518" s="9">
        <v>1.2192000000000001</v>
      </c>
      <c r="Q518" s="9">
        <v>19.688099999999999</v>
      </c>
      <c r="R518" s="9"/>
      <c r="S518" s="11"/>
    </row>
    <row r="519" spans="1:19" ht="15.75">
      <c r="A519" s="13">
        <v>57679</v>
      </c>
      <c r="B519" s="8">
        <f>13.5722 * CHOOSE(CONTROL!$C$15, $D$11, 100%, $F$11)</f>
        <v>13.5722</v>
      </c>
      <c r="C519" s="8">
        <f>13.5826 * CHOOSE(CONTROL!$C$15, $D$11, 100%, $F$11)</f>
        <v>13.582599999999999</v>
      </c>
      <c r="D519" s="8">
        <f>13.5637 * CHOOSE( CONTROL!$C$15, $D$11, 100%, $F$11)</f>
        <v>13.563700000000001</v>
      </c>
      <c r="E519" s="12">
        <f>13.5695 * CHOOSE( CONTROL!$C$15, $D$11, 100%, $F$11)</f>
        <v>13.5695</v>
      </c>
      <c r="F519" s="4">
        <f>14.569 * CHOOSE(CONTROL!$C$15, $D$11, 100%, $F$11)</f>
        <v>14.569000000000001</v>
      </c>
      <c r="G519" s="8">
        <f>13.2393 * CHOOSE( CONTROL!$C$15, $D$11, 100%, $F$11)</f>
        <v>13.2393</v>
      </c>
      <c r="H519" s="4">
        <f>14.1252 * CHOOSE(CONTROL!$C$15, $D$11, 100%, $F$11)</f>
        <v>14.1252</v>
      </c>
      <c r="I519" s="8">
        <f>13.0999 * CHOOSE(CONTROL!$C$15, $D$11, 100%, $F$11)</f>
        <v>13.0999</v>
      </c>
      <c r="J519" s="4">
        <f>13.0001 * CHOOSE(CONTROL!$C$15, $D$11, 100%, $F$11)</f>
        <v>13.0001</v>
      </c>
      <c r="K519" s="4"/>
      <c r="L519" s="9">
        <v>26.515499999999999</v>
      </c>
      <c r="M519" s="9">
        <v>11.6745</v>
      </c>
      <c r="N519" s="9">
        <v>4.7850000000000001</v>
      </c>
      <c r="O519" s="9">
        <v>0.36249999999999999</v>
      </c>
      <c r="P519" s="9">
        <v>1.2522</v>
      </c>
      <c r="Q519" s="9">
        <v>19.053000000000001</v>
      </c>
      <c r="R519" s="9"/>
      <c r="S519" s="11"/>
    </row>
    <row r="520" spans="1:19" ht="15.75">
      <c r="A520" s="13">
        <v>57710</v>
      </c>
      <c r="B520" s="8">
        <f>13.5475 * CHOOSE(CONTROL!$C$15, $D$11, 100%, $F$11)</f>
        <v>13.547499999999999</v>
      </c>
      <c r="C520" s="8">
        <f>13.558 * CHOOSE(CONTROL!$C$15, $D$11, 100%, $F$11)</f>
        <v>13.558</v>
      </c>
      <c r="D520" s="8">
        <f>13.5416 * CHOOSE( CONTROL!$C$15, $D$11, 100%, $F$11)</f>
        <v>13.541600000000001</v>
      </c>
      <c r="E520" s="12">
        <f>13.5465 * CHOOSE( CONTROL!$C$15, $D$11, 100%, $F$11)</f>
        <v>13.5465</v>
      </c>
      <c r="F520" s="4">
        <f>14.5443 * CHOOSE(CONTROL!$C$15, $D$11, 100%, $F$11)</f>
        <v>14.5443</v>
      </c>
      <c r="G520" s="8">
        <f>13.2172 * CHOOSE( CONTROL!$C$15, $D$11, 100%, $F$11)</f>
        <v>13.2172</v>
      </c>
      <c r="H520" s="4">
        <f>14.1012 * CHOOSE(CONTROL!$C$15, $D$11, 100%, $F$11)</f>
        <v>14.1012</v>
      </c>
      <c r="I520" s="8">
        <f>13.0851 * CHOOSE(CONTROL!$C$15, $D$11, 100%, $F$11)</f>
        <v>13.085100000000001</v>
      </c>
      <c r="J520" s="4">
        <f>12.9765 * CHOOSE(CONTROL!$C$15, $D$11, 100%, $F$11)</f>
        <v>12.9765</v>
      </c>
      <c r="K520" s="4"/>
      <c r="L520" s="9">
        <v>27.3993</v>
      </c>
      <c r="M520" s="9">
        <v>12.063700000000001</v>
      </c>
      <c r="N520" s="9">
        <v>4.9444999999999997</v>
      </c>
      <c r="O520" s="9">
        <v>0.37459999999999999</v>
      </c>
      <c r="P520" s="9">
        <v>1.2939000000000001</v>
      </c>
      <c r="Q520" s="9">
        <v>19.688099999999999</v>
      </c>
      <c r="R520" s="9"/>
      <c r="S520" s="11"/>
    </row>
    <row r="521" spans="1:19" ht="15.75">
      <c r="A521" s="13">
        <v>57741</v>
      </c>
      <c r="B521" s="8">
        <f>14.0651 * CHOOSE(CONTROL!$C$15, $D$11, 100%, $F$11)</f>
        <v>14.065099999999999</v>
      </c>
      <c r="C521" s="8">
        <f>14.0755 * CHOOSE(CONTROL!$C$15, $D$11, 100%, $F$11)</f>
        <v>14.0755</v>
      </c>
      <c r="D521" s="8">
        <f>14.0741 * CHOOSE( CONTROL!$C$15, $D$11, 100%, $F$11)</f>
        <v>14.0741</v>
      </c>
      <c r="E521" s="12">
        <f>14.0735 * CHOOSE( CONTROL!$C$15, $D$11, 100%, $F$11)</f>
        <v>14.073499999999999</v>
      </c>
      <c r="F521" s="4">
        <f>15.088 * CHOOSE(CONTROL!$C$15, $D$11, 100%, $F$11)</f>
        <v>15.087999999999999</v>
      </c>
      <c r="G521" s="8">
        <f>13.7386 * CHOOSE( CONTROL!$C$15, $D$11, 100%, $F$11)</f>
        <v>13.7386</v>
      </c>
      <c r="H521" s="4">
        <f>14.6311 * CHOOSE(CONTROL!$C$15, $D$11, 100%, $F$11)</f>
        <v>14.6311</v>
      </c>
      <c r="I521" s="8">
        <f>13.5878 * CHOOSE(CONTROL!$C$15, $D$11, 100%, $F$11)</f>
        <v>13.5878</v>
      </c>
      <c r="J521" s="4">
        <f>13.4724 * CHOOSE(CONTROL!$C$15, $D$11, 100%, $F$11)</f>
        <v>13.4724</v>
      </c>
      <c r="K521" s="4"/>
      <c r="L521" s="9">
        <v>27.3993</v>
      </c>
      <c r="M521" s="9">
        <v>12.063700000000001</v>
      </c>
      <c r="N521" s="9">
        <v>4.9444999999999997</v>
      </c>
      <c r="O521" s="9">
        <v>0.37459999999999999</v>
      </c>
      <c r="P521" s="9">
        <v>1.2939000000000001</v>
      </c>
      <c r="Q521" s="9">
        <v>19.688099999999999</v>
      </c>
      <c r="R521" s="9"/>
      <c r="S521" s="11"/>
    </row>
    <row r="522" spans="1:19" ht="15.75">
      <c r="A522" s="13">
        <v>57769</v>
      </c>
      <c r="B522" s="8">
        <f>13.1561 * CHOOSE(CONTROL!$C$15, $D$11, 100%, $F$11)</f>
        <v>13.1561</v>
      </c>
      <c r="C522" s="8">
        <f>13.1666 * CHOOSE(CONTROL!$C$15, $D$11, 100%, $F$11)</f>
        <v>13.166600000000001</v>
      </c>
      <c r="D522" s="8">
        <f>13.1674 * CHOOSE( CONTROL!$C$15, $D$11, 100%, $F$11)</f>
        <v>13.167400000000001</v>
      </c>
      <c r="E522" s="12">
        <f>13.166 * CHOOSE( CONTROL!$C$15, $D$11, 100%, $F$11)</f>
        <v>13.166</v>
      </c>
      <c r="F522" s="4">
        <f>14.1712 * CHOOSE(CONTROL!$C$15, $D$11, 100%, $F$11)</f>
        <v>14.171200000000001</v>
      </c>
      <c r="G522" s="8">
        <f>12.8524 * CHOOSE( CONTROL!$C$15, $D$11, 100%, $F$11)</f>
        <v>12.852399999999999</v>
      </c>
      <c r="H522" s="4">
        <f>13.7375 * CHOOSE(CONTROL!$C$15, $D$11, 100%, $F$11)</f>
        <v>13.737500000000001</v>
      </c>
      <c r="I522" s="8">
        <f>12.7054 * CHOOSE(CONTROL!$C$15, $D$11, 100%, $F$11)</f>
        <v>12.705399999999999</v>
      </c>
      <c r="J522" s="4">
        <f>12.6015 * CHOOSE(CONTROL!$C$15, $D$11, 100%, $F$11)</f>
        <v>12.6015</v>
      </c>
      <c r="K522" s="4"/>
      <c r="L522" s="9">
        <v>24.747800000000002</v>
      </c>
      <c r="M522" s="9">
        <v>10.8962</v>
      </c>
      <c r="N522" s="9">
        <v>4.4660000000000002</v>
      </c>
      <c r="O522" s="9">
        <v>0.33829999999999999</v>
      </c>
      <c r="P522" s="9">
        <v>1.1687000000000001</v>
      </c>
      <c r="Q522" s="9">
        <v>17.782800000000002</v>
      </c>
      <c r="R522" s="9"/>
      <c r="S522" s="11"/>
    </row>
    <row r="523" spans="1:19" ht="15.75">
      <c r="A523" s="13">
        <v>57800</v>
      </c>
      <c r="B523" s="8">
        <f>12.8762 * CHOOSE(CONTROL!$C$15, $D$11, 100%, $F$11)</f>
        <v>12.876200000000001</v>
      </c>
      <c r="C523" s="8">
        <f>12.8866 * CHOOSE(CONTROL!$C$15, $D$11, 100%, $F$11)</f>
        <v>12.8866</v>
      </c>
      <c r="D523" s="8">
        <f>12.8671 * CHOOSE( CONTROL!$C$15, $D$11, 100%, $F$11)</f>
        <v>12.867100000000001</v>
      </c>
      <c r="E523" s="12">
        <f>12.8731 * CHOOSE( CONTROL!$C$15, $D$11, 100%, $F$11)</f>
        <v>12.873100000000001</v>
      </c>
      <c r="F523" s="4">
        <f>13.8751 * CHOOSE(CONTROL!$C$15, $D$11, 100%, $F$11)</f>
        <v>13.8751</v>
      </c>
      <c r="G523" s="8">
        <f>12.5588 * CHOOSE( CONTROL!$C$15, $D$11, 100%, $F$11)</f>
        <v>12.5588</v>
      </c>
      <c r="H523" s="4">
        <f>13.4488 * CHOOSE(CONTROL!$C$15, $D$11, 100%, $F$11)</f>
        <v>13.4488</v>
      </c>
      <c r="I523" s="8">
        <f>12.3975 * CHOOSE(CONTROL!$C$15, $D$11, 100%, $F$11)</f>
        <v>12.397500000000001</v>
      </c>
      <c r="J523" s="4">
        <f>12.3332 * CHOOSE(CONTROL!$C$15, $D$11, 100%, $F$11)</f>
        <v>12.3332</v>
      </c>
      <c r="K523" s="4"/>
      <c r="L523" s="9">
        <v>27.3993</v>
      </c>
      <c r="M523" s="9">
        <v>12.063700000000001</v>
      </c>
      <c r="N523" s="9">
        <v>4.9444999999999997</v>
      </c>
      <c r="O523" s="9">
        <v>0.37459999999999999</v>
      </c>
      <c r="P523" s="9">
        <v>1.2939000000000001</v>
      </c>
      <c r="Q523" s="9">
        <v>19.688099999999999</v>
      </c>
      <c r="R523" s="9"/>
      <c r="S523" s="11"/>
    </row>
    <row r="524" spans="1:19" ht="15.75">
      <c r="A524" s="13">
        <v>57830</v>
      </c>
      <c r="B524" s="8">
        <f>13.0718 * CHOOSE(CONTROL!$C$15, $D$11, 100%, $F$11)</f>
        <v>13.0718</v>
      </c>
      <c r="C524" s="8">
        <f>13.0822 * CHOOSE(CONTROL!$C$15, $D$11, 100%, $F$11)</f>
        <v>13.0822</v>
      </c>
      <c r="D524" s="8">
        <f>13.0861 * CHOOSE( CONTROL!$C$15, $D$11, 100%, $F$11)</f>
        <v>13.0861</v>
      </c>
      <c r="E524" s="12">
        <f>13.0836 * CHOOSE( CONTROL!$C$15, $D$11, 100%, $F$11)</f>
        <v>13.083600000000001</v>
      </c>
      <c r="F524" s="4">
        <f>14.0791 * CHOOSE(CONTROL!$C$15, $D$11, 100%, $F$11)</f>
        <v>14.0791</v>
      </c>
      <c r="G524" s="8">
        <f>12.7375 * CHOOSE( CONTROL!$C$15, $D$11, 100%, $F$11)</f>
        <v>12.737500000000001</v>
      </c>
      <c r="H524" s="4">
        <f>13.6476 * CHOOSE(CONTROL!$C$15, $D$11, 100%, $F$11)</f>
        <v>13.647600000000001</v>
      </c>
      <c r="I524" s="8">
        <f>12.5752 * CHOOSE(CONTROL!$C$15, $D$11, 100%, $F$11)</f>
        <v>12.575200000000001</v>
      </c>
      <c r="J524" s="4">
        <f>12.5207 * CHOOSE(CONTROL!$C$15, $D$11, 100%, $F$11)</f>
        <v>12.5207</v>
      </c>
      <c r="K524" s="4"/>
      <c r="L524" s="9">
        <v>27.988800000000001</v>
      </c>
      <c r="M524" s="9">
        <v>11.6745</v>
      </c>
      <c r="N524" s="9">
        <v>4.7850000000000001</v>
      </c>
      <c r="O524" s="9">
        <v>0.36249999999999999</v>
      </c>
      <c r="P524" s="9">
        <v>1.1798</v>
      </c>
      <c r="Q524" s="9">
        <v>19.053000000000001</v>
      </c>
      <c r="R524" s="9"/>
      <c r="S524" s="11"/>
    </row>
    <row r="525" spans="1:19" ht="15.75">
      <c r="A525" s="13">
        <v>57861</v>
      </c>
      <c r="B525" s="8">
        <f>CHOOSE( CONTROL!$C$32, 13.4249, 13.42) * CHOOSE(CONTROL!$C$15, $D$11, 100%, $F$11)</f>
        <v>13.424899999999999</v>
      </c>
      <c r="C525" s="8">
        <f>CHOOSE( CONTROL!$C$32, 13.4354, 13.4304) * CHOOSE(CONTROL!$C$15, $D$11, 100%, $F$11)</f>
        <v>13.4354</v>
      </c>
      <c r="D525" s="8">
        <f>CHOOSE( CONTROL!$C$32, 13.414, 13.4091) * CHOOSE( CONTROL!$C$15, $D$11, 100%, $F$11)</f>
        <v>13.414</v>
      </c>
      <c r="E525" s="12">
        <f>CHOOSE( CONTROL!$C$32, 13.4202, 13.4152) * CHOOSE( CONTROL!$C$15, $D$11, 100%, $F$11)</f>
        <v>13.420199999999999</v>
      </c>
      <c r="F525" s="4">
        <f>CHOOSE( CONTROL!$C$32, 14.3998, 14.3949) * CHOOSE(CONTROL!$C$15, $D$11, 100%, $F$11)</f>
        <v>14.399800000000001</v>
      </c>
      <c r="G525" s="8">
        <f>CHOOSE( CONTROL!$C$32, 13.0631, 13.0582) * CHOOSE( CONTROL!$C$15, $D$11, 100%, $F$11)</f>
        <v>13.0631</v>
      </c>
      <c r="H525" s="4">
        <f>CHOOSE( CONTROL!$C$32, 13.9603, 13.9555) * CHOOSE(CONTROL!$C$15, $D$11, 100%, $F$11)</f>
        <v>13.9603</v>
      </c>
      <c r="I525" s="8">
        <f>CHOOSE( CONTROL!$C$32, 12.8921, 12.8874) * CHOOSE(CONTROL!$C$15, $D$11, 100%, $F$11)</f>
        <v>12.892099999999999</v>
      </c>
      <c r="J525" s="4">
        <f>CHOOSE( CONTROL!$C$32, 12.859, 12.8543) * CHOOSE(CONTROL!$C$15, $D$11, 100%, $F$11)</f>
        <v>12.859</v>
      </c>
      <c r="K525" s="4"/>
      <c r="L525" s="9">
        <v>29.520499999999998</v>
      </c>
      <c r="M525" s="9">
        <v>12.063700000000001</v>
      </c>
      <c r="N525" s="9">
        <v>4.9444999999999997</v>
      </c>
      <c r="O525" s="9">
        <v>0.37459999999999999</v>
      </c>
      <c r="P525" s="9">
        <v>1.2192000000000001</v>
      </c>
      <c r="Q525" s="9">
        <v>19.688099999999999</v>
      </c>
      <c r="R525" s="9"/>
      <c r="S525" s="11"/>
    </row>
    <row r="526" spans="1:19" ht="15.75">
      <c r="A526" s="13">
        <v>57891</v>
      </c>
      <c r="B526" s="8">
        <f>CHOOSE( CONTROL!$C$32, 13.2092, 13.2043) * CHOOSE(CONTROL!$C$15, $D$11, 100%, $F$11)</f>
        <v>13.209199999999999</v>
      </c>
      <c r="C526" s="8">
        <f>CHOOSE( CONTROL!$C$32, 13.2197, 13.2147) * CHOOSE(CONTROL!$C$15, $D$11, 100%, $F$11)</f>
        <v>13.2197</v>
      </c>
      <c r="D526" s="8">
        <f>CHOOSE( CONTROL!$C$32, 13.2118, 13.2068) * CHOOSE( CONTROL!$C$15, $D$11, 100%, $F$11)</f>
        <v>13.2118</v>
      </c>
      <c r="E526" s="12">
        <f>CHOOSE( CONTROL!$C$32, 13.2131, 13.2081) * CHOOSE( CONTROL!$C$15, $D$11, 100%, $F$11)</f>
        <v>13.213100000000001</v>
      </c>
      <c r="F526" s="4">
        <f>CHOOSE( CONTROL!$C$32, 14.2034, 14.1985) * CHOOSE(CONTROL!$C$15, $D$11, 100%, $F$11)</f>
        <v>14.2034</v>
      </c>
      <c r="G526" s="8">
        <f>CHOOSE( CONTROL!$C$32, 12.8632, 12.8584) * CHOOSE( CONTROL!$C$15, $D$11, 100%, $F$11)</f>
        <v>12.863200000000001</v>
      </c>
      <c r="H526" s="4">
        <f>CHOOSE( CONTROL!$C$32, 13.7689, 13.7641) * CHOOSE(CONTROL!$C$15, $D$11, 100%, $F$11)</f>
        <v>13.7689</v>
      </c>
      <c r="I526" s="8">
        <f>CHOOSE( CONTROL!$C$32, 12.7032, 12.6985) * CHOOSE(CONTROL!$C$15, $D$11, 100%, $F$11)</f>
        <v>12.703200000000001</v>
      </c>
      <c r="J526" s="4">
        <f>CHOOSE( CONTROL!$C$32, 12.6523, 12.6476) * CHOOSE(CONTROL!$C$15, $D$11, 100%, $F$11)</f>
        <v>12.6523</v>
      </c>
      <c r="K526" s="4"/>
      <c r="L526" s="9">
        <v>28.568200000000001</v>
      </c>
      <c r="M526" s="9">
        <v>11.6745</v>
      </c>
      <c r="N526" s="9">
        <v>4.7850000000000001</v>
      </c>
      <c r="O526" s="9">
        <v>0.36249999999999999</v>
      </c>
      <c r="P526" s="9">
        <v>1.1798</v>
      </c>
      <c r="Q526" s="9">
        <v>19.053000000000001</v>
      </c>
      <c r="R526" s="9"/>
      <c r="S526" s="11"/>
    </row>
    <row r="527" spans="1:19" ht="15.75">
      <c r="A527" s="13">
        <v>57922</v>
      </c>
      <c r="B527" s="8">
        <f>CHOOSE( CONTROL!$C$32, 13.7772, 13.7723) * CHOOSE(CONTROL!$C$15, $D$11, 100%, $F$11)</f>
        <v>13.777200000000001</v>
      </c>
      <c r="C527" s="8">
        <f>CHOOSE( CONTROL!$C$32, 13.7876, 13.7827) * CHOOSE(CONTROL!$C$15, $D$11, 100%, $F$11)</f>
        <v>13.787599999999999</v>
      </c>
      <c r="D527" s="8">
        <f>CHOOSE( CONTROL!$C$32, 13.7866, 13.7817) * CHOOSE( CONTROL!$C$15, $D$11, 100%, $F$11)</f>
        <v>13.7866</v>
      </c>
      <c r="E527" s="12">
        <f>CHOOSE( CONTROL!$C$32, 13.7854, 13.7805) * CHOOSE( CONTROL!$C$15, $D$11, 100%, $F$11)</f>
        <v>13.785399999999999</v>
      </c>
      <c r="F527" s="4">
        <f>CHOOSE( CONTROL!$C$32, 14.7819, 14.7769) * CHOOSE(CONTROL!$C$15, $D$11, 100%, $F$11)</f>
        <v>14.7819</v>
      </c>
      <c r="G527" s="8">
        <f>CHOOSE( CONTROL!$C$32, 13.421, 13.4162) * CHOOSE( CONTROL!$C$15, $D$11, 100%, $F$11)</f>
        <v>13.420999999999999</v>
      </c>
      <c r="H527" s="4">
        <f>CHOOSE( CONTROL!$C$32, 14.3327, 14.3279) * CHOOSE(CONTROL!$C$15, $D$11, 100%, $F$11)</f>
        <v>14.332700000000001</v>
      </c>
      <c r="I527" s="8">
        <f>CHOOSE( CONTROL!$C$32, 13.2553, 13.2506) * CHOOSE(CONTROL!$C$15, $D$11, 100%, $F$11)</f>
        <v>13.2553</v>
      </c>
      <c r="J527" s="4">
        <f>CHOOSE( CONTROL!$C$32, 13.1966, 13.1918) * CHOOSE(CONTROL!$C$15, $D$11, 100%, $F$11)</f>
        <v>13.1966</v>
      </c>
      <c r="K527" s="4"/>
      <c r="L527" s="9">
        <v>29.520499999999998</v>
      </c>
      <c r="M527" s="9">
        <v>12.063700000000001</v>
      </c>
      <c r="N527" s="9">
        <v>4.9444999999999997</v>
      </c>
      <c r="O527" s="9">
        <v>0.37459999999999999</v>
      </c>
      <c r="P527" s="9">
        <v>1.2192000000000001</v>
      </c>
      <c r="Q527" s="9">
        <v>19.688099999999999</v>
      </c>
      <c r="R527" s="9"/>
      <c r="S527" s="11"/>
    </row>
    <row r="528" spans="1:19" ht="15.75">
      <c r="A528" s="13">
        <v>57953</v>
      </c>
      <c r="B528" s="8">
        <f>CHOOSE( CONTROL!$C$32, 12.7145, 12.7095) * CHOOSE(CONTROL!$C$15, $D$11, 100%, $F$11)</f>
        <v>12.714499999999999</v>
      </c>
      <c r="C528" s="8">
        <f>CHOOSE( CONTROL!$C$32, 12.7249, 12.72) * CHOOSE(CONTROL!$C$15, $D$11, 100%, $F$11)</f>
        <v>12.7249</v>
      </c>
      <c r="D528" s="8">
        <f>CHOOSE( CONTROL!$C$32, 12.7251, 12.7201) * CHOOSE( CONTROL!$C$15, $D$11, 100%, $F$11)</f>
        <v>12.725099999999999</v>
      </c>
      <c r="E528" s="12">
        <f>CHOOSE( CONTROL!$C$32, 12.7234, 12.7185) * CHOOSE( CONTROL!$C$15, $D$11, 100%, $F$11)</f>
        <v>12.7234</v>
      </c>
      <c r="F528" s="4">
        <f>CHOOSE( CONTROL!$C$32, 13.7269, 13.722) * CHOOSE(CONTROL!$C$15, $D$11, 100%, $F$11)</f>
        <v>13.726900000000001</v>
      </c>
      <c r="G528" s="8">
        <f>CHOOSE( CONTROL!$C$32, 12.3802, 12.3754) * CHOOSE( CONTROL!$C$15, $D$11, 100%, $F$11)</f>
        <v>12.3802</v>
      </c>
      <c r="H528" s="4">
        <f>CHOOSE( CONTROL!$C$32, 13.3044, 13.2996) * CHOOSE(CONTROL!$C$15, $D$11, 100%, $F$11)</f>
        <v>13.304399999999999</v>
      </c>
      <c r="I528" s="8">
        <f>CHOOSE( CONTROL!$C$32, 12.2275, 12.2227) * CHOOSE(CONTROL!$C$15, $D$11, 100%, $F$11)</f>
        <v>12.227499999999999</v>
      </c>
      <c r="J528" s="4">
        <f>CHOOSE( CONTROL!$C$32, 12.1783, 12.1735) * CHOOSE(CONTROL!$C$15, $D$11, 100%, $F$11)</f>
        <v>12.1783</v>
      </c>
      <c r="K528" s="4"/>
      <c r="L528" s="9">
        <v>29.520499999999998</v>
      </c>
      <c r="M528" s="9">
        <v>12.063700000000001</v>
      </c>
      <c r="N528" s="9">
        <v>4.9444999999999997</v>
      </c>
      <c r="O528" s="9">
        <v>0.37459999999999999</v>
      </c>
      <c r="P528" s="9">
        <v>1.2192000000000001</v>
      </c>
      <c r="Q528" s="9">
        <v>19.688099999999999</v>
      </c>
      <c r="R528" s="9"/>
      <c r="S528" s="11"/>
    </row>
    <row r="529" spans="1:19" ht="15.75">
      <c r="A529" s="13">
        <v>57983</v>
      </c>
      <c r="B529" s="8">
        <f>CHOOSE( CONTROL!$C$32, 12.4484, 12.4434) * CHOOSE(CONTROL!$C$15, $D$11, 100%, $F$11)</f>
        <v>12.448399999999999</v>
      </c>
      <c r="C529" s="8">
        <f>CHOOSE( CONTROL!$C$32, 12.4588, 12.4539) * CHOOSE(CONTROL!$C$15, $D$11, 100%, $F$11)</f>
        <v>12.4588</v>
      </c>
      <c r="D529" s="8">
        <f>CHOOSE( CONTROL!$C$32, 12.4592, 12.4543) * CHOOSE( CONTROL!$C$15, $D$11, 100%, $F$11)</f>
        <v>12.459199999999999</v>
      </c>
      <c r="E529" s="12">
        <f>CHOOSE( CONTROL!$C$32, 12.4575, 12.4526) * CHOOSE( CONTROL!$C$15, $D$11, 100%, $F$11)</f>
        <v>12.4575</v>
      </c>
      <c r="F529" s="4">
        <f>CHOOSE( CONTROL!$C$32, 13.4608, 13.4559) * CHOOSE(CONTROL!$C$15, $D$11, 100%, $F$11)</f>
        <v>13.460800000000001</v>
      </c>
      <c r="G529" s="8">
        <f>CHOOSE( CONTROL!$C$32, 12.1212, 12.1164) * CHOOSE( CONTROL!$C$15, $D$11, 100%, $F$11)</f>
        <v>12.1212</v>
      </c>
      <c r="H529" s="4">
        <f>CHOOSE( CONTROL!$C$32, 13.045, 13.0402) * CHOOSE(CONTROL!$C$15, $D$11, 100%, $F$11)</f>
        <v>13.045</v>
      </c>
      <c r="I529" s="8">
        <f>CHOOSE( CONTROL!$C$32, 11.9738, 11.969) * CHOOSE(CONTROL!$C$15, $D$11, 100%, $F$11)</f>
        <v>11.973800000000001</v>
      </c>
      <c r="J529" s="4">
        <f>CHOOSE( CONTROL!$C$32, 11.9233, 11.9185) * CHOOSE(CONTROL!$C$15, $D$11, 100%, $F$11)</f>
        <v>11.923299999999999</v>
      </c>
      <c r="K529" s="4"/>
      <c r="L529" s="9">
        <v>28.568200000000001</v>
      </c>
      <c r="M529" s="9">
        <v>11.6745</v>
      </c>
      <c r="N529" s="9">
        <v>4.7850000000000001</v>
      </c>
      <c r="O529" s="9">
        <v>0.36249999999999999</v>
      </c>
      <c r="P529" s="9">
        <v>1.1798</v>
      </c>
      <c r="Q529" s="9">
        <v>19.053000000000001</v>
      </c>
      <c r="R529" s="9"/>
      <c r="S529" s="11"/>
    </row>
    <row r="530" spans="1:19" ht="15.75">
      <c r="A530" s="13">
        <v>58014</v>
      </c>
      <c r="B530" s="8">
        <f>12.996 * CHOOSE(CONTROL!$C$15, $D$11, 100%, $F$11)</f>
        <v>12.996</v>
      </c>
      <c r="C530" s="8">
        <f>13.0064 * CHOOSE(CONTROL!$C$15, $D$11, 100%, $F$11)</f>
        <v>13.006399999999999</v>
      </c>
      <c r="D530" s="8">
        <f>13.0081 * CHOOSE( CONTROL!$C$15, $D$11, 100%, $F$11)</f>
        <v>13.008100000000001</v>
      </c>
      <c r="E530" s="12">
        <f>13.0064 * CHOOSE( CONTROL!$C$15, $D$11, 100%, $F$11)</f>
        <v>13.006399999999999</v>
      </c>
      <c r="F530" s="4">
        <f>14.0084 * CHOOSE(CONTROL!$C$15, $D$11, 100%, $F$11)</f>
        <v>14.0084</v>
      </c>
      <c r="G530" s="8">
        <f>12.6547 * CHOOSE( CONTROL!$C$15, $D$11, 100%, $F$11)</f>
        <v>12.6547</v>
      </c>
      <c r="H530" s="4">
        <f>13.5788 * CHOOSE(CONTROL!$C$15, $D$11, 100%, $F$11)</f>
        <v>13.578799999999999</v>
      </c>
      <c r="I530" s="8">
        <f>12.501 * CHOOSE(CONTROL!$C$15, $D$11, 100%, $F$11)</f>
        <v>12.500999999999999</v>
      </c>
      <c r="J530" s="4">
        <f>12.448 * CHOOSE(CONTROL!$C$15, $D$11, 100%, $F$11)</f>
        <v>12.448</v>
      </c>
      <c r="K530" s="4"/>
      <c r="L530" s="9">
        <v>28.921800000000001</v>
      </c>
      <c r="M530" s="9">
        <v>12.063700000000001</v>
      </c>
      <c r="N530" s="9">
        <v>4.9444999999999997</v>
      </c>
      <c r="O530" s="9">
        <v>0.37459999999999999</v>
      </c>
      <c r="P530" s="9">
        <v>1.2192000000000001</v>
      </c>
      <c r="Q530" s="9">
        <v>19.688099999999999</v>
      </c>
      <c r="R530" s="9"/>
      <c r="S530" s="11"/>
    </row>
    <row r="531" spans="1:19" ht="15.75">
      <c r="A531" s="13">
        <v>58044</v>
      </c>
      <c r="B531" s="8">
        <f>14.0159 * CHOOSE(CONTROL!$C$15, $D$11, 100%, $F$11)</f>
        <v>14.0159</v>
      </c>
      <c r="C531" s="8">
        <f>14.0263 * CHOOSE(CONTROL!$C$15, $D$11, 100%, $F$11)</f>
        <v>14.026300000000001</v>
      </c>
      <c r="D531" s="8">
        <f>14.0074 * CHOOSE( CONTROL!$C$15, $D$11, 100%, $F$11)</f>
        <v>14.007400000000001</v>
      </c>
      <c r="E531" s="12">
        <f>14.0132 * CHOOSE( CONTROL!$C$15, $D$11, 100%, $F$11)</f>
        <v>14.013199999999999</v>
      </c>
      <c r="F531" s="4">
        <f>15.0127 * CHOOSE(CONTROL!$C$15, $D$11, 100%, $F$11)</f>
        <v>15.012700000000001</v>
      </c>
      <c r="G531" s="8">
        <f>13.6718 * CHOOSE( CONTROL!$C$15, $D$11, 100%, $F$11)</f>
        <v>13.671799999999999</v>
      </c>
      <c r="H531" s="4">
        <f>14.5577 * CHOOSE(CONTROL!$C$15, $D$11, 100%, $F$11)</f>
        <v>14.557700000000001</v>
      </c>
      <c r="I531" s="8">
        <f>13.5253 * CHOOSE(CONTROL!$C$15, $D$11, 100%, $F$11)</f>
        <v>13.5253</v>
      </c>
      <c r="J531" s="4">
        <f>13.4253 * CHOOSE(CONTROL!$C$15, $D$11, 100%, $F$11)</f>
        <v>13.4253</v>
      </c>
      <c r="K531" s="4"/>
      <c r="L531" s="9">
        <v>26.515499999999999</v>
      </c>
      <c r="M531" s="9">
        <v>11.6745</v>
      </c>
      <c r="N531" s="9">
        <v>4.7850000000000001</v>
      </c>
      <c r="O531" s="9">
        <v>0.36249999999999999</v>
      </c>
      <c r="P531" s="9">
        <v>1.2522</v>
      </c>
      <c r="Q531" s="9">
        <v>19.053000000000001</v>
      </c>
      <c r="R531" s="9"/>
      <c r="S531" s="11"/>
    </row>
    <row r="532" spans="1:19" ht="15.75">
      <c r="A532" s="13">
        <v>58075</v>
      </c>
      <c r="B532" s="8">
        <f>13.9904 * CHOOSE(CONTROL!$C$15, $D$11, 100%, $F$11)</f>
        <v>13.990399999999999</v>
      </c>
      <c r="C532" s="8">
        <f>14.0008 * CHOOSE(CONTROL!$C$15, $D$11, 100%, $F$11)</f>
        <v>14.0008</v>
      </c>
      <c r="D532" s="8">
        <f>13.9845 * CHOOSE( CONTROL!$C$15, $D$11, 100%, $F$11)</f>
        <v>13.984500000000001</v>
      </c>
      <c r="E532" s="12">
        <f>13.9894 * CHOOSE( CONTROL!$C$15, $D$11, 100%, $F$11)</f>
        <v>13.9894</v>
      </c>
      <c r="F532" s="4">
        <f>14.9872 * CHOOSE(CONTROL!$C$15, $D$11, 100%, $F$11)</f>
        <v>14.9872</v>
      </c>
      <c r="G532" s="8">
        <f>13.649 * CHOOSE( CONTROL!$C$15, $D$11, 100%, $F$11)</f>
        <v>13.648999999999999</v>
      </c>
      <c r="H532" s="4">
        <f>14.5329 * CHOOSE(CONTROL!$C$15, $D$11, 100%, $F$11)</f>
        <v>14.5329</v>
      </c>
      <c r="I532" s="8">
        <f>13.5097 * CHOOSE(CONTROL!$C$15, $D$11, 100%, $F$11)</f>
        <v>13.5097</v>
      </c>
      <c r="J532" s="4">
        <f>13.4009 * CHOOSE(CONTROL!$C$15, $D$11, 100%, $F$11)</f>
        <v>13.4009</v>
      </c>
      <c r="K532" s="4"/>
      <c r="L532" s="9">
        <v>27.3993</v>
      </c>
      <c r="M532" s="9">
        <v>12.063700000000001</v>
      </c>
      <c r="N532" s="9">
        <v>4.9444999999999997</v>
      </c>
      <c r="O532" s="9">
        <v>0.37459999999999999</v>
      </c>
      <c r="P532" s="9">
        <v>1.2939000000000001</v>
      </c>
      <c r="Q532" s="9">
        <v>19.688099999999999</v>
      </c>
      <c r="R532" s="9"/>
      <c r="S532" s="11"/>
    </row>
    <row r="533" spans="1:19" ht="15.75">
      <c r="A533" s="13">
        <v>58106</v>
      </c>
      <c r="B533" s="8">
        <f>14.5249 * CHOOSE(CONTROL!$C$15, $D$11, 100%, $F$11)</f>
        <v>14.524900000000001</v>
      </c>
      <c r="C533" s="8">
        <f>14.5354 * CHOOSE(CONTROL!$C$15, $D$11, 100%, $F$11)</f>
        <v>14.535399999999999</v>
      </c>
      <c r="D533" s="8">
        <f>14.5339 * CHOOSE( CONTROL!$C$15, $D$11, 100%, $F$11)</f>
        <v>14.533899999999999</v>
      </c>
      <c r="E533" s="12">
        <f>14.5333 * CHOOSE( CONTROL!$C$15, $D$11, 100%, $F$11)</f>
        <v>14.533300000000001</v>
      </c>
      <c r="F533" s="4">
        <f>15.5478 * CHOOSE(CONTROL!$C$15, $D$11, 100%, $F$11)</f>
        <v>15.547800000000001</v>
      </c>
      <c r="G533" s="8">
        <f>14.1868 * CHOOSE( CONTROL!$C$15, $D$11, 100%, $F$11)</f>
        <v>14.1868</v>
      </c>
      <c r="H533" s="4">
        <f>15.0793 * CHOOSE(CONTROL!$C$15, $D$11, 100%, $F$11)</f>
        <v>15.0793</v>
      </c>
      <c r="I533" s="8">
        <f>14.0286 * CHOOSE(CONTROL!$C$15, $D$11, 100%, $F$11)</f>
        <v>14.028600000000001</v>
      </c>
      <c r="J533" s="4">
        <f>13.913 * CHOOSE(CONTROL!$C$15, $D$11, 100%, $F$11)</f>
        <v>13.913</v>
      </c>
      <c r="K533" s="4"/>
      <c r="L533" s="9">
        <v>27.3993</v>
      </c>
      <c r="M533" s="9">
        <v>12.063700000000001</v>
      </c>
      <c r="N533" s="9">
        <v>4.9444999999999997</v>
      </c>
      <c r="O533" s="9">
        <v>0.37459999999999999</v>
      </c>
      <c r="P533" s="9">
        <v>1.2939000000000001</v>
      </c>
      <c r="Q533" s="9">
        <v>19.688099999999999</v>
      </c>
      <c r="R533" s="9"/>
      <c r="S533" s="11"/>
    </row>
    <row r="534" spans="1:19" ht="15.75">
      <c r="A534" s="13">
        <v>58134</v>
      </c>
      <c r="B534" s="8">
        <f>13.5862 * CHOOSE(CONTROL!$C$15, $D$11, 100%, $F$11)</f>
        <v>13.5862</v>
      </c>
      <c r="C534" s="8">
        <f>13.5967 * CHOOSE(CONTROL!$C$15, $D$11, 100%, $F$11)</f>
        <v>13.5967</v>
      </c>
      <c r="D534" s="8">
        <f>13.5975 * CHOOSE( CONTROL!$C$15, $D$11, 100%, $F$11)</f>
        <v>13.5975</v>
      </c>
      <c r="E534" s="12">
        <f>13.5961 * CHOOSE( CONTROL!$C$15, $D$11, 100%, $F$11)</f>
        <v>13.5961</v>
      </c>
      <c r="F534" s="4">
        <f>14.6013 * CHOOSE(CONTROL!$C$15, $D$11, 100%, $F$11)</f>
        <v>14.6013</v>
      </c>
      <c r="G534" s="8">
        <f>13.2716 * CHOOSE( CONTROL!$C$15, $D$11, 100%, $F$11)</f>
        <v>13.271599999999999</v>
      </c>
      <c r="H534" s="4">
        <f>14.1567 * CHOOSE(CONTROL!$C$15, $D$11, 100%, $F$11)</f>
        <v>14.156700000000001</v>
      </c>
      <c r="I534" s="8">
        <f>13.1177 * CHOOSE(CONTROL!$C$15, $D$11, 100%, $F$11)</f>
        <v>13.117699999999999</v>
      </c>
      <c r="J534" s="4">
        <f>13.0136 * CHOOSE(CONTROL!$C$15, $D$11, 100%, $F$11)</f>
        <v>13.0136</v>
      </c>
      <c r="K534" s="4"/>
      <c r="L534" s="9">
        <v>24.747800000000002</v>
      </c>
      <c r="M534" s="9">
        <v>10.8962</v>
      </c>
      <c r="N534" s="9">
        <v>4.4660000000000002</v>
      </c>
      <c r="O534" s="9">
        <v>0.33829999999999999</v>
      </c>
      <c r="P534" s="9">
        <v>1.1687000000000001</v>
      </c>
      <c r="Q534" s="9">
        <v>17.782800000000002</v>
      </c>
      <c r="R534" s="9"/>
      <c r="S534" s="11"/>
    </row>
    <row r="535" spans="1:19" ht="15.75">
      <c r="A535" s="13">
        <v>58165</v>
      </c>
      <c r="B535" s="8">
        <f>13.2971 * CHOOSE(CONTROL!$C$15, $D$11, 100%, $F$11)</f>
        <v>13.2971</v>
      </c>
      <c r="C535" s="8">
        <f>13.3076 * CHOOSE(CONTROL!$C$15, $D$11, 100%, $F$11)</f>
        <v>13.307600000000001</v>
      </c>
      <c r="D535" s="8">
        <f>13.288 * CHOOSE( CONTROL!$C$15, $D$11, 100%, $F$11)</f>
        <v>13.288</v>
      </c>
      <c r="E535" s="12">
        <f>13.294 * CHOOSE( CONTROL!$C$15, $D$11, 100%, $F$11)</f>
        <v>13.294</v>
      </c>
      <c r="F535" s="4">
        <f>14.296 * CHOOSE(CONTROL!$C$15, $D$11, 100%, $F$11)</f>
        <v>14.295999999999999</v>
      </c>
      <c r="G535" s="8">
        <f>12.9691 * CHOOSE( CONTROL!$C$15, $D$11, 100%, $F$11)</f>
        <v>12.969099999999999</v>
      </c>
      <c r="H535" s="4">
        <f>13.8591 * CHOOSE(CONTROL!$C$15, $D$11, 100%, $F$11)</f>
        <v>13.8591</v>
      </c>
      <c r="I535" s="8">
        <f>12.8011 * CHOOSE(CONTROL!$C$15, $D$11, 100%, $F$11)</f>
        <v>12.8011</v>
      </c>
      <c r="J535" s="4">
        <f>12.7365 * CHOOSE(CONTROL!$C$15, $D$11, 100%, $F$11)</f>
        <v>12.736499999999999</v>
      </c>
      <c r="K535" s="4"/>
      <c r="L535" s="9">
        <v>27.3993</v>
      </c>
      <c r="M535" s="9">
        <v>12.063700000000001</v>
      </c>
      <c r="N535" s="9">
        <v>4.9444999999999997</v>
      </c>
      <c r="O535" s="9">
        <v>0.37459999999999999</v>
      </c>
      <c r="P535" s="9">
        <v>1.2939000000000001</v>
      </c>
      <c r="Q535" s="9">
        <v>19.688099999999999</v>
      </c>
      <c r="R535" s="9"/>
      <c r="S535" s="11"/>
    </row>
    <row r="536" spans="1:19" ht="15.75">
      <c r="A536" s="13">
        <v>58195</v>
      </c>
      <c r="B536" s="8">
        <f>13.4991 * CHOOSE(CONTROL!$C$15, $D$11, 100%, $F$11)</f>
        <v>13.4991</v>
      </c>
      <c r="C536" s="8">
        <f>13.5096 * CHOOSE(CONTROL!$C$15, $D$11, 100%, $F$11)</f>
        <v>13.509600000000001</v>
      </c>
      <c r="D536" s="8">
        <f>13.5134 * CHOOSE( CONTROL!$C$15, $D$11, 100%, $F$11)</f>
        <v>13.513400000000001</v>
      </c>
      <c r="E536" s="12">
        <f>13.5109 * CHOOSE( CONTROL!$C$15, $D$11, 100%, $F$11)</f>
        <v>13.510899999999999</v>
      </c>
      <c r="F536" s="4">
        <f>14.5064 * CHOOSE(CONTROL!$C$15, $D$11, 100%, $F$11)</f>
        <v>14.506399999999999</v>
      </c>
      <c r="G536" s="8">
        <f>13.154 * CHOOSE( CONTROL!$C$15, $D$11, 100%, $F$11)</f>
        <v>13.154</v>
      </c>
      <c r="H536" s="4">
        <f>14.0642 * CHOOSE(CONTROL!$C$15, $D$11, 100%, $F$11)</f>
        <v>14.0642</v>
      </c>
      <c r="I536" s="8">
        <f>12.9848 * CHOOSE(CONTROL!$C$15, $D$11, 100%, $F$11)</f>
        <v>12.9848</v>
      </c>
      <c r="J536" s="4">
        <f>12.9301 * CHOOSE(CONTROL!$C$15, $D$11, 100%, $F$11)</f>
        <v>12.930099999999999</v>
      </c>
      <c r="K536" s="4"/>
      <c r="L536" s="9">
        <v>27.988800000000001</v>
      </c>
      <c r="M536" s="9">
        <v>11.6745</v>
      </c>
      <c r="N536" s="9">
        <v>4.7850000000000001</v>
      </c>
      <c r="O536" s="9">
        <v>0.36249999999999999</v>
      </c>
      <c r="P536" s="9">
        <v>1.1798</v>
      </c>
      <c r="Q536" s="9">
        <v>19.053000000000001</v>
      </c>
      <c r="R536" s="9"/>
      <c r="S536" s="11"/>
    </row>
    <row r="537" spans="1:19" ht="15.75">
      <c r="A537" s="13">
        <v>58226</v>
      </c>
      <c r="B537" s="8">
        <f>CHOOSE( CONTROL!$C$32, 13.8636, 13.8587) * CHOOSE(CONTROL!$C$15, $D$11, 100%, $F$11)</f>
        <v>13.8636</v>
      </c>
      <c r="C537" s="8">
        <f>CHOOSE( CONTROL!$C$32, 13.8741, 13.8691) * CHOOSE(CONTROL!$C$15, $D$11, 100%, $F$11)</f>
        <v>13.8741</v>
      </c>
      <c r="D537" s="8">
        <f>CHOOSE( CONTROL!$C$32, 13.8527, 13.8478) * CHOOSE( CONTROL!$C$15, $D$11, 100%, $F$11)</f>
        <v>13.8527</v>
      </c>
      <c r="E537" s="12">
        <f>CHOOSE( CONTROL!$C$32, 13.8589, 13.8539) * CHOOSE( CONTROL!$C$15, $D$11, 100%, $F$11)</f>
        <v>13.8589</v>
      </c>
      <c r="F537" s="4">
        <f>CHOOSE( CONTROL!$C$32, 14.8385, 14.8336) * CHOOSE(CONTROL!$C$15, $D$11, 100%, $F$11)</f>
        <v>14.8385</v>
      </c>
      <c r="G537" s="8">
        <f>CHOOSE( CONTROL!$C$32, 13.4907, 13.4859) * CHOOSE( CONTROL!$C$15, $D$11, 100%, $F$11)</f>
        <v>13.4907</v>
      </c>
      <c r="H537" s="4">
        <f>CHOOSE( CONTROL!$C$32, 14.3879, 14.3831) * CHOOSE(CONTROL!$C$15, $D$11, 100%, $F$11)</f>
        <v>14.3879</v>
      </c>
      <c r="I537" s="8">
        <f>CHOOSE( CONTROL!$C$32, 13.3127, 13.308) * CHOOSE(CONTROL!$C$15, $D$11, 100%, $F$11)</f>
        <v>13.3127</v>
      </c>
      <c r="J537" s="4">
        <f>CHOOSE( CONTROL!$C$32, 13.2794, 13.2747) * CHOOSE(CONTROL!$C$15, $D$11, 100%, $F$11)</f>
        <v>13.279400000000001</v>
      </c>
      <c r="K537" s="4"/>
      <c r="L537" s="9">
        <v>29.520499999999998</v>
      </c>
      <c r="M537" s="9">
        <v>12.063700000000001</v>
      </c>
      <c r="N537" s="9">
        <v>4.9444999999999997</v>
      </c>
      <c r="O537" s="9">
        <v>0.37459999999999999</v>
      </c>
      <c r="P537" s="9">
        <v>1.2192000000000001</v>
      </c>
      <c r="Q537" s="9">
        <v>19.688099999999999</v>
      </c>
      <c r="R537" s="9"/>
      <c r="S537" s="11"/>
    </row>
    <row r="538" spans="1:19" ht="15.75">
      <c r="A538" s="13">
        <v>58256</v>
      </c>
      <c r="B538" s="8">
        <f>CHOOSE( CONTROL!$C$32, 13.6409, 13.636) * CHOOSE(CONTROL!$C$15, $D$11, 100%, $F$11)</f>
        <v>13.6409</v>
      </c>
      <c r="C538" s="8">
        <f>CHOOSE( CONTROL!$C$32, 13.6513, 13.6464) * CHOOSE(CONTROL!$C$15, $D$11, 100%, $F$11)</f>
        <v>13.651300000000001</v>
      </c>
      <c r="D538" s="8">
        <f>CHOOSE( CONTROL!$C$32, 13.6434, 13.6385) * CHOOSE( CONTROL!$C$15, $D$11, 100%, $F$11)</f>
        <v>13.6434</v>
      </c>
      <c r="E538" s="12">
        <f>CHOOSE( CONTROL!$C$32, 13.6447, 13.6398) * CHOOSE( CONTROL!$C$15, $D$11, 100%, $F$11)</f>
        <v>13.6447</v>
      </c>
      <c r="F538" s="4">
        <f>CHOOSE( CONTROL!$C$32, 14.6351, 14.6302) * CHOOSE(CONTROL!$C$15, $D$11, 100%, $F$11)</f>
        <v>14.6351</v>
      </c>
      <c r="G538" s="8">
        <f>CHOOSE( CONTROL!$C$32, 13.284, 13.2792) * CHOOSE( CONTROL!$C$15, $D$11, 100%, $F$11)</f>
        <v>13.284000000000001</v>
      </c>
      <c r="H538" s="4">
        <f>CHOOSE( CONTROL!$C$32, 14.1896, 14.1848) * CHOOSE(CONTROL!$C$15, $D$11, 100%, $F$11)</f>
        <v>14.1896</v>
      </c>
      <c r="I538" s="8">
        <f>CHOOSE( CONTROL!$C$32, 13.117, 13.1123) * CHOOSE(CONTROL!$C$15, $D$11, 100%, $F$11)</f>
        <v>13.117000000000001</v>
      </c>
      <c r="J538" s="4">
        <f>CHOOSE( CONTROL!$C$32, 13.066, 13.0612) * CHOOSE(CONTROL!$C$15, $D$11, 100%, $F$11)</f>
        <v>13.066000000000001</v>
      </c>
      <c r="K538" s="4"/>
      <c r="L538" s="9">
        <v>28.568200000000001</v>
      </c>
      <c r="M538" s="9">
        <v>11.6745</v>
      </c>
      <c r="N538" s="9">
        <v>4.7850000000000001</v>
      </c>
      <c r="O538" s="9">
        <v>0.36249999999999999</v>
      </c>
      <c r="P538" s="9">
        <v>1.1798</v>
      </c>
      <c r="Q538" s="9">
        <v>19.053000000000001</v>
      </c>
      <c r="R538" s="9"/>
      <c r="S538" s="11"/>
    </row>
    <row r="539" spans="1:19" ht="15.75">
      <c r="A539" s="13">
        <v>58287</v>
      </c>
      <c r="B539" s="8">
        <f>CHOOSE( CONTROL!$C$32, 14.2275, 14.2225) * CHOOSE(CONTROL!$C$15, $D$11, 100%, $F$11)</f>
        <v>14.227499999999999</v>
      </c>
      <c r="C539" s="8">
        <f>CHOOSE( CONTROL!$C$32, 14.2379, 14.233) * CHOOSE(CONTROL!$C$15, $D$11, 100%, $F$11)</f>
        <v>14.2379</v>
      </c>
      <c r="D539" s="8">
        <f>CHOOSE( CONTROL!$C$32, 14.2369, 14.232) * CHOOSE( CONTROL!$C$15, $D$11, 100%, $F$11)</f>
        <v>14.2369</v>
      </c>
      <c r="E539" s="12">
        <f>CHOOSE( CONTROL!$C$32, 14.2357, 14.2308) * CHOOSE( CONTROL!$C$15, $D$11, 100%, $F$11)</f>
        <v>14.2357</v>
      </c>
      <c r="F539" s="4">
        <f>CHOOSE( CONTROL!$C$32, 15.2321, 15.2272) * CHOOSE(CONTROL!$C$15, $D$11, 100%, $F$11)</f>
        <v>15.232100000000001</v>
      </c>
      <c r="G539" s="8">
        <f>CHOOSE( CONTROL!$C$32, 13.8599, 13.8551) * CHOOSE( CONTROL!$C$15, $D$11, 100%, $F$11)</f>
        <v>13.8599</v>
      </c>
      <c r="H539" s="4">
        <f>CHOOSE( CONTROL!$C$32, 14.7716, 14.7668) * CHOOSE(CONTROL!$C$15, $D$11, 100%, $F$11)</f>
        <v>14.771599999999999</v>
      </c>
      <c r="I539" s="8">
        <f>CHOOSE( CONTROL!$C$32, 13.687, 13.6822) * CHOOSE(CONTROL!$C$15, $D$11, 100%, $F$11)</f>
        <v>13.686999999999999</v>
      </c>
      <c r="J539" s="4">
        <f>CHOOSE( CONTROL!$C$32, 13.628, 13.6233) * CHOOSE(CONTROL!$C$15, $D$11, 100%, $F$11)</f>
        <v>13.628</v>
      </c>
      <c r="K539" s="4"/>
      <c r="L539" s="9">
        <v>29.520499999999998</v>
      </c>
      <c r="M539" s="9">
        <v>12.063700000000001</v>
      </c>
      <c r="N539" s="9">
        <v>4.9444999999999997</v>
      </c>
      <c r="O539" s="9">
        <v>0.37459999999999999</v>
      </c>
      <c r="P539" s="9">
        <v>1.2192000000000001</v>
      </c>
      <c r="Q539" s="9">
        <v>19.688099999999999</v>
      </c>
      <c r="R539" s="9"/>
      <c r="S539" s="11"/>
    </row>
    <row r="540" spans="1:19" ht="15.75">
      <c r="A540" s="13">
        <v>58318</v>
      </c>
      <c r="B540" s="8">
        <f>CHOOSE( CONTROL!$C$32, 13.13, 13.125) * CHOOSE(CONTROL!$C$15, $D$11, 100%, $F$11)</f>
        <v>13.13</v>
      </c>
      <c r="C540" s="8">
        <f>CHOOSE( CONTROL!$C$32, 13.1404, 13.1355) * CHOOSE(CONTROL!$C$15, $D$11, 100%, $F$11)</f>
        <v>13.1404</v>
      </c>
      <c r="D540" s="8">
        <f>CHOOSE( CONTROL!$C$32, 13.1406, 13.1356) * CHOOSE( CONTROL!$C$15, $D$11, 100%, $F$11)</f>
        <v>13.140599999999999</v>
      </c>
      <c r="E540" s="12">
        <f>CHOOSE( CONTROL!$C$32, 13.1389, 13.134) * CHOOSE( CONTROL!$C$15, $D$11, 100%, $F$11)</f>
        <v>13.1389</v>
      </c>
      <c r="F540" s="4">
        <f>CHOOSE( CONTROL!$C$32, 14.1424, 14.1375) * CHOOSE(CONTROL!$C$15, $D$11, 100%, $F$11)</f>
        <v>14.1424</v>
      </c>
      <c r="G540" s="8">
        <f>CHOOSE( CONTROL!$C$32, 12.7852, 12.7804) * CHOOSE( CONTROL!$C$15, $D$11, 100%, $F$11)</f>
        <v>12.7852</v>
      </c>
      <c r="H540" s="4">
        <f>CHOOSE( CONTROL!$C$32, 13.7094, 13.7046) * CHOOSE(CONTROL!$C$15, $D$11, 100%, $F$11)</f>
        <v>13.7094</v>
      </c>
      <c r="I540" s="8">
        <f>CHOOSE( CONTROL!$C$32, 12.6258, 12.6211) * CHOOSE(CONTROL!$C$15, $D$11, 100%, $F$11)</f>
        <v>12.6258</v>
      </c>
      <c r="J540" s="4">
        <f>CHOOSE( CONTROL!$C$32, 12.5764, 12.5716) * CHOOSE(CONTROL!$C$15, $D$11, 100%, $F$11)</f>
        <v>12.5764</v>
      </c>
      <c r="K540" s="4"/>
      <c r="L540" s="9">
        <v>29.520499999999998</v>
      </c>
      <c r="M540" s="9">
        <v>12.063700000000001</v>
      </c>
      <c r="N540" s="9">
        <v>4.9444999999999997</v>
      </c>
      <c r="O540" s="9">
        <v>0.37459999999999999</v>
      </c>
      <c r="P540" s="9">
        <v>1.2192000000000001</v>
      </c>
      <c r="Q540" s="9">
        <v>19.688099999999999</v>
      </c>
      <c r="R540" s="9"/>
      <c r="S540" s="11"/>
    </row>
    <row r="541" spans="1:19" ht="15.75">
      <c r="A541" s="13">
        <v>58348</v>
      </c>
      <c r="B541" s="8">
        <f>CHOOSE( CONTROL!$C$32, 12.8551, 12.8502) * CHOOSE(CONTROL!$C$15, $D$11, 100%, $F$11)</f>
        <v>12.8551</v>
      </c>
      <c r="C541" s="8">
        <f>CHOOSE( CONTROL!$C$32, 12.8656, 12.8606) * CHOOSE(CONTROL!$C$15, $D$11, 100%, $F$11)</f>
        <v>12.865600000000001</v>
      </c>
      <c r="D541" s="8">
        <f>CHOOSE( CONTROL!$C$32, 12.866, 12.8611) * CHOOSE( CONTROL!$C$15, $D$11, 100%, $F$11)</f>
        <v>12.866</v>
      </c>
      <c r="E541" s="12">
        <f>CHOOSE( CONTROL!$C$32, 12.8643, 12.8593) * CHOOSE( CONTROL!$C$15, $D$11, 100%, $F$11)</f>
        <v>12.8643</v>
      </c>
      <c r="F541" s="4">
        <f>CHOOSE( CONTROL!$C$32, 13.8676, 13.8627) * CHOOSE(CONTROL!$C$15, $D$11, 100%, $F$11)</f>
        <v>13.867599999999999</v>
      </c>
      <c r="G541" s="8">
        <f>CHOOSE( CONTROL!$C$32, 12.5178, 12.5129) * CHOOSE( CONTROL!$C$15, $D$11, 100%, $F$11)</f>
        <v>12.517799999999999</v>
      </c>
      <c r="H541" s="4">
        <f>CHOOSE( CONTROL!$C$32, 13.4415, 13.4367) * CHOOSE(CONTROL!$C$15, $D$11, 100%, $F$11)</f>
        <v>13.4415</v>
      </c>
      <c r="I541" s="8">
        <f>CHOOSE( CONTROL!$C$32, 12.3637, 12.359) * CHOOSE(CONTROL!$C$15, $D$11, 100%, $F$11)</f>
        <v>12.3637</v>
      </c>
      <c r="J541" s="4">
        <f>CHOOSE( CONTROL!$C$32, 12.313, 12.3083) * CHOOSE(CONTROL!$C$15, $D$11, 100%, $F$11)</f>
        <v>12.313000000000001</v>
      </c>
      <c r="K541" s="4"/>
      <c r="L541" s="9">
        <v>28.568200000000001</v>
      </c>
      <c r="M541" s="9">
        <v>11.6745</v>
      </c>
      <c r="N541" s="9">
        <v>4.7850000000000001</v>
      </c>
      <c r="O541" s="9">
        <v>0.36249999999999999</v>
      </c>
      <c r="P541" s="9">
        <v>1.1798</v>
      </c>
      <c r="Q541" s="9">
        <v>19.053000000000001</v>
      </c>
      <c r="R541" s="9"/>
      <c r="S541" s="11"/>
    </row>
    <row r="542" spans="1:19" ht="15.75">
      <c r="A542" s="13">
        <v>58379</v>
      </c>
      <c r="B542" s="8">
        <f>13.4208 * CHOOSE(CONTROL!$C$15, $D$11, 100%, $F$11)</f>
        <v>13.4208</v>
      </c>
      <c r="C542" s="8">
        <f>13.4313 * CHOOSE(CONTROL!$C$15, $D$11, 100%, $F$11)</f>
        <v>13.4313</v>
      </c>
      <c r="D542" s="8">
        <f>13.4329 * CHOOSE( CONTROL!$C$15, $D$11, 100%, $F$11)</f>
        <v>13.4329</v>
      </c>
      <c r="E542" s="12">
        <f>13.4313 * CHOOSE( CONTROL!$C$15, $D$11, 100%, $F$11)</f>
        <v>13.4313</v>
      </c>
      <c r="F542" s="4">
        <f>14.4333 * CHOOSE(CONTROL!$C$15, $D$11, 100%, $F$11)</f>
        <v>14.433299999999999</v>
      </c>
      <c r="G542" s="8">
        <f>13.0688 * CHOOSE( CONTROL!$C$15, $D$11, 100%, $F$11)</f>
        <v>13.0688</v>
      </c>
      <c r="H542" s="4">
        <f>13.9929 * CHOOSE(CONTROL!$C$15, $D$11, 100%, $F$11)</f>
        <v>13.992900000000001</v>
      </c>
      <c r="I542" s="8">
        <f>12.9083 * CHOOSE(CONTROL!$C$15, $D$11, 100%, $F$11)</f>
        <v>12.908300000000001</v>
      </c>
      <c r="J542" s="4">
        <f>12.8551 * CHOOSE(CONTROL!$C$15, $D$11, 100%, $F$11)</f>
        <v>12.8551</v>
      </c>
      <c r="K542" s="4"/>
      <c r="L542" s="9">
        <v>28.921800000000001</v>
      </c>
      <c r="M542" s="9">
        <v>12.063700000000001</v>
      </c>
      <c r="N542" s="9">
        <v>4.9444999999999997</v>
      </c>
      <c r="O542" s="9">
        <v>0.37459999999999999</v>
      </c>
      <c r="P542" s="9">
        <v>1.2192000000000001</v>
      </c>
      <c r="Q542" s="9">
        <v>19.688099999999999</v>
      </c>
      <c r="R542" s="9"/>
      <c r="S542" s="11"/>
    </row>
    <row r="543" spans="1:19" ht="15.75">
      <c r="A543" s="13">
        <v>58409</v>
      </c>
      <c r="B543" s="8">
        <f>14.4741 * CHOOSE(CONTROL!$C$15, $D$11, 100%, $F$11)</f>
        <v>14.4741</v>
      </c>
      <c r="C543" s="8">
        <f>14.4845 * CHOOSE(CONTROL!$C$15, $D$11, 100%, $F$11)</f>
        <v>14.484500000000001</v>
      </c>
      <c r="D543" s="8">
        <f>14.4656 * CHOOSE( CONTROL!$C$15, $D$11, 100%, $F$11)</f>
        <v>14.4656</v>
      </c>
      <c r="E543" s="12">
        <f>14.4714 * CHOOSE( CONTROL!$C$15, $D$11, 100%, $F$11)</f>
        <v>14.471399999999999</v>
      </c>
      <c r="F543" s="4">
        <f>15.4709 * CHOOSE(CONTROL!$C$15, $D$11, 100%, $F$11)</f>
        <v>15.4709</v>
      </c>
      <c r="G543" s="8">
        <f>14.1185 * CHOOSE( CONTROL!$C$15, $D$11, 100%, $F$11)</f>
        <v>14.118499999999999</v>
      </c>
      <c r="H543" s="4">
        <f>15.0044 * CHOOSE(CONTROL!$C$15, $D$11, 100%, $F$11)</f>
        <v>15.0044</v>
      </c>
      <c r="I543" s="8">
        <f>13.9646 * CHOOSE(CONTROL!$C$15, $D$11, 100%, $F$11)</f>
        <v>13.964600000000001</v>
      </c>
      <c r="J543" s="4">
        <f>13.8643 * CHOOSE(CONTROL!$C$15, $D$11, 100%, $F$11)</f>
        <v>13.8643</v>
      </c>
      <c r="K543" s="4"/>
      <c r="L543" s="9">
        <v>26.515499999999999</v>
      </c>
      <c r="M543" s="9">
        <v>11.6745</v>
      </c>
      <c r="N543" s="9">
        <v>4.7850000000000001</v>
      </c>
      <c r="O543" s="9">
        <v>0.36249999999999999</v>
      </c>
      <c r="P543" s="9">
        <v>1.2522</v>
      </c>
      <c r="Q543" s="9">
        <v>19.053000000000001</v>
      </c>
      <c r="R543" s="9"/>
      <c r="S543" s="11"/>
    </row>
    <row r="544" spans="1:19" ht="15.75">
      <c r="A544" s="13">
        <v>58440</v>
      </c>
      <c r="B544" s="8">
        <f>14.4478 * CHOOSE(CONTROL!$C$15, $D$11, 100%, $F$11)</f>
        <v>14.447800000000001</v>
      </c>
      <c r="C544" s="8">
        <f>14.4582 * CHOOSE(CONTROL!$C$15, $D$11, 100%, $F$11)</f>
        <v>14.4582</v>
      </c>
      <c r="D544" s="8">
        <f>14.4418 * CHOOSE( CONTROL!$C$15, $D$11, 100%, $F$11)</f>
        <v>14.441800000000001</v>
      </c>
      <c r="E544" s="12">
        <f>14.4467 * CHOOSE( CONTROL!$C$15, $D$11, 100%, $F$11)</f>
        <v>14.4467</v>
      </c>
      <c r="F544" s="4">
        <f>15.4446 * CHOOSE(CONTROL!$C$15, $D$11, 100%, $F$11)</f>
        <v>15.444599999999999</v>
      </c>
      <c r="G544" s="8">
        <f>14.0948 * CHOOSE( CONTROL!$C$15, $D$11, 100%, $F$11)</f>
        <v>14.094799999999999</v>
      </c>
      <c r="H544" s="4">
        <f>14.9787 * CHOOSE(CONTROL!$C$15, $D$11, 100%, $F$11)</f>
        <v>14.9787</v>
      </c>
      <c r="I544" s="8">
        <f>13.9482 * CHOOSE(CONTROL!$C$15, $D$11, 100%, $F$11)</f>
        <v>13.9482</v>
      </c>
      <c r="J544" s="4">
        <f>13.8391 * CHOOSE(CONTROL!$C$15, $D$11, 100%, $F$11)</f>
        <v>13.8391</v>
      </c>
      <c r="K544" s="4"/>
      <c r="L544" s="9">
        <v>27.3993</v>
      </c>
      <c r="M544" s="9">
        <v>12.063700000000001</v>
      </c>
      <c r="N544" s="9">
        <v>4.9444999999999997</v>
      </c>
      <c r="O544" s="9">
        <v>0.37459999999999999</v>
      </c>
      <c r="P544" s="9">
        <v>1.2939000000000001</v>
      </c>
      <c r="Q544" s="9">
        <v>19.688099999999999</v>
      </c>
      <c r="R544" s="9"/>
      <c r="S544" s="11"/>
    </row>
    <row r="545" spans="1:19" ht="15.75">
      <c r="A545" s="13">
        <v>58471</v>
      </c>
      <c r="B545" s="8">
        <f>14.9998 * CHOOSE(CONTROL!$C$15, $D$11, 100%, $F$11)</f>
        <v>14.9998</v>
      </c>
      <c r="C545" s="8">
        <f>15.0102 * CHOOSE(CONTROL!$C$15, $D$11, 100%, $F$11)</f>
        <v>15.010199999999999</v>
      </c>
      <c r="D545" s="8">
        <f>15.0088 * CHOOSE( CONTROL!$C$15, $D$11, 100%, $F$11)</f>
        <v>15.008800000000001</v>
      </c>
      <c r="E545" s="12">
        <f>15.0082 * CHOOSE( CONTROL!$C$15, $D$11, 100%, $F$11)</f>
        <v>15.0082</v>
      </c>
      <c r="F545" s="4">
        <f>16.0227 * CHOOSE(CONTROL!$C$15, $D$11, 100%, $F$11)</f>
        <v>16.0227</v>
      </c>
      <c r="G545" s="8">
        <f>14.6497 * CHOOSE( CONTROL!$C$15, $D$11, 100%, $F$11)</f>
        <v>14.649699999999999</v>
      </c>
      <c r="H545" s="4">
        <f>15.5422 * CHOOSE(CONTROL!$C$15, $D$11, 100%, $F$11)</f>
        <v>15.542199999999999</v>
      </c>
      <c r="I545" s="8">
        <f>14.4838 * CHOOSE(CONTROL!$C$15, $D$11, 100%, $F$11)</f>
        <v>14.4838</v>
      </c>
      <c r="J545" s="4">
        <f>14.368 * CHOOSE(CONTROL!$C$15, $D$11, 100%, $F$11)</f>
        <v>14.368</v>
      </c>
      <c r="K545" s="4"/>
      <c r="L545" s="9">
        <v>27.3993</v>
      </c>
      <c r="M545" s="9">
        <v>12.063700000000001</v>
      </c>
      <c r="N545" s="9">
        <v>4.9444999999999997</v>
      </c>
      <c r="O545" s="9">
        <v>0.37459999999999999</v>
      </c>
      <c r="P545" s="9">
        <v>1.2939000000000001</v>
      </c>
      <c r="Q545" s="9">
        <v>19.688099999999999</v>
      </c>
      <c r="R545" s="9"/>
      <c r="S545" s="11"/>
    </row>
    <row r="546" spans="1:19" ht="15.75">
      <c r="A546" s="13">
        <v>58499</v>
      </c>
      <c r="B546" s="8">
        <f>14.0304 * CHOOSE(CONTROL!$C$15, $D$11, 100%, $F$11)</f>
        <v>14.0304</v>
      </c>
      <c r="C546" s="8">
        <f>14.0408 * CHOOSE(CONTROL!$C$15, $D$11, 100%, $F$11)</f>
        <v>14.040800000000001</v>
      </c>
      <c r="D546" s="8">
        <f>14.0416 * CHOOSE( CONTROL!$C$15, $D$11, 100%, $F$11)</f>
        <v>14.041600000000001</v>
      </c>
      <c r="E546" s="12">
        <f>14.0402 * CHOOSE( CONTROL!$C$15, $D$11, 100%, $F$11)</f>
        <v>14.0402</v>
      </c>
      <c r="F546" s="4">
        <f>15.0455 * CHOOSE(CONTROL!$C$15, $D$11, 100%, $F$11)</f>
        <v>15.045500000000001</v>
      </c>
      <c r="G546" s="8">
        <f>13.7046 * CHOOSE( CONTROL!$C$15, $D$11, 100%, $F$11)</f>
        <v>13.704599999999999</v>
      </c>
      <c r="H546" s="4">
        <f>14.5896 * CHOOSE(CONTROL!$C$15, $D$11, 100%, $F$11)</f>
        <v>14.589600000000001</v>
      </c>
      <c r="I546" s="8">
        <f>13.5435 * CHOOSE(CONTROL!$C$15, $D$11, 100%, $F$11)</f>
        <v>13.5435</v>
      </c>
      <c r="J546" s="4">
        <f>13.4392 * CHOOSE(CONTROL!$C$15, $D$11, 100%, $F$11)</f>
        <v>13.4392</v>
      </c>
      <c r="K546" s="4"/>
      <c r="L546" s="9">
        <v>25.631599999999999</v>
      </c>
      <c r="M546" s="9">
        <v>11.285299999999999</v>
      </c>
      <c r="N546" s="9">
        <v>4.6254999999999997</v>
      </c>
      <c r="O546" s="9">
        <v>0.35039999999999999</v>
      </c>
      <c r="P546" s="9">
        <v>1.2104999999999999</v>
      </c>
      <c r="Q546" s="9">
        <v>18.417899999999999</v>
      </c>
      <c r="R546" s="9"/>
      <c r="S546" s="11"/>
    </row>
    <row r="547" spans="1:19" ht="15.75">
      <c r="A547" s="13">
        <v>58531</v>
      </c>
      <c r="B547" s="8">
        <f>13.7318 * CHOOSE(CONTROL!$C$15, $D$11, 100%, $F$11)</f>
        <v>13.7318</v>
      </c>
      <c r="C547" s="8">
        <f>13.7423 * CHOOSE(CONTROL!$C$15, $D$11, 100%, $F$11)</f>
        <v>13.7423</v>
      </c>
      <c r="D547" s="8">
        <f>13.7227 * CHOOSE( CONTROL!$C$15, $D$11, 100%, $F$11)</f>
        <v>13.7227</v>
      </c>
      <c r="E547" s="12">
        <f>13.7287 * CHOOSE( CONTROL!$C$15, $D$11, 100%, $F$11)</f>
        <v>13.7287</v>
      </c>
      <c r="F547" s="4">
        <f>14.7307 * CHOOSE(CONTROL!$C$15, $D$11, 100%, $F$11)</f>
        <v>14.730700000000001</v>
      </c>
      <c r="G547" s="8">
        <f>13.3929 * CHOOSE( CONTROL!$C$15, $D$11, 100%, $F$11)</f>
        <v>13.392899999999999</v>
      </c>
      <c r="H547" s="4">
        <f>14.2828 * CHOOSE(CONTROL!$C$15, $D$11, 100%, $F$11)</f>
        <v>14.2828</v>
      </c>
      <c r="I547" s="8">
        <f>13.2178 * CHOOSE(CONTROL!$C$15, $D$11, 100%, $F$11)</f>
        <v>13.2178</v>
      </c>
      <c r="J547" s="4">
        <f>13.1531 * CHOOSE(CONTROL!$C$15, $D$11, 100%, $F$11)</f>
        <v>13.1531</v>
      </c>
      <c r="K547" s="4"/>
      <c r="L547" s="9">
        <v>27.3993</v>
      </c>
      <c r="M547" s="9">
        <v>12.063700000000001</v>
      </c>
      <c r="N547" s="9">
        <v>4.9444999999999997</v>
      </c>
      <c r="O547" s="9">
        <v>0.37459999999999999</v>
      </c>
      <c r="P547" s="9">
        <v>1.2939000000000001</v>
      </c>
      <c r="Q547" s="9">
        <v>19.688099999999999</v>
      </c>
      <c r="R547" s="9"/>
      <c r="S547" s="11"/>
    </row>
    <row r="548" spans="1:19" ht="15.75">
      <c r="A548" s="13">
        <v>58561</v>
      </c>
      <c r="B548" s="8">
        <f>13.9405 * CHOOSE(CONTROL!$C$15, $D$11, 100%, $F$11)</f>
        <v>13.9405</v>
      </c>
      <c r="C548" s="8">
        <f>13.9509 * CHOOSE(CONTROL!$C$15, $D$11, 100%, $F$11)</f>
        <v>13.950900000000001</v>
      </c>
      <c r="D548" s="8">
        <f>13.9547 * CHOOSE( CONTROL!$C$15, $D$11, 100%, $F$11)</f>
        <v>13.954700000000001</v>
      </c>
      <c r="E548" s="12">
        <f>13.9523 * CHOOSE( CONTROL!$C$15, $D$11, 100%, $F$11)</f>
        <v>13.952299999999999</v>
      </c>
      <c r="F548" s="4">
        <f>14.9477 * CHOOSE(CONTROL!$C$15, $D$11, 100%, $F$11)</f>
        <v>14.947699999999999</v>
      </c>
      <c r="G548" s="8">
        <f>13.5842 * CHOOSE( CONTROL!$C$15, $D$11, 100%, $F$11)</f>
        <v>13.584199999999999</v>
      </c>
      <c r="H548" s="4">
        <f>14.4944 * CHOOSE(CONTROL!$C$15, $D$11, 100%, $F$11)</f>
        <v>14.494400000000001</v>
      </c>
      <c r="I548" s="8">
        <f>13.4079 * CHOOSE(CONTROL!$C$15, $D$11, 100%, $F$11)</f>
        <v>13.4079</v>
      </c>
      <c r="J548" s="4">
        <f>13.353 * CHOOSE(CONTROL!$C$15, $D$11, 100%, $F$11)</f>
        <v>13.353</v>
      </c>
      <c r="K548" s="4"/>
      <c r="L548" s="9">
        <v>27.988800000000001</v>
      </c>
      <c r="M548" s="9">
        <v>11.6745</v>
      </c>
      <c r="N548" s="9">
        <v>4.7850000000000001</v>
      </c>
      <c r="O548" s="9">
        <v>0.36249999999999999</v>
      </c>
      <c r="P548" s="9">
        <v>1.1798</v>
      </c>
      <c r="Q548" s="9">
        <v>19.053000000000001</v>
      </c>
      <c r="R548" s="9"/>
      <c r="S548" s="11"/>
    </row>
    <row r="549" spans="1:19" ht="15.75">
      <c r="A549" s="13">
        <v>58592</v>
      </c>
      <c r="B549" s="8">
        <f>CHOOSE( CONTROL!$C$32, 14.3167, 14.3118) * CHOOSE(CONTROL!$C$15, $D$11, 100%, $F$11)</f>
        <v>14.316700000000001</v>
      </c>
      <c r="C549" s="8">
        <f>CHOOSE( CONTROL!$C$32, 14.3271, 14.3222) * CHOOSE(CONTROL!$C$15, $D$11, 100%, $F$11)</f>
        <v>14.3271</v>
      </c>
      <c r="D549" s="8">
        <f>CHOOSE( CONTROL!$C$32, 14.3058, 14.3009) * CHOOSE( CONTROL!$C$15, $D$11, 100%, $F$11)</f>
        <v>14.3058</v>
      </c>
      <c r="E549" s="12">
        <f>CHOOSE( CONTROL!$C$32, 14.3119, 14.307) * CHOOSE( CONTROL!$C$15, $D$11, 100%, $F$11)</f>
        <v>14.3119</v>
      </c>
      <c r="F549" s="4">
        <f>CHOOSE( CONTROL!$C$32, 15.2916, 15.2867) * CHOOSE(CONTROL!$C$15, $D$11, 100%, $F$11)</f>
        <v>15.291600000000001</v>
      </c>
      <c r="G549" s="8">
        <f>CHOOSE( CONTROL!$C$32, 13.9323, 13.9275) * CHOOSE( CONTROL!$C$15, $D$11, 100%, $F$11)</f>
        <v>13.9323</v>
      </c>
      <c r="H549" s="4">
        <f>CHOOSE( CONTROL!$C$32, 14.8296, 14.8248) * CHOOSE(CONTROL!$C$15, $D$11, 100%, $F$11)</f>
        <v>14.829599999999999</v>
      </c>
      <c r="I549" s="8">
        <f>CHOOSE( CONTROL!$C$32, 13.7471, 13.7423) * CHOOSE(CONTROL!$C$15, $D$11, 100%, $F$11)</f>
        <v>13.7471</v>
      </c>
      <c r="J549" s="4">
        <f>CHOOSE( CONTROL!$C$32, 13.7135, 13.7088) * CHOOSE(CONTROL!$C$15, $D$11, 100%, $F$11)</f>
        <v>13.7135</v>
      </c>
      <c r="K549" s="4"/>
      <c r="L549" s="9">
        <v>29.520499999999998</v>
      </c>
      <c r="M549" s="9">
        <v>12.063700000000001</v>
      </c>
      <c r="N549" s="9">
        <v>4.9444999999999997</v>
      </c>
      <c r="O549" s="9">
        <v>0.37459999999999999</v>
      </c>
      <c r="P549" s="9">
        <v>1.2192000000000001</v>
      </c>
      <c r="Q549" s="9">
        <v>19.688099999999999</v>
      </c>
      <c r="R549" s="9"/>
      <c r="S549" s="11"/>
    </row>
    <row r="550" spans="1:19" ht="15.75">
      <c r="A550" s="13">
        <v>58622</v>
      </c>
      <c r="B550" s="8">
        <f>CHOOSE( CONTROL!$C$32, 14.0867, 14.0818) * CHOOSE(CONTROL!$C$15, $D$11, 100%, $F$11)</f>
        <v>14.0867</v>
      </c>
      <c r="C550" s="8">
        <f>CHOOSE( CONTROL!$C$32, 14.0971, 14.0922) * CHOOSE(CONTROL!$C$15, $D$11, 100%, $F$11)</f>
        <v>14.097099999999999</v>
      </c>
      <c r="D550" s="8">
        <f>CHOOSE( CONTROL!$C$32, 14.0892, 14.0843) * CHOOSE( CONTROL!$C$15, $D$11, 100%, $F$11)</f>
        <v>14.0892</v>
      </c>
      <c r="E550" s="12">
        <f>CHOOSE( CONTROL!$C$32, 14.0905, 14.0856) * CHOOSE( CONTROL!$C$15, $D$11, 100%, $F$11)</f>
        <v>14.0905</v>
      </c>
      <c r="F550" s="4">
        <f>CHOOSE( CONTROL!$C$32, 15.0809, 15.076) * CHOOSE(CONTROL!$C$15, $D$11, 100%, $F$11)</f>
        <v>15.0809</v>
      </c>
      <c r="G550" s="8">
        <f>CHOOSE( CONTROL!$C$32, 13.7185, 13.7137) * CHOOSE( CONTROL!$C$15, $D$11, 100%, $F$11)</f>
        <v>13.718500000000001</v>
      </c>
      <c r="H550" s="4">
        <f>CHOOSE( CONTROL!$C$32, 14.6242, 14.6194) * CHOOSE(CONTROL!$C$15, $D$11, 100%, $F$11)</f>
        <v>14.6242</v>
      </c>
      <c r="I550" s="8">
        <f>CHOOSE( CONTROL!$C$32, 13.5444, 13.5397) * CHOOSE(CONTROL!$C$15, $D$11, 100%, $F$11)</f>
        <v>13.5444</v>
      </c>
      <c r="J550" s="4">
        <f>CHOOSE( CONTROL!$C$32, 13.4931, 13.4884) * CHOOSE(CONTROL!$C$15, $D$11, 100%, $F$11)</f>
        <v>13.4931</v>
      </c>
      <c r="K550" s="4"/>
      <c r="L550" s="9">
        <v>28.568200000000001</v>
      </c>
      <c r="M550" s="9">
        <v>11.6745</v>
      </c>
      <c r="N550" s="9">
        <v>4.7850000000000001</v>
      </c>
      <c r="O550" s="9">
        <v>0.36249999999999999</v>
      </c>
      <c r="P550" s="9">
        <v>1.1798</v>
      </c>
      <c r="Q550" s="9">
        <v>19.053000000000001</v>
      </c>
      <c r="R550" s="9"/>
      <c r="S550" s="11"/>
    </row>
    <row r="551" spans="1:19" ht="15.75">
      <c r="A551" s="13">
        <v>58653</v>
      </c>
      <c r="B551" s="8">
        <f>CHOOSE( CONTROL!$C$32, 14.6924, 14.6875) * CHOOSE(CONTROL!$C$15, $D$11, 100%, $F$11)</f>
        <v>14.692399999999999</v>
      </c>
      <c r="C551" s="8">
        <f>CHOOSE( CONTROL!$C$32, 14.7029, 14.6979) * CHOOSE(CONTROL!$C$15, $D$11, 100%, $F$11)</f>
        <v>14.7029</v>
      </c>
      <c r="D551" s="8">
        <f>CHOOSE( CONTROL!$C$32, 14.7019, 14.6969) * CHOOSE( CONTROL!$C$15, $D$11, 100%, $F$11)</f>
        <v>14.7019</v>
      </c>
      <c r="E551" s="12">
        <f>CHOOSE( CONTROL!$C$32, 14.7007, 14.6957) * CHOOSE( CONTROL!$C$15, $D$11, 100%, $F$11)</f>
        <v>14.700699999999999</v>
      </c>
      <c r="F551" s="4">
        <f>CHOOSE( CONTROL!$C$32, 15.6971, 15.6921) * CHOOSE(CONTROL!$C$15, $D$11, 100%, $F$11)</f>
        <v>15.697100000000001</v>
      </c>
      <c r="G551" s="8">
        <f>CHOOSE( CONTROL!$C$32, 14.3131, 14.3083) * CHOOSE( CONTROL!$C$15, $D$11, 100%, $F$11)</f>
        <v>14.3131</v>
      </c>
      <c r="H551" s="4">
        <f>CHOOSE( CONTROL!$C$32, 15.2248, 15.22) * CHOOSE(CONTROL!$C$15, $D$11, 100%, $F$11)</f>
        <v>15.2248</v>
      </c>
      <c r="I551" s="8">
        <f>CHOOSE( CONTROL!$C$32, 14.1327, 14.128) * CHOOSE(CONTROL!$C$15, $D$11, 100%, $F$11)</f>
        <v>14.1327</v>
      </c>
      <c r="J551" s="4">
        <f>CHOOSE( CONTROL!$C$32, 14.0735, 14.0688) * CHOOSE(CONTROL!$C$15, $D$11, 100%, $F$11)</f>
        <v>14.073499999999999</v>
      </c>
      <c r="K551" s="4"/>
      <c r="L551" s="9">
        <v>29.520499999999998</v>
      </c>
      <c r="M551" s="9">
        <v>12.063700000000001</v>
      </c>
      <c r="N551" s="9">
        <v>4.9444999999999997</v>
      </c>
      <c r="O551" s="9">
        <v>0.37459999999999999</v>
      </c>
      <c r="P551" s="9">
        <v>1.2192000000000001</v>
      </c>
      <c r="Q551" s="9">
        <v>19.688099999999999</v>
      </c>
      <c r="R551" s="9"/>
      <c r="S551" s="11"/>
    </row>
    <row r="552" spans="1:19" ht="15.75">
      <c r="A552" s="13">
        <v>58684</v>
      </c>
      <c r="B552" s="8">
        <f>CHOOSE( CONTROL!$C$32, 13.559, 13.5541) * CHOOSE(CONTROL!$C$15, $D$11, 100%, $F$11)</f>
        <v>13.558999999999999</v>
      </c>
      <c r="C552" s="8">
        <f>CHOOSE( CONTROL!$C$32, 13.5695, 13.5645) * CHOOSE(CONTROL!$C$15, $D$11, 100%, $F$11)</f>
        <v>13.5695</v>
      </c>
      <c r="D552" s="8">
        <f>CHOOSE( CONTROL!$C$32, 13.5696, 13.5647) * CHOOSE( CONTROL!$C$15, $D$11, 100%, $F$11)</f>
        <v>13.569599999999999</v>
      </c>
      <c r="E552" s="12">
        <f>CHOOSE( CONTROL!$C$32, 13.568, 13.563) * CHOOSE( CONTROL!$C$15, $D$11, 100%, $F$11)</f>
        <v>13.568</v>
      </c>
      <c r="F552" s="4">
        <f>CHOOSE( CONTROL!$C$32, 14.5715, 14.5666) * CHOOSE(CONTROL!$C$15, $D$11, 100%, $F$11)</f>
        <v>14.5715</v>
      </c>
      <c r="G552" s="8">
        <f>CHOOSE( CONTROL!$C$32, 13.2035, 13.1987) * CHOOSE( CONTROL!$C$15, $D$11, 100%, $F$11)</f>
        <v>13.2035</v>
      </c>
      <c r="H552" s="4">
        <f>CHOOSE( CONTROL!$C$32, 14.1276, 14.1228) * CHOOSE(CONTROL!$C$15, $D$11, 100%, $F$11)</f>
        <v>14.127599999999999</v>
      </c>
      <c r="I552" s="8">
        <f>CHOOSE( CONTROL!$C$32, 13.0371, 13.0324) * CHOOSE(CONTROL!$C$15, $D$11, 100%, $F$11)</f>
        <v>13.037100000000001</v>
      </c>
      <c r="J552" s="4">
        <f>CHOOSE( CONTROL!$C$32, 12.9875, 12.9828) * CHOOSE(CONTROL!$C$15, $D$11, 100%, $F$11)</f>
        <v>12.987500000000001</v>
      </c>
      <c r="K552" s="4"/>
      <c r="L552" s="9">
        <v>29.520499999999998</v>
      </c>
      <c r="M552" s="9">
        <v>12.063700000000001</v>
      </c>
      <c r="N552" s="9">
        <v>4.9444999999999997</v>
      </c>
      <c r="O552" s="9">
        <v>0.37459999999999999</v>
      </c>
      <c r="P552" s="9">
        <v>1.2192000000000001</v>
      </c>
      <c r="Q552" s="9">
        <v>19.688099999999999</v>
      </c>
      <c r="R552" s="9"/>
      <c r="S552" s="11"/>
    </row>
    <row r="553" spans="1:19" ht="15.75">
      <c r="A553" s="13">
        <v>58714</v>
      </c>
      <c r="B553" s="8">
        <f>CHOOSE( CONTROL!$C$32, 13.2752, 13.2703) * CHOOSE(CONTROL!$C$15, $D$11, 100%, $F$11)</f>
        <v>13.2752</v>
      </c>
      <c r="C553" s="8">
        <f>CHOOSE( CONTROL!$C$32, 13.2857, 13.2807) * CHOOSE(CONTROL!$C$15, $D$11, 100%, $F$11)</f>
        <v>13.2857</v>
      </c>
      <c r="D553" s="8">
        <f>CHOOSE( CONTROL!$C$32, 13.2861, 13.2812) * CHOOSE( CONTROL!$C$15, $D$11, 100%, $F$11)</f>
        <v>13.286099999999999</v>
      </c>
      <c r="E553" s="12">
        <f>CHOOSE( CONTROL!$C$32, 13.2844, 13.2794) * CHOOSE( CONTROL!$C$15, $D$11, 100%, $F$11)</f>
        <v>13.2844</v>
      </c>
      <c r="F553" s="4">
        <f>CHOOSE( CONTROL!$C$32, 14.2877, 14.2828) * CHOOSE(CONTROL!$C$15, $D$11, 100%, $F$11)</f>
        <v>14.287699999999999</v>
      </c>
      <c r="G553" s="8">
        <f>CHOOSE( CONTROL!$C$32, 12.9272, 12.9224) * CHOOSE( CONTROL!$C$15, $D$11, 100%, $F$11)</f>
        <v>12.927199999999999</v>
      </c>
      <c r="H553" s="4">
        <f>CHOOSE( CONTROL!$C$32, 13.851, 13.8462) * CHOOSE(CONTROL!$C$15, $D$11, 100%, $F$11)</f>
        <v>13.851000000000001</v>
      </c>
      <c r="I553" s="8">
        <f>CHOOSE( CONTROL!$C$32, 12.7665, 12.7617) * CHOOSE(CONTROL!$C$15, $D$11, 100%, $F$11)</f>
        <v>12.766500000000001</v>
      </c>
      <c r="J553" s="4">
        <f>CHOOSE( CONTROL!$C$32, 12.7156, 12.7108) * CHOOSE(CONTROL!$C$15, $D$11, 100%, $F$11)</f>
        <v>12.7156</v>
      </c>
      <c r="K553" s="4"/>
      <c r="L553" s="9">
        <v>28.568200000000001</v>
      </c>
      <c r="M553" s="9">
        <v>11.6745</v>
      </c>
      <c r="N553" s="9">
        <v>4.7850000000000001</v>
      </c>
      <c r="O553" s="9">
        <v>0.36249999999999999</v>
      </c>
      <c r="P553" s="9">
        <v>1.1798</v>
      </c>
      <c r="Q553" s="9">
        <v>19.053000000000001</v>
      </c>
      <c r="R553" s="9"/>
      <c r="S553" s="11"/>
    </row>
    <row r="554" spans="1:19" ht="15.75">
      <c r="A554" s="13">
        <v>58745</v>
      </c>
      <c r="B554" s="8">
        <f>13.8596 * CHOOSE(CONTROL!$C$15, $D$11, 100%, $F$11)</f>
        <v>13.8596</v>
      </c>
      <c r="C554" s="8">
        <f>13.87 * CHOOSE(CONTROL!$C$15, $D$11, 100%, $F$11)</f>
        <v>13.87</v>
      </c>
      <c r="D554" s="8">
        <f>13.8717 * CHOOSE( CONTROL!$C$15, $D$11, 100%, $F$11)</f>
        <v>13.871700000000001</v>
      </c>
      <c r="E554" s="12">
        <f>13.87 * CHOOSE( CONTROL!$C$15, $D$11, 100%, $F$11)</f>
        <v>13.87</v>
      </c>
      <c r="F554" s="4">
        <f>14.8721 * CHOOSE(CONTROL!$C$15, $D$11, 100%, $F$11)</f>
        <v>14.8721</v>
      </c>
      <c r="G554" s="8">
        <f>13.4965 * CHOOSE( CONTROL!$C$15, $D$11, 100%, $F$11)</f>
        <v>13.496499999999999</v>
      </c>
      <c r="H554" s="4">
        <f>14.4206 * CHOOSE(CONTROL!$C$15, $D$11, 100%, $F$11)</f>
        <v>14.4206</v>
      </c>
      <c r="I554" s="8">
        <f>13.329 * CHOOSE(CONTROL!$C$15, $D$11, 100%, $F$11)</f>
        <v>13.329000000000001</v>
      </c>
      <c r="J554" s="4">
        <f>13.2755 * CHOOSE(CONTROL!$C$15, $D$11, 100%, $F$11)</f>
        <v>13.275499999999999</v>
      </c>
      <c r="K554" s="4"/>
      <c r="L554" s="9">
        <v>28.921800000000001</v>
      </c>
      <c r="M554" s="9">
        <v>12.063700000000001</v>
      </c>
      <c r="N554" s="9">
        <v>4.9444999999999997</v>
      </c>
      <c r="O554" s="9">
        <v>0.37459999999999999</v>
      </c>
      <c r="P554" s="9">
        <v>1.2192000000000001</v>
      </c>
      <c r="Q554" s="9">
        <v>19.688099999999999</v>
      </c>
      <c r="R554" s="9"/>
      <c r="S554" s="11"/>
    </row>
    <row r="555" spans="1:19" ht="15.75">
      <c r="A555" s="13">
        <v>58775</v>
      </c>
      <c r="B555" s="8">
        <f>14.9473 * CHOOSE(CONTROL!$C$15, $D$11, 100%, $F$11)</f>
        <v>14.9473</v>
      </c>
      <c r="C555" s="8">
        <f>14.9577 * CHOOSE(CONTROL!$C$15, $D$11, 100%, $F$11)</f>
        <v>14.957700000000001</v>
      </c>
      <c r="D555" s="8">
        <f>14.9388 * CHOOSE( CONTROL!$C$15, $D$11, 100%, $F$11)</f>
        <v>14.938800000000001</v>
      </c>
      <c r="E555" s="12">
        <f>14.9446 * CHOOSE( CONTROL!$C$15, $D$11, 100%, $F$11)</f>
        <v>14.944599999999999</v>
      </c>
      <c r="F555" s="4">
        <f>15.9441 * CHOOSE(CONTROL!$C$15, $D$11, 100%, $F$11)</f>
        <v>15.944100000000001</v>
      </c>
      <c r="G555" s="8">
        <f>14.5797 * CHOOSE( CONTROL!$C$15, $D$11, 100%, $F$11)</f>
        <v>14.579700000000001</v>
      </c>
      <c r="H555" s="4">
        <f>15.4656 * CHOOSE(CONTROL!$C$15, $D$11, 100%, $F$11)</f>
        <v>15.4656</v>
      </c>
      <c r="I555" s="8">
        <f>14.4182 * CHOOSE(CONTROL!$C$15, $D$11, 100%, $F$11)</f>
        <v>14.418200000000001</v>
      </c>
      <c r="J555" s="4">
        <f>14.3177 * CHOOSE(CONTROL!$C$15, $D$11, 100%, $F$11)</f>
        <v>14.3177</v>
      </c>
      <c r="K555" s="4"/>
      <c r="L555" s="9">
        <v>26.515499999999999</v>
      </c>
      <c r="M555" s="9">
        <v>11.6745</v>
      </c>
      <c r="N555" s="9">
        <v>4.7850000000000001</v>
      </c>
      <c r="O555" s="9">
        <v>0.36249999999999999</v>
      </c>
      <c r="P555" s="9">
        <v>1.2522</v>
      </c>
      <c r="Q555" s="9">
        <v>19.053000000000001</v>
      </c>
      <c r="R555" s="9"/>
      <c r="S555" s="11"/>
    </row>
    <row r="556" spans="1:19" ht="15.75">
      <c r="A556" s="13">
        <v>58806</v>
      </c>
      <c r="B556" s="8">
        <f>14.9201 * CHOOSE(CONTROL!$C$15, $D$11, 100%, $F$11)</f>
        <v>14.9201</v>
      </c>
      <c r="C556" s="8">
        <f>14.9306 * CHOOSE(CONTROL!$C$15, $D$11, 100%, $F$11)</f>
        <v>14.9306</v>
      </c>
      <c r="D556" s="8">
        <f>14.9142 * CHOOSE( CONTROL!$C$15, $D$11, 100%, $F$11)</f>
        <v>14.914199999999999</v>
      </c>
      <c r="E556" s="12">
        <f>14.9191 * CHOOSE( CONTROL!$C$15, $D$11, 100%, $F$11)</f>
        <v>14.9191</v>
      </c>
      <c r="F556" s="4">
        <f>15.9169 * CHOOSE(CONTROL!$C$15, $D$11, 100%, $F$11)</f>
        <v>15.9169</v>
      </c>
      <c r="G556" s="8">
        <f>14.5552 * CHOOSE( CONTROL!$C$15, $D$11, 100%, $F$11)</f>
        <v>14.555199999999999</v>
      </c>
      <c r="H556" s="4">
        <f>15.4391 * CHOOSE(CONTROL!$C$15, $D$11, 100%, $F$11)</f>
        <v>15.4391</v>
      </c>
      <c r="I556" s="8">
        <f>14.401 * CHOOSE(CONTROL!$C$15, $D$11, 100%, $F$11)</f>
        <v>14.401</v>
      </c>
      <c r="J556" s="4">
        <f>14.2917 * CHOOSE(CONTROL!$C$15, $D$11, 100%, $F$11)</f>
        <v>14.291700000000001</v>
      </c>
      <c r="K556" s="4"/>
      <c r="L556" s="9">
        <v>27.3993</v>
      </c>
      <c r="M556" s="9">
        <v>12.063700000000001</v>
      </c>
      <c r="N556" s="9">
        <v>4.9444999999999997</v>
      </c>
      <c r="O556" s="9">
        <v>0.37459999999999999</v>
      </c>
      <c r="P556" s="9">
        <v>1.2939000000000001</v>
      </c>
      <c r="Q556" s="9">
        <v>19.688099999999999</v>
      </c>
      <c r="R556" s="9"/>
      <c r="S556" s="11"/>
    </row>
    <row r="557" spans="1:19" ht="15.75">
      <c r="A557" s="13">
        <v>58837</v>
      </c>
      <c r="B557" s="8">
        <f>15.4902 * CHOOSE(CONTROL!$C$15, $D$11, 100%, $F$11)</f>
        <v>15.4902</v>
      </c>
      <c r="C557" s="8">
        <f>15.5006 * CHOOSE(CONTROL!$C$15, $D$11, 100%, $F$11)</f>
        <v>15.5006</v>
      </c>
      <c r="D557" s="8">
        <f>15.4992 * CHOOSE( CONTROL!$C$15, $D$11, 100%, $F$11)</f>
        <v>15.4992</v>
      </c>
      <c r="E557" s="12">
        <f>15.4986 * CHOOSE( CONTROL!$C$15, $D$11, 100%, $F$11)</f>
        <v>15.4986</v>
      </c>
      <c r="F557" s="4">
        <f>16.5131 * CHOOSE(CONTROL!$C$15, $D$11, 100%, $F$11)</f>
        <v>16.513100000000001</v>
      </c>
      <c r="G557" s="8">
        <f>15.1277 * CHOOSE( CONTROL!$C$15, $D$11, 100%, $F$11)</f>
        <v>15.127700000000001</v>
      </c>
      <c r="H557" s="4">
        <f>16.0202 * CHOOSE(CONTROL!$C$15, $D$11, 100%, $F$11)</f>
        <v>16.020199999999999</v>
      </c>
      <c r="I557" s="8">
        <f>14.9539 * CHOOSE(CONTROL!$C$15, $D$11, 100%, $F$11)</f>
        <v>14.953900000000001</v>
      </c>
      <c r="J557" s="4">
        <f>14.8379 * CHOOSE(CONTROL!$C$15, $D$11, 100%, $F$11)</f>
        <v>14.837899999999999</v>
      </c>
      <c r="K557" s="4"/>
      <c r="L557" s="9">
        <v>27.3993</v>
      </c>
      <c r="M557" s="9">
        <v>12.063700000000001</v>
      </c>
      <c r="N557" s="9">
        <v>4.9444999999999997</v>
      </c>
      <c r="O557" s="9">
        <v>0.37459999999999999</v>
      </c>
      <c r="P557" s="9">
        <v>1.2939000000000001</v>
      </c>
      <c r="Q557" s="9">
        <v>19.688099999999999</v>
      </c>
      <c r="R557" s="9"/>
      <c r="S557" s="11"/>
    </row>
    <row r="558" spans="1:19" ht="15.75">
      <c r="A558" s="13">
        <v>58865</v>
      </c>
      <c r="B558" s="8">
        <f>14.4891 * CHOOSE(CONTROL!$C$15, $D$11, 100%, $F$11)</f>
        <v>14.489100000000001</v>
      </c>
      <c r="C558" s="8">
        <f>14.4995 * CHOOSE(CONTROL!$C$15, $D$11, 100%, $F$11)</f>
        <v>14.499499999999999</v>
      </c>
      <c r="D558" s="8">
        <f>14.5003 * CHOOSE( CONTROL!$C$15, $D$11, 100%, $F$11)</f>
        <v>14.500299999999999</v>
      </c>
      <c r="E558" s="12">
        <f>14.4989 * CHOOSE( CONTROL!$C$15, $D$11, 100%, $F$11)</f>
        <v>14.498900000000001</v>
      </c>
      <c r="F558" s="4">
        <f>15.5042 * CHOOSE(CONTROL!$C$15, $D$11, 100%, $F$11)</f>
        <v>15.504200000000001</v>
      </c>
      <c r="G558" s="8">
        <f>14.1517 * CHOOSE( CONTROL!$C$15, $D$11, 100%, $F$11)</f>
        <v>14.1517</v>
      </c>
      <c r="H558" s="4">
        <f>15.0368 * CHOOSE(CONTROL!$C$15, $D$11, 100%, $F$11)</f>
        <v>15.036799999999999</v>
      </c>
      <c r="I558" s="8">
        <f>13.9833 * CHOOSE(CONTROL!$C$15, $D$11, 100%, $F$11)</f>
        <v>13.9833</v>
      </c>
      <c r="J558" s="4">
        <f>13.8787 * CHOOSE(CONTROL!$C$15, $D$11, 100%, $F$11)</f>
        <v>13.8787</v>
      </c>
      <c r="K558" s="4"/>
      <c r="L558" s="9">
        <v>24.747800000000002</v>
      </c>
      <c r="M558" s="9">
        <v>10.8962</v>
      </c>
      <c r="N558" s="9">
        <v>4.4660000000000002</v>
      </c>
      <c r="O558" s="9">
        <v>0.33829999999999999</v>
      </c>
      <c r="P558" s="9">
        <v>1.1687000000000001</v>
      </c>
      <c r="Q558" s="9">
        <v>17.782800000000002</v>
      </c>
      <c r="R558" s="9"/>
      <c r="S558" s="11"/>
    </row>
    <row r="559" spans="1:19" ht="15.75">
      <c r="A559" s="13">
        <v>58893</v>
      </c>
      <c r="B559" s="8">
        <f>14.1807 * CHOOSE(CONTROL!$C$15, $D$11, 100%, $F$11)</f>
        <v>14.1807</v>
      </c>
      <c r="C559" s="8">
        <f>14.1912 * CHOOSE(CONTROL!$C$15, $D$11, 100%, $F$11)</f>
        <v>14.1912</v>
      </c>
      <c r="D559" s="8">
        <f>14.1717 * CHOOSE( CONTROL!$C$15, $D$11, 100%, $F$11)</f>
        <v>14.1717</v>
      </c>
      <c r="E559" s="12">
        <f>14.1777 * CHOOSE( CONTROL!$C$15, $D$11, 100%, $F$11)</f>
        <v>14.1777</v>
      </c>
      <c r="F559" s="4">
        <f>15.1796 * CHOOSE(CONTROL!$C$15, $D$11, 100%, $F$11)</f>
        <v>15.179600000000001</v>
      </c>
      <c r="G559" s="8">
        <f>13.8305 * CHOOSE( CONTROL!$C$15, $D$11, 100%, $F$11)</f>
        <v>13.830500000000001</v>
      </c>
      <c r="H559" s="4">
        <f>14.7204 * CHOOSE(CONTROL!$C$15, $D$11, 100%, $F$11)</f>
        <v>14.7204</v>
      </c>
      <c r="I559" s="8">
        <f>13.6482 * CHOOSE(CONTROL!$C$15, $D$11, 100%, $F$11)</f>
        <v>13.648199999999999</v>
      </c>
      <c r="J559" s="4">
        <f>13.5832 * CHOOSE(CONTROL!$C$15, $D$11, 100%, $F$11)</f>
        <v>13.5832</v>
      </c>
      <c r="K559" s="4"/>
      <c r="L559" s="9">
        <v>27.3993</v>
      </c>
      <c r="M559" s="9">
        <v>12.063700000000001</v>
      </c>
      <c r="N559" s="9">
        <v>4.9444999999999997</v>
      </c>
      <c r="O559" s="9">
        <v>0.37459999999999999</v>
      </c>
      <c r="P559" s="9">
        <v>1.2939000000000001</v>
      </c>
      <c r="Q559" s="9">
        <v>19.688099999999999</v>
      </c>
      <c r="R559" s="9"/>
      <c r="S559" s="11"/>
    </row>
    <row r="560" spans="1:19" ht="15.75">
      <c r="A560" s="13">
        <v>58926</v>
      </c>
      <c r="B560" s="8">
        <f>14.3962 * CHOOSE(CONTROL!$C$15, $D$11, 100%, $F$11)</f>
        <v>14.3962</v>
      </c>
      <c r="C560" s="8">
        <f>14.4066 * CHOOSE(CONTROL!$C$15, $D$11, 100%, $F$11)</f>
        <v>14.406599999999999</v>
      </c>
      <c r="D560" s="8">
        <f>14.4105 * CHOOSE( CONTROL!$C$15, $D$11, 100%, $F$11)</f>
        <v>14.410500000000001</v>
      </c>
      <c r="E560" s="12">
        <f>14.408 * CHOOSE( CONTROL!$C$15, $D$11, 100%, $F$11)</f>
        <v>14.407999999999999</v>
      </c>
      <c r="F560" s="4">
        <f>15.4035 * CHOOSE(CONTROL!$C$15, $D$11, 100%, $F$11)</f>
        <v>15.403499999999999</v>
      </c>
      <c r="G560" s="8">
        <f>14.0284 * CHOOSE( CONTROL!$C$15, $D$11, 100%, $F$11)</f>
        <v>14.0284</v>
      </c>
      <c r="H560" s="4">
        <f>14.9386 * CHOOSE(CONTROL!$C$15, $D$11, 100%, $F$11)</f>
        <v>14.938599999999999</v>
      </c>
      <c r="I560" s="8">
        <f>13.8448 * CHOOSE(CONTROL!$C$15, $D$11, 100%, $F$11)</f>
        <v>13.844799999999999</v>
      </c>
      <c r="J560" s="4">
        <f>13.7897 * CHOOSE(CONTROL!$C$15, $D$11, 100%, $F$11)</f>
        <v>13.7897</v>
      </c>
      <c r="K560" s="4"/>
      <c r="L560" s="9">
        <v>27.988800000000001</v>
      </c>
      <c r="M560" s="9">
        <v>11.6745</v>
      </c>
      <c r="N560" s="9">
        <v>4.7850000000000001</v>
      </c>
      <c r="O560" s="9">
        <v>0.36249999999999999</v>
      </c>
      <c r="P560" s="9">
        <v>1.1798</v>
      </c>
      <c r="Q560" s="9">
        <v>19.053000000000001</v>
      </c>
      <c r="R560" s="9"/>
      <c r="S560" s="11"/>
    </row>
    <row r="561" spans="1:19" ht="15.75">
      <c r="A561" s="13">
        <v>58957</v>
      </c>
      <c r="B561" s="8">
        <f>CHOOSE( CONTROL!$C$32, 14.7846, 14.7797) * CHOOSE(CONTROL!$C$15, $D$11, 100%, $F$11)</f>
        <v>14.784599999999999</v>
      </c>
      <c r="C561" s="8">
        <f>CHOOSE( CONTROL!$C$32, 14.795, 14.7901) * CHOOSE(CONTROL!$C$15, $D$11, 100%, $F$11)</f>
        <v>14.795</v>
      </c>
      <c r="D561" s="8">
        <f>CHOOSE( CONTROL!$C$32, 14.7737, 14.7687) * CHOOSE( CONTROL!$C$15, $D$11, 100%, $F$11)</f>
        <v>14.7737</v>
      </c>
      <c r="E561" s="12">
        <f>CHOOSE( CONTROL!$C$32, 14.7798, 14.7749) * CHOOSE( CONTROL!$C$15, $D$11, 100%, $F$11)</f>
        <v>14.7798</v>
      </c>
      <c r="F561" s="4">
        <f>CHOOSE( CONTROL!$C$32, 15.7595, 15.7546) * CHOOSE(CONTROL!$C$15, $D$11, 100%, $F$11)</f>
        <v>15.759499999999999</v>
      </c>
      <c r="G561" s="8">
        <f>CHOOSE( CONTROL!$C$32, 14.3884, 14.3836) * CHOOSE( CONTROL!$C$15, $D$11, 100%, $F$11)</f>
        <v>14.388400000000001</v>
      </c>
      <c r="H561" s="4">
        <f>CHOOSE( CONTROL!$C$32, 15.2857, 15.2809) * CHOOSE(CONTROL!$C$15, $D$11, 100%, $F$11)</f>
        <v>15.2857</v>
      </c>
      <c r="I561" s="8">
        <f>CHOOSE( CONTROL!$C$32, 14.1956, 14.1909) * CHOOSE(CONTROL!$C$15, $D$11, 100%, $F$11)</f>
        <v>14.195600000000001</v>
      </c>
      <c r="J561" s="4">
        <f>CHOOSE( CONTROL!$C$32, 14.1618, 14.1571) * CHOOSE(CONTROL!$C$15, $D$11, 100%, $F$11)</f>
        <v>14.161799999999999</v>
      </c>
      <c r="K561" s="4"/>
      <c r="L561" s="9">
        <v>29.520499999999998</v>
      </c>
      <c r="M561" s="9">
        <v>12.063700000000001</v>
      </c>
      <c r="N561" s="9">
        <v>4.9444999999999997</v>
      </c>
      <c r="O561" s="9">
        <v>0.37459999999999999</v>
      </c>
      <c r="P561" s="9">
        <v>1.2192000000000001</v>
      </c>
      <c r="Q561" s="9">
        <v>19.688099999999999</v>
      </c>
      <c r="R561" s="9"/>
      <c r="S561" s="11"/>
    </row>
    <row r="562" spans="1:19" ht="15.75">
      <c r="A562" s="13">
        <v>58987</v>
      </c>
      <c r="B562" s="8">
        <f>CHOOSE( CONTROL!$C$32, 14.5471, 14.5421) * CHOOSE(CONTROL!$C$15, $D$11, 100%, $F$11)</f>
        <v>14.5471</v>
      </c>
      <c r="C562" s="8">
        <f>CHOOSE( CONTROL!$C$32, 14.5575, 14.5526) * CHOOSE(CONTROL!$C$15, $D$11, 100%, $F$11)</f>
        <v>14.557499999999999</v>
      </c>
      <c r="D562" s="8">
        <f>CHOOSE( CONTROL!$C$32, 14.5496, 14.5447) * CHOOSE( CONTROL!$C$15, $D$11, 100%, $F$11)</f>
        <v>14.5496</v>
      </c>
      <c r="E562" s="12">
        <f>CHOOSE( CONTROL!$C$32, 14.5509, 14.546) * CHOOSE( CONTROL!$C$15, $D$11, 100%, $F$11)</f>
        <v>14.5509</v>
      </c>
      <c r="F562" s="4">
        <f>CHOOSE( CONTROL!$C$32, 15.5413, 15.5363) * CHOOSE(CONTROL!$C$15, $D$11, 100%, $F$11)</f>
        <v>15.5413</v>
      </c>
      <c r="G562" s="8">
        <f>CHOOSE( CONTROL!$C$32, 14.1673, 14.1625) * CHOOSE( CONTROL!$C$15, $D$11, 100%, $F$11)</f>
        <v>14.167299999999999</v>
      </c>
      <c r="H562" s="4">
        <f>CHOOSE( CONTROL!$C$32, 15.0729, 15.0681) * CHOOSE(CONTROL!$C$15, $D$11, 100%, $F$11)</f>
        <v>15.072900000000001</v>
      </c>
      <c r="I562" s="8">
        <f>CHOOSE( CONTROL!$C$32, 13.9857, 13.981) * CHOOSE(CONTROL!$C$15, $D$11, 100%, $F$11)</f>
        <v>13.9857</v>
      </c>
      <c r="J562" s="4">
        <f>CHOOSE( CONTROL!$C$32, 13.9342, 13.9295) * CHOOSE(CONTROL!$C$15, $D$11, 100%, $F$11)</f>
        <v>13.934200000000001</v>
      </c>
      <c r="K562" s="4"/>
      <c r="L562" s="9">
        <v>28.568200000000001</v>
      </c>
      <c r="M562" s="9">
        <v>11.6745</v>
      </c>
      <c r="N562" s="9">
        <v>4.7850000000000001</v>
      </c>
      <c r="O562" s="9">
        <v>0.36249999999999999</v>
      </c>
      <c r="P562" s="9">
        <v>1.1798</v>
      </c>
      <c r="Q562" s="9">
        <v>19.053000000000001</v>
      </c>
      <c r="R562" s="9"/>
      <c r="S562" s="11"/>
    </row>
    <row r="563" spans="1:19" ht="15.75">
      <c r="A563" s="13">
        <v>59018</v>
      </c>
      <c r="B563" s="8">
        <f>CHOOSE( CONTROL!$C$32, 15.1726, 15.1677) * CHOOSE(CONTROL!$C$15, $D$11, 100%, $F$11)</f>
        <v>15.172599999999999</v>
      </c>
      <c r="C563" s="8">
        <f>CHOOSE( CONTROL!$C$32, 15.183, 15.1781) * CHOOSE(CONTROL!$C$15, $D$11, 100%, $F$11)</f>
        <v>15.183</v>
      </c>
      <c r="D563" s="8">
        <f>CHOOSE( CONTROL!$C$32, 15.182, 15.1771) * CHOOSE( CONTROL!$C$15, $D$11, 100%, $F$11)</f>
        <v>15.182</v>
      </c>
      <c r="E563" s="12">
        <f>CHOOSE( CONTROL!$C$32, 15.1808, 15.1759) * CHOOSE( CONTROL!$C$15, $D$11, 100%, $F$11)</f>
        <v>15.1808</v>
      </c>
      <c r="F563" s="4">
        <f>CHOOSE( CONTROL!$C$32, 16.1772, 16.1723) * CHOOSE(CONTROL!$C$15, $D$11, 100%, $F$11)</f>
        <v>16.177199999999999</v>
      </c>
      <c r="G563" s="8">
        <f>CHOOSE( CONTROL!$C$32, 14.7812, 14.7763) * CHOOSE( CONTROL!$C$15, $D$11, 100%, $F$11)</f>
        <v>14.7812</v>
      </c>
      <c r="H563" s="4">
        <f>CHOOSE( CONTROL!$C$32, 15.6929, 15.6881) * CHOOSE(CONTROL!$C$15, $D$11, 100%, $F$11)</f>
        <v>15.6929</v>
      </c>
      <c r="I563" s="8">
        <f>CHOOSE( CONTROL!$C$32, 14.5931, 14.5883) * CHOOSE(CONTROL!$C$15, $D$11, 100%, $F$11)</f>
        <v>14.5931</v>
      </c>
      <c r="J563" s="4">
        <f>CHOOSE( CONTROL!$C$32, 14.5336, 14.5289) * CHOOSE(CONTROL!$C$15, $D$11, 100%, $F$11)</f>
        <v>14.5336</v>
      </c>
      <c r="K563" s="4"/>
      <c r="L563" s="9">
        <v>29.520499999999998</v>
      </c>
      <c r="M563" s="9">
        <v>12.063700000000001</v>
      </c>
      <c r="N563" s="9">
        <v>4.9444999999999997</v>
      </c>
      <c r="O563" s="9">
        <v>0.37459999999999999</v>
      </c>
      <c r="P563" s="9">
        <v>1.2192000000000001</v>
      </c>
      <c r="Q563" s="9">
        <v>19.688099999999999</v>
      </c>
      <c r="R563" s="9"/>
      <c r="S563" s="11"/>
    </row>
    <row r="564" spans="1:19" ht="15.75">
      <c r="A564" s="13">
        <v>59049</v>
      </c>
      <c r="B564" s="8">
        <f>CHOOSE( CONTROL!$C$32, 14.0021, 13.9972) * CHOOSE(CONTROL!$C$15, $D$11, 100%, $F$11)</f>
        <v>14.0021</v>
      </c>
      <c r="C564" s="8">
        <f>CHOOSE( CONTROL!$C$32, 14.0126, 14.0076) * CHOOSE(CONTROL!$C$15, $D$11, 100%, $F$11)</f>
        <v>14.012600000000001</v>
      </c>
      <c r="D564" s="8">
        <f>CHOOSE( CONTROL!$C$32, 14.0127, 14.0078) * CHOOSE( CONTROL!$C$15, $D$11, 100%, $F$11)</f>
        <v>14.012700000000001</v>
      </c>
      <c r="E564" s="12">
        <f>CHOOSE( CONTROL!$C$32, 14.0111, 14.0061) * CHOOSE( CONTROL!$C$15, $D$11, 100%, $F$11)</f>
        <v>14.011100000000001</v>
      </c>
      <c r="F564" s="4">
        <f>CHOOSE( CONTROL!$C$32, 15.0146, 15.0097) * CHOOSE(CONTROL!$C$15, $D$11, 100%, $F$11)</f>
        <v>15.0146</v>
      </c>
      <c r="G564" s="8">
        <f>CHOOSE( CONTROL!$C$32, 13.6354, 13.6306) * CHOOSE( CONTROL!$C$15, $D$11, 100%, $F$11)</f>
        <v>13.635400000000001</v>
      </c>
      <c r="H564" s="4">
        <f>CHOOSE( CONTROL!$C$32, 14.5596, 14.5548) * CHOOSE(CONTROL!$C$15, $D$11, 100%, $F$11)</f>
        <v>14.5596</v>
      </c>
      <c r="I564" s="8">
        <f>CHOOSE( CONTROL!$C$32, 13.4619, 13.4572) * CHOOSE(CONTROL!$C$15, $D$11, 100%, $F$11)</f>
        <v>13.4619</v>
      </c>
      <c r="J564" s="4">
        <f>CHOOSE( CONTROL!$C$32, 13.4121, 13.4074) * CHOOSE(CONTROL!$C$15, $D$11, 100%, $F$11)</f>
        <v>13.412100000000001</v>
      </c>
      <c r="K564" s="4"/>
      <c r="L564" s="9">
        <v>29.520499999999998</v>
      </c>
      <c r="M564" s="9">
        <v>12.063700000000001</v>
      </c>
      <c r="N564" s="9">
        <v>4.9444999999999997</v>
      </c>
      <c r="O564" s="9">
        <v>0.37459999999999999</v>
      </c>
      <c r="P564" s="9">
        <v>1.2192000000000001</v>
      </c>
      <c r="Q564" s="9">
        <v>19.688099999999999</v>
      </c>
      <c r="R564" s="9"/>
      <c r="S564" s="11"/>
    </row>
    <row r="565" spans="1:19" ht="15.75">
      <c r="A565" s="13">
        <v>59079</v>
      </c>
      <c r="B565" s="8">
        <f>CHOOSE( CONTROL!$C$32, 13.709, 13.7041) * CHOOSE(CONTROL!$C$15, $D$11, 100%, $F$11)</f>
        <v>13.709</v>
      </c>
      <c r="C565" s="8">
        <f>CHOOSE( CONTROL!$C$32, 13.7195, 13.7146) * CHOOSE(CONTROL!$C$15, $D$11, 100%, $F$11)</f>
        <v>13.7195</v>
      </c>
      <c r="D565" s="8">
        <f>CHOOSE( CONTROL!$C$32, 13.7199, 13.715) * CHOOSE( CONTROL!$C$15, $D$11, 100%, $F$11)</f>
        <v>13.719900000000001</v>
      </c>
      <c r="E565" s="12">
        <f>CHOOSE( CONTROL!$C$32, 13.7182, 13.7133) * CHOOSE( CONTROL!$C$15, $D$11, 100%, $F$11)</f>
        <v>13.7182</v>
      </c>
      <c r="F565" s="4">
        <f>CHOOSE( CONTROL!$C$32, 14.7215, 14.7166) * CHOOSE(CONTROL!$C$15, $D$11, 100%, $F$11)</f>
        <v>14.721500000000001</v>
      </c>
      <c r="G565" s="8">
        <f>CHOOSE( CONTROL!$C$32, 13.3501, 13.3453) * CHOOSE( CONTROL!$C$15, $D$11, 100%, $F$11)</f>
        <v>13.350099999999999</v>
      </c>
      <c r="H565" s="4">
        <f>CHOOSE( CONTROL!$C$32, 14.2739, 14.2691) * CHOOSE(CONTROL!$C$15, $D$11, 100%, $F$11)</f>
        <v>14.273899999999999</v>
      </c>
      <c r="I565" s="8">
        <f>CHOOSE( CONTROL!$C$32, 13.1824, 13.1776) * CHOOSE(CONTROL!$C$15, $D$11, 100%, $F$11)</f>
        <v>13.182399999999999</v>
      </c>
      <c r="J565" s="4">
        <f>CHOOSE( CONTROL!$C$32, 13.1313, 13.1265) * CHOOSE(CONTROL!$C$15, $D$11, 100%, $F$11)</f>
        <v>13.1313</v>
      </c>
      <c r="K565" s="4"/>
      <c r="L565" s="9">
        <v>28.568200000000001</v>
      </c>
      <c r="M565" s="9">
        <v>11.6745</v>
      </c>
      <c r="N565" s="9">
        <v>4.7850000000000001</v>
      </c>
      <c r="O565" s="9">
        <v>0.36249999999999999</v>
      </c>
      <c r="P565" s="9">
        <v>1.1798</v>
      </c>
      <c r="Q565" s="9">
        <v>19.053000000000001</v>
      </c>
      <c r="R565" s="9"/>
      <c r="S565" s="11"/>
    </row>
    <row r="566" spans="1:19" ht="15.75">
      <c r="A566" s="13">
        <v>59110</v>
      </c>
      <c r="B566" s="8">
        <f>14.3127 * CHOOSE(CONTROL!$C$15, $D$11, 100%, $F$11)</f>
        <v>14.3127</v>
      </c>
      <c r="C566" s="8">
        <f>14.3231 * CHOOSE(CONTROL!$C$15, $D$11, 100%, $F$11)</f>
        <v>14.3231</v>
      </c>
      <c r="D566" s="8">
        <f>14.3248 * CHOOSE( CONTROL!$C$15, $D$11, 100%, $F$11)</f>
        <v>14.3248</v>
      </c>
      <c r="E566" s="12">
        <f>14.3231 * CHOOSE( CONTROL!$C$15, $D$11, 100%, $F$11)</f>
        <v>14.3231</v>
      </c>
      <c r="F566" s="4">
        <f>15.3252 * CHOOSE(CONTROL!$C$15, $D$11, 100%, $F$11)</f>
        <v>15.325200000000001</v>
      </c>
      <c r="G566" s="8">
        <f>13.9382 * CHOOSE( CONTROL!$C$15, $D$11, 100%, $F$11)</f>
        <v>13.9382</v>
      </c>
      <c r="H566" s="4">
        <f>14.8623 * CHOOSE(CONTROL!$C$15, $D$11, 100%, $F$11)</f>
        <v>14.862299999999999</v>
      </c>
      <c r="I566" s="8">
        <f>13.7633 * CHOOSE(CONTROL!$C$15, $D$11, 100%, $F$11)</f>
        <v>13.763299999999999</v>
      </c>
      <c r="J566" s="4">
        <f>13.7097 * CHOOSE(CONTROL!$C$15, $D$11, 100%, $F$11)</f>
        <v>13.7097</v>
      </c>
      <c r="K566" s="4"/>
      <c r="L566" s="9">
        <v>28.921800000000001</v>
      </c>
      <c r="M566" s="9">
        <v>12.063700000000001</v>
      </c>
      <c r="N566" s="9">
        <v>4.9444999999999997</v>
      </c>
      <c r="O566" s="9">
        <v>0.37459999999999999</v>
      </c>
      <c r="P566" s="9">
        <v>1.2192000000000001</v>
      </c>
      <c r="Q566" s="9">
        <v>19.688099999999999</v>
      </c>
      <c r="R566" s="9"/>
      <c r="S566" s="11"/>
    </row>
    <row r="567" spans="1:19" ht="15.75">
      <c r="A567" s="13">
        <v>59140</v>
      </c>
      <c r="B567" s="8">
        <f>15.436 * CHOOSE(CONTROL!$C$15, $D$11, 100%, $F$11)</f>
        <v>15.436</v>
      </c>
      <c r="C567" s="8">
        <f>15.4464 * CHOOSE(CONTROL!$C$15, $D$11, 100%, $F$11)</f>
        <v>15.446400000000001</v>
      </c>
      <c r="D567" s="8">
        <f>15.4275 * CHOOSE( CONTROL!$C$15, $D$11, 100%, $F$11)</f>
        <v>15.4275</v>
      </c>
      <c r="E567" s="12">
        <f>15.4333 * CHOOSE( CONTROL!$C$15, $D$11, 100%, $F$11)</f>
        <v>15.433299999999999</v>
      </c>
      <c r="F567" s="4">
        <f>16.4328 * CHOOSE(CONTROL!$C$15, $D$11, 100%, $F$11)</f>
        <v>16.4328</v>
      </c>
      <c r="G567" s="8">
        <f>15.0561 * CHOOSE( CONTROL!$C$15, $D$11, 100%, $F$11)</f>
        <v>15.056100000000001</v>
      </c>
      <c r="H567" s="4">
        <f>15.942 * CHOOSE(CONTROL!$C$15, $D$11, 100%, $F$11)</f>
        <v>15.942</v>
      </c>
      <c r="I567" s="8">
        <f>14.8867 * CHOOSE(CONTROL!$C$15, $D$11, 100%, $F$11)</f>
        <v>14.886699999999999</v>
      </c>
      <c r="J567" s="4">
        <f>14.786 * CHOOSE(CONTROL!$C$15, $D$11, 100%, $F$11)</f>
        <v>14.786</v>
      </c>
      <c r="K567" s="4"/>
      <c r="L567" s="9">
        <v>26.515499999999999</v>
      </c>
      <c r="M567" s="9">
        <v>11.6745</v>
      </c>
      <c r="N567" s="9">
        <v>4.7850000000000001</v>
      </c>
      <c r="O567" s="9">
        <v>0.36249999999999999</v>
      </c>
      <c r="P567" s="9">
        <v>1.2522</v>
      </c>
      <c r="Q567" s="9">
        <v>19.053000000000001</v>
      </c>
      <c r="R567" s="9"/>
      <c r="S567" s="11"/>
    </row>
    <row r="568" spans="1:19" ht="15.75">
      <c r="A568" s="13">
        <v>59171</v>
      </c>
      <c r="B568" s="8">
        <f>15.4079 * CHOOSE(CONTROL!$C$15, $D$11, 100%, $F$11)</f>
        <v>15.4079</v>
      </c>
      <c r="C568" s="8">
        <f>15.4183 * CHOOSE(CONTROL!$C$15, $D$11, 100%, $F$11)</f>
        <v>15.4183</v>
      </c>
      <c r="D568" s="8">
        <f>15.4019 * CHOOSE( CONTROL!$C$15, $D$11, 100%, $F$11)</f>
        <v>15.401899999999999</v>
      </c>
      <c r="E568" s="12">
        <f>15.4068 * CHOOSE( CONTROL!$C$15, $D$11, 100%, $F$11)</f>
        <v>15.4068</v>
      </c>
      <c r="F568" s="4">
        <f>16.4047 * CHOOSE(CONTROL!$C$15, $D$11, 100%, $F$11)</f>
        <v>16.404699999999998</v>
      </c>
      <c r="G568" s="8">
        <f>15.0307 * CHOOSE( CONTROL!$C$15, $D$11, 100%, $F$11)</f>
        <v>15.0307</v>
      </c>
      <c r="H568" s="4">
        <f>15.9146 * CHOOSE(CONTROL!$C$15, $D$11, 100%, $F$11)</f>
        <v>15.9146</v>
      </c>
      <c r="I568" s="8">
        <f>14.8686 * CHOOSE(CONTROL!$C$15, $D$11, 100%, $F$11)</f>
        <v>14.868600000000001</v>
      </c>
      <c r="J568" s="4">
        <f>14.7591 * CHOOSE(CONTROL!$C$15, $D$11, 100%, $F$11)</f>
        <v>14.7591</v>
      </c>
      <c r="K568" s="4"/>
      <c r="L568" s="9">
        <v>27.3993</v>
      </c>
      <c r="M568" s="9">
        <v>12.063700000000001</v>
      </c>
      <c r="N568" s="9">
        <v>4.9444999999999997</v>
      </c>
      <c r="O568" s="9">
        <v>0.37459999999999999</v>
      </c>
      <c r="P568" s="9">
        <v>1.2939000000000001</v>
      </c>
      <c r="Q568" s="9">
        <v>19.688099999999999</v>
      </c>
      <c r="R568" s="9"/>
      <c r="S568" s="11"/>
    </row>
    <row r="569" spans="1:19" ht="15.75">
      <c r="A569" s="13">
        <v>59202</v>
      </c>
      <c r="B569" s="8">
        <f>15.9966 * CHOOSE(CONTROL!$C$15, $D$11, 100%, $F$11)</f>
        <v>15.996600000000001</v>
      </c>
      <c r="C569" s="8">
        <f>16.007 * CHOOSE(CONTROL!$C$15, $D$11, 100%, $F$11)</f>
        <v>16.007000000000001</v>
      </c>
      <c r="D569" s="8">
        <f>16.0056 * CHOOSE( CONTROL!$C$15, $D$11, 100%, $F$11)</f>
        <v>16.005600000000001</v>
      </c>
      <c r="E569" s="12">
        <f>16.005 * CHOOSE( CONTROL!$C$15, $D$11, 100%, $F$11)</f>
        <v>16.004999999999999</v>
      </c>
      <c r="F569" s="4">
        <f>17.0195 * CHOOSE(CONTROL!$C$15, $D$11, 100%, $F$11)</f>
        <v>17.019500000000001</v>
      </c>
      <c r="G569" s="8">
        <f>15.6214 * CHOOSE( CONTROL!$C$15, $D$11, 100%, $F$11)</f>
        <v>15.6214</v>
      </c>
      <c r="H569" s="4">
        <f>16.5139 * CHOOSE(CONTROL!$C$15, $D$11, 100%, $F$11)</f>
        <v>16.5139</v>
      </c>
      <c r="I569" s="8">
        <f>15.4394 * CHOOSE(CONTROL!$C$15, $D$11, 100%, $F$11)</f>
        <v>15.439399999999999</v>
      </c>
      <c r="J569" s="4">
        <f>15.3232 * CHOOSE(CONTROL!$C$15, $D$11, 100%, $F$11)</f>
        <v>15.3232</v>
      </c>
      <c r="K569" s="4"/>
      <c r="L569" s="9">
        <v>27.3993</v>
      </c>
      <c r="M569" s="9">
        <v>12.063700000000001</v>
      </c>
      <c r="N569" s="9">
        <v>4.9444999999999997</v>
      </c>
      <c r="O569" s="9">
        <v>0.37459999999999999</v>
      </c>
      <c r="P569" s="9">
        <v>1.2939000000000001</v>
      </c>
      <c r="Q569" s="9">
        <v>19.688099999999999</v>
      </c>
      <c r="R569" s="9"/>
      <c r="S569" s="11"/>
    </row>
    <row r="570" spans="1:19" ht="15.75">
      <c r="A570" s="13">
        <v>59230</v>
      </c>
      <c r="B570" s="8">
        <f>14.9628 * CHOOSE(CONTROL!$C$15, $D$11, 100%, $F$11)</f>
        <v>14.9628</v>
      </c>
      <c r="C570" s="8">
        <f>14.9732 * CHOOSE(CONTROL!$C$15, $D$11, 100%, $F$11)</f>
        <v>14.9732</v>
      </c>
      <c r="D570" s="8">
        <f>14.974 * CHOOSE( CONTROL!$C$15, $D$11, 100%, $F$11)</f>
        <v>14.974</v>
      </c>
      <c r="E570" s="12">
        <f>14.9726 * CHOOSE( CONTROL!$C$15, $D$11, 100%, $F$11)</f>
        <v>14.9726</v>
      </c>
      <c r="F570" s="4">
        <f>15.9778 * CHOOSE(CONTROL!$C$15, $D$11, 100%, $F$11)</f>
        <v>15.9778</v>
      </c>
      <c r="G570" s="8">
        <f>14.6134 * CHOOSE( CONTROL!$C$15, $D$11, 100%, $F$11)</f>
        <v>14.6134</v>
      </c>
      <c r="H570" s="4">
        <f>15.4985 * CHOOSE(CONTROL!$C$15, $D$11, 100%, $F$11)</f>
        <v>15.4985</v>
      </c>
      <c r="I570" s="8">
        <f>14.4374 * CHOOSE(CONTROL!$C$15, $D$11, 100%, $F$11)</f>
        <v>14.4374</v>
      </c>
      <c r="J570" s="4">
        <f>14.3326 * CHOOSE(CONTROL!$C$15, $D$11, 100%, $F$11)</f>
        <v>14.332599999999999</v>
      </c>
      <c r="K570" s="4"/>
      <c r="L570" s="9">
        <v>24.747800000000002</v>
      </c>
      <c r="M570" s="9">
        <v>10.8962</v>
      </c>
      <c r="N570" s="9">
        <v>4.4660000000000002</v>
      </c>
      <c r="O570" s="9">
        <v>0.33829999999999999</v>
      </c>
      <c r="P570" s="9">
        <v>1.1687000000000001</v>
      </c>
      <c r="Q570" s="9">
        <v>17.782800000000002</v>
      </c>
      <c r="R570" s="9"/>
      <c r="S570" s="11"/>
    </row>
    <row r="571" spans="1:19" ht="15.75">
      <c r="A571" s="13">
        <v>59261</v>
      </c>
      <c r="B571" s="8">
        <f>14.6443 * CHOOSE(CONTROL!$C$15, $D$11, 100%, $F$11)</f>
        <v>14.644299999999999</v>
      </c>
      <c r="C571" s="8">
        <f>14.6548 * CHOOSE(CONTROL!$C$15, $D$11, 100%, $F$11)</f>
        <v>14.6548</v>
      </c>
      <c r="D571" s="8">
        <f>14.6353 * CHOOSE( CONTROL!$C$15, $D$11, 100%, $F$11)</f>
        <v>14.635300000000001</v>
      </c>
      <c r="E571" s="12">
        <f>14.6413 * CHOOSE( CONTROL!$C$15, $D$11, 100%, $F$11)</f>
        <v>14.641299999999999</v>
      </c>
      <c r="F571" s="4">
        <f>15.6432 * CHOOSE(CONTROL!$C$15, $D$11, 100%, $F$11)</f>
        <v>15.6432</v>
      </c>
      <c r="G571" s="8">
        <f>14.2824 * CHOOSE( CONTROL!$C$15, $D$11, 100%, $F$11)</f>
        <v>14.282400000000001</v>
      </c>
      <c r="H571" s="4">
        <f>15.1723 * CHOOSE(CONTROL!$C$15, $D$11, 100%, $F$11)</f>
        <v>15.1723</v>
      </c>
      <c r="I571" s="8">
        <f>14.0926 * CHOOSE(CONTROL!$C$15, $D$11, 100%, $F$11)</f>
        <v>14.092599999999999</v>
      </c>
      <c r="J571" s="4">
        <f>14.0275 * CHOOSE(CONTROL!$C$15, $D$11, 100%, $F$11)</f>
        <v>14.0275</v>
      </c>
      <c r="K571" s="4"/>
      <c r="L571" s="9">
        <v>27.3993</v>
      </c>
      <c r="M571" s="9">
        <v>12.063700000000001</v>
      </c>
      <c r="N571" s="9">
        <v>4.9444999999999997</v>
      </c>
      <c r="O571" s="9">
        <v>0.37459999999999999</v>
      </c>
      <c r="P571" s="9">
        <v>1.2939000000000001</v>
      </c>
      <c r="Q571" s="9">
        <v>19.688099999999999</v>
      </c>
      <c r="R571" s="9"/>
      <c r="S571" s="11"/>
    </row>
    <row r="572" spans="1:19" ht="15.75">
      <c r="A572" s="13">
        <v>59291</v>
      </c>
      <c r="B572" s="8">
        <f>14.8668 * CHOOSE(CONTROL!$C$15, $D$11, 100%, $F$11)</f>
        <v>14.8668</v>
      </c>
      <c r="C572" s="8">
        <f>14.8773 * CHOOSE(CONTROL!$C$15, $D$11, 100%, $F$11)</f>
        <v>14.8773</v>
      </c>
      <c r="D572" s="8">
        <f>14.8811 * CHOOSE( CONTROL!$C$15, $D$11, 100%, $F$11)</f>
        <v>14.8811</v>
      </c>
      <c r="E572" s="12">
        <f>14.8786 * CHOOSE( CONTROL!$C$15, $D$11, 100%, $F$11)</f>
        <v>14.8786</v>
      </c>
      <c r="F572" s="4">
        <f>15.8741 * CHOOSE(CONTROL!$C$15, $D$11, 100%, $F$11)</f>
        <v>15.8741</v>
      </c>
      <c r="G572" s="8">
        <f>14.4872 * CHOOSE( CONTROL!$C$15, $D$11, 100%, $F$11)</f>
        <v>14.4872</v>
      </c>
      <c r="H572" s="4">
        <f>15.3974 * CHOOSE(CONTROL!$C$15, $D$11, 100%, $F$11)</f>
        <v>15.397399999999999</v>
      </c>
      <c r="I572" s="8">
        <f>14.296 * CHOOSE(CONTROL!$C$15, $D$11, 100%, $F$11)</f>
        <v>14.295999999999999</v>
      </c>
      <c r="J572" s="4">
        <f>14.2407 * CHOOSE(CONTROL!$C$15, $D$11, 100%, $F$11)</f>
        <v>14.2407</v>
      </c>
      <c r="K572" s="4"/>
      <c r="L572" s="9">
        <v>27.988800000000001</v>
      </c>
      <c r="M572" s="9">
        <v>11.6745</v>
      </c>
      <c r="N572" s="9">
        <v>4.7850000000000001</v>
      </c>
      <c r="O572" s="9">
        <v>0.36249999999999999</v>
      </c>
      <c r="P572" s="9">
        <v>1.1798</v>
      </c>
      <c r="Q572" s="9">
        <v>19.053000000000001</v>
      </c>
      <c r="R572" s="9"/>
      <c r="S572" s="11"/>
    </row>
    <row r="573" spans="1:19" ht="15.75">
      <c r="A573" s="13">
        <v>59322</v>
      </c>
      <c r="B573" s="8">
        <f>CHOOSE( CONTROL!$C$32, 15.2678, 15.2628) * CHOOSE(CONTROL!$C$15, $D$11, 100%, $F$11)</f>
        <v>15.267799999999999</v>
      </c>
      <c r="C573" s="8">
        <f>CHOOSE( CONTROL!$C$32, 15.2782, 15.2733) * CHOOSE(CONTROL!$C$15, $D$11, 100%, $F$11)</f>
        <v>15.2782</v>
      </c>
      <c r="D573" s="8">
        <f>CHOOSE( CONTROL!$C$32, 15.2569, 15.2519) * CHOOSE( CONTROL!$C$15, $D$11, 100%, $F$11)</f>
        <v>15.2569</v>
      </c>
      <c r="E573" s="12">
        <f>CHOOSE( CONTROL!$C$32, 15.263, 15.2581) * CHOOSE( CONTROL!$C$15, $D$11, 100%, $F$11)</f>
        <v>15.263</v>
      </c>
      <c r="F573" s="4">
        <f>CHOOSE( CONTROL!$C$32, 16.2427, 16.2378) * CHOOSE(CONTROL!$C$15, $D$11, 100%, $F$11)</f>
        <v>16.242699999999999</v>
      </c>
      <c r="G573" s="8">
        <f>CHOOSE( CONTROL!$C$32, 14.8594, 14.8546) * CHOOSE( CONTROL!$C$15, $D$11, 100%, $F$11)</f>
        <v>14.859400000000001</v>
      </c>
      <c r="H573" s="4">
        <f>CHOOSE( CONTROL!$C$32, 15.7567, 15.7518) * CHOOSE(CONTROL!$C$15, $D$11, 100%, $F$11)</f>
        <v>15.7567</v>
      </c>
      <c r="I573" s="8">
        <f>CHOOSE( CONTROL!$C$32, 14.6588, 14.6541) * CHOOSE(CONTROL!$C$15, $D$11, 100%, $F$11)</f>
        <v>14.658799999999999</v>
      </c>
      <c r="J573" s="4">
        <f>CHOOSE( CONTROL!$C$32, 14.6248, 14.6201) * CHOOSE(CONTROL!$C$15, $D$11, 100%, $F$11)</f>
        <v>14.6248</v>
      </c>
      <c r="K573" s="4"/>
      <c r="L573" s="9">
        <v>29.520499999999998</v>
      </c>
      <c r="M573" s="9">
        <v>12.063700000000001</v>
      </c>
      <c r="N573" s="9">
        <v>4.9444999999999997</v>
      </c>
      <c r="O573" s="9">
        <v>0.37459999999999999</v>
      </c>
      <c r="P573" s="9">
        <v>1.2192000000000001</v>
      </c>
      <c r="Q573" s="9">
        <v>19.688099999999999</v>
      </c>
      <c r="R573" s="9"/>
      <c r="S573" s="11"/>
    </row>
    <row r="574" spans="1:19" ht="15.75">
      <c r="A574" s="13">
        <v>59352</v>
      </c>
      <c r="B574" s="8">
        <f>CHOOSE( CONTROL!$C$32, 15.0225, 15.0175) * CHOOSE(CONTROL!$C$15, $D$11, 100%, $F$11)</f>
        <v>15.022500000000001</v>
      </c>
      <c r="C574" s="8">
        <f>CHOOSE( CONTROL!$C$32, 15.0329, 15.028) * CHOOSE(CONTROL!$C$15, $D$11, 100%, $F$11)</f>
        <v>15.0329</v>
      </c>
      <c r="D574" s="8">
        <f>CHOOSE( CONTROL!$C$32, 15.025, 15.0201) * CHOOSE( CONTROL!$C$15, $D$11, 100%, $F$11)</f>
        <v>15.025</v>
      </c>
      <c r="E574" s="12">
        <f>CHOOSE( CONTROL!$C$32, 15.0263, 15.0214) * CHOOSE( CONTROL!$C$15, $D$11, 100%, $F$11)</f>
        <v>15.026300000000001</v>
      </c>
      <c r="F574" s="4">
        <f>CHOOSE( CONTROL!$C$32, 16.0167, 16.0117) * CHOOSE(CONTROL!$C$15, $D$11, 100%, $F$11)</f>
        <v>16.0167</v>
      </c>
      <c r="G574" s="8">
        <f>CHOOSE( CONTROL!$C$32, 14.6307, 14.6259) * CHOOSE( CONTROL!$C$15, $D$11, 100%, $F$11)</f>
        <v>14.630699999999999</v>
      </c>
      <c r="H574" s="4">
        <f>CHOOSE( CONTROL!$C$32, 15.5364, 15.5315) * CHOOSE(CONTROL!$C$15, $D$11, 100%, $F$11)</f>
        <v>15.5364</v>
      </c>
      <c r="I574" s="8">
        <f>CHOOSE( CONTROL!$C$32, 14.4415, 14.4368) * CHOOSE(CONTROL!$C$15, $D$11, 100%, $F$11)</f>
        <v>14.4415</v>
      </c>
      <c r="J574" s="4">
        <f>CHOOSE( CONTROL!$C$32, 14.3898, 14.385) * CHOOSE(CONTROL!$C$15, $D$11, 100%, $F$11)</f>
        <v>14.389799999999999</v>
      </c>
      <c r="K574" s="4"/>
      <c r="L574" s="9">
        <v>28.568200000000001</v>
      </c>
      <c r="M574" s="9">
        <v>11.6745</v>
      </c>
      <c r="N574" s="9">
        <v>4.7850000000000001</v>
      </c>
      <c r="O574" s="9">
        <v>0.36249999999999999</v>
      </c>
      <c r="P574" s="9">
        <v>1.1798</v>
      </c>
      <c r="Q574" s="9">
        <v>19.053000000000001</v>
      </c>
      <c r="R574" s="9"/>
      <c r="S574" s="11"/>
    </row>
    <row r="575" spans="1:19" ht="15.75">
      <c r="A575" s="13">
        <v>59383</v>
      </c>
      <c r="B575" s="8">
        <f>CHOOSE( CONTROL!$C$32, 15.6685, 15.6635) * CHOOSE(CONTROL!$C$15, $D$11, 100%, $F$11)</f>
        <v>15.6685</v>
      </c>
      <c r="C575" s="8">
        <f>CHOOSE( CONTROL!$C$32, 15.6789, 15.674) * CHOOSE(CONTROL!$C$15, $D$11, 100%, $F$11)</f>
        <v>15.678900000000001</v>
      </c>
      <c r="D575" s="8">
        <f>CHOOSE( CONTROL!$C$32, 15.6779, 15.673) * CHOOSE( CONTROL!$C$15, $D$11, 100%, $F$11)</f>
        <v>15.677899999999999</v>
      </c>
      <c r="E575" s="12">
        <f>CHOOSE( CONTROL!$C$32, 15.6767, 15.6718) * CHOOSE( CONTROL!$C$15, $D$11, 100%, $F$11)</f>
        <v>15.6767</v>
      </c>
      <c r="F575" s="4">
        <f>CHOOSE( CONTROL!$C$32, 16.6731, 16.6682) * CHOOSE(CONTROL!$C$15, $D$11, 100%, $F$11)</f>
        <v>16.673100000000002</v>
      </c>
      <c r="G575" s="8">
        <f>CHOOSE( CONTROL!$C$32, 15.2645, 15.2597) * CHOOSE( CONTROL!$C$15, $D$11, 100%, $F$11)</f>
        <v>15.2645</v>
      </c>
      <c r="H575" s="4">
        <f>CHOOSE( CONTROL!$C$32, 16.1762, 16.1714) * CHOOSE(CONTROL!$C$15, $D$11, 100%, $F$11)</f>
        <v>16.176200000000001</v>
      </c>
      <c r="I575" s="8">
        <f>CHOOSE( CONTROL!$C$32, 15.0684, 15.0637) * CHOOSE(CONTROL!$C$15, $D$11, 100%, $F$11)</f>
        <v>15.0684</v>
      </c>
      <c r="J575" s="4">
        <f>CHOOSE( CONTROL!$C$32, 15.0088, 15.004) * CHOOSE(CONTROL!$C$15, $D$11, 100%, $F$11)</f>
        <v>15.008800000000001</v>
      </c>
      <c r="K575" s="4"/>
      <c r="L575" s="9">
        <v>29.520499999999998</v>
      </c>
      <c r="M575" s="9">
        <v>12.063700000000001</v>
      </c>
      <c r="N575" s="9">
        <v>4.9444999999999997</v>
      </c>
      <c r="O575" s="9">
        <v>0.37459999999999999</v>
      </c>
      <c r="P575" s="9">
        <v>1.2192000000000001</v>
      </c>
      <c r="Q575" s="9">
        <v>19.688099999999999</v>
      </c>
      <c r="R575" s="9"/>
      <c r="S575" s="11"/>
    </row>
    <row r="576" spans="1:19" ht="15.75">
      <c r="A576" s="13">
        <v>59414</v>
      </c>
      <c r="B576" s="8">
        <f>CHOOSE( CONTROL!$C$32, 14.4597, 14.4548) * CHOOSE(CONTROL!$C$15, $D$11, 100%, $F$11)</f>
        <v>14.4597</v>
      </c>
      <c r="C576" s="8">
        <f>CHOOSE( CONTROL!$C$32, 14.4702, 14.4652) * CHOOSE(CONTROL!$C$15, $D$11, 100%, $F$11)</f>
        <v>14.4702</v>
      </c>
      <c r="D576" s="8">
        <f>CHOOSE( CONTROL!$C$32, 14.4703, 14.4654) * CHOOSE( CONTROL!$C$15, $D$11, 100%, $F$11)</f>
        <v>14.4703</v>
      </c>
      <c r="E576" s="12">
        <f>CHOOSE( CONTROL!$C$32, 14.4687, 14.4637) * CHOOSE( CONTROL!$C$15, $D$11, 100%, $F$11)</f>
        <v>14.4687</v>
      </c>
      <c r="F576" s="4">
        <f>CHOOSE( CONTROL!$C$32, 15.4722, 15.4673) * CHOOSE(CONTROL!$C$15, $D$11, 100%, $F$11)</f>
        <v>15.472200000000001</v>
      </c>
      <c r="G576" s="8">
        <f>CHOOSE( CONTROL!$C$32, 14.0815, 14.0767) * CHOOSE( CONTROL!$C$15, $D$11, 100%, $F$11)</f>
        <v>14.0815</v>
      </c>
      <c r="H576" s="4">
        <f>CHOOSE( CONTROL!$C$32, 15.0056, 15.0008) * CHOOSE(CONTROL!$C$15, $D$11, 100%, $F$11)</f>
        <v>15.005599999999999</v>
      </c>
      <c r="I576" s="8">
        <f>CHOOSE( CONTROL!$C$32, 13.9006, 13.8959) * CHOOSE(CONTROL!$C$15, $D$11, 100%, $F$11)</f>
        <v>13.900600000000001</v>
      </c>
      <c r="J576" s="4">
        <f>CHOOSE( CONTROL!$C$32, 13.8506, 13.8458) * CHOOSE(CONTROL!$C$15, $D$11, 100%, $F$11)</f>
        <v>13.8506</v>
      </c>
      <c r="K576" s="4"/>
      <c r="L576" s="9">
        <v>29.520499999999998</v>
      </c>
      <c r="M576" s="9">
        <v>12.063700000000001</v>
      </c>
      <c r="N576" s="9">
        <v>4.9444999999999997</v>
      </c>
      <c r="O576" s="9">
        <v>0.37459999999999999</v>
      </c>
      <c r="P576" s="9">
        <v>1.2192000000000001</v>
      </c>
      <c r="Q576" s="9">
        <v>19.688099999999999</v>
      </c>
      <c r="R576" s="9"/>
      <c r="S576" s="11"/>
    </row>
    <row r="577" spans="1:19" ht="15.75">
      <c r="A577" s="13">
        <v>59444</v>
      </c>
      <c r="B577" s="8">
        <f>CHOOSE( CONTROL!$C$32, 14.1571, 14.1521) * CHOOSE(CONTROL!$C$15, $D$11, 100%, $F$11)</f>
        <v>14.1571</v>
      </c>
      <c r="C577" s="8">
        <f>CHOOSE( CONTROL!$C$32, 14.1675, 14.1626) * CHOOSE(CONTROL!$C$15, $D$11, 100%, $F$11)</f>
        <v>14.1675</v>
      </c>
      <c r="D577" s="8">
        <f>CHOOSE( CONTROL!$C$32, 14.1679, 14.163) * CHOOSE( CONTROL!$C$15, $D$11, 100%, $F$11)</f>
        <v>14.167899999999999</v>
      </c>
      <c r="E577" s="12">
        <f>CHOOSE( CONTROL!$C$32, 14.1662, 14.1613) * CHOOSE( CONTROL!$C$15, $D$11, 100%, $F$11)</f>
        <v>14.1662</v>
      </c>
      <c r="F577" s="4">
        <f>CHOOSE( CONTROL!$C$32, 15.1695, 15.1646) * CHOOSE(CONTROL!$C$15, $D$11, 100%, $F$11)</f>
        <v>15.169499999999999</v>
      </c>
      <c r="G577" s="8">
        <f>CHOOSE( CONTROL!$C$32, 13.7868, 13.782) * CHOOSE( CONTROL!$C$15, $D$11, 100%, $F$11)</f>
        <v>13.786799999999999</v>
      </c>
      <c r="H577" s="4">
        <f>CHOOSE( CONTROL!$C$32, 14.7106, 14.7058) * CHOOSE(CONTROL!$C$15, $D$11, 100%, $F$11)</f>
        <v>14.710599999999999</v>
      </c>
      <c r="I577" s="8">
        <f>CHOOSE( CONTROL!$C$32, 13.6119, 13.6071) * CHOOSE(CONTROL!$C$15, $D$11, 100%, $F$11)</f>
        <v>13.6119</v>
      </c>
      <c r="J577" s="4">
        <f>CHOOSE( CONTROL!$C$32, 13.5605, 13.5558) * CHOOSE(CONTROL!$C$15, $D$11, 100%, $F$11)</f>
        <v>13.560499999999999</v>
      </c>
      <c r="K577" s="4"/>
      <c r="L577" s="9">
        <v>28.568200000000001</v>
      </c>
      <c r="M577" s="9">
        <v>11.6745</v>
      </c>
      <c r="N577" s="9">
        <v>4.7850000000000001</v>
      </c>
      <c r="O577" s="9">
        <v>0.36249999999999999</v>
      </c>
      <c r="P577" s="9">
        <v>1.1798</v>
      </c>
      <c r="Q577" s="9">
        <v>19.053000000000001</v>
      </c>
      <c r="R577" s="9"/>
      <c r="S577" s="11"/>
    </row>
    <row r="578" spans="1:19" ht="15.75">
      <c r="A578" s="13">
        <v>59475</v>
      </c>
      <c r="B578" s="8">
        <f>14.7806 * CHOOSE(CONTROL!$C$15, $D$11, 100%, $F$11)</f>
        <v>14.7806</v>
      </c>
      <c r="C578" s="8">
        <f>14.791 * CHOOSE(CONTROL!$C$15, $D$11, 100%, $F$11)</f>
        <v>14.791</v>
      </c>
      <c r="D578" s="8">
        <f>14.7927 * CHOOSE( CONTROL!$C$15, $D$11, 100%, $F$11)</f>
        <v>14.7927</v>
      </c>
      <c r="E578" s="12">
        <f>14.791 * CHOOSE( CONTROL!$C$15, $D$11, 100%, $F$11)</f>
        <v>14.791</v>
      </c>
      <c r="F578" s="4">
        <f>15.7931 * CHOOSE(CONTROL!$C$15, $D$11, 100%, $F$11)</f>
        <v>15.793100000000001</v>
      </c>
      <c r="G578" s="8">
        <f>14.3943 * CHOOSE( CONTROL!$C$15, $D$11, 100%, $F$11)</f>
        <v>14.394299999999999</v>
      </c>
      <c r="H578" s="4">
        <f>15.3184 * CHOOSE(CONTROL!$C$15, $D$11, 100%, $F$11)</f>
        <v>15.3184</v>
      </c>
      <c r="I578" s="8">
        <f>14.2119 * CHOOSE(CONTROL!$C$15, $D$11, 100%, $F$11)</f>
        <v>14.2119</v>
      </c>
      <c r="J578" s="4">
        <f>14.158 * CHOOSE(CONTROL!$C$15, $D$11, 100%, $F$11)</f>
        <v>14.157999999999999</v>
      </c>
      <c r="K578" s="4"/>
      <c r="L578" s="9">
        <v>28.921800000000001</v>
      </c>
      <c r="M578" s="9">
        <v>12.063700000000001</v>
      </c>
      <c r="N578" s="9">
        <v>4.9444999999999997</v>
      </c>
      <c r="O578" s="9">
        <v>0.37459999999999999</v>
      </c>
      <c r="P578" s="9">
        <v>1.2192000000000001</v>
      </c>
      <c r="Q578" s="9">
        <v>19.688099999999999</v>
      </c>
      <c r="R578" s="9"/>
      <c r="S578" s="11"/>
    </row>
    <row r="579" spans="1:19" ht="15.75">
      <c r="A579" s="13">
        <v>59505</v>
      </c>
      <c r="B579" s="8">
        <f>15.9406 * CHOOSE(CONTROL!$C$15, $D$11, 100%, $F$11)</f>
        <v>15.9406</v>
      </c>
      <c r="C579" s="8">
        <f>15.9511 * CHOOSE(CONTROL!$C$15, $D$11, 100%, $F$11)</f>
        <v>15.9511</v>
      </c>
      <c r="D579" s="8">
        <f>15.9321 * CHOOSE( CONTROL!$C$15, $D$11, 100%, $F$11)</f>
        <v>15.9321</v>
      </c>
      <c r="E579" s="12">
        <f>15.9379 * CHOOSE( CONTROL!$C$15, $D$11, 100%, $F$11)</f>
        <v>15.937900000000001</v>
      </c>
      <c r="F579" s="4">
        <f>16.9374 * CHOOSE(CONTROL!$C$15, $D$11, 100%, $F$11)</f>
        <v>16.9374</v>
      </c>
      <c r="G579" s="8">
        <f>15.548 * CHOOSE( CONTROL!$C$15, $D$11, 100%, $F$11)</f>
        <v>15.548</v>
      </c>
      <c r="H579" s="4">
        <f>16.4339 * CHOOSE(CONTROL!$C$15, $D$11, 100%, $F$11)</f>
        <v>16.433900000000001</v>
      </c>
      <c r="I579" s="8">
        <f>15.3705 * CHOOSE(CONTROL!$C$15, $D$11, 100%, $F$11)</f>
        <v>15.3705</v>
      </c>
      <c r="J579" s="4">
        <f>15.2695 * CHOOSE(CONTROL!$C$15, $D$11, 100%, $F$11)</f>
        <v>15.269500000000001</v>
      </c>
      <c r="K579" s="4"/>
      <c r="L579" s="9">
        <v>26.515499999999999</v>
      </c>
      <c r="M579" s="9">
        <v>11.6745</v>
      </c>
      <c r="N579" s="9">
        <v>4.7850000000000001</v>
      </c>
      <c r="O579" s="9">
        <v>0.36249999999999999</v>
      </c>
      <c r="P579" s="9">
        <v>1.2522</v>
      </c>
      <c r="Q579" s="9">
        <v>19.053000000000001</v>
      </c>
      <c r="R579" s="9"/>
      <c r="S579" s="11"/>
    </row>
    <row r="580" spans="1:19" ht="15.75">
      <c r="A580" s="13">
        <v>59536</v>
      </c>
      <c r="B580" s="8">
        <f>15.9116 * CHOOSE(CONTROL!$C$15, $D$11, 100%, $F$11)</f>
        <v>15.9116</v>
      </c>
      <c r="C580" s="8">
        <f>15.9221 * CHOOSE(CONTROL!$C$15, $D$11, 100%, $F$11)</f>
        <v>15.9221</v>
      </c>
      <c r="D580" s="8">
        <f>15.9057 * CHOOSE( CONTROL!$C$15, $D$11, 100%, $F$11)</f>
        <v>15.9057</v>
      </c>
      <c r="E580" s="12">
        <f>15.9106 * CHOOSE( CONTROL!$C$15, $D$11, 100%, $F$11)</f>
        <v>15.910600000000001</v>
      </c>
      <c r="F580" s="4">
        <f>16.9085 * CHOOSE(CONTROL!$C$15, $D$11, 100%, $F$11)</f>
        <v>16.9085</v>
      </c>
      <c r="G580" s="8">
        <f>15.5217 * CHOOSE( CONTROL!$C$15, $D$11, 100%, $F$11)</f>
        <v>15.521699999999999</v>
      </c>
      <c r="H580" s="4">
        <f>16.4056 * CHOOSE(CONTROL!$C$15, $D$11, 100%, $F$11)</f>
        <v>16.4056</v>
      </c>
      <c r="I580" s="8">
        <f>15.3515 * CHOOSE(CONTROL!$C$15, $D$11, 100%, $F$11)</f>
        <v>15.3515</v>
      </c>
      <c r="J580" s="4">
        <f>15.2418 * CHOOSE(CONTROL!$C$15, $D$11, 100%, $F$11)</f>
        <v>15.2418</v>
      </c>
      <c r="K580" s="4"/>
      <c r="L580" s="9">
        <v>27.3993</v>
      </c>
      <c r="M580" s="9">
        <v>12.063700000000001</v>
      </c>
      <c r="N580" s="9">
        <v>4.9444999999999997</v>
      </c>
      <c r="O580" s="9">
        <v>0.37459999999999999</v>
      </c>
      <c r="P580" s="9">
        <v>1.2939000000000001</v>
      </c>
      <c r="Q580" s="9">
        <v>19.688099999999999</v>
      </c>
      <c r="R580" s="9"/>
      <c r="S580" s="11"/>
    </row>
    <row r="581" spans="1:19" ht="15.75">
      <c r="A581" s="13">
        <v>59567</v>
      </c>
      <c r="B581" s="8">
        <f>16.5196 * CHOOSE(CONTROL!$C$15, $D$11, 100%, $F$11)</f>
        <v>16.519600000000001</v>
      </c>
      <c r="C581" s="8">
        <f>16.53 * CHOOSE(CONTROL!$C$15, $D$11, 100%, $F$11)</f>
        <v>16.53</v>
      </c>
      <c r="D581" s="8">
        <f>16.5286 * CHOOSE( CONTROL!$C$15, $D$11, 100%, $F$11)</f>
        <v>16.528600000000001</v>
      </c>
      <c r="E581" s="12">
        <f>16.528 * CHOOSE( CONTROL!$C$15, $D$11, 100%, $F$11)</f>
        <v>16.527999999999999</v>
      </c>
      <c r="F581" s="4">
        <f>17.5425 * CHOOSE(CONTROL!$C$15, $D$11, 100%, $F$11)</f>
        <v>17.5425</v>
      </c>
      <c r="G581" s="8">
        <f>16.1312 * CHOOSE( CONTROL!$C$15, $D$11, 100%, $F$11)</f>
        <v>16.1312</v>
      </c>
      <c r="H581" s="4">
        <f>17.0237 * CHOOSE(CONTROL!$C$15, $D$11, 100%, $F$11)</f>
        <v>17.023700000000002</v>
      </c>
      <c r="I581" s="8">
        <f>15.9408 * CHOOSE(CONTROL!$C$15, $D$11, 100%, $F$11)</f>
        <v>15.940799999999999</v>
      </c>
      <c r="J581" s="4">
        <f>15.8243 * CHOOSE(CONTROL!$C$15, $D$11, 100%, $F$11)</f>
        <v>15.824299999999999</v>
      </c>
      <c r="K581" s="4"/>
      <c r="L581" s="9">
        <v>27.3993</v>
      </c>
      <c r="M581" s="9">
        <v>12.063700000000001</v>
      </c>
      <c r="N581" s="9">
        <v>4.9444999999999997</v>
      </c>
      <c r="O581" s="9">
        <v>0.37459999999999999</v>
      </c>
      <c r="P581" s="9">
        <v>1.2939000000000001</v>
      </c>
      <c r="Q581" s="9">
        <v>19.688099999999999</v>
      </c>
      <c r="R581" s="9"/>
      <c r="S581" s="11"/>
    </row>
    <row r="582" spans="1:19" ht="15.75">
      <c r="A582" s="13">
        <v>59595</v>
      </c>
      <c r="B582" s="8">
        <f>15.4519 * CHOOSE(CONTROL!$C$15, $D$11, 100%, $F$11)</f>
        <v>15.4519</v>
      </c>
      <c r="C582" s="8">
        <f>15.4624 * CHOOSE(CONTROL!$C$15, $D$11, 100%, $F$11)</f>
        <v>15.462400000000001</v>
      </c>
      <c r="D582" s="8">
        <f>15.4632 * CHOOSE( CONTROL!$C$15, $D$11, 100%, $F$11)</f>
        <v>15.463200000000001</v>
      </c>
      <c r="E582" s="12">
        <f>15.4618 * CHOOSE( CONTROL!$C$15, $D$11, 100%, $F$11)</f>
        <v>15.4618</v>
      </c>
      <c r="F582" s="4">
        <f>16.467 * CHOOSE(CONTROL!$C$15, $D$11, 100%, $F$11)</f>
        <v>16.466999999999999</v>
      </c>
      <c r="G582" s="8">
        <f>15.0903 * CHOOSE( CONTROL!$C$15, $D$11, 100%, $F$11)</f>
        <v>15.090299999999999</v>
      </c>
      <c r="H582" s="4">
        <f>15.9753 * CHOOSE(CONTROL!$C$15, $D$11, 100%, $F$11)</f>
        <v>15.975300000000001</v>
      </c>
      <c r="I582" s="8">
        <f>14.9063 * CHOOSE(CONTROL!$C$15, $D$11, 100%, $F$11)</f>
        <v>14.9063</v>
      </c>
      <c r="J582" s="4">
        <f>14.8013 * CHOOSE(CONTROL!$C$15, $D$11, 100%, $F$11)</f>
        <v>14.801299999999999</v>
      </c>
      <c r="K582" s="4"/>
      <c r="L582" s="9">
        <v>24.747800000000002</v>
      </c>
      <c r="M582" s="9">
        <v>10.8962</v>
      </c>
      <c r="N582" s="9">
        <v>4.4660000000000002</v>
      </c>
      <c r="O582" s="9">
        <v>0.33829999999999999</v>
      </c>
      <c r="P582" s="9">
        <v>1.1687000000000001</v>
      </c>
      <c r="Q582" s="9">
        <v>17.782800000000002</v>
      </c>
      <c r="R582" s="9"/>
      <c r="S582" s="11"/>
    </row>
    <row r="583" spans="1:19" ht="15.75">
      <c r="A583" s="13">
        <v>59626</v>
      </c>
      <c r="B583" s="8">
        <f>15.1231 * CHOOSE(CONTROL!$C$15, $D$11, 100%, $F$11)</f>
        <v>15.123100000000001</v>
      </c>
      <c r="C583" s="8">
        <f>15.1335 * CHOOSE(CONTROL!$C$15, $D$11, 100%, $F$11)</f>
        <v>15.1335</v>
      </c>
      <c r="D583" s="8">
        <f>15.114 * CHOOSE( CONTROL!$C$15, $D$11, 100%, $F$11)</f>
        <v>15.114000000000001</v>
      </c>
      <c r="E583" s="12">
        <f>15.12 * CHOOSE( CONTROL!$C$15, $D$11, 100%, $F$11)</f>
        <v>15.12</v>
      </c>
      <c r="F583" s="4">
        <f>16.122 * CHOOSE(CONTROL!$C$15, $D$11, 100%, $F$11)</f>
        <v>16.122</v>
      </c>
      <c r="G583" s="8">
        <f>14.749 * CHOOSE( CONTROL!$C$15, $D$11, 100%, $F$11)</f>
        <v>14.749000000000001</v>
      </c>
      <c r="H583" s="4">
        <f>15.639 * CHOOSE(CONTROL!$C$15, $D$11, 100%, $F$11)</f>
        <v>15.638999999999999</v>
      </c>
      <c r="I583" s="8">
        <f>14.5516 * CHOOSE(CONTROL!$C$15, $D$11, 100%, $F$11)</f>
        <v>14.551600000000001</v>
      </c>
      <c r="J583" s="4">
        <f>14.4862 * CHOOSE(CONTROL!$C$15, $D$11, 100%, $F$11)</f>
        <v>14.4862</v>
      </c>
      <c r="K583" s="4"/>
      <c r="L583" s="9">
        <v>27.3993</v>
      </c>
      <c r="M583" s="9">
        <v>12.063700000000001</v>
      </c>
      <c r="N583" s="9">
        <v>4.9444999999999997</v>
      </c>
      <c r="O583" s="9">
        <v>0.37459999999999999</v>
      </c>
      <c r="P583" s="9">
        <v>1.2939000000000001</v>
      </c>
      <c r="Q583" s="9">
        <v>19.688099999999999</v>
      </c>
      <c r="R583" s="9"/>
      <c r="S583" s="11"/>
    </row>
    <row r="584" spans="1:19" ht="15.75">
      <c r="A584" s="13">
        <v>59656</v>
      </c>
      <c r="B584" s="8">
        <f>15.3529 * CHOOSE(CONTROL!$C$15, $D$11, 100%, $F$11)</f>
        <v>15.3529</v>
      </c>
      <c r="C584" s="8">
        <f>15.3633 * CHOOSE(CONTROL!$C$15, $D$11, 100%, $F$11)</f>
        <v>15.363300000000001</v>
      </c>
      <c r="D584" s="8">
        <f>15.3672 * CHOOSE( CONTROL!$C$15, $D$11, 100%, $F$11)</f>
        <v>15.3672</v>
      </c>
      <c r="E584" s="12">
        <f>15.3647 * CHOOSE( CONTROL!$C$15, $D$11, 100%, $F$11)</f>
        <v>15.364699999999999</v>
      </c>
      <c r="F584" s="4">
        <f>16.3601 * CHOOSE(CONTROL!$C$15, $D$11, 100%, $F$11)</f>
        <v>16.360099999999999</v>
      </c>
      <c r="G584" s="8">
        <f>14.961 * CHOOSE( CONTROL!$C$15, $D$11, 100%, $F$11)</f>
        <v>14.961</v>
      </c>
      <c r="H584" s="4">
        <f>15.8711 * CHOOSE(CONTROL!$C$15, $D$11, 100%, $F$11)</f>
        <v>15.8711</v>
      </c>
      <c r="I584" s="8">
        <f>14.762 * CHOOSE(CONTROL!$C$15, $D$11, 100%, $F$11)</f>
        <v>14.762</v>
      </c>
      <c r="J584" s="4">
        <f>14.7064 * CHOOSE(CONTROL!$C$15, $D$11, 100%, $F$11)</f>
        <v>14.7064</v>
      </c>
      <c r="K584" s="4"/>
      <c r="L584" s="9">
        <v>27.988800000000001</v>
      </c>
      <c r="M584" s="9">
        <v>11.6745</v>
      </c>
      <c r="N584" s="9">
        <v>4.7850000000000001</v>
      </c>
      <c r="O584" s="9">
        <v>0.36249999999999999</v>
      </c>
      <c r="P584" s="9">
        <v>1.1798</v>
      </c>
      <c r="Q584" s="9">
        <v>19.053000000000001</v>
      </c>
      <c r="R584" s="9"/>
      <c r="S584" s="11"/>
    </row>
    <row r="585" spans="1:19" ht="15.75">
      <c r="A585" s="13">
        <v>59687</v>
      </c>
      <c r="B585" s="8">
        <f>CHOOSE( CONTROL!$C$32, 15.7668, 15.7618) * CHOOSE(CONTROL!$C$15, $D$11, 100%, $F$11)</f>
        <v>15.7668</v>
      </c>
      <c r="C585" s="8">
        <f>CHOOSE( CONTROL!$C$32, 15.7772, 15.7723) * CHOOSE(CONTROL!$C$15, $D$11, 100%, $F$11)</f>
        <v>15.777200000000001</v>
      </c>
      <c r="D585" s="8">
        <f>CHOOSE( CONTROL!$C$32, 15.7559, 15.7509) * CHOOSE( CONTROL!$C$15, $D$11, 100%, $F$11)</f>
        <v>15.7559</v>
      </c>
      <c r="E585" s="12">
        <f>CHOOSE( CONTROL!$C$32, 15.762, 15.7571) * CHOOSE( CONTROL!$C$15, $D$11, 100%, $F$11)</f>
        <v>15.762</v>
      </c>
      <c r="F585" s="4">
        <f>CHOOSE( CONTROL!$C$32, 16.7417, 16.7367) * CHOOSE(CONTROL!$C$15, $D$11, 100%, $F$11)</f>
        <v>16.741700000000002</v>
      </c>
      <c r="G585" s="8">
        <f>CHOOSE( CONTROL!$C$32, 15.3458, 15.341) * CHOOSE( CONTROL!$C$15, $D$11, 100%, $F$11)</f>
        <v>15.345800000000001</v>
      </c>
      <c r="H585" s="4">
        <f>CHOOSE( CONTROL!$C$32, 16.2431, 16.2382) * CHOOSE(CONTROL!$C$15, $D$11, 100%, $F$11)</f>
        <v>16.243099999999998</v>
      </c>
      <c r="I585" s="8">
        <f>CHOOSE( CONTROL!$C$32, 15.1372, 15.1325) * CHOOSE(CONTROL!$C$15, $D$11, 100%, $F$11)</f>
        <v>15.1372</v>
      </c>
      <c r="J585" s="4">
        <f>CHOOSE( CONTROL!$C$32, 15.103, 15.0982) * CHOOSE(CONTROL!$C$15, $D$11, 100%, $F$11)</f>
        <v>15.103</v>
      </c>
      <c r="K585" s="4"/>
      <c r="L585" s="9">
        <v>29.520499999999998</v>
      </c>
      <c r="M585" s="9">
        <v>12.063700000000001</v>
      </c>
      <c r="N585" s="9">
        <v>4.9444999999999997</v>
      </c>
      <c r="O585" s="9">
        <v>0.37459999999999999</v>
      </c>
      <c r="P585" s="9">
        <v>1.2192000000000001</v>
      </c>
      <c r="Q585" s="9">
        <v>19.688099999999999</v>
      </c>
      <c r="R585" s="9"/>
      <c r="S585" s="11"/>
    </row>
    <row r="586" spans="1:19" ht="15.75">
      <c r="A586" s="13">
        <v>59717</v>
      </c>
      <c r="B586" s="8">
        <f>CHOOSE( CONTROL!$C$32, 15.5134, 15.5085) * CHOOSE(CONTROL!$C$15, $D$11, 100%, $F$11)</f>
        <v>15.513400000000001</v>
      </c>
      <c r="C586" s="8">
        <f>CHOOSE( CONTROL!$C$32, 15.5239, 15.5189) * CHOOSE(CONTROL!$C$15, $D$11, 100%, $F$11)</f>
        <v>15.523899999999999</v>
      </c>
      <c r="D586" s="8">
        <f>CHOOSE( CONTROL!$C$32, 15.516, 15.511) * CHOOSE( CONTROL!$C$15, $D$11, 100%, $F$11)</f>
        <v>15.516</v>
      </c>
      <c r="E586" s="12">
        <f>CHOOSE( CONTROL!$C$32, 15.5173, 15.5123) * CHOOSE( CONTROL!$C$15, $D$11, 100%, $F$11)</f>
        <v>15.517300000000001</v>
      </c>
      <c r="F586" s="4">
        <f>CHOOSE( CONTROL!$C$32, 16.5076, 16.5027) * CHOOSE(CONTROL!$C$15, $D$11, 100%, $F$11)</f>
        <v>16.5076</v>
      </c>
      <c r="G586" s="8">
        <f>CHOOSE( CONTROL!$C$32, 15.1093, 15.1045) * CHOOSE( CONTROL!$C$15, $D$11, 100%, $F$11)</f>
        <v>15.109299999999999</v>
      </c>
      <c r="H586" s="4">
        <f>CHOOSE( CONTROL!$C$32, 16.0149, 16.0101) * CHOOSE(CONTROL!$C$15, $D$11, 100%, $F$11)</f>
        <v>16.014900000000001</v>
      </c>
      <c r="I586" s="8">
        <f>CHOOSE( CONTROL!$C$32, 14.9122, 14.9074) * CHOOSE(CONTROL!$C$15, $D$11, 100%, $F$11)</f>
        <v>14.9122</v>
      </c>
      <c r="J586" s="4">
        <f>CHOOSE( CONTROL!$C$32, 14.8602, 14.8555) * CHOOSE(CONTROL!$C$15, $D$11, 100%, $F$11)</f>
        <v>14.860200000000001</v>
      </c>
      <c r="K586" s="4"/>
      <c r="L586" s="9">
        <v>28.568200000000001</v>
      </c>
      <c r="M586" s="9">
        <v>11.6745</v>
      </c>
      <c r="N586" s="9">
        <v>4.7850000000000001</v>
      </c>
      <c r="O586" s="9">
        <v>0.36249999999999999</v>
      </c>
      <c r="P586" s="9">
        <v>1.1798</v>
      </c>
      <c r="Q586" s="9">
        <v>19.053000000000001</v>
      </c>
      <c r="R586" s="9"/>
      <c r="S586" s="11"/>
    </row>
    <row r="587" spans="1:19" ht="15.75">
      <c r="A587" s="13">
        <v>59748</v>
      </c>
      <c r="B587" s="8">
        <f>CHOOSE( CONTROL!$C$32, 16.1806, 16.1756) * CHOOSE(CONTROL!$C$15, $D$11, 100%, $F$11)</f>
        <v>16.180599999999998</v>
      </c>
      <c r="C587" s="8">
        <f>CHOOSE( CONTROL!$C$32, 16.191, 16.1861) * CHOOSE(CONTROL!$C$15, $D$11, 100%, $F$11)</f>
        <v>16.190999999999999</v>
      </c>
      <c r="D587" s="8">
        <f>CHOOSE( CONTROL!$C$32, 16.19, 16.1851) * CHOOSE( CONTROL!$C$15, $D$11, 100%, $F$11)</f>
        <v>16.190000000000001</v>
      </c>
      <c r="E587" s="12">
        <f>CHOOSE( CONTROL!$C$32, 16.1888, 16.1839) * CHOOSE( CONTROL!$C$15, $D$11, 100%, $F$11)</f>
        <v>16.188800000000001</v>
      </c>
      <c r="F587" s="4">
        <f>CHOOSE( CONTROL!$C$32, 17.1852, 17.1803) * CHOOSE(CONTROL!$C$15, $D$11, 100%, $F$11)</f>
        <v>17.185199999999998</v>
      </c>
      <c r="G587" s="8">
        <f>CHOOSE( CONTROL!$C$32, 15.7637, 15.7589) * CHOOSE( CONTROL!$C$15, $D$11, 100%, $F$11)</f>
        <v>15.7637</v>
      </c>
      <c r="H587" s="4">
        <f>CHOOSE( CONTROL!$C$32, 16.6754, 16.6706) * CHOOSE(CONTROL!$C$15, $D$11, 100%, $F$11)</f>
        <v>16.6754</v>
      </c>
      <c r="I587" s="8">
        <f>CHOOSE( CONTROL!$C$32, 15.5594, 15.5546) * CHOOSE(CONTROL!$C$15, $D$11, 100%, $F$11)</f>
        <v>15.5594</v>
      </c>
      <c r="J587" s="4">
        <f>CHOOSE( CONTROL!$C$32, 15.4995, 15.4947) * CHOOSE(CONTROL!$C$15, $D$11, 100%, $F$11)</f>
        <v>15.499499999999999</v>
      </c>
      <c r="K587" s="4"/>
      <c r="L587" s="9">
        <v>29.520499999999998</v>
      </c>
      <c r="M587" s="9">
        <v>12.063700000000001</v>
      </c>
      <c r="N587" s="9">
        <v>4.9444999999999997</v>
      </c>
      <c r="O587" s="9">
        <v>0.37459999999999999</v>
      </c>
      <c r="P587" s="9">
        <v>1.2192000000000001</v>
      </c>
      <c r="Q587" s="9">
        <v>19.688099999999999</v>
      </c>
      <c r="R587" s="9"/>
      <c r="S587" s="11"/>
    </row>
    <row r="588" spans="1:19" ht="15.75">
      <c r="A588" s="13">
        <v>59779</v>
      </c>
      <c r="B588" s="8">
        <f>CHOOSE( CONTROL!$C$32, 14.9323, 14.9274) * CHOOSE(CONTROL!$C$15, $D$11, 100%, $F$11)</f>
        <v>14.9323</v>
      </c>
      <c r="C588" s="8">
        <f>CHOOSE( CONTROL!$C$32, 14.9427, 14.9378) * CHOOSE(CONTROL!$C$15, $D$11, 100%, $F$11)</f>
        <v>14.9427</v>
      </c>
      <c r="D588" s="8">
        <f>CHOOSE( CONTROL!$C$32, 14.9429, 14.938) * CHOOSE( CONTROL!$C$15, $D$11, 100%, $F$11)</f>
        <v>14.9429</v>
      </c>
      <c r="E588" s="12">
        <f>CHOOSE( CONTROL!$C$32, 14.9412, 14.9363) * CHOOSE( CONTROL!$C$15, $D$11, 100%, $F$11)</f>
        <v>14.9412</v>
      </c>
      <c r="F588" s="4">
        <f>CHOOSE( CONTROL!$C$32, 15.9448, 15.9398) * CHOOSE(CONTROL!$C$15, $D$11, 100%, $F$11)</f>
        <v>15.944800000000001</v>
      </c>
      <c r="G588" s="8">
        <f>CHOOSE( CONTROL!$C$32, 14.5421, 14.5373) * CHOOSE( CONTROL!$C$15, $D$11, 100%, $F$11)</f>
        <v>14.5421</v>
      </c>
      <c r="H588" s="4">
        <f>CHOOSE( CONTROL!$C$32, 15.4663, 15.4615) * CHOOSE(CONTROL!$C$15, $D$11, 100%, $F$11)</f>
        <v>15.4663</v>
      </c>
      <c r="I588" s="8">
        <f>CHOOSE( CONTROL!$C$32, 14.3537, 14.3489) * CHOOSE(CONTROL!$C$15, $D$11, 100%, $F$11)</f>
        <v>14.3537</v>
      </c>
      <c r="J588" s="4">
        <f>CHOOSE( CONTROL!$C$32, 14.3034, 14.2987) * CHOOSE(CONTROL!$C$15, $D$11, 100%, $F$11)</f>
        <v>14.3034</v>
      </c>
      <c r="K588" s="4"/>
      <c r="L588" s="9">
        <v>29.520499999999998</v>
      </c>
      <c r="M588" s="9">
        <v>12.063700000000001</v>
      </c>
      <c r="N588" s="9">
        <v>4.9444999999999997</v>
      </c>
      <c r="O588" s="9">
        <v>0.37459999999999999</v>
      </c>
      <c r="P588" s="9">
        <v>1.2192000000000001</v>
      </c>
      <c r="Q588" s="9">
        <v>19.688099999999999</v>
      </c>
      <c r="R588" s="9"/>
      <c r="S588" s="11"/>
    </row>
    <row r="589" spans="1:19" ht="15.75">
      <c r="A589" s="13">
        <v>59809</v>
      </c>
      <c r="B589" s="8">
        <f>CHOOSE( CONTROL!$C$32, 14.6197, 14.6148) * CHOOSE(CONTROL!$C$15, $D$11, 100%, $F$11)</f>
        <v>14.6197</v>
      </c>
      <c r="C589" s="8">
        <f>CHOOSE( CONTROL!$C$32, 14.6302, 14.6252) * CHOOSE(CONTROL!$C$15, $D$11, 100%, $F$11)</f>
        <v>14.6302</v>
      </c>
      <c r="D589" s="8">
        <f>CHOOSE( CONTROL!$C$32, 14.6306, 14.6257) * CHOOSE( CONTROL!$C$15, $D$11, 100%, $F$11)</f>
        <v>14.630599999999999</v>
      </c>
      <c r="E589" s="12">
        <f>CHOOSE( CONTROL!$C$32, 14.6289, 14.6239) * CHOOSE( CONTROL!$C$15, $D$11, 100%, $F$11)</f>
        <v>14.6289</v>
      </c>
      <c r="F589" s="4">
        <f>CHOOSE( CONTROL!$C$32, 15.6322, 15.6273) * CHOOSE(CONTROL!$C$15, $D$11, 100%, $F$11)</f>
        <v>15.632199999999999</v>
      </c>
      <c r="G589" s="8">
        <f>CHOOSE( CONTROL!$C$32, 14.2378, 14.233) * CHOOSE( CONTROL!$C$15, $D$11, 100%, $F$11)</f>
        <v>14.2378</v>
      </c>
      <c r="H589" s="4">
        <f>CHOOSE( CONTROL!$C$32, 15.1616, 15.1568) * CHOOSE(CONTROL!$C$15, $D$11, 100%, $F$11)</f>
        <v>15.1616</v>
      </c>
      <c r="I589" s="8">
        <f>CHOOSE( CONTROL!$C$32, 14.0554, 14.0507) * CHOOSE(CONTROL!$C$15, $D$11, 100%, $F$11)</f>
        <v>14.055400000000001</v>
      </c>
      <c r="J589" s="4">
        <f>CHOOSE( CONTROL!$C$32, 14.0039, 13.9991) * CHOOSE(CONTROL!$C$15, $D$11, 100%, $F$11)</f>
        <v>14.0039</v>
      </c>
      <c r="K589" s="4"/>
      <c r="L589" s="9">
        <v>28.568200000000001</v>
      </c>
      <c r="M589" s="9">
        <v>11.6745</v>
      </c>
      <c r="N589" s="9">
        <v>4.7850000000000001</v>
      </c>
      <c r="O589" s="9">
        <v>0.36249999999999999</v>
      </c>
      <c r="P589" s="9">
        <v>1.1798</v>
      </c>
      <c r="Q589" s="9">
        <v>19.053000000000001</v>
      </c>
      <c r="R589" s="9"/>
      <c r="S589" s="11"/>
    </row>
    <row r="590" spans="1:19" ht="15.75">
      <c r="A590" s="13">
        <v>59840</v>
      </c>
      <c r="B590" s="8">
        <f>15.2638 * CHOOSE(CONTROL!$C$15, $D$11, 100%, $F$11)</f>
        <v>15.2638</v>
      </c>
      <c r="C590" s="8">
        <f>15.2742 * CHOOSE(CONTROL!$C$15, $D$11, 100%, $F$11)</f>
        <v>15.2742</v>
      </c>
      <c r="D590" s="8">
        <f>15.2759 * CHOOSE( CONTROL!$C$15, $D$11, 100%, $F$11)</f>
        <v>15.2759</v>
      </c>
      <c r="E590" s="12">
        <f>15.2742 * CHOOSE( CONTROL!$C$15, $D$11, 100%, $F$11)</f>
        <v>15.2742</v>
      </c>
      <c r="F590" s="4">
        <f>16.2763 * CHOOSE(CONTROL!$C$15, $D$11, 100%, $F$11)</f>
        <v>16.276299999999999</v>
      </c>
      <c r="G590" s="8">
        <f>14.8653 * CHOOSE( CONTROL!$C$15, $D$11, 100%, $F$11)</f>
        <v>14.8653</v>
      </c>
      <c r="H590" s="4">
        <f>15.7894 * CHOOSE(CONTROL!$C$15, $D$11, 100%, $F$11)</f>
        <v>15.789400000000001</v>
      </c>
      <c r="I590" s="8">
        <f>14.6752 * CHOOSE(CONTROL!$C$15, $D$11, 100%, $F$11)</f>
        <v>14.6752</v>
      </c>
      <c r="J590" s="4">
        <f>14.621 * CHOOSE(CONTROL!$C$15, $D$11, 100%, $F$11)</f>
        <v>14.621</v>
      </c>
      <c r="K590" s="4"/>
      <c r="L590" s="9">
        <v>28.921800000000001</v>
      </c>
      <c r="M590" s="9">
        <v>12.063700000000001</v>
      </c>
      <c r="N590" s="9">
        <v>4.9444999999999997</v>
      </c>
      <c r="O590" s="9">
        <v>0.37459999999999999</v>
      </c>
      <c r="P590" s="9">
        <v>1.2192000000000001</v>
      </c>
      <c r="Q590" s="9">
        <v>19.688099999999999</v>
      </c>
      <c r="R590" s="9"/>
      <c r="S590" s="11"/>
    </row>
    <row r="591" spans="1:19" ht="15.75">
      <c r="A591" s="13">
        <v>59870</v>
      </c>
      <c r="B591" s="8">
        <f>16.4618 * CHOOSE(CONTROL!$C$15, $D$11, 100%, $F$11)</f>
        <v>16.4618</v>
      </c>
      <c r="C591" s="8">
        <f>16.4722 * CHOOSE(CONTROL!$C$15, $D$11, 100%, $F$11)</f>
        <v>16.472200000000001</v>
      </c>
      <c r="D591" s="8">
        <f>16.4533 * CHOOSE( CONTROL!$C$15, $D$11, 100%, $F$11)</f>
        <v>16.453299999999999</v>
      </c>
      <c r="E591" s="12">
        <f>16.4591 * CHOOSE( CONTROL!$C$15, $D$11, 100%, $F$11)</f>
        <v>16.459099999999999</v>
      </c>
      <c r="F591" s="4">
        <f>17.4586 * CHOOSE(CONTROL!$C$15, $D$11, 100%, $F$11)</f>
        <v>17.458600000000001</v>
      </c>
      <c r="G591" s="8">
        <f>16.056 * CHOOSE( CONTROL!$C$15, $D$11, 100%, $F$11)</f>
        <v>16.056000000000001</v>
      </c>
      <c r="H591" s="4">
        <f>16.9419 * CHOOSE(CONTROL!$C$15, $D$11, 100%, $F$11)</f>
        <v>16.9419</v>
      </c>
      <c r="I591" s="8">
        <f>15.8701 * CHOOSE(CONTROL!$C$15, $D$11, 100%, $F$11)</f>
        <v>15.870100000000001</v>
      </c>
      <c r="J591" s="4">
        <f>15.7689 * CHOOSE(CONTROL!$C$15, $D$11, 100%, $F$11)</f>
        <v>15.7689</v>
      </c>
      <c r="K591" s="4"/>
      <c r="L591" s="9">
        <v>26.515499999999999</v>
      </c>
      <c r="M591" s="9">
        <v>11.6745</v>
      </c>
      <c r="N591" s="9">
        <v>4.7850000000000001</v>
      </c>
      <c r="O591" s="9">
        <v>0.36249999999999999</v>
      </c>
      <c r="P591" s="9">
        <v>1.2522</v>
      </c>
      <c r="Q591" s="9">
        <v>19.053000000000001</v>
      </c>
      <c r="R591" s="9"/>
      <c r="S591" s="11"/>
    </row>
    <row r="592" spans="1:19" ht="15.75">
      <c r="A592" s="13">
        <v>59901</v>
      </c>
      <c r="B592" s="8">
        <f>16.4318 * CHOOSE(CONTROL!$C$15, $D$11, 100%, $F$11)</f>
        <v>16.431799999999999</v>
      </c>
      <c r="C592" s="8">
        <f>16.4423 * CHOOSE(CONTROL!$C$15, $D$11, 100%, $F$11)</f>
        <v>16.442299999999999</v>
      </c>
      <c r="D592" s="8">
        <f>16.4259 * CHOOSE( CONTROL!$C$15, $D$11, 100%, $F$11)</f>
        <v>16.425899999999999</v>
      </c>
      <c r="E592" s="12">
        <f>16.4308 * CHOOSE( CONTROL!$C$15, $D$11, 100%, $F$11)</f>
        <v>16.430800000000001</v>
      </c>
      <c r="F592" s="4">
        <f>17.4287 * CHOOSE(CONTROL!$C$15, $D$11, 100%, $F$11)</f>
        <v>17.428699999999999</v>
      </c>
      <c r="G592" s="8">
        <f>16.0288 * CHOOSE( CONTROL!$C$15, $D$11, 100%, $F$11)</f>
        <v>16.0288</v>
      </c>
      <c r="H592" s="4">
        <f>16.9127 * CHOOSE(CONTROL!$C$15, $D$11, 100%, $F$11)</f>
        <v>16.912700000000001</v>
      </c>
      <c r="I592" s="8">
        <f>15.8502 * CHOOSE(CONTROL!$C$15, $D$11, 100%, $F$11)</f>
        <v>15.850199999999999</v>
      </c>
      <c r="J592" s="4">
        <f>15.7402 * CHOOSE(CONTROL!$C$15, $D$11, 100%, $F$11)</f>
        <v>15.7402</v>
      </c>
      <c r="K592" s="4"/>
      <c r="L592" s="9">
        <v>27.3993</v>
      </c>
      <c r="M592" s="9">
        <v>12.063700000000001</v>
      </c>
      <c r="N592" s="9">
        <v>4.9444999999999997</v>
      </c>
      <c r="O592" s="9">
        <v>0.37459999999999999</v>
      </c>
      <c r="P592" s="9">
        <v>1.2939000000000001</v>
      </c>
      <c r="Q592" s="9">
        <v>19.688099999999999</v>
      </c>
      <c r="R592" s="9"/>
      <c r="S592" s="11"/>
    </row>
    <row r="593" spans="1:19" ht="15.75">
      <c r="A593" s="13">
        <v>59932</v>
      </c>
      <c r="B593" s="8">
        <f>17.0597 * CHOOSE(CONTROL!$C$15, $D$11, 100%, $F$11)</f>
        <v>17.059699999999999</v>
      </c>
      <c r="C593" s="8">
        <f>17.0701 * CHOOSE(CONTROL!$C$15, $D$11, 100%, $F$11)</f>
        <v>17.0701</v>
      </c>
      <c r="D593" s="8">
        <f>17.0687 * CHOOSE( CONTROL!$C$15, $D$11, 100%, $F$11)</f>
        <v>17.0687</v>
      </c>
      <c r="E593" s="12">
        <f>17.0681 * CHOOSE( CONTROL!$C$15, $D$11, 100%, $F$11)</f>
        <v>17.068100000000001</v>
      </c>
      <c r="F593" s="4">
        <f>18.0826 * CHOOSE(CONTROL!$C$15, $D$11, 100%, $F$11)</f>
        <v>18.082599999999999</v>
      </c>
      <c r="G593" s="8">
        <f>16.6576 * CHOOSE( CONTROL!$C$15, $D$11, 100%, $F$11)</f>
        <v>16.657599999999999</v>
      </c>
      <c r="H593" s="4">
        <f>17.5501 * CHOOSE(CONTROL!$C$15, $D$11, 100%, $F$11)</f>
        <v>17.5501</v>
      </c>
      <c r="I593" s="8">
        <f>16.4586 * CHOOSE(CONTROL!$C$15, $D$11, 100%, $F$11)</f>
        <v>16.458600000000001</v>
      </c>
      <c r="J593" s="4">
        <f>16.3418 * CHOOSE(CONTROL!$C$15, $D$11, 100%, $F$11)</f>
        <v>16.341799999999999</v>
      </c>
      <c r="K593" s="4"/>
      <c r="L593" s="9">
        <v>27.3993</v>
      </c>
      <c r="M593" s="9">
        <v>12.063700000000001</v>
      </c>
      <c r="N593" s="9">
        <v>4.9444999999999997</v>
      </c>
      <c r="O593" s="9">
        <v>0.37459999999999999</v>
      </c>
      <c r="P593" s="9">
        <v>1.2939000000000001</v>
      </c>
      <c r="Q593" s="9">
        <v>19.688099999999999</v>
      </c>
      <c r="R593" s="9"/>
      <c r="S593" s="11"/>
    </row>
    <row r="594" spans="1:19" ht="15.75">
      <c r="A594" s="13">
        <v>59961</v>
      </c>
      <c r="B594" s="8">
        <f>15.9571 * CHOOSE(CONTROL!$C$15, $D$11, 100%, $F$11)</f>
        <v>15.957100000000001</v>
      </c>
      <c r="C594" s="8">
        <f>15.9675 * CHOOSE(CONTROL!$C$15, $D$11, 100%, $F$11)</f>
        <v>15.967499999999999</v>
      </c>
      <c r="D594" s="8">
        <f>15.9684 * CHOOSE( CONTROL!$C$15, $D$11, 100%, $F$11)</f>
        <v>15.968400000000001</v>
      </c>
      <c r="E594" s="12">
        <f>15.967 * CHOOSE( CONTROL!$C$15, $D$11, 100%, $F$11)</f>
        <v>15.967000000000001</v>
      </c>
      <c r="F594" s="4">
        <f>16.9722 * CHOOSE(CONTROL!$C$15, $D$11, 100%, $F$11)</f>
        <v>16.972200000000001</v>
      </c>
      <c r="G594" s="8">
        <f>15.5827 * CHOOSE( CONTROL!$C$15, $D$11, 100%, $F$11)</f>
        <v>15.582700000000001</v>
      </c>
      <c r="H594" s="4">
        <f>16.4678 * CHOOSE(CONTROL!$C$15, $D$11, 100%, $F$11)</f>
        <v>16.4678</v>
      </c>
      <c r="I594" s="8">
        <f>15.3906 * CHOOSE(CONTROL!$C$15, $D$11, 100%, $F$11)</f>
        <v>15.390599999999999</v>
      </c>
      <c r="J594" s="4">
        <f>15.2853 * CHOOSE(CONTROL!$C$15, $D$11, 100%, $F$11)</f>
        <v>15.285299999999999</v>
      </c>
      <c r="K594" s="4"/>
      <c r="L594" s="9">
        <v>25.631599999999999</v>
      </c>
      <c r="M594" s="9">
        <v>11.285299999999999</v>
      </c>
      <c r="N594" s="9">
        <v>4.6254999999999997</v>
      </c>
      <c r="O594" s="9">
        <v>0.35039999999999999</v>
      </c>
      <c r="P594" s="9">
        <v>1.2104999999999999</v>
      </c>
      <c r="Q594" s="9">
        <v>18.417899999999999</v>
      </c>
      <c r="R594" s="9"/>
      <c r="S594" s="11"/>
    </row>
    <row r="595" spans="1:19" ht="15.75">
      <c r="A595" s="13">
        <v>59992</v>
      </c>
      <c r="B595" s="8">
        <f>15.6175 * CHOOSE(CONTROL!$C$15, $D$11, 100%, $F$11)</f>
        <v>15.6175</v>
      </c>
      <c r="C595" s="8">
        <f>15.628 * CHOOSE(CONTROL!$C$15, $D$11, 100%, $F$11)</f>
        <v>15.628</v>
      </c>
      <c r="D595" s="8">
        <f>15.6084 * CHOOSE( CONTROL!$C$15, $D$11, 100%, $F$11)</f>
        <v>15.6084</v>
      </c>
      <c r="E595" s="12">
        <f>15.6144 * CHOOSE( CONTROL!$C$15, $D$11, 100%, $F$11)</f>
        <v>15.6144</v>
      </c>
      <c r="F595" s="4">
        <f>16.6164 * CHOOSE(CONTROL!$C$15, $D$11, 100%, $F$11)</f>
        <v>16.616399999999999</v>
      </c>
      <c r="G595" s="8">
        <f>15.231 * CHOOSE( CONTROL!$C$15, $D$11, 100%, $F$11)</f>
        <v>15.231</v>
      </c>
      <c r="H595" s="4">
        <f>16.121 * CHOOSE(CONTROL!$C$15, $D$11, 100%, $F$11)</f>
        <v>16.120999999999999</v>
      </c>
      <c r="I595" s="8">
        <f>15.0256 * CHOOSE(CONTROL!$C$15, $D$11, 100%, $F$11)</f>
        <v>15.025600000000001</v>
      </c>
      <c r="J595" s="4">
        <f>14.96 * CHOOSE(CONTROL!$C$15, $D$11, 100%, $F$11)</f>
        <v>14.96</v>
      </c>
      <c r="K595" s="4"/>
      <c r="L595" s="9">
        <v>27.3993</v>
      </c>
      <c r="M595" s="9">
        <v>12.063700000000001</v>
      </c>
      <c r="N595" s="9">
        <v>4.9444999999999997</v>
      </c>
      <c r="O595" s="9">
        <v>0.37459999999999999</v>
      </c>
      <c r="P595" s="9">
        <v>1.2939000000000001</v>
      </c>
      <c r="Q595" s="9">
        <v>19.688099999999999</v>
      </c>
      <c r="R595" s="9"/>
      <c r="S595" s="11"/>
    </row>
    <row r="596" spans="1:19" ht="15.75">
      <c r="A596" s="13">
        <v>60022</v>
      </c>
      <c r="B596" s="8">
        <f>15.8548 * CHOOSE(CONTROL!$C$15, $D$11, 100%, $F$11)</f>
        <v>15.854799999999999</v>
      </c>
      <c r="C596" s="8">
        <f>15.8653 * CHOOSE(CONTROL!$C$15, $D$11, 100%, $F$11)</f>
        <v>15.8653</v>
      </c>
      <c r="D596" s="8">
        <f>15.8691 * CHOOSE( CONTROL!$C$15, $D$11, 100%, $F$11)</f>
        <v>15.8691</v>
      </c>
      <c r="E596" s="12">
        <f>15.8666 * CHOOSE( CONTROL!$C$15, $D$11, 100%, $F$11)</f>
        <v>15.8666</v>
      </c>
      <c r="F596" s="4">
        <f>16.8621 * CHOOSE(CONTROL!$C$15, $D$11, 100%, $F$11)</f>
        <v>16.862100000000002</v>
      </c>
      <c r="G596" s="8">
        <f>15.4502 * CHOOSE( CONTROL!$C$15, $D$11, 100%, $F$11)</f>
        <v>15.450200000000001</v>
      </c>
      <c r="H596" s="4">
        <f>16.3604 * CHOOSE(CONTROL!$C$15, $D$11, 100%, $F$11)</f>
        <v>16.360399999999998</v>
      </c>
      <c r="I596" s="8">
        <f>15.2432 * CHOOSE(CONTROL!$C$15, $D$11, 100%, $F$11)</f>
        <v>15.2432</v>
      </c>
      <c r="J596" s="4">
        <f>15.1873 * CHOOSE(CONTROL!$C$15, $D$11, 100%, $F$11)</f>
        <v>15.1873</v>
      </c>
      <c r="K596" s="4"/>
      <c r="L596" s="9">
        <v>27.988800000000001</v>
      </c>
      <c r="M596" s="9">
        <v>11.6745</v>
      </c>
      <c r="N596" s="9">
        <v>4.7850000000000001</v>
      </c>
      <c r="O596" s="9">
        <v>0.36249999999999999</v>
      </c>
      <c r="P596" s="9">
        <v>1.1798</v>
      </c>
      <c r="Q596" s="9">
        <v>19.053000000000001</v>
      </c>
      <c r="R596" s="9"/>
      <c r="S596" s="11"/>
    </row>
    <row r="597" spans="1:19" ht="15.75">
      <c r="A597" s="13">
        <v>60053</v>
      </c>
      <c r="B597" s="8">
        <f>CHOOSE( CONTROL!$C$32, 16.2821, 16.2771) * CHOOSE(CONTROL!$C$15, $D$11, 100%, $F$11)</f>
        <v>16.2821</v>
      </c>
      <c r="C597" s="8">
        <f>CHOOSE( CONTROL!$C$32, 16.2925, 16.2876) * CHOOSE(CONTROL!$C$15, $D$11, 100%, $F$11)</f>
        <v>16.2925</v>
      </c>
      <c r="D597" s="8">
        <f>CHOOSE( CONTROL!$C$32, 16.2712, 16.2662) * CHOOSE( CONTROL!$C$15, $D$11, 100%, $F$11)</f>
        <v>16.2712</v>
      </c>
      <c r="E597" s="12">
        <f>CHOOSE( CONTROL!$C$32, 16.2773, 16.2724) * CHOOSE( CONTROL!$C$15, $D$11, 100%, $F$11)</f>
        <v>16.2773</v>
      </c>
      <c r="F597" s="4">
        <f>CHOOSE( CONTROL!$C$32, 17.257, 17.252) * CHOOSE(CONTROL!$C$15, $D$11, 100%, $F$11)</f>
        <v>17.257000000000001</v>
      </c>
      <c r="G597" s="8">
        <f>CHOOSE( CONTROL!$C$32, 15.8481, 15.8433) * CHOOSE( CONTROL!$C$15, $D$11, 100%, $F$11)</f>
        <v>15.848100000000001</v>
      </c>
      <c r="H597" s="4">
        <f>CHOOSE( CONTROL!$C$32, 16.7454, 16.7406) * CHOOSE(CONTROL!$C$15, $D$11, 100%, $F$11)</f>
        <v>16.7454</v>
      </c>
      <c r="I597" s="8">
        <f>CHOOSE( CONTROL!$C$32, 15.6312, 15.6265) * CHOOSE(CONTROL!$C$15, $D$11, 100%, $F$11)</f>
        <v>15.6312</v>
      </c>
      <c r="J597" s="4">
        <f>CHOOSE( CONTROL!$C$32, 15.5967, 15.592) * CHOOSE(CONTROL!$C$15, $D$11, 100%, $F$11)</f>
        <v>15.5967</v>
      </c>
      <c r="K597" s="4"/>
      <c r="L597" s="9">
        <v>29.520499999999998</v>
      </c>
      <c r="M597" s="9">
        <v>12.063700000000001</v>
      </c>
      <c r="N597" s="9">
        <v>4.9444999999999997</v>
      </c>
      <c r="O597" s="9">
        <v>0.37459999999999999</v>
      </c>
      <c r="P597" s="9">
        <v>1.2192000000000001</v>
      </c>
      <c r="Q597" s="9">
        <v>19.688099999999999</v>
      </c>
      <c r="R597" s="9"/>
      <c r="S597" s="11"/>
    </row>
    <row r="598" spans="1:19" ht="15.75">
      <c r="A598" s="13">
        <v>60083</v>
      </c>
      <c r="B598" s="8">
        <f>CHOOSE( CONTROL!$C$32, 16.0205, 16.0155) * CHOOSE(CONTROL!$C$15, $D$11, 100%, $F$11)</f>
        <v>16.020499999999998</v>
      </c>
      <c r="C598" s="8">
        <f>CHOOSE( CONTROL!$C$32, 16.0309, 16.026) * CHOOSE(CONTROL!$C$15, $D$11, 100%, $F$11)</f>
        <v>16.030899999999999</v>
      </c>
      <c r="D598" s="8">
        <f>CHOOSE( CONTROL!$C$32, 16.023, 16.0181) * CHOOSE( CONTROL!$C$15, $D$11, 100%, $F$11)</f>
        <v>16.023</v>
      </c>
      <c r="E598" s="12">
        <f>CHOOSE( CONTROL!$C$32, 16.0243, 16.0194) * CHOOSE( CONTROL!$C$15, $D$11, 100%, $F$11)</f>
        <v>16.0243</v>
      </c>
      <c r="F598" s="4">
        <f>CHOOSE( CONTROL!$C$32, 17.0147, 17.0097) * CHOOSE(CONTROL!$C$15, $D$11, 100%, $F$11)</f>
        <v>17.014700000000001</v>
      </c>
      <c r="G598" s="8">
        <f>CHOOSE( CONTROL!$C$32, 15.6035, 15.5987) * CHOOSE( CONTROL!$C$15, $D$11, 100%, $F$11)</f>
        <v>15.6035</v>
      </c>
      <c r="H598" s="4">
        <f>CHOOSE( CONTROL!$C$32, 16.5092, 16.5044) * CHOOSE(CONTROL!$C$15, $D$11, 100%, $F$11)</f>
        <v>16.5092</v>
      </c>
      <c r="I598" s="8">
        <f>CHOOSE( CONTROL!$C$32, 15.3982, 15.3935) * CHOOSE(CONTROL!$C$15, $D$11, 100%, $F$11)</f>
        <v>15.398199999999999</v>
      </c>
      <c r="J598" s="4">
        <f>CHOOSE( CONTROL!$C$32, 15.3461, 15.3413) * CHOOSE(CONTROL!$C$15, $D$11, 100%, $F$11)</f>
        <v>15.3461</v>
      </c>
      <c r="K598" s="4"/>
      <c r="L598" s="9">
        <v>28.568200000000001</v>
      </c>
      <c r="M598" s="9">
        <v>11.6745</v>
      </c>
      <c r="N598" s="9">
        <v>4.7850000000000001</v>
      </c>
      <c r="O598" s="9">
        <v>0.36249999999999999</v>
      </c>
      <c r="P598" s="9">
        <v>1.1798</v>
      </c>
      <c r="Q598" s="9">
        <v>19.053000000000001</v>
      </c>
      <c r="R598" s="9"/>
      <c r="S598" s="11"/>
    </row>
    <row r="599" spans="1:19" ht="15.75">
      <c r="A599" s="13">
        <v>60114</v>
      </c>
      <c r="B599" s="8">
        <f>CHOOSE( CONTROL!$C$32, 16.7094, 16.7045) * CHOOSE(CONTROL!$C$15, $D$11, 100%, $F$11)</f>
        <v>16.709399999999999</v>
      </c>
      <c r="C599" s="8">
        <f>CHOOSE( CONTROL!$C$32, 16.7198, 16.7149) * CHOOSE(CONTROL!$C$15, $D$11, 100%, $F$11)</f>
        <v>16.719799999999999</v>
      </c>
      <c r="D599" s="8">
        <f>CHOOSE( CONTROL!$C$32, 16.7188, 16.7139) * CHOOSE( CONTROL!$C$15, $D$11, 100%, $F$11)</f>
        <v>16.718800000000002</v>
      </c>
      <c r="E599" s="12">
        <f>CHOOSE( CONTROL!$C$32, 16.7176, 16.7127) * CHOOSE( CONTROL!$C$15, $D$11, 100%, $F$11)</f>
        <v>16.717600000000001</v>
      </c>
      <c r="F599" s="4">
        <f>CHOOSE( CONTROL!$C$32, 17.714, 17.7091) * CHOOSE(CONTROL!$C$15, $D$11, 100%, $F$11)</f>
        <v>17.713999999999999</v>
      </c>
      <c r="G599" s="8">
        <f>CHOOSE( CONTROL!$C$32, 16.2792, 16.2744) * CHOOSE( CONTROL!$C$15, $D$11, 100%, $F$11)</f>
        <v>16.279199999999999</v>
      </c>
      <c r="H599" s="4">
        <f>CHOOSE( CONTROL!$C$32, 17.1909, 17.1861) * CHOOSE(CONTROL!$C$15, $D$11, 100%, $F$11)</f>
        <v>17.190899999999999</v>
      </c>
      <c r="I599" s="8">
        <f>CHOOSE( CONTROL!$C$32, 16.0664, 16.0616) * CHOOSE(CONTROL!$C$15, $D$11, 100%, $F$11)</f>
        <v>16.066400000000002</v>
      </c>
      <c r="J599" s="4">
        <f>CHOOSE( CONTROL!$C$32, 16.0062, 16.0015) * CHOOSE(CONTROL!$C$15, $D$11, 100%, $F$11)</f>
        <v>16.0062</v>
      </c>
      <c r="K599" s="4"/>
      <c r="L599" s="9">
        <v>29.520499999999998</v>
      </c>
      <c r="M599" s="9">
        <v>12.063700000000001</v>
      </c>
      <c r="N599" s="9">
        <v>4.9444999999999997</v>
      </c>
      <c r="O599" s="9">
        <v>0.37459999999999999</v>
      </c>
      <c r="P599" s="9">
        <v>1.2192000000000001</v>
      </c>
      <c r="Q599" s="9">
        <v>19.688099999999999</v>
      </c>
      <c r="R599" s="9"/>
      <c r="S599" s="11"/>
    </row>
    <row r="600" spans="1:19" ht="15.75">
      <c r="A600" s="13">
        <v>60145</v>
      </c>
      <c r="B600" s="8">
        <f>CHOOSE( CONTROL!$C$32, 15.4203, 15.4154) * CHOOSE(CONTROL!$C$15, $D$11, 100%, $F$11)</f>
        <v>15.420299999999999</v>
      </c>
      <c r="C600" s="8">
        <f>CHOOSE( CONTROL!$C$32, 15.4308, 15.4258) * CHOOSE(CONTROL!$C$15, $D$11, 100%, $F$11)</f>
        <v>15.4308</v>
      </c>
      <c r="D600" s="8">
        <f>CHOOSE( CONTROL!$C$32, 15.4309, 15.426) * CHOOSE( CONTROL!$C$15, $D$11, 100%, $F$11)</f>
        <v>15.430899999999999</v>
      </c>
      <c r="E600" s="12">
        <f>CHOOSE( CONTROL!$C$32, 15.4293, 15.4243) * CHOOSE( CONTROL!$C$15, $D$11, 100%, $F$11)</f>
        <v>15.4293</v>
      </c>
      <c r="F600" s="4">
        <f>CHOOSE( CONTROL!$C$32, 16.4328, 16.4279) * CHOOSE(CONTROL!$C$15, $D$11, 100%, $F$11)</f>
        <v>16.4328</v>
      </c>
      <c r="G600" s="8">
        <f>CHOOSE( CONTROL!$C$32, 15.0178, 15.013) * CHOOSE( CONTROL!$C$15, $D$11, 100%, $F$11)</f>
        <v>15.017799999999999</v>
      </c>
      <c r="H600" s="4">
        <f>CHOOSE( CONTROL!$C$32, 15.942, 15.9372) * CHOOSE(CONTROL!$C$15, $D$11, 100%, $F$11)</f>
        <v>15.942</v>
      </c>
      <c r="I600" s="8">
        <f>CHOOSE( CONTROL!$C$32, 14.8215, 14.8168) * CHOOSE(CONTROL!$C$15, $D$11, 100%, $F$11)</f>
        <v>14.8215</v>
      </c>
      <c r="J600" s="4">
        <f>CHOOSE( CONTROL!$C$32, 14.771, 14.7663) * CHOOSE(CONTROL!$C$15, $D$11, 100%, $F$11)</f>
        <v>14.771000000000001</v>
      </c>
      <c r="K600" s="4"/>
      <c r="L600" s="9">
        <v>29.520499999999998</v>
      </c>
      <c r="M600" s="9">
        <v>12.063700000000001</v>
      </c>
      <c r="N600" s="9">
        <v>4.9444999999999997</v>
      </c>
      <c r="O600" s="9">
        <v>0.37459999999999999</v>
      </c>
      <c r="P600" s="9">
        <v>1.2192000000000001</v>
      </c>
      <c r="Q600" s="9">
        <v>19.688099999999999</v>
      </c>
      <c r="R600" s="9"/>
      <c r="S600" s="11"/>
    </row>
    <row r="601" spans="1:19" ht="15.75">
      <c r="A601" s="13">
        <v>60175</v>
      </c>
      <c r="B601" s="8">
        <f>CHOOSE( CONTROL!$C$32, 15.0975, 15.0926) * CHOOSE(CONTROL!$C$15, $D$11, 100%, $F$11)</f>
        <v>15.0975</v>
      </c>
      <c r="C601" s="8">
        <f>CHOOSE( CONTROL!$C$32, 15.108, 15.103) * CHOOSE(CONTROL!$C$15, $D$11, 100%, $F$11)</f>
        <v>15.108000000000001</v>
      </c>
      <c r="D601" s="8">
        <f>CHOOSE( CONTROL!$C$32, 15.1084, 15.1035) * CHOOSE( CONTROL!$C$15, $D$11, 100%, $F$11)</f>
        <v>15.1084</v>
      </c>
      <c r="E601" s="12">
        <f>CHOOSE( CONTROL!$C$32, 15.1067, 15.1017) * CHOOSE( CONTROL!$C$15, $D$11, 100%, $F$11)</f>
        <v>15.1067</v>
      </c>
      <c r="F601" s="4">
        <f>CHOOSE( CONTROL!$C$32, 16.11, 16.1051) * CHOOSE(CONTROL!$C$15, $D$11, 100%, $F$11)</f>
        <v>16.11</v>
      </c>
      <c r="G601" s="8">
        <f>CHOOSE( CONTROL!$C$32, 14.7036, 14.6988) * CHOOSE( CONTROL!$C$15, $D$11, 100%, $F$11)</f>
        <v>14.7036</v>
      </c>
      <c r="H601" s="4">
        <f>CHOOSE( CONTROL!$C$32, 15.6273, 15.6225) * CHOOSE(CONTROL!$C$15, $D$11, 100%, $F$11)</f>
        <v>15.6273</v>
      </c>
      <c r="I601" s="8">
        <f>CHOOSE( CONTROL!$C$32, 14.5135, 14.5087) * CHOOSE(CONTROL!$C$15, $D$11, 100%, $F$11)</f>
        <v>14.513500000000001</v>
      </c>
      <c r="J601" s="4">
        <f>CHOOSE( CONTROL!$C$32, 14.4617, 14.457) * CHOOSE(CONTROL!$C$15, $D$11, 100%, $F$11)</f>
        <v>14.4617</v>
      </c>
      <c r="K601" s="4"/>
      <c r="L601" s="9">
        <v>28.568200000000001</v>
      </c>
      <c r="M601" s="9">
        <v>11.6745</v>
      </c>
      <c r="N601" s="9">
        <v>4.7850000000000001</v>
      </c>
      <c r="O601" s="9">
        <v>0.36249999999999999</v>
      </c>
      <c r="P601" s="9">
        <v>1.1798</v>
      </c>
      <c r="Q601" s="9">
        <v>19.053000000000001</v>
      </c>
      <c r="R601" s="9"/>
      <c r="S601" s="11"/>
    </row>
    <row r="602" spans="1:19" ht="15.75">
      <c r="A602" s="13">
        <v>60206</v>
      </c>
      <c r="B602" s="8">
        <f>15.7628 * CHOOSE(CONTROL!$C$15, $D$11, 100%, $F$11)</f>
        <v>15.7628</v>
      </c>
      <c r="C602" s="8">
        <f>15.7733 * CHOOSE(CONTROL!$C$15, $D$11, 100%, $F$11)</f>
        <v>15.773300000000001</v>
      </c>
      <c r="D602" s="8">
        <f>15.7749 * CHOOSE( CONTROL!$C$15, $D$11, 100%, $F$11)</f>
        <v>15.774900000000001</v>
      </c>
      <c r="E602" s="12">
        <f>15.7733 * CHOOSE( CONTROL!$C$15, $D$11, 100%, $F$11)</f>
        <v>15.773300000000001</v>
      </c>
      <c r="F602" s="4">
        <f>16.7753 * CHOOSE(CONTROL!$C$15, $D$11, 100%, $F$11)</f>
        <v>16.775300000000001</v>
      </c>
      <c r="G602" s="8">
        <f>15.3518 * CHOOSE( CONTROL!$C$15, $D$11, 100%, $F$11)</f>
        <v>15.351800000000001</v>
      </c>
      <c r="H602" s="4">
        <f>16.2758 * CHOOSE(CONTROL!$C$15, $D$11, 100%, $F$11)</f>
        <v>16.2758</v>
      </c>
      <c r="I602" s="8">
        <f>15.1536 * CHOOSE(CONTROL!$C$15, $D$11, 100%, $F$11)</f>
        <v>15.153600000000001</v>
      </c>
      <c r="J602" s="4">
        <f>15.0992 * CHOOSE(CONTROL!$C$15, $D$11, 100%, $F$11)</f>
        <v>15.0992</v>
      </c>
      <c r="K602" s="4"/>
      <c r="L602" s="9">
        <v>28.921800000000001</v>
      </c>
      <c r="M602" s="9">
        <v>12.063700000000001</v>
      </c>
      <c r="N602" s="9">
        <v>4.9444999999999997</v>
      </c>
      <c r="O602" s="9">
        <v>0.37459999999999999</v>
      </c>
      <c r="P602" s="9">
        <v>1.2192000000000001</v>
      </c>
      <c r="Q602" s="9">
        <v>19.688099999999999</v>
      </c>
      <c r="R602" s="9"/>
      <c r="S602" s="11"/>
    </row>
    <row r="603" spans="1:19" ht="15.75">
      <c r="A603" s="13">
        <v>60236</v>
      </c>
      <c r="B603" s="8">
        <f>17 * CHOOSE(CONTROL!$C$15, $D$11, 100%, $F$11)</f>
        <v>17</v>
      </c>
      <c r="C603" s="8">
        <f>17.0104 * CHOOSE(CONTROL!$C$15, $D$11, 100%, $F$11)</f>
        <v>17.010400000000001</v>
      </c>
      <c r="D603" s="8">
        <f>16.9915 * CHOOSE( CONTROL!$C$15, $D$11, 100%, $F$11)</f>
        <v>16.991499999999998</v>
      </c>
      <c r="E603" s="12">
        <f>16.9973 * CHOOSE( CONTROL!$C$15, $D$11, 100%, $F$11)</f>
        <v>16.997299999999999</v>
      </c>
      <c r="F603" s="4">
        <f>17.9968 * CHOOSE(CONTROL!$C$15, $D$11, 100%, $F$11)</f>
        <v>17.9968</v>
      </c>
      <c r="G603" s="8">
        <f>16.5806 * CHOOSE( CONTROL!$C$15, $D$11, 100%, $F$11)</f>
        <v>16.5806</v>
      </c>
      <c r="H603" s="4">
        <f>17.4665 * CHOOSE(CONTROL!$C$15, $D$11, 100%, $F$11)</f>
        <v>17.4665</v>
      </c>
      <c r="I603" s="8">
        <f>16.3861 * CHOOSE(CONTROL!$C$15, $D$11, 100%, $F$11)</f>
        <v>16.386099999999999</v>
      </c>
      <c r="J603" s="4">
        <f>16.2846 * CHOOSE(CONTROL!$C$15, $D$11, 100%, $F$11)</f>
        <v>16.284600000000001</v>
      </c>
      <c r="K603" s="4"/>
      <c r="L603" s="9">
        <v>26.515499999999999</v>
      </c>
      <c r="M603" s="9">
        <v>11.6745</v>
      </c>
      <c r="N603" s="9">
        <v>4.7850000000000001</v>
      </c>
      <c r="O603" s="9">
        <v>0.36249999999999999</v>
      </c>
      <c r="P603" s="9">
        <v>1.2522</v>
      </c>
      <c r="Q603" s="9">
        <v>19.053000000000001</v>
      </c>
      <c r="R603" s="9"/>
      <c r="S603" s="11"/>
    </row>
    <row r="604" spans="1:19" ht="15.75">
      <c r="A604" s="13">
        <v>60267</v>
      </c>
      <c r="B604" s="8">
        <f>16.9691 * CHOOSE(CONTROL!$C$15, $D$11, 100%, $F$11)</f>
        <v>16.969100000000001</v>
      </c>
      <c r="C604" s="8">
        <f>16.9795 * CHOOSE(CONTROL!$C$15, $D$11, 100%, $F$11)</f>
        <v>16.979500000000002</v>
      </c>
      <c r="D604" s="8">
        <f>16.9631 * CHOOSE( CONTROL!$C$15, $D$11, 100%, $F$11)</f>
        <v>16.963100000000001</v>
      </c>
      <c r="E604" s="12">
        <f>16.968 * CHOOSE( CONTROL!$C$15, $D$11, 100%, $F$11)</f>
        <v>16.968</v>
      </c>
      <c r="F604" s="4">
        <f>17.9659 * CHOOSE(CONTROL!$C$15, $D$11, 100%, $F$11)</f>
        <v>17.965900000000001</v>
      </c>
      <c r="G604" s="8">
        <f>16.5525 * CHOOSE( CONTROL!$C$15, $D$11, 100%, $F$11)</f>
        <v>16.552499999999998</v>
      </c>
      <c r="H604" s="4">
        <f>17.4364 * CHOOSE(CONTROL!$C$15, $D$11, 100%, $F$11)</f>
        <v>17.436399999999999</v>
      </c>
      <c r="I604" s="8">
        <f>16.3652 * CHOOSE(CONTROL!$C$15, $D$11, 100%, $F$11)</f>
        <v>16.365200000000002</v>
      </c>
      <c r="J604" s="4">
        <f>16.255 * CHOOSE(CONTROL!$C$15, $D$11, 100%, $F$11)</f>
        <v>16.254999999999999</v>
      </c>
      <c r="K604" s="4"/>
      <c r="L604" s="9">
        <v>27.3993</v>
      </c>
      <c r="M604" s="9">
        <v>12.063700000000001</v>
      </c>
      <c r="N604" s="9">
        <v>4.9444999999999997</v>
      </c>
      <c r="O604" s="9">
        <v>0.37459999999999999</v>
      </c>
      <c r="P604" s="9">
        <v>1.2939000000000001</v>
      </c>
      <c r="Q604" s="9">
        <v>19.688099999999999</v>
      </c>
      <c r="R604" s="9"/>
      <c r="S604" s="11"/>
    </row>
    <row r="605" spans="1:19" ht="15.75">
      <c r="A605" s="13">
        <v>60298</v>
      </c>
      <c r="B605" s="8">
        <f>17.6174 * CHOOSE(CONTROL!$C$15, $D$11, 100%, $F$11)</f>
        <v>17.6174</v>
      </c>
      <c r="C605" s="8">
        <f>17.6279 * CHOOSE(CONTROL!$C$15, $D$11, 100%, $F$11)</f>
        <v>17.6279</v>
      </c>
      <c r="D605" s="8">
        <f>17.6264 * CHOOSE( CONTROL!$C$15, $D$11, 100%, $F$11)</f>
        <v>17.6264</v>
      </c>
      <c r="E605" s="12">
        <f>17.6258 * CHOOSE( CONTROL!$C$15, $D$11, 100%, $F$11)</f>
        <v>17.625800000000002</v>
      </c>
      <c r="F605" s="4">
        <f>18.6403 * CHOOSE(CONTROL!$C$15, $D$11, 100%, $F$11)</f>
        <v>18.6403</v>
      </c>
      <c r="G605" s="8">
        <f>17.2013 * CHOOSE( CONTROL!$C$15, $D$11, 100%, $F$11)</f>
        <v>17.2013</v>
      </c>
      <c r="H605" s="4">
        <f>18.0938 * CHOOSE(CONTROL!$C$15, $D$11, 100%, $F$11)</f>
        <v>18.093800000000002</v>
      </c>
      <c r="I605" s="8">
        <f>16.9933 * CHOOSE(CONTROL!$C$15, $D$11, 100%, $F$11)</f>
        <v>16.993300000000001</v>
      </c>
      <c r="J605" s="4">
        <f>16.8763 * CHOOSE(CONTROL!$C$15, $D$11, 100%, $F$11)</f>
        <v>16.876300000000001</v>
      </c>
      <c r="K605" s="4"/>
      <c r="L605" s="9">
        <v>27.3993</v>
      </c>
      <c r="M605" s="9">
        <v>12.063700000000001</v>
      </c>
      <c r="N605" s="9">
        <v>4.9444999999999997</v>
      </c>
      <c r="O605" s="9">
        <v>0.37459999999999999</v>
      </c>
      <c r="P605" s="9">
        <v>1.2939000000000001</v>
      </c>
      <c r="Q605" s="9">
        <v>19.688099999999999</v>
      </c>
      <c r="R605" s="9"/>
      <c r="S605" s="11"/>
    </row>
    <row r="606" spans="1:19" ht="15.75">
      <c r="A606" s="13">
        <v>60326</v>
      </c>
      <c r="B606" s="8">
        <f>16.4788 * CHOOSE(CONTROL!$C$15, $D$11, 100%, $F$11)</f>
        <v>16.4788</v>
      </c>
      <c r="C606" s="8">
        <f>16.4892 * CHOOSE(CONTROL!$C$15, $D$11, 100%, $F$11)</f>
        <v>16.4892</v>
      </c>
      <c r="D606" s="8">
        <f>16.49 * CHOOSE( CONTROL!$C$15, $D$11, 100%, $F$11)</f>
        <v>16.489999999999998</v>
      </c>
      <c r="E606" s="12">
        <f>16.4886 * CHOOSE( CONTROL!$C$15, $D$11, 100%, $F$11)</f>
        <v>16.488600000000002</v>
      </c>
      <c r="F606" s="4">
        <f>17.4939 * CHOOSE(CONTROL!$C$15, $D$11, 100%, $F$11)</f>
        <v>17.4939</v>
      </c>
      <c r="G606" s="8">
        <f>16.0912 * CHOOSE( CONTROL!$C$15, $D$11, 100%, $F$11)</f>
        <v>16.091200000000001</v>
      </c>
      <c r="H606" s="4">
        <f>16.9763 * CHOOSE(CONTROL!$C$15, $D$11, 100%, $F$11)</f>
        <v>16.976299999999998</v>
      </c>
      <c r="I606" s="8">
        <f>15.8908 * CHOOSE(CONTROL!$C$15, $D$11, 100%, $F$11)</f>
        <v>15.8908</v>
      </c>
      <c r="J606" s="4">
        <f>15.7852 * CHOOSE(CONTROL!$C$15, $D$11, 100%, $F$11)</f>
        <v>15.7852</v>
      </c>
      <c r="K606" s="4"/>
      <c r="L606" s="9">
        <v>24.747800000000002</v>
      </c>
      <c r="M606" s="9">
        <v>10.8962</v>
      </c>
      <c r="N606" s="9">
        <v>4.4660000000000002</v>
      </c>
      <c r="O606" s="9">
        <v>0.33829999999999999</v>
      </c>
      <c r="P606" s="9">
        <v>1.1687000000000001</v>
      </c>
      <c r="Q606" s="9">
        <v>17.782800000000002</v>
      </c>
      <c r="R606" s="9"/>
      <c r="S606" s="11"/>
    </row>
    <row r="607" spans="1:19" ht="15.75">
      <c r="A607" s="13">
        <v>60357</v>
      </c>
      <c r="B607" s="8">
        <f>16.1281 * CHOOSE(CONTROL!$C$15, $D$11, 100%, $F$11)</f>
        <v>16.1281</v>
      </c>
      <c r="C607" s="8">
        <f>16.1385 * CHOOSE(CONTROL!$C$15, $D$11, 100%, $F$11)</f>
        <v>16.138500000000001</v>
      </c>
      <c r="D607" s="8">
        <f>16.119 * CHOOSE( CONTROL!$C$15, $D$11, 100%, $F$11)</f>
        <v>16.119</v>
      </c>
      <c r="E607" s="12">
        <f>16.125 * CHOOSE( CONTROL!$C$15, $D$11, 100%, $F$11)</f>
        <v>16.125</v>
      </c>
      <c r="F607" s="4">
        <f>17.127 * CHOOSE(CONTROL!$C$15, $D$11, 100%, $F$11)</f>
        <v>17.126999999999999</v>
      </c>
      <c r="G607" s="8">
        <f>15.7287 * CHOOSE( CONTROL!$C$15, $D$11, 100%, $F$11)</f>
        <v>15.7287</v>
      </c>
      <c r="H607" s="4">
        <f>16.6187 * CHOOSE(CONTROL!$C$15, $D$11, 100%, $F$11)</f>
        <v>16.6187</v>
      </c>
      <c r="I607" s="8">
        <f>15.5151 * CHOOSE(CONTROL!$C$15, $D$11, 100%, $F$11)</f>
        <v>15.5151</v>
      </c>
      <c r="J607" s="4">
        <f>15.4492 * CHOOSE(CONTROL!$C$15, $D$11, 100%, $F$11)</f>
        <v>15.449199999999999</v>
      </c>
      <c r="K607" s="4"/>
      <c r="L607" s="9">
        <v>27.3993</v>
      </c>
      <c r="M607" s="9">
        <v>12.063700000000001</v>
      </c>
      <c r="N607" s="9">
        <v>4.9444999999999997</v>
      </c>
      <c r="O607" s="9">
        <v>0.37459999999999999</v>
      </c>
      <c r="P607" s="9">
        <v>1.2939000000000001</v>
      </c>
      <c r="Q607" s="9">
        <v>19.688099999999999</v>
      </c>
      <c r="R607" s="9"/>
      <c r="S607" s="11"/>
    </row>
    <row r="608" spans="1:19" ht="15.75">
      <c r="A608" s="13">
        <v>60387</v>
      </c>
      <c r="B608" s="8">
        <f>16.3732 * CHOOSE(CONTROL!$C$15, $D$11, 100%, $F$11)</f>
        <v>16.373200000000001</v>
      </c>
      <c r="C608" s="8">
        <f>16.3836 * CHOOSE(CONTROL!$C$15, $D$11, 100%, $F$11)</f>
        <v>16.383600000000001</v>
      </c>
      <c r="D608" s="8">
        <f>16.3874 * CHOOSE( CONTROL!$C$15, $D$11, 100%, $F$11)</f>
        <v>16.3874</v>
      </c>
      <c r="E608" s="12">
        <f>16.385 * CHOOSE( CONTROL!$C$15, $D$11, 100%, $F$11)</f>
        <v>16.385000000000002</v>
      </c>
      <c r="F608" s="4">
        <f>17.3804 * CHOOSE(CONTROL!$C$15, $D$11, 100%, $F$11)</f>
        <v>17.380400000000002</v>
      </c>
      <c r="G608" s="8">
        <f>15.9555 * CHOOSE( CONTROL!$C$15, $D$11, 100%, $F$11)</f>
        <v>15.955500000000001</v>
      </c>
      <c r="H608" s="4">
        <f>16.8657 * CHOOSE(CONTROL!$C$15, $D$11, 100%, $F$11)</f>
        <v>16.8657</v>
      </c>
      <c r="I608" s="8">
        <f>15.7401 * CHOOSE(CONTROL!$C$15, $D$11, 100%, $F$11)</f>
        <v>15.7401</v>
      </c>
      <c r="J608" s="4">
        <f>15.684 * CHOOSE(CONTROL!$C$15, $D$11, 100%, $F$11)</f>
        <v>15.683999999999999</v>
      </c>
      <c r="K608" s="4"/>
      <c r="L608" s="9">
        <v>27.988800000000001</v>
      </c>
      <c r="M608" s="9">
        <v>11.6745</v>
      </c>
      <c r="N608" s="9">
        <v>4.7850000000000001</v>
      </c>
      <c r="O608" s="9">
        <v>0.36249999999999999</v>
      </c>
      <c r="P608" s="9">
        <v>1.1798</v>
      </c>
      <c r="Q608" s="9">
        <v>19.053000000000001</v>
      </c>
      <c r="R608" s="9"/>
      <c r="S608" s="11"/>
    </row>
    <row r="609" spans="1:19" ht="15.75">
      <c r="A609" s="13">
        <v>60418</v>
      </c>
      <c r="B609" s="8">
        <f>CHOOSE( CONTROL!$C$32, 16.8142, 16.8093) * CHOOSE(CONTROL!$C$15, $D$11, 100%, $F$11)</f>
        <v>16.8142</v>
      </c>
      <c r="C609" s="8">
        <f>CHOOSE( CONTROL!$C$32, 16.8247, 16.8197) * CHOOSE(CONTROL!$C$15, $D$11, 100%, $F$11)</f>
        <v>16.8247</v>
      </c>
      <c r="D609" s="8">
        <f>CHOOSE( CONTROL!$C$32, 16.8033, 16.7984) * CHOOSE( CONTROL!$C$15, $D$11, 100%, $F$11)</f>
        <v>16.8033</v>
      </c>
      <c r="E609" s="12">
        <f>CHOOSE( CONTROL!$C$32, 16.8095, 16.8045) * CHOOSE( CONTROL!$C$15, $D$11, 100%, $F$11)</f>
        <v>16.8095</v>
      </c>
      <c r="F609" s="4">
        <f>CHOOSE( CONTROL!$C$32, 17.7891, 17.7842) * CHOOSE(CONTROL!$C$15, $D$11, 100%, $F$11)</f>
        <v>17.789100000000001</v>
      </c>
      <c r="G609" s="8">
        <f>CHOOSE( CONTROL!$C$32, 16.3669, 16.3621) * CHOOSE( CONTROL!$C$15, $D$11, 100%, $F$11)</f>
        <v>16.366900000000001</v>
      </c>
      <c r="H609" s="4">
        <f>CHOOSE( CONTROL!$C$32, 17.2641, 17.2593) * CHOOSE(CONTROL!$C$15, $D$11, 100%, $F$11)</f>
        <v>17.264099999999999</v>
      </c>
      <c r="I609" s="8">
        <f>CHOOSE( CONTROL!$C$32, 16.1414, 16.1367) * CHOOSE(CONTROL!$C$15, $D$11, 100%, $F$11)</f>
        <v>16.141400000000001</v>
      </c>
      <c r="J609" s="4">
        <f>CHOOSE( CONTROL!$C$32, 16.1067, 16.1019) * CHOOSE(CONTROL!$C$15, $D$11, 100%, $F$11)</f>
        <v>16.1067</v>
      </c>
      <c r="K609" s="4"/>
      <c r="L609" s="9">
        <v>29.520499999999998</v>
      </c>
      <c r="M609" s="9">
        <v>12.063700000000001</v>
      </c>
      <c r="N609" s="9">
        <v>4.9444999999999997</v>
      </c>
      <c r="O609" s="9">
        <v>0.37459999999999999</v>
      </c>
      <c r="P609" s="9">
        <v>1.2192000000000001</v>
      </c>
      <c r="Q609" s="9">
        <v>19.688099999999999</v>
      </c>
      <c r="R609" s="9"/>
      <c r="S609" s="11"/>
    </row>
    <row r="610" spans="1:19" ht="15.75">
      <c r="A610" s="13">
        <v>60448</v>
      </c>
      <c r="B610" s="8">
        <f>CHOOSE( CONTROL!$C$32, 16.5441, 16.5391) * CHOOSE(CONTROL!$C$15, $D$11, 100%, $F$11)</f>
        <v>16.5441</v>
      </c>
      <c r="C610" s="8">
        <f>CHOOSE( CONTROL!$C$32, 16.5545, 16.5496) * CHOOSE(CONTROL!$C$15, $D$11, 100%, $F$11)</f>
        <v>16.554500000000001</v>
      </c>
      <c r="D610" s="8">
        <f>CHOOSE( CONTROL!$C$32, 16.5466, 16.5417) * CHOOSE( CONTROL!$C$15, $D$11, 100%, $F$11)</f>
        <v>16.546600000000002</v>
      </c>
      <c r="E610" s="12">
        <f>CHOOSE( CONTROL!$C$32, 16.5479, 16.543) * CHOOSE( CONTROL!$C$15, $D$11, 100%, $F$11)</f>
        <v>16.547899999999998</v>
      </c>
      <c r="F610" s="4">
        <f>CHOOSE( CONTROL!$C$32, 17.5383, 17.5333) * CHOOSE(CONTROL!$C$15, $D$11, 100%, $F$11)</f>
        <v>17.5383</v>
      </c>
      <c r="G610" s="8">
        <f>CHOOSE( CONTROL!$C$32, 16.1139, 16.1091) * CHOOSE( CONTROL!$C$15, $D$11, 100%, $F$11)</f>
        <v>16.113900000000001</v>
      </c>
      <c r="H610" s="4">
        <f>CHOOSE( CONTROL!$C$32, 17.0196, 17.0148) * CHOOSE(CONTROL!$C$15, $D$11, 100%, $F$11)</f>
        <v>17.019600000000001</v>
      </c>
      <c r="I610" s="8">
        <f>CHOOSE( CONTROL!$C$32, 15.9002, 15.8955) * CHOOSE(CONTROL!$C$15, $D$11, 100%, $F$11)</f>
        <v>15.9002</v>
      </c>
      <c r="J610" s="4">
        <f>CHOOSE( CONTROL!$C$32, 15.8478, 15.843) * CHOOSE(CONTROL!$C$15, $D$11, 100%, $F$11)</f>
        <v>15.847799999999999</v>
      </c>
      <c r="K610" s="4"/>
      <c r="L610" s="9">
        <v>28.568200000000001</v>
      </c>
      <c r="M610" s="9">
        <v>11.6745</v>
      </c>
      <c r="N610" s="9">
        <v>4.7850000000000001</v>
      </c>
      <c r="O610" s="9">
        <v>0.36249999999999999</v>
      </c>
      <c r="P610" s="9">
        <v>1.1798</v>
      </c>
      <c r="Q610" s="9">
        <v>19.053000000000001</v>
      </c>
      <c r="R610" s="9"/>
      <c r="S610" s="11"/>
    </row>
    <row r="611" spans="1:19" ht="15.75">
      <c r="A611" s="13">
        <v>60479</v>
      </c>
      <c r="B611" s="8">
        <f>CHOOSE( CONTROL!$C$32, 17.2555, 17.2506) * CHOOSE(CONTROL!$C$15, $D$11, 100%, $F$11)</f>
        <v>17.255500000000001</v>
      </c>
      <c r="C611" s="8">
        <f>CHOOSE( CONTROL!$C$32, 17.266, 17.261) * CHOOSE(CONTROL!$C$15, $D$11, 100%, $F$11)</f>
        <v>17.265999999999998</v>
      </c>
      <c r="D611" s="8">
        <f>CHOOSE( CONTROL!$C$32, 17.265, 17.26) * CHOOSE( CONTROL!$C$15, $D$11, 100%, $F$11)</f>
        <v>17.265000000000001</v>
      </c>
      <c r="E611" s="12">
        <f>CHOOSE( CONTROL!$C$32, 17.2638, 17.2588) * CHOOSE( CONTROL!$C$15, $D$11, 100%, $F$11)</f>
        <v>17.2638</v>
      </c>
      <c r="F611" s="4">
        <f>CHOOSE( CONTROL!$C$32, 18.2602, 18.2552) * CHOOSE(CONTROL!$C$15, $D$11, 100%, $F$11)</f>
        <v>18.260200000000001</v>
      </c>
      <c r="G611" s="8">
        <f>CHOOSE( CONTROL!$C$32, 16.8116, 16.8067) * CHOOSE( CONTROL!$C$15, $D$11, 100%, $F$11)</f>
        <v>16.811599999999999</v>
      </c>
      <c r="H611" s="4">
        <f>CHOOSE( CONTROL!$C$32, 17.7233, 17.7184) * CHOOSE(CONTROL!$C$15, $D$11, 100%, $F$11)</f>
        <v>17.723299999999998</v>
      </c>
      <c r="I611" s="8">
        <f>CHOOSE( CONTROL!$C$32, 16.5899, 16.5852) * CHOOSE(CONTROL!$C$15, $D$11, 100%, $F$11)</f>
        <v>16.5899</v>
      </c>
      <c r="J611" s="4">
        <f>CHOOSE( CONTROL!$C$32, 16.5295, 16.5248) * CHOOSE(CONTROL!$C$15, $D$11, 100%, $F$11)</f>
        <v>16.529499999999999</v>
      </c>
      <c r="K611" s="4"/>
      <c r="L611" s="9">
        <v>29.520499999999998</v>
      </c>
      <c r="M611" s="9">
        <v>12.063700000000001</v>
      </c>
      <c r="N611" s="9">
        <v>4.9444999999999997</v>
      </c>
      <c r="O611" s="9">
        <v>0.37459999999999999</v>
      </c>
      <c r="P611" s="9">
        <v>1.2192000000000001</v>
      </c>
      <c r="Q611" s="9">
        <v>19.688099999999999</v>
      </c>
      <c r="R611" s="9"/>
      <c r="S611" s="11"/>
    </row>
    <row r="612" spans="1:19" ht="15.75">
      <c r="A612" s="13">
        <v>60510</v>
      </c>
      <c r="B612" s="8">
        <f>CHOOSE( CONTROL!$C$32, 15.9243, 15.9194) * CHOOSE(CONTROL!$C$15, $D$11, 100%, $F$11)</f>
        <v>15.924300000000001</v>
      </c>
      <c r="C612" s="8">
        <f>CHOOSE( CONTROL!$C$32, 15.9347, 15.9298) * CHOOSE(CONTROL!$C$15, $D$11, 100%, $F$11)</f>
        <v>15.934699999999999</v>
      </c>
      <c r="D612" s="8">
        <f>CHOOSE( CONTROL!$C$32, 15.9349, 15.93) * CHOOSE( CONTROL!$C$15, $D$11, 100%, $F$11)</f>
        <v>15.934900000000001</v>
      </c>
      <c r="E612" s="12">
        <f>CHOOSE( CONTROL!$C$32, 15.9332, 15.9283) * CHOOSE( CONTROL!$C$15, $D$11, 100%, $F$11)</f>
        <v>15.933199999999999</v>
      </c>
      <c r="F612" s="4">
        <f>CHOOSE( CONTROL!$C$32, 16.9368, 16.9318) * CHOOSE(CONTROL!$C$15, $D$11, 100%, $F$11)</f>
        <v>16.936800000000002</v>
      </c>
      <c r="G612" s="8">
        <f>CHOOSE( CONTROL!$C$32, 15.5091, 15.5043) * CHOOSE( CONTROL!$C$15, $D$11, 100%, $F$11)</f>
        <v>15.5091</v>
      </c>
      <c r="H612" s="4">
        <f>CHOOSE( CONTROL!$C$32, 16.4332, 16.4284) * CHOOSE(CONTROL!$C$15, $D$11, 100%, $F$11)</f>
        <v>16.433199999999999</v>
      </c>
      <c r="I612" s="8">
        <f>CHOOSE( CONTROL!$C$32, 15.3047, 15.2999) * CHOOSE(CONTROL!$C$15, $D$11, 100%, $F$11)</f>
        <v>15.3047</v>
      </c>
      <c r="J612" s="4">
        <f>CHOOSE( CONTROL!$C$32, 15.2539, 15.2492) * CHOOSE(CONTROL!$C$15, $D$11, 100%, $F$11)</f>
        <v>15.2539</v>
      </c>
      <c r="K612" s="4"/>
      <c r="L612" s="9">
        <v>29.520499999999998</v>
      </c>
      <c r="M612" s="9">
        <v>12.063700000000001</v>
      </c>
      <c r="N612" s="9">
        <v>4.9444999999999997</v>
      </c>
      <c r="O612" s="9">
        <v>0.37459999999999999</v>
      </c>
      <c r="P612" s="9">
        <v>1.2192000000000001</v>
      </c>
      <c r="Q612" s="9">
        <v>19.688099999999999</v>
      </c>
      <c r="R612" s="9"/>
      <c r="S612" s="11"/>
    </row>
    <row r="613" spans="1:19" ht="15.75">
      <c r="A613" s="13">
        <v>60540</v>
      </c>
      <c r="B613" s="8">
        <f>CHOOSE( CONTROL!$C$32, 15.5909, 15.586) * CHOOSE(CONTROL!$C$15, $D$11, 100%, $F$11)</f>
        <v>15.5909</v>
      </c>
      <c r="C613" s="8">
        <f>CHOOSE( CONTROL!$C$32, 15.6014, 15.5964) * CHOOSE(CONTROL!$C$15, $D$11, 100%, $F$11)</f>
        <v>15.6014</v>
      </c>
      <c r="D613" s="8">
        <f>CHOOSE( CONTROL!$C$32, 15.6018, 15.5969) * CHOOSE( CONTROL!$C$15, $D$11, 100%, $F$11)</f>
        <v>15.601800000000001</v>
      </c>
      <c r="E613" s="12">
        <f>CHOOSE( CONTROL!$C$32, 15.6001, 15.5951) * CHOOSE( CONTROL!$C$15, $D$11, 100%, $F$11)</f>
        <v>15.600099999999999</v>
      </c>
      <c r="F613" s="4">
        <f>CHOOSE( CONTROL!$C$32, 16.6034, 16.5985) * CHOOSE(CONTROL!$C$15, $D$11, 100%, $F$11)</f>
        <v>16.603400000000001</v>
      </c>
      <c r="G613" s="8">
        <f>CHOOSE( CONTROL!$C$32, 15.1845, 15.1797) * CHOOSE( CONTROL!$C$15, $D$11, 100%, $F$11)</f>
        <v>15.1845</v>
      </c>
      <c r="H613" s="4">
        <f>CHOOSE( CONTROL!$C$32, 16.1083, 16.1035) * CHOOSE(CONTROL!$C$15, $D$11, 100%, $F$11)</f>
        <v>16.1083</v>
      </c>
      <c r="I613" s="8">
        <f>CHOOSE( CONTROL!$C$32, 14.9865, 14.9818) * CHOOSE(CONTROL!$C$15, $D$11, 100%, $F$11)</f>
        <v>14.986499999999999</v>
      </c>
      <c r="J613" s="4">
        <f>CHOOSE( CONTROL!$C$32, 14.9345, 14.9298) * CHOOSE(CONTROL!$C$15, $D$11, 100%, $F$11)</f>
        <v>14.9345</v>
      </c>
      <c r="K613" s="4"/>
      <c r="L613" s="9">
        <v>28.568200000000001</v>
      </c>
      <c r="M613" s="9">
        <v>11.6745</v>
      </c>
      <c r="N613" s="9">
        <v>4.7850000000000001</v>
      </c>
      <c r="O613" s="9">
        <v>0.36249999999999999</v>
      </c>
      <c r="P613" s="9">
        <v>1.1798</v>
      </c>
      <c r="Q613" s="9">
        <v>19.053000000000001</v>
      </c>
      <c r="R613" s="9"/>
      <c r="S613" s="11"/>
    </row>
    <row r="614" spans="1:19" ht="15.75">
      <c r="A614" s="13">
        <v>60571</v>
      </c>
      <c r="B614" s="8">
        <f>16.2782 * CHOOSE(CONTROL!$C$15, $D$11, 100%, $F$11)</f>
        <v>16.278199999999998</v>
      </c>
      <c r="C614" s="8">
        <f>16.2886 * CHOOSE(CONTROL!$C$15, $D$11, 100%, $F$11)</f>
        <v>16.288599999999999</v>
      </c>
      <c r="D614" s="8">
        <f>16.2903 * CHOOSE( CONTROL!$C$15, $D$11, 100%, $F$11)</f>
        <v>16.290299999999998</v>
      </c>
      <c r="E614" s="12">
        <f>16.2886 * CHOOSE( CONTROL!$C$15, $D$11, 100%, $F$11)</f>
        <v>16.288599999999999</v>
      </c>
      <c r="F614" s="4">
        <f>17.2906 * CHOOSE(CONTROL!$C$15, $D$11, 100%, $F$11)</f>
        <v>17.290600000000001</v>
      </c>
      <c r="G614" s="8">
        <f>15.8541 * CHOOSE( CONTROL!$C$15, $D$11, 100%, $F$11)</f>
        <v>15.854100000000001</v>
      </c>
      <c r="H614" s="4">
        <f>16.7782 * CHOOSE(CONTROL!$C$15, $D$11, 100%, $F$11)</f>
        <v>16.778199999999998</v>
      </c>
      <c r="I614" s="8">
        <f>15.6476 * CHOOSE(CONTROL!$C$15, $D$11, 100%, $F$11)</f>
        <v>15.647600000000001</v>
      </c>
      <c r="J614" s="4">
        <f>15.593 * CHOOSE(CONTROL!$C$15, $D$11, 100%, $F$11)</f>
        <v>15.593</v>
      </c>
      <c r="K614" s="4"/>
      <c r="L614" s="9">
        <v>28.921800000000001</v>
      </c>
      <c r="M614" s="9">
        <v>12.063700000000001</v>
      </c>
      <c r="N614" s="9">
        <v>4.9444999999999997</v>
      </c>
      <c r="O614" s="9">
        <v>0.37459999999999999</v>
      </c>
      <c r="P614" s="9">
        <v>1.2192000000000001</v>
      </c>
      <c r="Q614" s="9">
        <v>19.688099999999999</v>
      </c>
      <c r="R614" s="9"/>
      <c r="S614" s="11"/>
    </row>
    <row r="615" spans="1:19" ht="15.75">
      <c r="A615" s="13">
        <v>60601</v>
      </c>
      <c r="B615" s="8">
        <f>17.5558 * CHOOSE(CONTROL!$C$15, $D$11, 100%, $F$11)</f>
        <v>17.555800000000001</v>
      </c>
      <c r="C615" s="8">
        <f>17.5662 * CHOOSE(CONTROL!$C$15, $D$11, 100%, $F$11)</f>
        <v>17.566199999999998</v>
      </c>
      <c r="D615" s="8">
        <f>17.5473 * CHOOSE( CONTROL!$C$15, $D$11, 100%, $F$11)</f>
        <v>17.5473</v>
      </c>
      <c r="E615" s="12">
        <f>17.5531 * CHOOSE( CONTROL!$C$15, $D$11, 100%, $F$11)</f>
        <v>17.553100000000001</v>
      </c>
      <c r="F615" s="4">
        <f>18.5526 * CHOOSE(CONTROL!$C$15, $D$11, 100%, $F$11)</f>
        <v>18.552600000000002</v>
      </c>
      <c r="G615" s="8">
        <f>17.1224 * CHOOSE( CONTROL!$C$15, $D$11, 100%, $F$11)</f>
        <v>17.122399999999999</v>
      </c>
      <c r="H615" s="4">
        <f>18.0083 * CHOOSE(CONTROL!$C$15, $D$11, 100%, $F$11)</f>
        <v>18.008299999999998</v>
      </c>
      <c r="I615" s="8">
        <f>16.9189 * CHOOSE(CONTROL!$C$15, $D$11, 100%, $F$11)</f>
        <v>16.918900000000001</v>
      </c>
      <c r="J615" s="4">
        <f>16.8172 * CHOOSE(CONTROL!$C$15, $D$11, 100%, $F$11)</f>
        <v>16.8172</v>
      </c>
      <c r="K615" s="4"/>
      <c r="L615" s="9">
        <v>26.515499999999999</v>
      </c>
      <c r="M615" s="9">
        <v>11.6745</v>
      </c>
      <c r="N615" s="9">
        <v>4.7850000000000001</v>
      </c>
      <c r="O615" s="9">
        <v>0.36249999999999999</v>
      </c>
      <c r="P615" s="9">
        <v>1.2522</v>
      </c>
      <c r="Q615" s="9">
        <v>19.053000000000001</v>
      </c>
      <c r="R615" s="9"/>
      <c r="S615" s="11"/>
    </row>
    <row r="616" spans="1:19" ht="15.75">
      <c r="A616" s="13">
        <v>60632</v>
      </c>
      <c r="B616" s="8">
        <f>17.5239 * CHOOSE(CONTROL!$C$15, $D$11, 100%, $F$11)</f>
        <v>17.523900000000001</v>
      </c>
      <c r="C616" s="8">
        <f>17.5343 * CHOOSE(CONTROL!$C$15, $D$11, 100%, $F$11)</f>
        <v>17.534300000000002</v>
      </c>
      <c r="D616" s="8">
        <f>17.5179 * CHOOSE( CONTROL!$C$15, $D$11, 100%, $F$11)</f>
        <v>17.517900000000001</v>
      </c>
      <c r="E616" s="12">
        <f>17.5228 * CHOOSE( CONTROL!$C$15, $D$11, 100%, $F$11)</f>
        <v>17.5228</v>
      </c>
      <c r="F616" s="4">
        <f>18.5207 * CHOOSE(CONTROL!$C$15, $D$11, 100%, $F$11)</f>
        <v>18.520700000000001</v>
      </c>
      <c r="G616" s="8">
        <f>17.0933 * CHOOSE( CONTROL!$C$15, $D$11, 100%, $F$11)</f>
        <v>17.093299999999999</v>
      </c>
      <c r="H616" s="4">
        <f>17.9772 * CHOOSE(CONTROL!$C$15, $D$11, 100%, $F$11)</f>
        <v>17.9772</v>
      </c>
      <c r="I616" s="8">
        <f>16.8971 * CHOOSE(CONTROL!$C$15, $D$11, 100%, $F$11)</f>
        <v>16.897099999999998</v>
      </c>
      <c r="J616" s="4">
        <f>16.7866 * CHOOSE(CONTROL!$C$15, $D$11, 100%, $F$11)</f>
        <v>16.7866</v>
      </c>
      <c r="K616" s="4"/>
      <c r="L616" s="9">
        <v>27.3993</v>
      </c>
      <c r="M616" s="9">
        <v>12.063700000000001</v>
      </c>
      <c r="N616" s="9">
        <v>4.9444999999999997</v>
      </c>
      <c r="O616" s="9">
        <v>0.37459999999999999</v>
      </c>
      <c r="P616" s="9">
        <v>1.2939000000000001</v>
      </c>
      <c r="Q616" s="9">
        <v>19.688099999999999</v>
      </c>
      <c r="R616" s="9"/>
      <c r="S616" s="11"/>
    </row>
    <row r="617" spans="1:19" ht="15.75">
      <c r="A617" s="13">
        <v>60663</v>
      </c>
      <c r="B617" s="8">
        <f>18.1934 * CHOOSE(CONTROL!$C$15, $D$11, 100%, $F$11)</f>
        <v>18.1934</v>
      </c>
      <c r="C617" s="8">
        <f>18.2038 * CHOOSE(CONTROL!$C$15, $D$11, 100%, $F$11)</f>
        <v>18.203800000000001</v>
      </c>
      <c r="D617" s="8">
        <f>18.2024 * CHOOSE( CONTROL!$C$15, $D$11, 100%, $F$11)</f>
        <v>18.202400000000001</v>
      </c>
      <c r="E617" s="12">
        <f>18.2018 * CHOOSE( CONTROL!$C$15, $D$11, 100%, $F$11)</f>
        <v>18.201799999999999</v>
      </c>
      <c r="F617" s="4">
        <f>19.2163 * CHOOSE(CONTROL!$C$15, $D$11, 100%, $F$11)</f>
        <v>19.2163</v>
      </c>
      <c r="G617" s="8">
        <f>17.7628 * CHOOSE( CONTROL!$C$15, $D$11, 100%, $F$11)</f>
        <v>17.762799999999999</v>
      </c>
      <c r="H617" s="4">
        <f>18.6553 * CHOOSE(CONTROL!$C$15, $D$11, 100%, $F$11)</f>
        <v>18.6553</v>
      </c>
      <c r="I617" s="8">
        <f>17.5455 * CHOOSE(CONTROL!$C$15, $D$11, 100%, $F$11)</f>
        <v>17.545500000000001</v>
      </c>
      <c r="J617" s="4">
        <f>17.4282 * CHOOSE(CONTROL!$C$15, $D$11, 100%, $F$11)</f>
        <v>17.4282</v>
      </c>
      <c r="K617" s="4"/>
      <c r="L617" s="9">
        <v>27.3993</v>
      </c>
      <c r="M617" s="9">
        <v>12.063700000000001</v>
      </c>
      <c r="N617" s="9">
        <v>4.9444999999999997</v>
      </c>
      <c r="O617" s="9">
        <v>0.37459999999999999</v>
      </c>
      <c r="P617" s="9">
        <v>1.2939000000000001</v>
      </c>
      <c r="Q617" s="9">
        <v>19.688099999999999</v>
      </c>
      <c r="R617" s="9"/>
      <c r="S617" s="11"/>
    </row>
    <row r="618" spans="1:19" ht="15.75">
      <c r="A618" s="13">
        <v>60691</v>
      </c>
      <c r="B618" s="8">
        <f>17.0176 * CHOOSE(CONTROL!$C$15, $D$11, 100%, $F$11)</f>
        <v>17.017600000000002</v>
      </c>
      <c r="C618" s="8">
        <f>17.028 * CHOOSE(CONTROL!$C$15, $D$11, 100%, $F$11)</f>
        <v>17.027999999999999</v>
      </c>
      <c r="D618" s="8">
        <f>17.0288 * CHOOSE( CONTROL!$C$15, $D$11, 100%, $F$11)</f>
        <v>17.0288</v>
      </c>
      <c r="E618" s="12">
        <f>17.0274 * CHOOSE( CONTROL!$C$15, $D$11, 100%, $F$11)</f>
        <v>17.0274</v>
      </c>
      <c r="F618" s="4">
        <f>18.0326 * CHOOSE(CONTROL!$C$15, $D$11, 100%, $F$11)</f>
        <v>18.032599999999999</v>
      </c>
      <c r="G618" s="8">
        <f>16.6164 * CHOOSE( CONTROL!$C$15, $D$11, 100%, $F$11)</f>
        <v>16.616399999999999</v>
      </c>
      <c r="H618" s="4">
        <f>17.5015 * CHOOSE(CONTROL!$C$15, $D$11, 100%, $F$11)</f>
        <v>17.5015</v>
      </c>
      <c r="I618" s="8">
        <f>16.4073 * CHOOSE(CONTROL!$C$15, $D$11, 100%, $F$11)</f>
        <v>16.407299999999999</v>
      </c>
      <c r="J618" s="4">
        <f>16.3015 * CHOOSE(CONTROL!$C$15, $D$11, 100%, $F$11)</f>
        <v>16.301500000000001</v>
      </c>
      <c r="K618" s="4"/>
      <c r="L618" s="9">
        <v>24.747800000000002</v>
      </c>
      <c r="M618" s="9">
        <v>10.8962</v>
      </c>
      <c r="N618" s="9">
        <v>4.4660000000000002</v>
      </c>
      <c r="O618" s="9">
        <v>0.33829999999999999</v>
      </c>
      <c r="P618" s="9">
        <v>1.1687000000000001</v>
      </c>
      <c r="Q618" s="9">
        <v>17.782800000000002</v>
      </c>
      <c r="R618" s="9"/>
      <c r="S618" s="11"/>
    </row>
    <row r="619" spans="1:19" ht="15.75">
      <c r="A619" s="13">
        <v>60722</v>
      </c>
      <c r="B619" s="8">
        <f>16.6554 * CHOOSE(CONTROL!$C$15, $D$11, 100%, $F$11)</f>
        <v>16.6554</v>
      </c>
      <c r="C619" s="8">
        <f>16.6658 * CHOOSE(CONTROL!$C$15, $D$11, 100%, $F$11)</f>
        <v>16.665800000000001</v>
      </c>
      <c r="D619" s="8">
        <f>16.6463 * CHOOSE( CONTROL!$C$15, $D$11, 100%, $F$11)</f>
        <v>16.6463</v>
      </c>
      <c r="E619" s="12">
        <f>16.6523 * CHOOSE( CONTROL!$C$15, $D$11, 100%, $F$11)</f>
        <v>16.6523</v>
      </c>
      <c r="F619" s="4">
        <f>17.6543 * CHOOSE(CONTROL!$C$15, $D$11, 100%, $F$11)</f>
        <v>17.654299999999999</v>
      </c>
      <c r="G619" s="8">
        <f>16.2427 * CHOOSE( CONTROL!$C$15, $D$11, 100%, $F$11)</f>
        <v>16.242699999999999</v>
      </c>
      <c r="H619" s="4">
        <f>17.1327 * CHOOSE(CONTROL!$C$15, $D$11, 100%, $F$11)</f>
        <v>17.1327</v>
      </c>
      <c r="I619" s="8">
        <f>16.0206 * CHOOSE(CONTROL!$C$15, $D$11, 100%, $F$11)</f>
        <v>16.020600000000002</v>
      </c>
      <c r="J619" s="4">
        <f>15.9544 * CHOOSE(CONTROL!$C$15, $D$11, 100%, $F$11)</f>
        <v>15.9544</v>
      </c>
      <c r="K619" s="4"/>
      <c r="L619" s="9">
        <v>27.3993</v>
      </c>
      <c r="M619" s="9">
        <v>12.063700000000001</v>
      </c>
      <c r="N619" s="9">
        <v>4.9444999999999997</v>
      </c>
      <c r="O619" s="9">
        <v>0.37459999999999999</v>
      </c>
      <c r="P619" s="9">
        <v>1.2939000000000001</v>
      </c>
      <c r="Q619" s="9">
        <v>19.688099999999999</v>
      </c>
      <c r="R619" s="9"/>
      <c r="S619" s="11"/>
    </row>
    <row r="620" spans="1:19" ht="15.75">
      <c r="A620" s="13">
        <v>60752</v>
      </c>
      <c r="B620" s="8">
        <f>16.9085 * CHOOSE(CONTROL!$C$15, $D$11, 100%, $F$11)</f>
        <v>16.9085</v>
      </c>
      <c r="C620" s="8">
        <f>16.9189 * CHOOSE(CONTROL!$C$15, $D$11, 100%, $F$11)</f>
        <v>16.918900000000001</v>
      </c>
      <c r="D620" s="8">
        <f>16.9227 * CHOOSE( CONTROL!$C$15, $D$11, 100%, $F$11)</f>
        <v>16.922699999999999</v>
      </c>
      <c r="E620" s="12">
        <f>16.9203 * CHOOSE( CONTROL!$C$15, $D$11, 100%, $F$11)</f>
        <v>16.920300000000001</v>
      </c>
      <c r="F620" s="4">
        <f>17.9157 * CHOOSE(CONTROL!$C$15, $D$11, 100%, $F$11)</f>
        <v>17.915700000000001</v>
      </c>
      <c r="G620" s="8">
        <f>16.4773 * CHOOSE( CONTROL!$C$15, $D$11, 100%, $F$11)</f>
        <v>16.4773</v>
      </c>
      <c r="H620" s="4">
        <f>17.3875 * CHOOSE(CONTROL!$C$15, $D$11, 100%, $F$11)</f>
        <v>17.387499999999999</v>
      </c>
      <c r="I620" s="8">
        <f>16.2533 * CHOOSE(CONTROL!$C$15, $D$11, 100%, $F$11)</f>
        <v>16.253299999999999</v>
      </c>
      <c r="J620" s="4">
        <f>16.1969 * CHOOSE(CONTROL!$C$15, $D$11, 100%, $F$11)</f>
        <v>16.196899999999999</v>
      </c>
      <c r="K620" s="4"/>
      <c r="L620" s="9">
        <v>27.988800000000001</v>
      </c>
      <c r="M620" s="9">
        <v>11.6745</v>
      </c>
      <c r="N620" s="9">
        <v>4.7850000000000001</v>
      </c>
      <c r="O620" s="9">
        <v>0.36249999999999999</v>
      </c>
      <c r="P620" s="9">
        <v>1.1798</v>
      </c>
      <c r="Q620" s="9">
        <v>19.053000000000001</v>
      </c>
      <c r="R620" s="9"/>
      <c r="S620" s="11"/>
    </row>
    <row r="621" spans="1:19" ht="15.75">
      <c r="A621" s="13">
        <v>60783</v>
      </c>
      <c r="B621" s="8">
        <f>CHOOSE( CONTROL!$C$32, 17.3638, 17.3589) * CHOOSE(CONTROL!$C$15, $D$11, 100%, $F$11)</f>
        <v>17.363800000000001</v>
      </c>
      <c r="C621" s="8">
        <f>CHOOSE( CONTROL!$C$32, 17.3742, 17.3693) * CHOOSE(CONTROL!$C$15, $D$11, 100%, $F$11)</f>
        <v>17.374199999999998</v>
      </c>
      <c r="D621" s="8">
        <f>CHOOSE( CONTROL!$C$32, 17.3529, 17.348) * CHOOSE( CONTROL!$C$15, $D$11, 100%, $F$11)</f>
        <v>17.352900000000002</v>
      </c>
      <c r="E621" s="12">
        <f>CHOOSE( CONTROL!$C$32, 17.359, 17.3541) * CHOOSE( CONTROL!$C$15, $D$11, 100%, $F$11)</f>
        <v>17.359000000000002</v>
      </c>
      <c r="F621" s="4">
        <f>CHOOSE( CONTROL!$C$32, 18.3387, 18.3338) * CHOOSE(CONTROL!$C$15, $D$11, 100%, $F$11)</f>
        <v>18.338699999999999</v>
      </c>
      <c r="G621" s="8">
        <f>CHOOSE( CONTROL!$C$32, 16.9026, 16.8978) * CHOOSE( CONTROL!$C$15, $D$11, 100%, $F$11)</f>
        <v>16.9026</v>
      </c>
      <c r="H621" s="4">
        <f>CHOOSE( CONTROL!$C$32, 17.7998, 17.795) * CHOOSE(CONTROL!$C$15, $D$11, 100%, $F$11)</f>
        <v>17.799800000000001</v>
      </c>
      <c r="I621" s="8">
        <f>CHOOSE( CONTROL!$C$32, 16.6683, 16.6635) * CHOOSE(CONTROL!$C$15, $D$11, 100%, $F$11)</f>
        <v>16.668299999999999</v>
      </c>
      <c r="J621" s="4">
        <f>CHOOSE( CONTROL!$C$32, 16.6332, 16.6285) * CHOOSE(CONTROL!$C$15, $D$11, 100%, $F$11)</f>
        <v>16.633199999999999</v>
      </c>
      <c r="K621" s="4"/>
      <c r="L621" s="9">
        <v>29.520499999999998</v>
      </c>
      <c r="M621" s="9">
        <v>12.063700000000001</v>
      </c>
      <c r="N621" s="9">
        <v>4.9444999999999997</v>
      </c>
      <c r="O621" s="9">
        <v>0.37459999999999999</v>
      </c>
      <c r="P621" s="9">
        <v>1.2192000000000001</v>
      </c>
      <c r="Q621" s="9">
        <v>19.688099999999999</v>
      </c>
      <c r="R621" s="9"/>
      <c r="S621" s="11"/>
    </row>
    <row r="622" spans="1:19" ht="15.75">
      <c r="A622" s="13">
        <v>60813</v>
      </c>
      <c r="B622" s="8">
        <f>CHOOSE( CONTROL!$C$32, 17.0848, 17.0799) * CHOOSE(CONTROL!$C$15, $D$11, 100%, $F$11)</f>
        <v>17.084800000000001</v>
      </c>
      <c r="C622" s="8">
        <f>CHOOSE( CONTROL!$C$32, 17.0952, 17.0903) * CHOOSE(CONTROL!$C$15, $D$11, 100%, $F$11)</f>
        <v>17.095199999999998</v>
      </c>
      <c r="D622" s="8">
        <f>CHOOSE( CONTROL!$C$32, 17.0873, 17.0824) * CHOOSE( CONTROL!$C$15, $D$11, 100%, $F$11)</f>
        <v>17.087299999999999</v>
      </c>
      <c r="E622" s="12">
        <f>CHOOSE( CONTROL!$C$32, 17.0886, 17.0837) * CHOOSE( CONTROL!$C$15, $D$11, 100%, $F$11)</f>
        <v>17.0886</v>
      </c>
      <c r="F622" s="4">
        <f>CHOOSE( CONTROL!$C$32, 18.079, 18.0741) * CHOOSE(CONTROL!$C$15, $D$11, 100%, $F$11)</f>
        <v>18.079000000000001</v>
      </c>
      <c r="G622" s="8">
        <f>CHOOSE( CONTROL!$C$32, 16.641, 16.6362) * CHOOSE( CONTROL!$C$15, $D$11, 100%, $F$11)</f>
        <v>16.640999999999998</v>
      </c>
      <c r="H622" s="4">
        <f>CHOOSE( CONTROL!$C$32, 17.5466, 17.5418) * CHOOSE(CONTROL!$C$15, $D$11, 100%, $F$11)</f>
        <v>17.546600000000002</v>
      </c>
      <c r="I622" s="8">
        <f>CHOOSE( CONTROL!$C$32, 16.4186, 16.4139) * CHOOSE(CONTROL!$C$15, $D$11, 100%, $F$11)</f>
        <v>16.418600000000001</v>
      </c>
      <c r="J622" s="4">
        <f>CHOOSE( CONTROL!$C$32, 16.3659, 16.3612) * CHOOSE(CONTROL!$C$15, $D$11, 100%, $F$11)</f>
        <v>16.3659</v>
      </c>
      <c r="K622" s="4"/>
      <c r="L622" s="9">
        <v>28.568200000000001</v>
      </c>
      <c r="M622" s="9">
        <v>11.6745</v>
      </c>
      <c r="N622" s="9">
        <v>4.7850000000000001</v>
      </c>
      <c r="O622" s="9">
        <v>0.36249999999999999</v>
      </c>
      <c r="P622" s="9">
        <v>1.1798</v>
      </c>
      <c r="Q622" s="9">
        <v>19.053000000000001</v>
      </c>
      <c r="R622" s="9"/>
      <c r="S622" s="11"/>
    </row>
    <row r="623" spans="1:19" ht="15.75">
      <c r="A623" s="13">
        <v>60844</v>
      </c>
      <c r="B623" s="8">
        <f>CHOOSE( CONTROL!$C$32, 17.8195, 17.8146) * CHOOSE(CONTROL!$C$15, $D$11, 100%, $F$11)</f>
        <v>17.819500000000001</v>
      </c>
      <c r="C623" s="8">
        <f>CHOOSE( CONTROL!$C$32, 17.83, 17.825) * CHOOSE(CONTROL!$C$15, $D$11, 100%, $F$11)</f>
        <v>17.829999999999998</v>
      </c>
      <c r="D623" s="8">
        <f>CHOOSE( CONTROL!$C$32, 17.829, 17.824) * CHOOSE( CONTROL!$C$15, $D$11, 100%, $F$11)</f>
        <v>17.829000000000001</v>
      </c>
      <c r="E623" s="12">
        <f>CHOOSE( CONTROL!$C$32, 17.8278, 17.8228) * CHOOSE( CONTROL!$C$15, $D$11, 100%, $F$11)</f>
        <v>17.8278</v>
      </c>
      <c r="F623" s="4">
        <f>CHOOSE( CONTROL!$C$32, 18.8242, 18.8192) * CHOOSE(CONTROL!$C$15, $D$11, 100%, $F$11)</f>
        <v>18.824200000000001</v>
      </c>
      <c r="G623" s="8">
        <f>CHOOSE( CONTROL!$C$32, 17.3613, 17.3565) * CHOOSE( CONTROL!$C$15, $D$11, 100%, $F$11)</f>
        <v>17.3613</v>
      </c>
      <c r="H623" s="4">
        <f>CHOOSE( CONTROL!$C$32, 18.273, 18.2682) * CHOOSE(CONTROL!$C$15, $D$11, 100%, $F$11)</f>
        <v>18.273</v>
      </c>
      <c r="I623" s="8">
        <f>CHOOSE( CONTROL!$C$32, 17.1306, 17.1259) * CHOOSE(CONTROL!$C$15, $D$11, 100%, $F$11)</f>
        <v>17.130600000000001</v>
      </c>
      <c r="J623" s="4">
        <f>CHOOSE( CONTROL!$C$32, 17.0699, 17.0652) * CHOOSE(CONTROL!$C$15, $D$11, 100%, $F$11)</f>
        <v>17.069900000000001</v>
      </c>
      <c r="K623" s="4"/>
      <c r="L623" s="9">
        <v>29.520499999999998</v>
      </c>
      <c r="M623" s="9">
        <v>12.063700000000001</v>
      </c>
      <c r="N623" s="9">
        <v>4.9444999999999997</v>
      </c>
      <c r="O623" s="9">
        <v>0.37459999999999999</v>
      </c>
      <c r="P623" s="9">
        <v>1.2192000000000001</v>
      </c>
      <c r="Q623" s="9">
        <v>19.688099999999999</v>
      </c>
      <c r="R623" s="9"/>
      <c r="S623" s="11"/>
    </row>
    <row r="624" spans="1:19" ht="15.75">
      <c r="A624" s="13">
        <v>60875</v>
      </c>
      <c r="B624" s="8">
        <f>CHOOSE( CONTROL!$C$32, 16.4448, 16.4398) * CHOOSE(CONTROL!$C$15, $D$11, 100%, $F$11)</f>
        <v>16.444800000000001</v>
      </c>
      <c r="C624" s="8">
        <f>CHOOSE( CONTROL!$C$32, 16.4552, 16.4503) * CHOOSE(CONTROL!$C$15, $D$11, 100%, $F$11)</f>
        <v>16.455200000000001</v>
      </c>
      <c r="D624" s="8">
        <f>CHOOSE( CONTROL!$C$32, 16.4554, 16.4504) * CHOOSE( CONTROL!$C$15, $D$11, 100%, $F$11)</f>
        <v>16.455400000000001</v>
      </c>
      <c r="E624" s="12">
        <f>CHOOSE( CONTROL!$C$32, 16.4537, 16.4488) * CHOOSE( CONTROL!$C$15, $D$11, 100%, $F$11)</f>
        <v>16.453700000000001</v>
      </c>
      <c r="F624" s="4">
        <f>CHOOSE( CONTROL!$C$32, 17.4572, 17.4523) * CHOOSE(CONTROL!$C$15, $D$11, 100%, $F$11)</f>
        <v>17.4572</v>
      </c>
      <c r="G624" s="8">
        <f>CHOOSE( CONTROL!$C$32, 16.0164, 16.0116) * CHOOSE( CONTROL!$C$15, $D$11, 100%, $F$11)</f>
        <v>16.016400000000001</v>
      </c>
      <c r="H624" s="4">
        <f>CHOOSE( CONTROL!$C$32, 16.9406, 16.9358) * CHOOSE(CONTROL!$C$15, $D$11, 100%, $F$11)</f>
        <v>16.9406</v>
      </c>
      <c r="I624" s="8">
        <f>CHOOSE( CONTROL!$C$32, 15.8036, 15.7989) * CHOOSE(CONTROL!$C$15, $D$11, 100%, $F$11)</f>
        <v>15.803599999999999</v>
      </c>
      <c r="J624" s="4">
        <f>CHOOSE( CONTROL!$C$32, 15.7526, 15.7479) * CHOOSE(CONTROL!$C$15, $D$11, 100%, $F$11)</f>
        <v>15.752599999999999</v>
      </c>
      <c r="K624" s="4"/>
      <c r="L624" s="9">
        <v>29.520499999999998</v>
      </c>
      <c r="M624" s="9">
        <v>12.063700000000001</v>
      </c>
      <c r="N624" s="9">
        <v>4.9444999999999997</v>
      </c>
      <c r="O624" s="9">
        <v>0.37459999999999999</v>
      </c>
      <c r="P624" s="9">
        <v>1.2192000000000001</v>
      </c>
      <c r="Q624" s="9">
        <v>19.688099999999999</v>
      </c>
      <c r="R624" s="9"/>
      <c r="S624" s="11"/>
    </row>
    <row r="625" spans="1:19" ht="15.75">
      <c r="A625" s="13">
        <v>60905</v>
      </c>
      <c r="B625" s="8">
        <f>CHOOSE( CONTROL!$C$32, 16.1005, 16.0956) * CHOOSE(CONTROL!$C$15, $D$11, 100%, $F$11)</f>
        <v>16.1005</v>
      </c>
      <c r="C625" s="8">
        <f>CHOOSE( CONTROL!$C$32, 16.1109, 16.106) * CHOOSE(CONTROL!$C$15, $D$11, 100%, $F$11)</f>
        <v>16.110900000000001</v>
      </c>
      <c r="D625" s="8">
        <f>CHOOSE( CONTROL!$C$32, 16.1114, 16.1065) * CHOOSE( CONTROL!$C$15, $D$11, 100%, $F$11)</f>
        <v>16.1114</v>
      </c>
      <c r="E625" s="12">
        <f>CHOOSE( CONTROL!$C$32, 16.1096, 16.1047) * CHOOSE( CONTROL!$C$15, $D$11, 100%, $F$11)</f>
        <v>16.1096</v>
      </c>
      <c r="F625" s="4">
        <f>CHOOSE( CONTROL!$C$32, 17.113, 17.108) * CHOOSE(CONTROL!$C$15, $D$11, 100%, $F$11)</f>
        <v>17.113</v>
      </c>
      <c r="G625" s="8">
        <f>CHOOSE( CONTROL!$C$32, 15.6812, 15.6764) * CHOOSE( CONTROL!$C$15, $D$11, 100%, $F$11)</f>
        <v>15.6812</v>
      </c>
      <c r="H625" s="4">
        <f>CHOOSE( CONTROL!$C$32, 16.605, 16.6002) * CHOOSE(CONTROL!$C$15, $D$11, 100%, $F$11)</f>
        <v>16.605</v>
      </c>
      <c r="I625" s="8">
        <f>CHOOSE( CONTROL!$C$32, 15.475, 15.4703) * CHOOSE(CONTROL!$C$15, $D$11, 100%, $F$11)</f>
        <v>15.475</v>
      </c>
      <c r="J625" s="4">
        <f>CHOOSE( CONTROL!$C$32, 15.4227, 15.418) * CHOOSE(CONTROL!$C$15, $D$11, 100%, $F$11)</f>
        <v>15.422700000000001</v>
      </c>
      <c r="K625" s="4"/>
      <c r="L625" s="9">
        <v>28.568200000000001</v>
      </c>
      <c r="M625" s="9">
        <v>11.6745</v>
      </c>
      <c r="N625" s="9">
        <v>4.7850000000000001</v>
      </c>
      <c r="O625" s="9">
        <v>0.36249999999999999</v>
      </c>
      <c r="P625" s="9">
        <v>1.1798</v>
      </c>
      <c r="Q625" s="9">
        <v>19.053000000000001</v>
      </c>
      <c r="R625" s="9"/>
      <c r="S625" s="11"/>
    </row>
    <row r="626" spans="1:19" ht="15.75">
      <c r="A626" s="13">
        <v>60936</v>
      </c>
      <c r="B626" s="8">
        <f>16.8104 * CHOOSE(CONTROL!$C$15, $D$11, 100%, $F$11)</f>
        <v>16.810400000000001</v>
      </c>
      <c r="C626" s="8">
        <f>16.8208 * CHOOSE(CONTROL!$C$15, $D$11, 100%, $F$11)</f>
        <v>16.820799999999998</v>
      </c>
      <c r="D626" s="8">
        <f>16.8225 * CHOOSE( CONTROL!$C$15, $D$11, 100%, $F$11)</f>
        <v>16.822500000000002</v>
      </c>
      <c r="E626" s="12">
        <f>16.8208 * CHOOSE( CONTROL!$C$15, $D$11, 100%, $F$11)</f>
        <v>16.820799999999998</v>
      </c>
      <c r="F626" s="4">
        <f>17.8228 * CHOOSE(CONTROL!$C$15, $D$11, 100%, $F$11)</f>
        <v>17.822800000000001</v>
      </c>
      <c r="G626" s="8">
        <f>16.3729 * CHOOSE( CONTROL!$C$15, $D$11, 100%, $F$11)</f>
        <v>16.372900000000001</v>
      </c>
      <c r="H626" s="4">
        <f>17.2969 * CHOOSE(CONTROL!$C$15, $D$11, 100%, $F$11)</f>
        <v>17.296900000000001</v>
      </c>
      <c r="I626" s="8">
        <f>16.1578 * CHOOSE(CONTROL!$C$15, $D$11, 100%, $F$11)</f>
        <v>16.157800000000002</v>
      </c>
      <c r="J626" s="4">
        <f>16.1029 * CHOOSE(CONTROL!$C$15, $D$11, 100%, $F$11)</f>
        <v>16.102900000000002</v>
      </c>
      <c r="K626" s="4"/>
      <c r="L626" s="9">
        <v>28.921800000000001</v>
      </c>
      <c r="M626" s="9">
        <v>12.063700000000001</v>
      </c>
      <c r="N626" s="9">
        <v>4.9444999999999997</v>
      </c>
      <c r="O626" s="9">
        <v>0.37459999999999999</v>
      </c>
      <c r="P626" s="9">
        <v>1.2192000000000001</v>
      </c>
      <c r="Q626" s="9">
        <v>19.688099999999999</v>
      </c>
      <c r="R626" s="9"/>
      <c r="S626" s="11"/>
    </row>
    <row r="627" spans="1:19" ht="15.75">
      <c r="A627" s="13">
        <v>60966</v>
      </c>
      <c r="B627" s="8">
        <f>18.1297 * CHOOSE(CONTROL!$C$15, $D$11, 100%, $F$11)</f>
        <v>18.1297</v>
      </c>
      <c r="C627" s="8">
        <f>18.1402 * CHOOSE(CONTROL!$C$15, $D$11, 100%, $F$11)</f>
        <v>18.1402</v>
      </c>
      <c r="D627" s="8">
        <f>18.1212 * CHOOSE( CONTROL!$C$15, $D$11, 100%, $F$11)</f>
        <v>18.121200000000002</v>
      </c>
      <c r="E627" s="12">
        <f>18.127 * CHOOSE( CONTROL!$C$15, $D$11, 100%, $F$11)</f>
        <v>18.126999999999999</v>
      </c>
      <c r="F627" s="4">
        <f>19.1266 * CHOOSE(CONTROL!$C$15, $D$11, 100%, $F$11)</f>
        <v>19.1266</v>
      </c>
      <c r="G627" s="8">
        <f>17.6819 * CHOOSE( CONTROL!$C$15, $D$11, 100%, $F$11)</f>
        <v>17.681899999999999</v>
      </c>
      <c r="H627" s="4">
        <f>18.5678 * CHOOSE(CONTROL!$C$15, $D$11, 100%, $F$11)</f>
        <v>18.567799999999998</v>
      </c>
      <c r="I627" s="8">
        <f>17.4692 * CHOOSE(CONTROL!$C$15, $D$11, 100%, $F$11)</f>
        <v>17.469200000000001</v>
      </c>
      <c r="J627" s="4">
        <f>17.3672 * CHOOSE(CONTROL!$C$15, $D$11, 100%, $F$11)</f>
        <v>17.3672</v>
      </c>
      <c r="K627" s="4"/>
      <c r="L627" s="9">
        <v>26.515499999999999</v>
      </c>
      <c r="M627" s="9">
        <v>11.6745</v>
      </c>
      <c r="N627" s="9">
        <v>4.7850000000000001</v>
      </c>
      <c r="O627" s="9">
        <v>0.36249999999999999</v>
      </c>
      <c r="P627" s="9">
        <v>1.2522</v>
      </c>
      <c r="Q627" s="9">
        <v>19.053000000000001</v>
      </c>
      <c r="R627" s="9"/>
      <c r="S627" s="11"/>
    </row>
    <row r="628" spans="1:19" ht="15.75">
      <c r="A628" s="13">
        <v>60997</v>
      </c>
      <c r="B628" s="8">
        <f>18.0968 * CHOOSE(CONTROL!$C$15, $D$11, 100%, $F$11)</f>
        <v>18.096800000000002</v>
      </c>
      <c r="C628" s="8">
        <f>18.1072 * CHOOSE(CONTROL!$C$15, $D$11, 100%, $F$11)</f>
        <v>18.107199999999999</v>
      </c>
      <c r="D628" s="8">
        <f>18.0908 * CHOOSE( CONTROL!$C$15, $D$11, 100%, $F$11)</f>
        <v>18.090800000000002</v>
      </c>
      <c r="E628" s="12">
        <f>18.0957 * CHOOSE( CONTROL!$C$15, $D$11, 100%, $F$11)</f>
        <v>18.095700000000001</v>
      </c>
      <c r="F628" s="4">
        <f>19.0936 * CHOOSE(CONTROL!$C$15, $D$11, 100%, $F$11)</f>
        <v>19.093599999999999</v>
      </c>
      <c r="G628" s="8">
        <f>17.6517 * CHOOSE( CONTROL!$C$15, $D$11, 100%, $F$11)</f>
        <v>17.651700000000002</v>
      </c>
      <c r="H628" s="4">
        <f>18.5356 * CHOOSE(CONTROL!$C$15, $D$11, 100%, $F$11)</f>
        <v>18.535599999999999</v>
      </c>
      <c r="I628" s="8">
        <f>17.4464 * CHOOSE(CONTROL!$C$15, $D$11, 100%, $F$11)</f>
        <v>17.446400000000001</v>
      </c>
      <c r="J628" s="4">
        <f>17.3356 * CHOOSE(CONTROL!$C$15, $D$11, 100%, $F$11)</f>
        <v>17.335599999999999</v>
      </c>
      <c r="K628" s="4"/>
      <c r="L628" s="9">
        <v>27.3993</v>
      </c>
      <c r="M628" s="9">
        <v>12.063700000000001</v>
      </c>
      <c r="N628" s="9">
        <v>4.9444999999999997</v>
      </c>
      <c r="O628" s="9">
        <v>0.37459999999999999</v>
      </c>
      <c r="P628" s="9">
        <v>1.2939000000000001</v>
      </c>
      <c r="Q628" s="9">
        <v>19.688099999999999</v>
      </c>
      <c r="R628" s="9"/>
      <c r="S628" s="11"/>
    </row>
    <row r="629" spans="1:19" ht="15.75">
      <c r="A629" s="13">
        <v>61028</v>
      </c>
      <c r="B629" s="8">
        <f>18.7882 * CHOOSE(CONTROL!$C$15, $D$11, 100%, $F$11)</f>
        <v>18.7882</v>
      </c>
      <c r="C629" s="8">
        <f>18.7987 * CHOOSE(CONTROL!$C$15, $D$11, 100%, $F$11)</f>
        <v>18.7987</v>
      </c>
      <c r="D629" s="8">
        <f>18.7972 * CHOOSE( CONTROL!$C$15, $D$11, 100%, $F$11)</f>
        <v>18.7972</v>
      </c>
      <c r="E629" s="12">
        <f>18.7966 * CHOOSE( CONTROL!$C$15, $D$11, 100%, $F$11)</f>
        <v>18.796600000000002</v>
      </c>
      <c r="F629" s="4">
        <f>19.8111 * CHOOSE(CONTROL!$C$15, $D$11, 100%, $F$11)</f>
        <v>19.8111</v>
      </c>
      <c r="G629" s="8">
        <f>18.3426 * CHOOSE( CONTROL!$C$15, $D$11, 100%, $F$11)</f>
        <v>18.342600000000001</v>
      </c>
      <c r="H629" s="4">
        <f>19.2351 * CHOOSE(CONTROL!$C$15, $D$11, 100%, $F$11)</f>
        <v>19.235099999999999</v>
      </c>
      <c r="I629" s="8">
        <f>18.1157 * CHOOSE(CONTROL!$C$15, $D$11, 100%, $F$11)</f>
        <v>18.1157</v>
      </c>
      <c r="J629" s="4">
        <f>17.9981 * CHOOSE(CONTROL!$C$15, $D$11, 100%, $F$11)</f>
        <v>17.998100000000001</v>
      </c>
      <c r="K629" s="4"/>
      <c r="L629" s="9">
        <v>27.3993</v>
      </c>
      <c r="M629" s="9">
        <v>12.063700000000001</v>
      </c>
      <c r="N629" s="9">
        <v>4.9444999999999997</v>
      </c>
      <c r="O629" s="9">
        <v>0.37459999999999999</v>
      </c>
      <c r="P629" s="9">
        <v>1.2939000000000001</v>
      </c>
      <c r="Q629" s="9">
        <v>19.688099999999999</v>
      </c>
      <c r="R629" s="9"/>
      <c r="S629" s="11"/>
    </row>
    <row r="630" spans="1:19" ht="15.75">
      <c r="A630" s="13">
        <v>61056</v>
      </c>
      <c r="B630" s="8">
        <f>17.5739 * CHOOSE(CONTROL!$C$15, $D$11, 100%, $F$11)</f>
        <v>17.573899999999998</v>
      </c>
      <c r="C630" s="8">
        <f>17.5844 * CHOOSE(CONTROL!$C$15, $D$11, 100%, $F$11)</f>
        <v>17.584399999999999</v>
      </c>
      <c r="D630" s="8">
        <f>17.5852 * CHOOSE( CONTROL!$C$15, $D$11, 100%, $F$11)</f>
        <v>17.5852</v>
      </c>
      <c r="E630" s="12">
        <f>17.5838 * CHOOSE( CONTROL!$C$15, $D$11, 100%, $F$11)</f>
        <v>17.5838</v>
      </c>
      <c r="F630" s="4">
        <f>18.589 * CHOOSE(CONTROL!$C$15, $D$11, 100%, $F$11)</f>
        <v>18.588999999999999</v>
      </c>
      <c r="G630" s="8">
        <f>17.1587 * CHOOSE( CONTROL!$C$15, $D$11, 100%, $F$11)</f>
        <v>17.1587</v>
      </c>
      <c r="H630" s="4">
        <f>18.0438 * CHOOSE(CONTROL!$C$15, $D$11, 100%, $F$11)</f>
        <v>18.043800000000001</v>
      </c>
      <c r="I630" s="8">
        <f>16.9407 * CHOOSE(CONTROL!$C$15, $D$11, 100%, $F$11)</f>
        <v>16.9407</v>
      </c>
      <c r="J630" s="4">
        <f>16.8346 * CHOOSE(CONTROL!$C$15, $D$11, 100%, $F$11)</f>
        <v>16.834599999999998</v>
      </c>
      <c r="K630" s="4"/>
      <c r="L630" s="9">
        <v>24.747800000000002</v>
      </c>
      <c r="M630" s="9">
        <v>10.8962</v>
      </c>
      <c r="N630" s="9">
        <v>4.4660000000000002</v>
      </c>
      <c r="O630" s="9">
        <v>0.33829999999999999</v>
      </c>
      <c r="P630" s="9">
        <v>1.1687000000000001</v>
      </c>
      <c r="Q630" s="9">
        <v>17.782800000000002</v>
      </c>
      <c r="R630" s="9"/>
      <c r="S630" s="11"/>
    </row>
    <row r="631" spans="1:19" ht="15.75">
      <c r="A631" s="13">
        <v>61087</v>
      </c>
      <c r="B631" s="8">
        <f>17.1999 * CHOOSE(CONTROL!$C$15, $D$11, 100%, $F$11)</f>
        <v>17.1999</v>
      </c>
      <c r="C631" s="8">
        <f>17.2104 * CHOOSE(CONTROL!$C$15, $D$11, 100%, $F$11)</f>
        <v>17.2104</v>
      </c>
      <c r="D631" s="8">
        <f>17.1909 * CHOOSE( CONTROL!$C$15, $D$11, 100%, $F$11)</f>
        <v>17.190899999999999</v>
      </c>
      <c r="E631" s="12">
        <f>17.1969 * CHOOSE( CONTROL!$C$15, $D$11, 100%, $F$11)</f>
        <v>17.196899999999999</v>
      </c>
      <c r="F631" s="4">
        <f>18.1988 * CHOOSE(CONTROL!$C$15, $D$11, 100%, $F$11)</f>
        <v>18.198799999999999</v>
      </c>
      <c r="G631" s="8">
        <f>16.7735 * CHOOSE( CONTROL!$C$15, $D$11, 100%, $F$11)</f>
        <v>16.773499999999999</v>
      </c>
      <c r="H631" s="4">
        <f>17.6635 * CHOOSE(CONTROL!$C$15, $D$11, 100%, $F$11)</f>
        <v>17.663499999999999</v>
      </c>
      <c r="I631" s="8">
        <f>16.5426 * CHOOSE(CONTROL!$C$15, $D$11, 100%, $F$11)</f>
        <v>16.5426</v>
      </c>
      <c r="J631" s="4">
        <f>16.4762 * CHOOSE(CONTROL!$C$15, $D$11, 100%, $F$11)</f>
        <v>16.476199999999999</v>
      </c>
      <c r="K631" s="4"/>
      <c r="L631" s="9">
        <v>27.3993</v>
      </c>
      <c r="M631" s="9">
        <v>12.063700000000001</v>
      </c>
      <c r="N631" s="9">
        <v>4.9444999999999997</v>
      </c>
      <c r="O631" s="9">
        <v>0.37459999999999999</v>
      </c>
      <c r="P631" s="9">
        <v>1.2939000000000001</v>
      </c>
      <c r="Q631" s="9">
        <v>19.688099999999999</v>
      </c>
      <c r="R631" s="9"/>
      <c r="S631" s="11"/>
    </row>
    <row r="632" spans="1:19" ht="15.75">
      <c r="A632" s="13">
        <v>61117</v>
      </c>
      <c r="B632" s="8">
        <f>17.4613 * CHOOSE(CONTROL!$C$15, $D$11, 100%, $F$11)</f>
        <v>17.461300000000001</v>
      </c>
      <c r="C632" s="8">
        <f>17.4717 * CHOOSE(CONTROL!$C$15, $D$11, 100%, $F$11)</f>
        <v>17.471699999999998</v>
      </c>
      <c r="D632" s="8">
        <f>17.4756 * CHOOSE( CONTROL!$C$15, $D$11, 100%, $F$11)</f>
        <v>17.4756</v>
      </c>
      <c r="E632" s="12">
        <f>17.4731 * CHOOSE( CONTROL!$C$15, $D$11, 100%, $F$11)</f>
        <v>17.473099999999999</v>
      </c>
      <c r="F632" s="4">
        <f>18.4685 * CHOOSE(CONTROL!$C$15, $D$11, 100%, $F$11)</f>
        <v>18.468499999999999</v>
      </c>
      <c r="G632" s="8">
        <f>17.0162 * CHOOSE( CONTROL!$C$15, $D$11, 100%, $F$11)</f>
        <v>17.016200000000001</v>
      </c>
      <c r="H632" s="4">
        <f>17.9263 * CHOOSE(CONTROL!$C$15, $D$11, 100%, $F$11)</f>
        <v>17.926300000000001</v>
      </c>
      <c r="I632" s="8">
        <f>16.7832 * CHOOSE(CONTROL!$C$15, $D$11, 100%, $F$11)</f>
        <v>16.783200000000001</v>
      </c>
      <c r="J632" s="4">
        <f>16.7266 * CHOOSE(CONTROL!$C$15, $D$11, 100%, $F$11)</f>
        <v>16.726600000000001</v>
      </c>
      <c r="K632" s="4"/>
      <c r="L632" s="9">
        <v>27.988800000000001</v>
      </c>
      <c r="M632" s="9">
        <v>11.6745</v>
      </c>
      <c r="N632" s="9">
        <v>4.7850000000000001</v>
      </c>
      <c r="O632" s="9">
        <v>0.36249999999999999</v>
      </c>
      <c r="P632" s="9">
        <v>1.1798</v>
      </c>
      <c r="Q632" s="9">
        <v>19.053000000000001</v>
      </c>
      <c r="R632" s="9"/>
      <c r="S632" s="11"/>
    </row>
    <row r="633" spans="1:19" ht="15.75">
      <c r="A633" s="13">
        <v>61148</v>
      </c>
      <c r="B633" s="8">
        <f>CHOOSE( CONTROL!$C$32, 17.9313, 17.9264) * CHOOSE(CONTROL!$C$15, $D$11, 100%, $F$11)</f>
        <v>17.9313</v>
      </c>
      <c r="C633" s="8">
        <f>CHOOSE( CONTROL!$C$32, 17.9418, 17.9368) * CHOOSE(CONTROL!$C$15, $D$11, 100%, $F$11)</f>
        <v>17.941800000000001</v>
      </c>
      <c r="D633" s="8">
        <f>CHOOSE( CONTROL!$C$32, 17.9204, 17.9155) * CHOOSE( CONTROL!$C$15, $D$11, 100%, $F$11)</f>
        <v>17.920400000000001</v>
      </c>
      <c r="E633" s="12">
        <f>CHOOSE( CONTROL!$C$32, 17.9266, 17.9216) * CHOOSE( CONTROL!$C$15, $D$11, 100%, $F$11)</f>
        <v>17.926600000000001</v>
      </c>
      <c r="F633" s="4">
        <f>CHOOSE( CONTROL!$C$32, 18.9062, 18.9013) * CHOOSE(CONTROL!$C$15, $D$11, 100%, $F$11)</f>
        <v>18.906199999999998</v>
      </c>
      <c r="G633" s="8">
        <f>CHOOSE( CONTROL!$C$32, 17.4558, 17.451) * CHOOSE( CONTROL!$C$15, $D$11, 100%, $F$11)</f>
        <v>17.4558</v>
      </c>
      <c r="H633" s="4">
        <f>CHOOSE( CONTROL!$C$32, 18.353, 18.3482) * CHOOSE(CONTROL!$C$15, $D$11, 100%, $F$11)</f>
        <v>18.353000000000002</v>
      </c>
      <c r="I633" s="8">
        <f>CHOOSE( CONTROL!$C$32, 17.2123, 17.2076) * CHOOSE(CONTROL!$C$15, $D$11, 100%, $F$11)</f>
        <v>17.212299999999999</v>
      </c>
      <c r="J633" s="4">
        <f>CHOOSE( CONTROL!$C$32, 17.1771, 17.1723) * CHOOSE(CONTROL!$C$15, $D$11, 100%, $F$11)</f>
        <v>17.177099999999999</v>
      </c>
      <c r="K633" s="4"/>
      <c r="L633" s="9">
        <v>29.520499999999998</v>
      </c>
      <c r="M633" s="9">
        <v>12.063700000000001</v>
      </c>
      <c r="N633" s="9">
        <v>4.9444999999999997</v>
      </c>
      <c r="O633" s="9">
        <v>0.37459999999999999</v>
      </c>
      <c r="P633" s="9">
        <v>1.2192000000000001</v>
      </c>
      <c r="Q633" s="9">
        <v>19.688099999999999</v>
      </c>
      <c r="R633" s="9"/>
      <c r="S633" s="11"/>
    </row>
    <row r="634" spans="1:19" ht="15.75">
      <c r="A634" s="13">
        <v>61178</v>
      </c>
      <c r="B634" s="8">
        <f>CHOOSE( CONTROL!$C$32, 17.6432, 17.6383) * CHOOSE(CONTROL!$C$15, $D$11, 100%, $F$11)</f>
        <v>17.6432</v>
      </c>
      <c r="C634" s="8">
        <f>CHOOSE( CONTROL!$C$32, 17.6536, 17.6487) * CHOOSE(CONTROL!$C$15, $D$11, 100%, $F$11)</f>
        <v>17.653600000000001</v>
      </c>
      <c r="D634" s="8">
        <f>CHOOSE( CONTROL!$C$32, 17.6457, 17.6408) * CHOOSE( CONTROL!$C$15, $D$11, 100%, $F$11)</f>
        <v>17.645700000000001</v>
      </c>
      <c r="E634" s="12">
        <f>CHOOSE( CONTROL!$C$32, 17.647, 17.6421) * CHOOSE( CONTROL!$C$15, $D$11, 100%, $F$11)</f>
        <v>17.646999999999998</v>
      </c>
      <c r="F634" s="4">
        <f>CHOOSE( CONTROL!$C$32, 18.6374, 18.6325) * CHOOSE(CONTROL!$C$15, $D$11, 100%, $F$11)</f>
        <v>18.6374</v>
      </c>
      <c r="G634" s="8">
        <f>CHOOSE( CONTROL!$C$32, 17.1853, 17.1805) * CHOOSE( CONTROL!$C$15, $D$11, 100%, $F$11)</f>
        <v>17.185300000000002</v>
      </c>
      <c r="H634" s="4">
        <f>CHOOSE( CONTROL!$C$32, 18.091, 18.0862) * CHOOSE(CONTROL!$C$15, $D$11, 100%, $F$11)</f>
        <v>18.091000000000001</v>
      </c>
      <c r="I634" s="8">
        <f>CHOOSE( CONTROL!$C$32, 16.9539, 16.9492) * CHOOSE(CONTROL!$C$15, $D$11, 100%, $F$11)</f>
        <v>16.953900000000001</v>
      </c>
      <c r="J634" s="4">
        <f>CHOOSE( CONTROL!$C$32, 16.901, 16.8962) * CHOOSE(CONTROL!$C$15, $D$11, 100%, $F$11)</f>
        <v>16.901</v>
      </c>
      <c r="K634" s="4"/>
      <c r="L634" s="9">
        <v>28.568200000000001</v>
      </c>
      <c r="M634" s="9">
        <v>11.6745</v>
      </c>
      <c r="N634" s="9">
        <v>4.7850000000000001</v>
      </c>
      <c r="O634" s="9">
        <v>0.36249999999999999</v>
      </c>
      <c r="P634" s="9">
        <v>1.1798</v>
      </c>
      <c r="Q634" s="9">
        <v>19.053000000000001</v>
      </c>
      <c r="R634" s="9"/>
      <c r="S634" s="11"/>
    </row>
    <row r="635" spans="1:19" ht="15.75">
      <c r="A635" s="13">
        <v>61209</v>
      </c>
      <c r="B635" s="8">
        <f>CHOOSE( CONTROL!$C$32, 18.402, 18.397) * CHOOSE(CONTROL!$C$15, $D$11, 100%, $F$11)</f>
        <v>18.402000000000001</v>
      </c>
      <c r="C635" s="8">
        <f>CHOOSE( CONTROL!$C$32, 18.4124, 18.4075) * CHOOSE(CONTROL!$C$15, $D$11, 100%, $F$11)</f>
        <v>18.412400000000002</v>
      </c>
      <c r="D635" s="8">
        <f>CHOOSE( CONTROL!$C$32, 18.4114, 18.4065) * CHOOSE( CONTROL!$C$15, $D$11, 100%, $F$11)</f>
        <v>18.4114</v>
      </c>
      <c r="E635" s="12">
        <f>CHOOSE( CONTROL!$C$32, 18.4102, 18.4053) * CHOOSE( CONTROL!$C$15, $D$11, 100%, $F$11)</f>
        <v>18.4102</v>
      </c>
      <c r="F635" s="4">
        <f>CHOOSE( CONTROL!$C$32, 19.4066, 19.4017) * CHOOSE(CONTROL!$C$15, $D$11, 100%, $F$11)</f>
        <v>19.406600000000001</v>
      </c>
      <c r="G635" s="8">
        <f>CHOOSE( CONTROL!$C$32, 17.9291, 17.9243) * CHOOSE( CONTROL!$C$15, $D$11, 100%, $F$11)</f>
        <v>17.929099999999998</v>
      </c>
      <c r="H635" s="4">
        <f>CHOOSE( CONTROL!$C$32, 18.8408, 18.836) * CHOOSE(CONTROL!$C$15, $D$11, 100%, $F$11)</f>
        <v>18.840800000000002</v>
      </c>
      <c r="I635" s="8">
        <f>CHOOSE( CONTROL!$C$32, 17.689, 17.6843) * CHOOSE(CONTROL!$C$15, $D$11, 100%, $F$11)</f>
        <v>17.689</v>
      </c>
      <c r="J635" s="4">
        <f>CHOOSE( CONTROL!$C$32, 17.628, 17.6233) * CHOOSE(CONTROL!$C$15, $D$11, 100%, $F$11)</f>
        <v>17.628</v>
      </c>
      <c r="K635" s="4"/>
      <c r="L635" s="9">
        <v>29.520499999999998</v>
      </c>
      <c r="M635" s="9">
        <v>12.063700000000001</v>
      </c>
      <c r="N635" s="9">
        <v>4.9444999999999997</v>
      </c>
      <c r="O635" s="9">
        <v>0.37459999999999999</v>
      </c>
      <c r="P635" s="9">
        <v>1.2192000000000001</v>
      </c>
      <c r="Q635" s="9">
        <v>19.688099999999999</v>
      </c>
      <c r="R635" s="9"/>
      <c r="S635" s="11"/>
    </row>
    <row r="636" spans="1:19" ht="15.75">
      <c r="A636" s="13">
        <v>61240</v>
      </c>
      <c r="B636" s="8">
        <f>CHOOSE( CONTROL!$C$32, 16.9822, 16.9773) * CHOOSE(CONTROL!$C$15, $D$11, 100%, $F$11)</f>
        <v>16.982199999999999</v>
      </c>
      <c r="C636" s="8">
        <f>CHOOSE( CONTROL!$C$32, 16.9927, 16.9877) * CHOOSE(CONTROL!$C$15, $D$11, 100%, $F$11)</f>
        <v>16.992699999999999</v>
      </c>
      <c r="D636" s="8">
        <f>CHOOSE( CONTROL!$C$32, 16.9928, 16.9879) * CHOOSE( CONTROL!$C$15, $D$11, 100%, $F$11)</f>
        <v>16.992799999999999</v>
      </c>
      <c r="E636" s="12">
        <f>CHOOSE( CONTROL!$C$32, 16.9912, 16.9862) * CHOOSE( CONTROL!$C$15, $D$11, 100%, $F$11)</f>
        <v>16.991199999999999</v>
      </c>
      <c r="F636" s="4">
        <f>CHOOSE( CONTROL!$C$32, 17.9947, 17.9898) * CHOOSE(CONTROL!$C$15, $D$11, 100%, $F$11)</f>
        <v>17.994700000000002</v>
      </c>
      <c r="G636" s="8">
        <f>CHOOSE( CONTROL!$C$32, 16.5403, 16.5355) * CHOOSE( CONTROL!$C$15, $D$11, 100%, $F$11)</f>
        <v>16.540299999999998</v>
      </c>
      <c r="H636" s="4">
        <f>CHOOSE( CONTROL!$C$32, 17.4645, 17.4597) * CHOOSE(CONTROL!$C$15, $D$11, 100%, $F$11)</f>
        <v>17.464500000000001</v>
      </c>
      <c r="I636" s="8">
        <f>CHOOSE( CONTROL!$C$32, 16.3189, 16.3142) * CHOOSE(CONTROL!$C$15, $D$11, 100%, $F$11)</f>
        <v>16.318899999999999</v>
      </c>
      <c r="J636" s="4">
        <f>CHOOSE( CONTROL!$C$32, 16.2676, 16.2629) * CHOOSE(CONTROL!$C$15, $D$11, 100%, $F$11)</f>
        <v>16.267600000000002</v>
      </c>
      <c r="K636" s="4"/>
      <c r="L636" s="9">
        <v>29.520499999999998</v>
      </c>
      <c r="M636" s="9">
        <v>12.063700000000001</v>
      </c>
      <c r="N636" s="9">
        <v>4.9444999999999997</v>
      </c>
      <c r="O636" s="9">
        <v>0.37459999999999999</v>
      </c>
      <c r="P636" s="9">
        <v>1.2192000000000001</v>
      </c>
      <c r="Q636" s="9">
        <v>19.688099999999999</v>
      </c>
      <c r="R636" s="9"/>
      <c r="S636" s="11"/>
    </row>
    <row r="637" spans="1:19" ht="15.75">
      <c r="A637" s="13">
        <v>61270</v>
      </c>
      <c r="B637" s="8">
        <f>CHOOSE( CONTROL!$C$32, 16.6267, 16.6218) * CHOOSE(CONTROL!$C$15, $D$11, 100%, $F$11)</f>
        <v>16.6267</v>
      </c>
      <c r="C637" s="8">
        <f>CHOOSE( CONTROL!$C$32, 16.6372, 16.6322) * CHOOSE(CONTROL!$C$15, $D$11, 100%, $F$11)</f>
        <v>16.6372</v>
      </c>
      <c r="D637" s="8">
        <f>CHOOSE( CONTROL!$C$32, 16.6376, 16.6327) * CHOOSE( CONTROL!$C$15, $D$11, 100%, $F$11)</f>
        <v>16.637599999999999</v>
      </c>
      <c r="E637" s="12">
        <f>CHOOSE( CONTROL!$C$32, 16.6359, 16.6309) * CHOOSE( CONTROL!$C$15, $D$11, 100%, $F$11)</f>
        <v>16.635899999999999</v>
      </c>
      <c r="F637" s="4">
        <f>CHOOSE( CONTROL!$C$32, 17.6392, 17.6343) * CHOOSE(CONTROL!$C$15, $D$11, 100%, $F$11)</f>
        <v>17.639199999999999</v>
      </c>
      <c r="G637" s="8">
        <f>CHOOSE( CONTROL!$C$32, 16.1942, 16.1894) * CHOOSE( CONTROL!$C$15, $D$11, 100%, $F$11)</f>
        <v>16.194199999999999</v>
      </c>
      <c r="H637" s="4">
        <f>CHOOSE( CONTROL!$C$32, 17.1179, 17.1131) * CHOOSE(CONTROL!$C$15, $D$11, 100%, $F$11)</f>
        <v>17.117899999999999</v>
      </c>
      <c r="I637" s="8">
        <f>CHOOSE( CONTROL!$C$32, 15.9795, 15.9747) * CHOOSE(CONTROL!$C$15, $D$11, 100%, $F$11)</f>
        <v>15.9795</v>
      </c>
      <c r="J637" s="4">
        <f>CHOOSE( CONTROL!$C$32, 15.927, 15.9222) * CHOOSE(CONTROL!$C$15, $D$11, 100%, $F$11)</f>
        <v>15.927</v>
      </c>
      <c r="K637" s="4"/>
      <c r="L637" s="9">
        <v>28.568200000000001</v>
      </c>
      <c r="M637" s="9">
        <v>11.6745</v>
      </c>
      <c r="N637" s="9">
        <v>4.7850000000000001</v>
      </c>
      <c r="O637" s="9">
        <v>0.36249999999999999</v>
      </c>
      <c r="P637" s="9">
        <v>1.1798</v>
      </c>
      <c r="Q637" s="9">
        <v>19.053000000000001</v>
      </c>
      <c r="R637" s="9"/>
      <c r="S637" s="11"/>
    </row>
    <row r="638" spans="1:19" ht="15.75">
      <c r="A638" s="13">
        <v>61301</v>
      </c>
      <c r="B638" s="8">
        <f>17.36 * CHOOSE(CONTROL!$C$15, $D$11, 100%, $F$11)</f>
        <v>17.36</v>
      </c>
      <c r="C638" s="8">
        <f>17.3704 * CHOOSE(CONTROL!$C$15, $D$11, 100%, $F$11)</f>
        <v>17.3704</v>
      </c>
      <c r="D638" s="8">
        <f>17.3721 * CHOOSE( CONTROL!$C$15, $D$11, 100%, $F$11)</f>
        <v>17.3721</v>
      </c>
      <c r="E638" s="12">
        <f>17.3704 * CHOOSE( CONTROL!$C$15, $D$11, 100%, $F$11)</f>
        <v>17.3704</v>
      </c>
      <c r="F638" s="4">
        <f>18.3724 * CHOOSE(CONTROL!$C$15, $D$11, 100%, $F$11)</f>
        <v>18.372399999999999</v>
      </c>
      <c r="G638" s="8">
        <f>16.9086 * CHOOSE( CONTROL!$C$15, $D$11, 100%, $F$11)</f>
        <v>16.9086</v>
      </c>
      <c r="H638" s="4">
        <f>17.8327 * CHOOSE(CONTROL!$C$15, $D$11, 100%, $F$11)</f>
        <v>17.832699999999999</v>
      </c>
      <c r="I638" s="8">
        <f>16.6847 * CHOOSE(CONTROL!$C$15, $D$11, 100%, $F$11)</f>
        <v>16.684699999999999</v>
      </c>
      <c r="J638" s="4">
        <f>16.6296 * CHOOSE(CONTROL!$C$15, $D$11, 100%, $F$11)</f>
        <v>16.6296</v>
      </c>
      <c r="K638" s="4"/>
      <c r="L638" s="9">
        <v>28.921800000000001</v>
      </c>
      <c r="M638" s="9">
        <v>12.063700000000001</v>
      </c>
      <c r="N638" s="9">
        <v>4.9444999999999997</v>
      </c>
      <c r="O638" s="9">
        <v>0.37459999999999999</v>
      </c>
      <c r="P638" s="9">
        <v>1.2192000000000001</v>
      </c>
      <c r="Q638" s="9">
        <v>19.688099999999999</v>
      </c>
      <c r="R638" s="9"/>
      <c r="S638" s="11"/>
    </row>
    <row r="639" spans="1:19" ht="15.75">
      <c r="A639" s="13">
        <v>61331</v>
      </c>
      <c r="B639" s="8">
        <f>18.7225 * CHOOSE(CONTROL!$C$15, $D$11, 100%, $F$11)</f>
        <v>18.7225</v>
      </c>
      <c r="C639" s="8">
        <f>18.7329 * CHOOSE(CONTROL!$C$15, $D$11, 100%, $F$11)</f>
        <v>18.732900000000001</v>
      </c>
      <c r="D639" s="8">
        <f>18.714 * CHOOSE( CONTROL!$C$15, $D$11, 100%, $F$11)</f>
        <v>18.713999999999999</v>
      </c>
      <c r="E639" s="12">
        <f>18.7198 * CHOOSE( CONTROL!$C$15, $D$11, 100%, $F$11)</f>
        <v>18.719799999999999</v>
      </c>
      <c r="F639" s="4">
        <f>19.7193 * CHOOSE(CONTROL!$C$15, $D$11, 100%, $F$11)</f>
        <v>19.7193</v>
      </c>
      <c r="G639" s="8">
        <f>18.2597 * CHOOSE( CONTROL!$C$15, $D$11, 100%, $F$11)</f>
        <v>18.259699999999999</v>
      </c>
      <c r="H639" s="4">
        <f>19.1456 * CHOOSE(CONTROL!$C$15, $D$11, 100%, $F$11)</f>
        <v>19.145600000000002</v>
      </c>
      <c r="I639" s="8">
        <f>18.0374 * CHOOSE(CONTROL!$C$15, $D$11, 100%, $F$11)</f>
        <v>18.037400000000002</v>
      </c>
      <c r="J639" s="4">
        <f>17.9351 * CHOOSE(CONTROL!$C$15, $D$11, 100%, $F$11)</f>
        <v>17.935099999999998</v>
      </c>
      <c r="K639" s="4"/>
      <c r="L639" s="9">
        <v>26.515499999999999</v>
      </c>
      <c r="M639" s="9">
        <v>11.6745</v>
      </c>
      <c r="N639" s="9">
        <v>4.7850000000000001</v>
      </c>
      <c r="O639" s="9">
        <v>0.36249999999999999</v>
      </c>
      <c r="P639" s="9">
        <v>1.2522</v>
      </c>
      <c r="Q639" s="9">
        <v>19.053000000000001</v>
      </c>
      <c r="R639" s="9"/>
      <c r="S639" s="11"/>
    </row>
    <row r="640" spans="1:19" ht="15.75">
      <c r="A640" s="13">
        <v>61362</v>
      </c>
      <c r="B640" s="8">
        <f>18.6885 * CHOOSE(CONTROL!$C$15, $D$11, 100%, $F$11)</f>
        <v>18.688500000000001</v>
      </c>
      <c r="C640" s="8">
        <f>18.6989 * CHOOSE(CONTROL!$C$15, $D$11, 100%, $F$11)</f>
        <v>18.698899999999998</v>
      </c>
      <c r="D640" s="8">
        <f>18.6825 * CHOOSE( CONTROL!$C$15, $D$11, 100%, $F$11)</f>
        <v>18.682500000000001</v>
      </c>
      <c r="E640" s="12">
        <f>18.6874 * CHOOSE( CONTROL!$C$15, $D$11, 100%, $F$11)</f>
        <v>18.6874</v>
      </c>
      <c r="F640" s="4">
        <f>19.6853 * CHOOSE(CONTROL!$C$15, $D$11, 100%, $F$11)</f>
        <v>19.685300000000002</v>
      </c>
      <c r="G640" s="8">
        <f>18.2285 * CHOOSE( CONTROL!$C$15, $D$11, 100%, $F$11)</f>
        <v>18.2285</v>
      </c>
      <c r="H640" s="4">
        <f>19.1124 * CHOOSE(CONTROL!$C$15, $D$11, 100%, $F$11)</f>
        <v>19.112400000000001</v>
      </c>
      <c r="I640" s="8">
        <f>18.0136 * CHOOSE(CONTROL!$C$15, $D$11, 100%, $F$11)</f>
        <v>18.0136</v>
      </c>
      <c r="J640" s="4">
        <f>17.9025 * CHOOSE(CONTROL!$C$15, $D$11, 100%, $F$11)</f>
        <v>17.9025</v>
      </c>
      <c r="K640" s="4"/>
      <c r="L640" s="9">
        <v>27.3993</v>
      </c>
      <c r="M640" s="9">
        <v>12.063700000000001</v>
      </c>
      <c r="N640" s="9">
        <v>4.9444999999999997</v>
      </c>
      <c r="O640" s="9">
        <v>0.37459999999999999</v>
      </c>
      <c r="P640" s="9">
        <v>1.2939000000000001</v>
      </c>
      <c r="Q640" s="9">
        <v>19.688099999999999</v>
      </c>
      <c r="R640" s="9"/>
      <c r="S640" s="11"/>
    </row>
    <row r="641" spans="1:19" ht="15.75">
      <c r="A641" s="13">
        <v>61393</v>
      </c>
      <c r="B641" s="8">
        <f>19.4025 * CHOOSE(CONTROL!$C$15, $D$11, 100%, $F$11)</f>
        <v>19.4025</v>
      </c>
      <c r="C641" s="8">
        <f>19.413 * CHOOSE(CONTROL!$C$15, $D$11, 100%, $F$11)</f>
        <v>19.413</v>
      </c>
      <c r="D641" s="8">
        <f>19.4115 * CHOOSE( CONTROL!$C$15, $D$11, 100%, $F$11)</f>
        <v>19.4115</v>
      </c>
      <c r="E641" s="12">
        <f>19.4109 * CHOOSE( CONTROL!$C$15, $D$11, 100%, $F$11)</f>
        <v>19.410900000000002</v>
      </c>
      <c r="F641" s="4">
        <f>20.4254 * CHOOSE(CONTROL!$C$15, $D$11, 100%, $F$11)</f>
        <v>20.4254</v>
      </c>
      <c r="G641" s="8">
        <f>18.9414 * CHOOSE( CONTROL!$C$15, $D$11, 100%, $F$11)</f>
        <v>18.941400000000002</v>
      </c>
      <c r="H641" s="4">
        <f>19.8339 * CHOOSE(CONTROL!$C$15, $D$11, 100%, $F$11)</f>
        <v>19.8339</v>
      </c>
      <c r="I641" s="8">
        <f>18.7046 * CHOOSE(CONTROL!$C$15, $D$11, 100%, $F$11)</f>
        <v>18.704599999999999</v>
      </c>
      <c r="J641" s="4">
        <f>18.5867 * CHOOSE(CONTROL!$C$15, $D$11, 100%, $F$11)</f>
        <v>18.5867</v>
      </c>
      <c r="K641" s="4"/>
      <c r="L641" s="9">
        <v>27.3993</v>
      </c>
      <c r="M641" s="9">
        <v>12.063700000000001</v>
      </c>
      <c r="N641" s="9">
        <v>4.9444999999999997</v>
      </c>
      <c r="O641" s="9">
        <v>0.37459999999999999</v>
      </c>
      <c r="P641" s="9">
        <v>1.2939000000000001</v>
      </c>
      <c r="Q641" s="9">
        <v>19.688099999999999</v>
      </c>
      <c r="R641" s="9"/>
      <c r="S641" s="11"/>
    </row>
    <row r="642" spans="1:19" ht="15.75">
      <c r="A642" s="13">
        <v>61422</v>
      </c>
      <c r="B642" s="8">
        <f>18.1485 * CHOOSE(CONTROL!$C$15, $D$11, 100%, $F$11)</f>
        <v>18.148499999999999</v>
      </c>
      <c r="C642" s="8">
        <f>18.1589 * CHOOSE(CONTROL!$C$15, $D$11, 100%, $F$11)</f>
        <v>18.158899999999999</v>
      </c>
      <c r="D642" s="8">
        <f>18.1597 * CHOOSE( CONTROL!$C$15, $D$11, 100%, $F$11)</f>
        <v>18.159700000000001</v>
      </c>
      <c r="E642" s="12">
        <f>18.1583 * CHOOSE( CONTROL!$C$15, $D$11, 100%, $F$11)</f>
        <v>18.158300000000001</v>
      </c>
      <c r="F642" s="4">
        <f>19.1636 * CHOOSE(CONTROL!$C$15, $D$11, 100%, $F$11)</f>
        <v>19.163599999999999</v>
      </c>
      <c r="G642" s="8">
        <f>17.7188 * CHOOSE( CONTROL!$C$15, $D$11, 100%, $F$11)</f>
        <v>17.718800000000002</v>
      </c>
      <c r="H642" s="4">
        <f>18.6039 * CHOOSE(CONTROL!$C$15, $D$11, 100%, $F$11)</f>
        <v>18.603899999999999</v>
      </c>
      <c r="I642" s="8">
        <f>17.4915 * CHOOSE(CONTROL!$C$15, $D$11, 100%, $F$11)</f>
        <v>17.491499999999998</v>
      </c>
      <c r="J642" s="4">
        <f>17.3851 * CHOOSE(CONTROL!$C$15, $D$11, 100%, $F$11)</f>
        <v>17.385100000000001</v>
      </c>
      <c r="K642" s="4"/>
      <c r="L642" s="9">
        <v>25.631599999999999</v>
      </c>
      <c r="M642" s="9">
        <v>11.285299999999999</v>
      </c>
      <c r="N642" s="9">
        <v>4.6254999999999997</v>
      </c>
      <c r="O642" s="9">
        <v>0.35039999999999999</v>
      </c>
      <c r="P642" s="9">
        <v>1.2104999999999999</v>
      </c>
      <c r="Q642" s="9">
        <v>18.417899999999999</v>
      </c>
      <c r="R642" s="9"/>
      <c r="S642" s="11"/>
    </row>
    <row r="643" spans="1:19" ht="15.75">
      <c r="A643" s="13">
        <v>61453</v>
      </c>
      <c r="B643" s="8">
        <f>17.7623 * CHOOSE(CONTROL!$C$15, $D$11, 100%, $F$11)</f>
        <v>17.7623</v>
      </c>
      <c r="C643" s="8">
        <f>17.7727 * CHOOSE(CONTROL!$C$15, $D$11, 100%, $F$11)</f>
        <v>17.7727</v>
      </c>
      <c r="D643" s="8">
        <f>17.7532 * CHOOSE( CONTROL!$C$15, $D$11, 100%, $F$11)</f>
        <v>17.7532</v>
      </c>
      <c r="E643" s="12">
        <f>17.7592 * CHOOSE( CONTROL!$C$15, $D$11, 100%, $F$11)</f>
        <v>17.7592</v>
      </c>
      <c r="F643" s="4">
        <f>18.7612 * CHOOSE(CONTROL!$C$15, $D$11, 100%, $F$11)</f>
        <v>18.761199999999999</v>
      </c>
      <c r="G643" s="8">
        <f>17.3216 * CHOOSE( CONTROL!$C$15, $D$11, 100%, $F$11)</f>
        <v>17.3216</v>
      </c>
      <c r="H643" s="4">
        <f>18.2116 * CHOOSE(CONTROL!$C$15, $D$11, 100%, $F$11)</f>
        <v>18.211600000000001</v>
      </c>
      <c r="I643" s="8">
        <f>17.0817 * CHOOSE(CONTROL!$C$15, $D$11, 100%, $F$11)</f>
        <v>17.081700000000001</v>
      </c>
      <c r="J643" s="4">
        <f>17.0151 * CHOOSE(CONTROL!$C$15, $D$11, 100%, $F$11)</f>
        <v>17.0151</v>
      </c>
      <c r="K643" s="4"/>
      <c r="L643" s="9">
        <v>27.3993</v>
      </c>
      <c r="M643" s="9">
        <v>12.063700000000001</v>
      </c>
      <c r="N643" s="9">
        <v>4.9444999999999997</v>
      </c>
      <c r="O643" s="9">
        <v>0.37459999999999999</v>
      </c>
      <c r="P643" s="9">
        <v>1.2939000000000001</v>
      </c>
      <c r="Q643" s="9">
        <v>19.688099999999999</v>
      </c>
      <c r="R643" s="9"/>
      <c r="S643" s="11"/>
    </row>
    <row r="644" spans="1:19" ht="15.75">
      <c r="A644" s="13">
        <v>61483</v>
      </c>
      <c r="B644" s="8">
        <f>18.0322 * CHOOSE(CONTROL!$C$15, $D$11, 100%, $F$11)</f>
        <v>18.0322</v>
      </c>
      <c r="C644" s="8">
        <f>18.0426 * CHOOSE(CONTROL!$C$15, $D$11, 100%, $F$11)</f>
        <v>18.0426</v>
      </c>
      <c r="D644" s="8">
        <f>18.0464 * CHOOSE( CONTROL!$C$15, $D$11, 100%, $F$11)</f>
        <v>18.046399999999998</v>
      </c>
      <c r="E644" s="12">
        <f>18.044 * CHOOSE( CONTROL!$C$15, $D$11, 100%, $F$11)</f>
        <v>18.044</v>
      </c>
      <c r="F644" s="4">
        <f>19.0394 * CHOOSE(CONTROL!$C$15, $D$11, 100%, $F$11)</f>
        <v>19.039400000000001</v>
      </c>
      <c r="G644" s="8">
        <f>17.5727 * CHOOSE( CONTROL!$C$15, $D$11, 100%, $F$11)</f>
        <v>17.572700000000001</v>
      </c>
      <c r="H644" s="4">
        <f>18.4828 * CHOOSE(CONTROL!$C$15, $D$11, 100%, $F$11)</f>
        <v>18.482800000000001</v>
      </c>
      <c r="I644" s="8">
        <f>17.3305 * CHOOSE(CONTROL!$C$15, $D$11, 100%, $F$11)</f>
        <v>17.330500000000001</v>
      </c>
      <c r="J644" s="4">
        <f>17.2737 * CHOOSE(CONTROL!$C$15, $D$11, 100%, $F$11)</f>
        <v>17.273700000000002</v>
      </c>
      <c r="K644" s="4"/>
      <c r="L644" s="9">
        <v>27.988800000000001</v>
      </c>
      <c r="M644" s="9">
        <v>11.6745</v>
      </c>
      <c r="N644" s="9">
        <v>4.7850000000000001</v>
      </c>
      <c r="O644" s="9">
        <v>0.36249999999999999</v>
      </c>
      <c r="P644" s="9">
        <v>1.1798</v>
      </c>
      <c r="Q644" s="9">
        <v>19.053000000000001</v>
      </c>
      <c r="R644" s="9"/>
      <c r="S644" s="11"/>
    </row>
    <row r="645" spans="1:19" ht="15.75">
      <c r="A645" s="13">
        <v>61514</v>
      </c>
      <c r="B645" s="8">
        <f>CHOOSE( CONTROL!$C$32, 18.5174, 18.5125) * CHOOSE(CONTROL!$C$15, $D$11, 100%, $F$11)</f>
        <v>18.517399999999999</v>
      </c>
      <c r="C645" s="8">
        <f>CHOOSE( CONTROL!$C$32, 18.5279, 18.5229) * CHOOSE(CONTROL!$C$15, $D$11, 100%, $F$11)</f>
        <v>18.527899999999999</v>
      </c>
      <c r="D645" s="8">
        <f>CHOOSE( CONTROL!$C$32, 18.5065, 18.5016) * CHOOSE( CONTROL!$C$15, $D$11, 100%, $F$11)</f>
        <v>18.506499999999999</v>
      </c>
      <c r="E645" s="12">
        <f>CHOOSE( CONTROL!$C$32, 18.5127, 18.5077) * CHOOSE( CONTROL!$C$15, $D$11, 100%, $F$11)</f>
        <v>18.512699999999999</v>
      </c>
      <c r="F645" s="4">
        <f>CHOOSE( CONTROL!$C$32, 19.4923, 19.4874) * CHOOSE(CONTROL!$C$15, $D$11, 100%, $F$11)</f>
        <v>19.4923</v>
      </c>
      <c r="G645" s="8">
        <f>CHOOSE( CONTROL!$C$32, 18.0271, 18.0223) * CHOOSE( CONTROL!$C$15, $D$11, 100%, $F$11)</f>
        <v>18.027100000000001</v>
      </c>
      <c r="H645" s="4">
        <f>CHOOSE( CONTROL!$C$32, 18.9243, 18.9195) * CHOOSE(CONTROL!$C$15, $D$11, 100%, $F$11)</f>
        <v>18.924299999999999</v>
      </c>
      <c r="I645" s="8">
        <f>CHOOSE( CONTROL!$C$32, 17.7742, 17.7695) * CHOOSE(CONTROL!$C$15, $D$11, 100%, $F$11)</f>
        <v>17.7742</v>
      </c>
      <c r="J645" s="4">
        <f>CHOOSE( CONTROL!$C$32, 17.7387, 17.7339) * CHOOSE(CONTROL!$C$15, $D$11, 100%, $F$11)</f>
        <v>17.738700000000001</v>
      </c>
      <c r="K645" s="4"/>
      <c r="L645" s="9">
        <v>29.520499999999998</v>
      </c>
      <c r="M645" s="9">
        <v>12.063700000000001</v>
      </c>
      <c r="N645" s="9">
        <v>4.9444999999999997</v>
      </c>
      <c r="O645" s="9">
        <v>0.37459999999999999</v>
      </c>
      <c r="P645" s="9">
        <v>1.2192000000000001</v>
      </c>
      <c r="Q645" s="9">
        <v>19.688099999999999</v>
      </c>
      <c r="R645" s="9"/>
      <c r="S645" s="11"/>
    </row>
    <row r="646" spans="1:19" ht="15.75">
      <c r="A646" s="13">
        <v>61544</v>
      </c>
      <c r="B646" s="8">
        <f>CHOOSE( CONTROL!$C$32, 18.2199, 18.215) * CHOOSE(CONTROL!$C$15, $D$11, 100%, $F$11)</f>
        <v>18.219899999999999</v>
      </c>
      <c r="C646" s="8">
        <f>CHOOSE( CONTROL!$C$32, 18.2303, 18.2254) * CHOOSE(CONTROL!$C$15, $D$11, 100%, $F$11)</f>
        <v>18.2303</v>
      </c>
      <c r="D646" s="8">
        <f>CHOOSE( CONTROL!$C$32, 18.2224, 18.2175) * CHOOSE( CONTROL!$C$15, $D$11, 100%, $F$11)</f>
        <v>18.2224</v>
      </c>
      <c r="E646" s="12">
        <f>CHOOSE( CONTROL!$C$32, 18.2237, 18.2188) * CHOOSE( CONTROL!$C$15, $D$11, 100%, $F$11)</f>
        <v>18.223700000000001</v>
      </c>
      <c r="F646" s="4">
        <f>CHOOSE( CONTROL!$C$32, 19.2141, 19.2092) * CHOOSE(CONTROL!$C$15, $D$11, 100%, $F$11)</f>
        <v>19.214099999999998</v>
      </c>
      <c r="G646" s="8">
        <f>CHOOSE( CONTROL!$C$32, 17.7475, 17.7427) * CHOOSE( CONTROL!$C$15, $D$11, 100%, $F$11)</f>
        <v>17.747499999999999</v>
      </c>
      <c r="H646" s="4">
        <f>CHOOSE( CONTROL!$C$32, 18.6531, 18.6483) * CHOOSE(CONTROL!$C$15, $D$11, 100%, $F$11)</f>
        <v>18.653099999999998</v>
      </c>
      <c r="I646" s="8">
        <f>CHOOSE( CONTROL!$C$32, 17.5068, 17.5021) * CHOOSE(CONTROL!$C$15, $D$11, 100%, $F$11)</f>
        <v>17.506799999999998</v>
      </c>
      <c r="J646" s="4">
        <f>CHOOSE( CONTROL!$C$32, 17.4535, 17.4488) * CHOOSE(CONTROL!$C$15, $D$11, 100%, $F$11)</f>
        <v>17.453499999999998</v>
      </c>
      <c r="K646" s="4"/>
      <c r="L646" s="9">
        <v>28.568200000000001</v>
      </c>
      <c r="M646" s="9">
        <v>11.6745</v>
      </c>
      <c r="N646" s="9">
        <v>4.7850000000000001</v>
      </c>
      <c r="O646" s="9">
        <v>0.36249999999999999</v>
      </c>
      <c r="P646" s="9">
        <v>1.1798</v>
      </c>
      <c r="Q646" s="9">
        <v>19.053000000000001</v>
      </c>
      <c r="R646" s="9"/>
      <c r="S646" s="11"/>
    </row>
    <row r="647" spans="1:19" ht="15.75">
      <c r="A647" s="13">
        <v>61575</v>
      </c>
      <c r="B647" s="8">
        <f>CHOOSE( CONTROL!$C$32, 19.0035, 18.9985) * CHOOSE(CONTROL!$C$15, $D$11, 100%, $F$11)</f>
        <v>19.003499999999999</v>
      </c>
      <c r="C647" s="8">
        <f>CHOOSE( CONTROL!$C$32, 19.0139, 19.009) * CHOOSE(CONTROL!$C$15, $D$11, 100%, $F$11)</f>
        <v>19.0139</v>
      </c>
      <c r="D647" s="8">
        <f>CHOOSE( CONTROL!$C$32, 19.0129, 19.008) * CHOOSE( CONTROL!$C$15, $D$11, 100%, $F$11)</f>
        <v>19.012899999999998</v>
      </c>
      <c r="E647" s="12">
        <f>CHOOSE( CONTROL!$C$32, 19.0117, 19.0068) * CHOOSE( CONTROL!$C$15, $D$11, 100%, $F$11)</f>
        <v>19.011700000000001</v>
      </c>
      <c r="F647" s="4">
        <f>CHOOSE( CONTROL!$C$32, 20.0081, 20.0032) * CHOOSE(CONTROL!$C$15, $D$11, 100%, $F$11)</f>
        <v>20.008099999999999</v>
      </c>
      <c r="G647" s="8">
        <f>CHOOSE( CONTROL!$C$32, 18.5154, 18.5106) * CHOOSE( CONTROL!$C$15, $D$11, 100%, $F$11)</f>
        <v>18.5154</v>
      </c>
      <c r="H647" s="4">
        <f>CHOOSE( CONTROL!$C$32, 19.4271, 19.4223) * CHOOSE(CONTROL!$C$15, $D$11, 100%, $F$11)</f>
        <v>19.427099999999999</v>
      </c>
      <c r="I647" s="8">
        <f>CHOOSE( CONTROL!$C$32, 18.2656, 18.2609) * CHOOSE(CONTROL!$C$15, $D$11, 100%, $F$11)</f>
        <v>18.265599999999999</v>
      </c>
      <c r="J647" s="4">
        <f>CHOOSE( CONTROL!$C$32, 18.2044, 18.1996) * CHOOSE(CONTROL!$C$15, $D$11, 100%, $F$11)</f>
        <v>18.2044</v>
      </c>
      <c r="K647" s="4"/>
      <c r="L647" s="9">
        <v>29.520499999999998</v>
      </c>
      <c r="M647" s="9">
        <v>12.063700000000001</v>
      </c>
      <c r="N647" s="9">
        <v>4.9444999999999997</v>
      </c>
      <c r="O647" s="9">
        <v>0.37459999999999999</v>
      </c>
      <c r="P647" s="9">
        <v>1.2192000000000001</v>
      </c>
      <c r="Q647" s="9">
        <v>19.688099999999999</v>
      </c>
      <c r="R647" s="9"/>
      <c r="S647" s="11"/>
    </row>
    <row r="648" spans="1:19" ht="15.75">
      <c r="A648" s="13">
        <v>61606</v>
      </c>
      <c r="B648" s="8">
        <f>CHOOSE( CONTROL!$C$32, 17.5373, 17.5324) * CHOOSE(CONTROL!$C$15, $D$11, 100%, $F$11)</f>
        <v>17.537299999999998</v>
      </c>
      <c r="C648" s="8">
        <f>CHOOSE( CONTROL!$C$32, 17.5477, 17.5428) * CHOOSE(CONTROL!$C$15, $D$11, 100%, $F$11)</f>
        <v>17.547699999999999</v>
      </c>
      <c r="D648" s="8">
        <f>CHOOSE( CONTROL!$C$32, 17.5479, 17.543) * CHOOSE( CONTROL!$C$15, $D$11, 100%, $F$11)</f>
        <v>17.547899999999998</v>
      </c>
      <c r="E648" s="12">
        <f>CHOOSE( CONTROL!$C$32, 17.5462, 17.5413) * CHOOSE( CONTROL!$C$15, $D$11, 100%, $F$11)</f>
        <v>17.546199999999999</v>
      </c>
      <c r="F648" s="4">
        <f>CHOOSE( CONTROL!$C$32, 18.5498, 18.5448) * CHOOSE(CONTROL!$C$15, $D$11, 100%, $F$11)</f>
        <v>18.549800000000001</v>
      </c>
      <c r="G648" s="8">
        <f>CHOOSE( CONTROL!$C$32, 17.0814, 17.0766) * CHOOSE( CONTROL!$C$15, $D$11, 100%, $F$11)</f>
        <v>17.081399999999999</v>
      </c>
      <c r="H648" s="4">
        <f>CHOOSE( CONTROL!$C$32, 18.0055, 18.0007) * CHOOSE(CONTROL!$C$15, $D$11, 100%, $F$11)</f>
        <v>18.005500000000001</v>
      </c>
      <c r="I648" s="8">
        <f>CHOOSE( CONTROL!$C$32, 16.851, 16.8463) * CHOOSE(CONTROL!$C$15, $D$11, 100%, $F$11)</f>
        <v>16.850999999999999</v>
      </c>
      <c r="J648" s="4">
        <f>CHOOSE( CONTROL!$C$32, 16.7995, 16.7948) * CHOOSE(CONTROL!$C$15, $D$11, 100%, $F$11)</f>
        <v>16.799499999999998</v>
      </c>
      <c r="K648" s="4"/>
      <c r="L648" s="9">
        <v>29.520499999999998</v>
      </c>
      <c r="M648" s="9">
        <v>12.063700000000001</v>
      </c>
      <c r="N648" s="9">
        <v>4.9444999999999997</v>
      </c>
      <c r="O648" s="9">
        <v>0.37459999999999999</v>
      </c>
      <c r="P648" s="9">
        <v>1.2192000000000001</v>
      </c>
      <c r="Q648" s="9">
        <v>19.688099999999999</v>
      </c>
      <c r="R648" s="9"/>
      <c r="S648" s="11"/>
    </row>
    <row r="649" spans="1:19" ht="15.75">
      <c r="A649" s="13">
        <v>61636</v>
      </c>
      <c r="B649" s="8">
        <f>CHOOSE( CONTROL!$C$32, 17.1702, 17.1652) * CHOOSE(CONTROL!$C$15, $D$11, 100%, $F$11)</f>
        <v>17.170200000000001</v>
      </c>
      <c r="C649" s="8">
        <f>CHOOSE( CONTROL!$C$32, 17.1806, 17.1757) * CHOOSE(CONTROL!$C$15, $D$11, 100%, $F$11)</f>
        <v>17.180599999999998</v>
      </c>
      <c r="D649" s="8">
        <f>CHOOSE( CONTROL!$C$32, 17.181, 17.1761) * CHOOSE( CONTROL!$C$15, $D$11, 100%, $F$11)</f>
        <v>17.181000000000001</v>
      </c>
      <c r="E649" s="12">
        <f>CHOOSE( CONTROL!$C$32, 17.1793, 17.1744) * CHOOSE( CONTROL!$C$15, $D$11, 100%, $F$11)</f>
        <v>17.179300000000001</v>
      </c>
      <c r="F649" s="4">
        <f>CHOOSE( CONTROL!$C$32, 18.1826, 18.1777) * CHOOSE(CONTROL!$C$15, $D$11, 100%, $F$11)</f>
        <v>18.182600000000001</v>
      </c>
      <c r="G649" s="8">
        <f>CHOOSE( CONTROL!$C$32, 16.7239, 16.7191) * CHOOSE( CONTROL!$C$15, $D$11, 100%, $F$11)</f>
        <v>16.7239</v>
      </c>
      <c r="H649" s="4">
        <f>CHOOSE( CONTROL!$C$32, 17.6477, 17.6428) * CHOOSE(CONTROL!$C$15, $D$11, 100%, $F$11)</f>
        <v>17.6477</v>
      </c>
      <c r="I649" s="8">
        <f>CHOOSE( CONTROL!$C$32, 16.5005, 16.4957) * CHOOSE(CONTROL!$C$15, $D$11, 100%, $F$11)</f>
        <v>16.500499999999999</v>
      </c>
      <c r="J649" s="4">
        <f>CHOOSE( CONTROL!$C$32, 16.4477, 16.443) * CHOOSE(CONTROL!$C$15, $D$11, 100%, $F$11)</f>
        <v>16.447700000000001</v>
      </c>
      <c r="K649" s="4"/>
      <c r="L649" s="9">
        <v>28.568200000000001</v>
      </c>
      <c r="M649" s="9">
        <v>11.6745</v>
      </c>
      <c r="N649" s="9">
        <v>4.7850000000000001</v>
      </c>
      <c r="O649" s="9">
        <v>0.36249999999999999</v>
      </c>
      <c r="P649" s="9">
        <v>1.1798</v>
      </c>
      <c r="Q649" s="9">
        <v>19.053000000000001</v>
      </c>
      <c r="R649" s="9"/>
      <c r="S649" s="11"/>
    </row>
    <row r="650" spans="1:19" ht="15.75">
      <c r="A650" s="13">
        <v>61667</v>
      </c>
      <c r="B650" s="8">
        <f>17.9275 * CHOOSE(CONTROL!$C$15, $D$11, 100%, $F$11)</f>
        <v>17.927499999999998</v>
      </c>
      <c r="C650" s="8">
        <f>17.938 * CHOOSE(CONTROL!$C$15, $D$11, 100%, $F$11)</f>
        <v>17.937999999999999</v>
      </c>
      <c r="D650" s="8">
        <f>17.9396 * CHOOSE( CONTROL!$C$15, $D$11, 100%, $F$11)</f>
        <v>17.939599999999999</v>
      </c>
      <c r="E650" s="12">
        <f>17.938 * CHOOSE( CONTROL!$C$15, $D$11, 100%, $F$11)</f>
        <v>17.937999999999999</v>
      </c>
      <c r="F650" s="4">
        <f>18.94 * CHOOSE(CONTROL!$C$15, $D$11, 100%, $F$11)</f>
        <v>18.940000000000001</v>
      </c>
      <c r="G650" s="8">
        <f>17.4618 * CHOOSE( CONTROL!$C$15, $D$11, 100%, $F$11)</f>
        <v>17.4618</v>
      </c>
      <c r="H650" s="4">
        <f>18.3859 * CHOOSE(CONTROL!$C$15, $D$11, 100%, $F$11)</f>
        <v>18.385899999999999</v>
      </c>
      <c r="I650" s="8">
        <f>17.2288 * CHOOSE(CONTROL!$C$15, $D$11, 100%, $F$11)</f>
        <v>17.2288</v>
      </c>
      <c r="J650" s="4">
        <f>17.1734 * CHOOSE(CONTROL!$C$15, $D$11, 100%, $F$11)</f>
        <v>17.173400000000001</v>
      </c>
      <c r="K650" s="4"/>
      <c r="L650" s="9">
        <v>28.921800000000001</v>
      </c>
      <c r="M650" s="9">
        <v>12.063700000000001</v>
      </c>
      <c r="N650" s="9">
        <v>4.9444999999999997</v>
      </c>
      <c r="O650" s="9">
        <v>0.37459999999999999</v>
      </c>
      <c r="P650" s="9">
        <v>1.2192000000000001</v>
      </c>
      <c r="Q650" s="9">
        <v>19.688099999999999</v>
      </c>
      <c r="R650" s="9"/>
      <c r="S650" s="11"/>
    </row>
    <row r="651" spans="1:19" ht="15.75">
      <c r="A651" s="13">
        <v>61697</v>
      </c>
      <c r="B651" s="8">
        <f>19.3346 * CHOOSE(CONTROL!$C$15, $D$11, 100%, $F$11)</f>
        <v>19.334599999999998</v>
      </c>
      <c r="C651" s="8">
        <f>19.3451 * CHOOSE(CONTROL!$C$15, $D$11, 100%, $F$11)</f>
        <v>19.345099999999999</v>
      </c>
      <c r="D651" s="8">
        <f>19.3261 * CHOOSE( CONTROL!$C$15, $D$11, 100%, $F$11)</f>
        <v>19.3261</v>
      </c>
      <c r="E651" s="12">
        <f>19.3319 * CHOOSE( CONTROL!$C$15, $D$11, 100%, $F$11)</f>
        <v>19.331900000000001</v>
      </c>
      <c r="F651" s="4">
        <f>20.3314 * CHOOSE(CONTROL!$C$15, $D$11, 100%, $F$11)</f>
        <v>20.331399999999999</v>
      </c>
      <c r="G651" s="8">
        <f>18.8564 * CHOOSE( CONTROL!$C$15, $D$11, 100%, $F$11)</f>
        <v>18.856400000000001</v>
      </c>
      <c r="H651" s="4">
        <f>19.7423 * CHOOSE(CONTROL!$C$15, $D$11, 100%, $F$11)</f>
        <v>19.7423</v>
      </c>
      <c r="I651" s="8">
        <f>18.6243 * CHOOSE(CONTROL!$C$15, $D$11, 100%, $F$11)</f>
        <v>18.624300000000002</v>
      </c>
      <c r="J651" s="4">
        <f>18.5217 * CHOOSE(CONTROL!$C$15, $D$11, 100%, $F$11)</f>
        <v>18.521699999999999</v>
      </c>
      <c r="K651" s="4"/>
      <c r="L651" s="9">
        <v>26.515499999999999</v>
      </c>
      <c r="M651" s="9">
        <v>11.6745</v>
      </c>
      <c r="N651" s="9">
        <v>4.7850000000000001</v>
      </c>
      <c r="O651" s="9">
        <v>0.36249999999999999</v>
      </c>
      <c r="P651" s="9">
        <v>1.2522</v>
      </c>
      <c r="Q651" s="9">
        <v>19.053000000000001</v>
      </c>
      <c r="R651" s="9"/>
      <c r="S651" s="11"/>
    </row>
    <row r="652" spans="1:19" ht="15.75">
      <c r="A652" s="13">
        <v>61728</v>
      </c>
      <c r="B652" s="8">
        <f>19.2995 * CHOOSE(CONTROL!$C$15, $D$11, 100%, $F$11)</f>
        <v>19.299499999999998</v>
      </c>
      <c r="C652" s="8">
        <f>19.3099 * CHOOSE(CONTROL!$C$15, $D$11, 100%, $F$11)</f>
        <v>19.309899999999999</v>
      </c>
      <c r="D652" s="8">
        <f>19.2935 * CHOOSE( CONTROL!$C$15, $D$11, 100%, $F$11)</f>
        <v>19.293500000000002</v>
      </c>
      <c r="E652" s="12">
        <f>19.2984 * CHOOSE( CONTROL!$C$15, $D$11, 100%, $F$11)</f>
        <v>19.298400000000001</v>
      </c>
      <c r="F652" s="4">
        <f>20.2963 * CHOOSE(CONTROL!$C$15, $D$11, 100%, $F$11)</f>
        <v>20.296299999999999</v>
      </c>
      <c r="G652" s="8">
        <f>18.8241 * CHOOSE( CONTROL!$C$15, $D$11, 100%, $F$11)</f>
        <v>18.824100000000001</v>
      </c>
      <c r="H652" s="4">
        <f>19.708 * CHOOSE(CONTROL!$C$15, $D$11, 100%, $F$11)</f>
        <v>19.707999999999998</v>
      </c>
      <c r="I652" s="8">
        <f>18.5994 * CHOOSE(CONTROL!$C$15, $D$11, 100%, $F$11)</f>
        <v>18.599399999999999</v>
      </c>
      <c r="J652" s="4">
        <f>18.488 * CHOOSE(CONTROL!$C$15, $D$11, 100%, $F$11)</f>
        <v>18.488</v>
      </c>
      <c r="K652" s="4"/>
      <c r="L652" s="9">
        <v>27.3993</v>
      </c>
      <c r="M652" s="9">
        <v>12.063700000000001</v>
      </c>
      <c r="N652" s="9">
        <v>4.9444999999999997</v>
      </c>
      <c r="O652" s="9">
        <v>0.37459999999999999</v>
      </c>
      <c r="P652" s="9">
        <v>1.2939000000000001</v>
      </c>
      <c r="Q652" s="9">
        <v>19.688099999999999</v>
      </c>
      <c r="R652" s="9"/>
      <c r="S652" s="11"/>
    </row>
    <row r="653" spans="1:19" ht="15.75">
      <c r="A653" s="13">
        <v>61759</v>
      </c>
      <c r="B653" s="8">
        <f>20.0369 * CHOOSE(CONTROL!$C$15, $D$11, 100%, $F$11)</f>
        <v>20.036899999999999</v>
      </c>
      <c r="C653" s="8">
        <f>20.0473 * CHOOSE(CONTROL!$C$15, $D$11, 100%, $F$11)</f>
        <v>20.0473</v>
      </c>
      <c r="D653" s="8">
        <f>20.0459 * CHOOSE( CONTROL!$C$15, $D$11, 100%, $F$11)</f>
        <v>20.0459</v>
      </c>
      <c r="E653" s="12">
        <f>20.0453 * CHOOSE( CONTROL!$C$15, $D$11, 100%, $F$11)</f>
        <v>20.045300000000001</v>
      </c>
      <c r="F653" s="4">
        <f>21.0598 * CHOOSE(CONTROL!$C$15, $D$11, 100%, $F$11)</f>
        <v>21.059799999999999</v>
      </c>
      <c r="G653" s="8">
        <f>19.5598 * CHOOSE( CONTROL!$C$15, $D$11, 100%, $F$11)</f>
        <v>19.559799999999999</v>
      </c>
      <c r="H653" s="4">
        <f>20.4522 * CHOOSE(CONTROL!$C$15, $D$11, 100%, $F$11)</f>
        <v>20.452200000000001</v>
      </c>
      <c r="I653" s="8">
        <f>19.3128 * CHOOSE(CONTROL!$C$15, $D$11, 100%, $F$11)</f>
        <v>19.312799999999999</v>
      </c>
      <c r="J653" s="4">
        <f>19.1946 * CHOOSE(CONTROL!$C$15, $D$11, 100%, $F$11)</f>
        <v>19.194600000000001</v>
      </c>
      <c r="K653" s="4"/>
      <c r="L653" s="9">
        <v>27.3993</v>
      </c>
      <c r="M653" s="9">
        <v>12.063700000000001</v>
      </c>
      <c r="N653" s="9">
        <v>4.9444999999999997</v>
      </c>
      <c r="O653" s="9">
        <v>0.37459999999999999</v>
      </c>
      <c r="P653" s="9">
        <v>1.2939000000000001</v>
      </c>
      <c r="Q653" s="9">
        <v>19.688099999999999</v>
      </c>
      <c r="R653" s="9"/>
      <c r="S653" s="11"/>
    </row>
    <row r="654" spans="1:19" ht="15.75">
      <c r="A654" s="13">
        <v>61787</v>
      </c>
      <c r="B654" s="8">
        <f>18.7419 * CHOOSE(CONTROL!$C$15, $D$11, 100%, $F$11)</f>
        <v>18.741900000000001</v>
      </c>
      <c r="C654" s="8">
        <f>18.7523 * CHOOSE(CONTROL!$C$15, $D$11, 100%, $F$11)</f>
        <v>18.752300000000002</v>
      </c>
      <c r="D654" s="8">
        <f>18.7531 * CHOOSE( CONTROL!$C$15, $D$11, 100%, $F$11)</f>
        <v>18.7531</v>
      </c>
      <c r="E654" s="12">
        <f>18.7517 * CHOOSE( CONTROL!$C$15, $D$11, 100%, $F$11)</f>
        <v>18.7517</v>
      </c>
      <c r="F654" s="4">
        <f>19.7569 * CHOOSE(CONTROL!$C$15, $D$11, 100%, $F$11)</f>
        <v>19.756900000000002</v>
      </c>
      <c r="G654" s="8">
        <f>18.2972 * CHOOSE( CONTROL!$C$15, $D$11, 100%, $F$11)</f>
        <v>18.2972</v>
      </c>
      <c r="H654" s="4">
        <f>19.1823 * CHOOSE(CONTROL!$C$15, $D$11, 100%, $F$11)</f>
        <v>19.182300000000001</v>
      </c>
      <c r="I654" s="8">
        <f>18.0603 * CHOOSE(CONTROL!$C$15, $D$11, 100%, $F$11)</f>
        <v>18.060300000000002</v>
      </c>
      <c r="J654" s="4">
        <f>17.9537 * CHOOSE(CONTROL!$C$15, $D$11, 100%, $F$11)</f>
        <v>17.953700000000001</v>
      </c>
      <c r="K654" s="4"/>
      <c r="L654" s="9">
        <v>24.747800000000002</v>
      </c>
      <c r="M654" s="9">
        <v>10.8962</v>
      </c>
      <c r="N654" s="9">
        <v>4.4660000000000002</v>
      </c>
      <c r="O654" s="9">
        <v>0.33829999999999999</v>
      </c>
      <c r="P654" s="9">
        <v>1.1687000000000001</v>
      </c>
      <c r="Q654" s="9">
        <v>17.782800000000002</v>
      </c>
      <c r="R654" s="9"/>
      <c r="S654" s="11"/>
    </row>
    <row r="655" spans="1:19" ht="15.75">
      <c r="A655" s="13">
        <v>61818</v>
      </c>
      <c r="B655" s="8">
        <f>18.343 * CHOOSE(CONTROL!$C$15, $D$11, 100%, $F$11)</f>
        <v>18.343</v>
      </c>
      <c r="C655" s="8">
        <f>18.3534 * CHOOSE(CONTROL!$C$15, $D$11, 100%, $F$11)</f>
        <v>18.353400000000001</v>
      </c>
      <c r="D655" s="8">
        <f>18.3339 * CHOOSE( CONTROL!$C$15, $D$11, 100%, $F$11)</f>
        <v>18.3339</v>
      </c>
      <c r="E655" s="12">
        <f>18.3399 * CHOOSE( CONTROL!$C$15, $D$11, 100%, $F$11)</f>
        <v>18.3399</v>
      </c>
      <c r="F655" s="4">
        <f>19.3419 * CHOOSE(CONTROL!$C$15, $D$11, 100%, $F$11)</f>
        <v>19.341899999999999</v>
      </c>
      <c r="G655" s="8">
        <f>17.8877 * CHOOSE( CONTROL!$C$15, $D$11, 100%, $F$11)</f>
        <v>17.887699999999999</v>
      </c>
      <c r="H655" s="4">
        <f>18.7777 * CHOOSE(CONTROL!$C$15, $D$11, 100%, $F$11)</f>
        <v>18.777699999999999</v>
      </c>
      <c r="I655" s="8">
        <f>17.6384 * CHOOSE(CONTROL!$C$15, $D$11, 100%, $F$11)</f>
        <v>17.638400000000001</v>
      </c>
      <c r="J655" s="4">
        <f>17.5715 * CHOOSE(CONTROL!$C$15, $D$11, 100%, $F$11)</f>
        <v>17.5715</v>
      </c>
      <c r="K655" s="4"/>
      <c r="L655" s="9">
        <v>27.3993</v>
      </c>
      <c r="M655" s="9">
        <v>12.063700000000001</v>
      </c>
      <c r="N655" s="9">
        <v>4.9444999999999997</v>
      </c>
      <c r="O655" s="9">
        <v>0.37459999999999999</v>
      </c>
      <c r="P655" s="9">
        <v>1.2939000000000001</v>
      </c>
      <c r="Q655" s="9">
        <v>19.688099999999999</v>
      </c>
      <c r="R655" s="9"/>
      <c r="S655" s="11"/>
    </row>
    <row r="656" spans="1:19" ht="15.75">
      <c r="A656" s="13">
        <v>61848</v>
      </c>
      <c r="B656" s="8">
        <f>18.6217 * CHOOSE(CONTROL!$C$15, $D$11, 100%, $F$11)</f>
        <v>18.621700000000001</v>
      </c>
      <c r="C656" s="8">
        <f>18.6322 * CHOOSE(CONTROL!$C$15, $D$11, 100%, $F$11)</f>
        <v>18.632200000000001</v>
      </c>
      <c r="D656" s="8">
        <f>18.636 * CHOOSE( CONTROL!$C$15, $D$11, 100%, $F$11)</f>
        <v>18.635999999999999</v>
      </c>
      <c r="E656" s="12">
        <f>18.6335 * CHOOSE( CONTROL!$C$15, $D$11, 100%, $F$11)</f>
        <v>18.633500000000002</v>
      </c>
      <c r="F656" s="4">
        <f>19.629 * CHOOSE(CONTROL!$C$15, $D$11, 100%, $F$11)</f>
        <v>19.629000000000001</v>
      </c>
      <c r="G656" s="8">
        <f>18.1473 * CHOOSE( CONTROL!$C$15, $D$11, 100%, $F$11)</f>
        <v>18.147300000000001</v>
      </c>
      <c r="H656" s="4">
        <f>19.0575 * CHOOSE(CONTROL!$C$15, $D$11, 100%, $F$11)</f>
        <v>19.057500000000001</v>
      </c>
      <c r="I656" s="8">
        <f>17.8957 * CHOOSE(CONTROL!$C$15, $D$11, 100%, $F$11)</f>
        <v>17.895700000000001</v>
      </c>
      <c r="J656" s="4">
        <f>17.8386 * CHOOSE(CONTROL!$C$15, $D$11, 100%, $F$11)</f>
        <v>17.8386</v>
      </c>
      <c r="K656" s="4"/>
      <c r="L656" s="9">
        <v>27.988800000000001</v>
      </c>
      <c r="M656" s="9">
        <v>11.6745</v>
      </c>
      <c r="N656" s="9">
        <v>4.7850000000000001</v>
      </c>
      <c r="O656" s="9">
        <v>0.36249999999999999</v>
      </c>
      <c r="P656" s="9">
        <v>1.1798</v>
      </c>
      <c r="Q656" s="9">
        <v>19.053000000000001</v>
      </c>
      <c r="R656" s="9"/>
      <c r="S656" s="11"/>
    </row>
    <row r="657" spans="1:19" ht="15.75">
      <c r="A657" s="13">
        <v>61879</v>
      </c>
      <c r="B657" s="8">
        <f>CHOOSE( CONTROL!$C$32, 19.1227, 19.1178) * CHOOSE(CONTROL!$C$15, $D$11, 100%, $F$11)</f>
        <v>19.122699999999998</v>
      </c>
      <c r="C657" s="8">
        <f>CHOOSE( CONTROL!$C$32, 19.1331, 19.1282) * CHOOSE(CONTROL!$C$15, $D$11, 100%, $F$11)</f>
        <v>19.133099999999999</v>
      </c>
      <c r="D657" s="8">
        <f>CHOOSE( CONTROL!$C$32, 19.1118, 19.1069) * CHOOSE( CONTROL!$C$15, $D$11, 100%, $F$11)</f>
        <v>19.111799999999999</v>
      </c>
      <c r="E657" s="12">
        <f>CHOOSE( CONTROL!$C$32, 19.1179, 19.113) * CHOOSE( CONTROL!$C$15, $D$11, 100%, $F$11)</f>
        <v>19.117899999999999</v>
      </c>
      <c r="F657" s="4">
        <f>CHOOSE( CONTROL!$C$32, 20.0976, 20.0927) * CHOOSE(CONTROL!$C$15, $D$11, 100%, $F$11)</f>
        <v>20.0976</v>
      </c>
      <c r="G657" s="8">
        <f>CHOOSE( CONTROL!$C$32, 18.6171, 18.6123) * CHOOSE( CONTROL!$C$15, $D$11, 100%, $F$11)</f>
        <v>18.617100000000001</v>
      </c>
      <c r="H657" s="4">
        <f>CHOOSE( CONTROL!$C$32, 19.5143, 19.5095) * CHOOSE(CONTROL!$C$15, $D$11, 100%, $F$11)</f>
        <v>19.514299999999999</v>
      </c>
      <c r="I657" s="8">
        <f>CHOOSE( CONTROL!$C$32, 18.3545, 18.3498) * CHOOSE(CONTROL!$C$15, $D$11, 100%, $F$11)</f>
        <v>18.354500000000002</v>
      </c>
      <c r="J657" s="4">
        <f>CHOOSE( CONTROL!$C$32, 18.3186, 18.3139) * CHOOSE(CONTROL!$C$15, $D$11, 100%, $F$11)</f>
        <v>18.3186</v>
      </c>
      <c r="K657" s="4"/>
      <c r="L657" s="9">
        <v>29.520499999999998</v>
      </c>
      <c r="M657" s="9">
        <v>12.063700000000001</v>
      </c>
      <c r="N657" s="9">
        <v>4.9444999999999997</v>
      </c>
      <c r="O657" s="9">
        <v>0.37459999999999999</v>
      </c>
      <c r="P657" s="9">
        <v>1.2192000000000001</v>
      </c>
      <c r="Q657" s="9">
        <v>19.688099999999999</v>
      </c>
      <c r="R657" s="9"/>
      <c r="S657" s="11"/>
    </row>
    <row r="658" spans="1:19" ht="15.75">
      <c r="A658" s="13">
        <v>61909</v>
      </c>
      <c r="B658" s="8">
        <f>CHOOSE( CONTROL!$C$32, 18.8154, 18.8105) * CHOOSE(CONTROL!$C$15, $D$11, 100%, $F$11)</f>
        <v>18.8154</v>
      </c>
      <c r="C658" s="8">
        <f>CHOOSE( CONTROL!$C$32, 18.8259, 18.8209) * CHOOSE(CONTROL!$C$15, $D$11, 100%, $F$11)</f>
        <v>18.825900000000001</v>
      </c>
      <c r="D658" s="8">
        <f>CHOOSE( CONTROL!$C$32, 18.818, 18.813) * CHOOSE( CONTROL!$C$15, $D$11, 100%, $F$11)</f>
        <v>18.818000000000001</v>
      </c>
      <c r="E658" s="12">
        <f>CHOOSE( CONTROL!$C$32, 18.8193, 18.8143) * CHOOSE( CONTROL!$C$15, $D$11, 100%, $F$11)</f>
        <v>18.819299999999998</v>
      </c>
      <c r="F658" s="4">
        <f>CHOOSE( CONTROL!$C$32, 19.8096, 19.8047) * CHOOSE(CONTROL!$C$15, $D$11, 100%, $F$11)</f>
        <v>19.8096</v>
      </c>
      <c r="G658" s="8">
        <f>CHOOSE( CONTROL!$C$32, 18.328, 18.3232) * CHOOSE( CONTROL!$C$15, $D$11, 100%, $F$11)</f>
        <v>18.327999999999999</v>
      </c>
      <c r="H658" s="4">
        <f>CHOOSE( CONTROL!$C$32, 19.2336, 19.2288) * CHOOSE(CONTROL!$C$15, $D$11, 100%, $F$11)</f>
        <v>19.233599999999999</v>
      </c>
      <c r="I658" s="8">
        <f>CHOOSE( CONTROL!$C$32, 18.0777, 18.073) * CHOOSE(CONTROL!$C$15, $D$11, 100%, $F$11)</f>
        <v>18.0777</v>
      </c>
      <c r="J658" s="4">
        <f>CHOOSE( CONTROL!$C$32, 18.0242, 18.0194) * CHOOSE(CONTROL!$C$15, $D$11, 100%, $F$11)</f>
        <v>18.0242</v>
      </c>
      <c r="K658" s="4"/>
      <c r="L658" s="9">
        <v>28.568200000000001</v>
      </c>
      <c r="M658" s="9">
        <v>11.6745</v>
      </c>
      <c r="N658" s="9">
        <v>4.7850000000000001</v>
      </c>
      <c r="O658" s="9">
        <v>0.36249999999999999</v>
      </c>
      <c r="P658" s="9">
        <v>1.1798</v>
      </c>
      <c r="Q658" s="9">
        <v>19.053000000000001</v>
      </c>
      <c r="R658" s="9"/>
      <c r="S658" s="11"/>
    </row>
    <row r="659" spans="1:19" ht="15.75">
      <c r="A659" s="13">
        <v>61940</v>
      </c>
      <c r="B659" s="8">
        <f>CHOOSE( CONTROL!$C$32, 19.6246, 19.6197) * CHOOSE(CONTROL!$C$15, $D$11, 100%, $F$11)</f>
        <v>19.624600000000001</v>
      </c>
      <c r="C659" s="8">
        <f>CHOOSE( CONTROL!$C$32, 19.6351, 19.6301) * CHOOSE(CONTROL!$C$15, $D$11, 100%, $F$11)</f>
        <v>19.635100000000001</v>
      </c>
      <c r="D659" s="8">
        <f>CHOOSE( CONTROL!$C$32, 19.6341, 19.6291) * CHOOSE( CONTROL!$C$15, $D$11, 100%, $F$11)</f>
        <v>19.6341</v>
      </c>
      <c r="E659" s="12">
        <f>CHOOSE( CONTROL!$C$32, 19.6329, 19.6279) * CHOOSE( CONTROL!$C$15, $D$11, 100%, $F$11)</f>
        <v>19.632899999999999</v>
      </c>
      <c r="F659" s="4">
        <f>CHOOSE( CONTROL!$C$32, 20.6293, 20.6243) * CHOOSE(CONTROL!$C$15, $D$11, 100%, $F$11)</f>
        <v>20.629300000000001</v>
      </c>
      <c r="G659" s="8">
        <f>CHOOSE( CONTROL!$C$32, 19.1209, 19.1161) * CHOOSE( CONTROL!$C$15, $D$11, 100%, $F$11)</f>
        <v>19.120899999999999</v>
      </c>
      <c r="H659" s="4">
        <f>CHOOSE( CONTROL!$C$32, 20.0326, 20.0278) * CHOOSE(CONTROL!$C$15, $D$11, 100%, $F$11)</f>
        <v>20.032599999999999</v>
      </c>
      <c r="I659" s="8">
        <f>CHOOSE( CONTROL!$C$32, 18.8611, 18.8564) * CHOOSE(CONTROL!$C$15, $D$11, 100%, $F$11)</f>
        <v>18.8611</v>
      </c>
      <c r="J659" s="4">
        <f>CHOOSE( CONTROL!$C$32, 18.7996, 18.7948) * CHOOSE(CONTROL!$C$15, $D$11, 100%, $F$11)</f>
        <v>18.799600000000002</v>
      </c>
      <c r="K659" s="4"/>
      <c r="L659" s="9">
        <v>29.520499999999998</v>
      </c>
      <c r="M659" s="9">
        <v>12.063700000000001</v>
      </c>
      <c r="N659" s="9">
        <v>4.9444999999999997</v>
      </c>
      <c r="O659" s="9">
        <v>0.37459999999999999</v>
      </c>
      <c r="P659" s="9">
        <v>1.2192000000000001</v>
      </c>
      <c r="Q659" s="9">
        <v>19.688099999999999</v>
      </c>
      <c r="R659" s="9"/>
      <c r="S659" s="11"/>
    </row>
    <row r="660" spans="1:19" ht="15.75">
      <c r="A660" s="13">
        <v>61971</v>
      </c>
      <c r="B660" s="8">
        <f>CHOOSE( CONTROL!$C$32, 18.1105, 18.1056) * CHOOSE(CONTROL!$C$15, $D$11, 100%, $F$11)</f>
        <v>18.110499999999998</v>
      </c>
      <c r="C660" s="8">
        <f>CHOOSE( CONTROL!$C$32, 18.1209, 18.116) * CHOOSE(CONTROL!$C$15, $D$11, 100%, $F$11)</f>
        <v>18.120899999999999</v>
      </c>
      <c r="D660" s="8">
        <f>CHOOSE( CONTROL!$C$32, 18.1211, 18.1162) * CHOOSE( CONTROL!$C$15, $D$11, 100%, $F$11)</f>
        <v>18.121099999999998</v>
      </c>
      <c r="E660" s="12">
        <f>CHOOSE( CONTROL!$C$32, 18.1194, 18.1145) * CHOOSE( CONTROL!$C$15, $D$11, 100%, $F$11)</f>
        <v>18.119399999999999</v>
      </c>
      <c r="F660" s="4">
        <f>CHOOSE( CONTROL!$C$32, 19.123, 19.1181) * CHOOSE(CONTROL!$C$15, $D$11, 100%, $F$11)</f>
        <v>19.123000000000001</v>
      </c>
      <c r="G660" s="8">
        <f>CHOOSE( CONTROL!$C$32, 17.6401, 17.6353) * CHOOSE( CONTROL!$C$15, $D$11, 100%, $F$11)</f>
        <v>17.6401</v>
      </c>
      <c r="H660" s="4">
        <f>CHOOSE( CONTROL!$C$32, 18.5643, 18.5595) * CHOOSE(CONTROL!$C$15, $D$11, 100%, $F$11)</f>
        <v>18.564299999999999</v>
      </c>
      <c r="I660" s="8">
        <f>CHOOSE( CONTROL!$C$32, 17.4005, 17.3958) * CHOOSE(CONTROL!$C$15, $D$11, 100%, $F$11)</f>
        <v>17.400500000000001</v>
      </c>
      <c r="J660" s="4">
        <f>CHOOSE( CONTROL!$C$32, 17.3487, 17.344) * CHOOSE(CONTROL!$C$15, $D$11, 100%, $F$11)</f>
        <v>17.348700000000001</v>
      </c>
      <c r="K660" s="4"/>
      <c r="L660" s="9">
        <v>29.520499999999998</v>
      </c>
      <c r="M660" s="9">
        <v>12.063700000000001</v>
      </c>
      <c r="N660" s="9">
        <v>4.9444999999999997</v>
      </c>
      <c r="O660" s="9">
        <v>0.37459999999999999</v>
      </c>
      <c r="P660" s="9">
        <v>1.2192000000000001</v>
      </c>
      <c r="Q660" s="9">
        <v>19.688099999999999</v>
      </c>
      <c r="R660" s="9"/>
      <c r="S660" s="11"/>
    </row>
    <row r="661" spans="1:19" ht="15.75">
      <c r="A661" s="13">
        <v>62001</v>
      </c>
      <c r="B661" s="8">
        <f>CHOOSE( CONTROL!$C$32, 17.7314, 17.7264) * CHOOSE(CONTROL!$C$15, $D$11, 100%, $F$11)</f>
        <v>17.731400000000001</v>
      </c>
      <c r="C661" s="8">
        <f>CHOOSE( CONTROL!$C$32, 17.7418, 17.7369) * CHOOSE(CONTROL!$C$15, $D$11, 100%, $F$11)</f>
        <v>17.741800000000001</v>
      </c>
      <c r="D661" s="8">
        <f>CHOOSE( CONTROL!$C$32, 17.7422, 17.7373) * CHOOSE( CONTROL!$C$15, $D$11, 100%, $F$11)</f>
        <v>17.7422</v>
      </c>
      <c r="E661" s="12">
        <f>CHOOSE( CONTROL!$C$32, 17.7405, 17.7356) * CHOOSE( CONTROL!$C$15, $D$11, 100%, $F$11)</f>
        <v>17.740500000000001</v>
      </c>
      <c r="F661" s="4">
        <f>CHOOSE( CONTROL!$C$32, 18.7438, 18.7389) * CHOOSE(CONTROL!$C$15, $D$11, 100%, $F$11)</f>
        <v>18.7438</v>
      </c>
      <c r="G661" s="8">
        <f>CHOOSE( CONTROL!$C$32, 17.271, 17.2661) * CHOOSE( CONTROL!$C$15, $D$11, 100%, $F$11)</f>
        <v>17.271000000000001</v>
      </c>
      <c r="H661" s="4">
        <f>CHOOSE( CONTROL!$C$32, 18.1947, 18.1899) * CHOOSE(CONTROL!$C$15, $D$11, 100%, $F$11)</f>
        <v>18.194700000000001</v>
      </c>
      <c r="I661" s="8">
        <f>CHOOSE( CONTROL!$C$32, 17.0385, 17.0337) * CHOOSE(CONTROL!$C$15, $D$11, 100%, $F$11)</f>
        <v>17.038499999999999</v>
      </c>
      <c r="J661" s="4">
        <f>CHOOSE( CONTROL!$C$32, 16.9854, 16.9807) * CHOOSE(CONTROL!$C$15, $D$11, 100%, $F$11)</f>
        <v>16.985399999999998</v>
      </c>
      <c r="K661" s="4"/>
      <c r="L661" s="9">
        <v>28.568200000000001</v>
      </c>
      <c r="M661" s="9">
        <v>11.6745</v>
      </c>
      <c r="N661" s="9">
        <v>4.7850000000000001</v>
      </c>
      <c r="O661" s="9">
        <v>0.36249999999999999</v>
      </c>
      <c r="P661" s="9">
        <v>1.1798</v>
      </c>
      <c r="Q661" s="9">
        <v>19.053000000000001</v>
      </c>
      <c r="R661" s="9"/>
      <c r="S661" s="11"/>
    </row>
    <row r="662" spans="1:19" ht="15.75">
      <c r="A662" s="13">
        <v>62032</v>
      </c>
      <c r="B662" s="8">
        <f>18.5137 * CHOOSE(CONTROL!$C$15, $D$11, 100%, $F$11)</f>
        <v>18.5137</v>
      </c>
      <c r="C662" s="8">
        <f>18.5241 * CHOOSE(CONTROL!$C$15, $D$11, 100%, $F$11)</f>
        <v>18.524100000000001</v>
      </c>
      <c r="D662" s="8">
        <f>18.5258 * CHOOSE( CONTROL!$C$15, $D$11, 100%, $F$11)</f>
        <v>18.5258</v>
      </c>
      <c r="E662" s="12">
        <f>18.5241 * CHOOSE( CONTROL!$C$15, $D$11, 100%, $F$11)</f>
        <v>18.524100000000001</v>
      </c>
      <c r="F662" s="4">
        <f>19.5261 * CHOOSE(CONTROL!$C$15, $D$11, 100%, $F$11)</f>
        <v>19.5261</v>
      </c>
      <c r="G662" s="8">
        <f>18.0332 * CHOOSE( CONTROL!$C$15, $D$11, 100%, $F$11)</f>
        <v>18.033200000000001</v>
      </c>
      <c r="H662" s="4">
        <f>18.9573 * CHOOSE(CONTROL!$C$15, $D$11, 100%, $F$11)</f>
        <v>18.9573</v>
      </c>
      <c r="I662" s="8">
        <f>17.7907 * CHOOSE(CONTROL!$C$15, $D$11, 100%, $F$11)</f>
        <v>17.790700000000001</v>
      </c>
      <c r="J662" s="4">
        <f>17.735 * CHOOSE(CONTROL!$C$15, $D$11, 100%, $F$11)</f>
        <v>17.734999999999999</v>
      </c>
      <c r="K662" s="4"/>
      <c r="L662" s="9">
        <v>28.921800000000001</v>
      </c>
      <c r="M662" s="9">
        <v>12.063700000000001</v>
      </c>
      <c r="N662" s="9">
        <v>4.9444999999999997</v>
      </c>
      <c r="O662" s="9">
        <v>0.37459999999999999</v>
      </c>
      <c r="P662" s="9">
        <v>1.2192000000000001</v>
      </c>
      <c r="Q662" s="9">
        <v>19.688099999999999</v>
      </c>
      <c r="R662" s="9"/>
      <c r="S662" s="11"/>
    </row>
    <row r="663" spans="1:19" ht="15.75">
      <c r="A663" s="13">
        <v>62062</v>
      </c>
      <c r="B663" s="8">
        <f>19.9668 * CHOOSE(CONTROL!$C$15, $D$11, 100%, $F$11)</f>
        <v>19.966799999999999</v>
      </c>
      <c r="C663" s="8">
        <f>19.9772 * CHOOSE(CONTROL!$C$15, $D$11, 100%, $F$11)</f>
        <v>19.9772</v>
      </c>
      <c r="D663" s="8">
        <f>19.9583 * CHOOSE( CONTROL!$C$15, $D$11, 100%, $F$11)</f>
        <v>19.958300000000001</v>
      </c>
      <c r="E663" s="12">
        <f>19.9641 * CHOOSE( CONTROL!$C$15, $D$11, 100%, $F$11)</f>
        <v>19.964099999999998</v>
      </c>
      <c r="F663" s="4">
        <f>20.9636 * CHOOSE(CONTROL!$C$15, $D$11, 100%, $F$11)</f>
        <v>20.9636</v>
      </c>
      <c r="G663" s="8">
        <f>19.4726 * CHOOSE( CONTROL!$C$15, $D$11, 100%, $F$11)</f>
        <v>19.4726</v>
      </c>
      <c r="H663" s="4">
        <f>20.3585 * CHOOSE(CONTROL!$C$15, $D$11, 100%, $F$11)</f>
        <v>20.358499999999999</v>
      </c>
      <c r="I663" s="8">
        <f>19.2303 * CHOOSE(CONTROL!$C$15, $D$11, 100%, $F$11)</f>
        <v>19.2303</v>
      </c>
      <c r="J663" s="4">
        <f>19.1274 * CHOOSE(CONTROL!$C$15, $D$11, 100%, $F$11)</f>
        <v>19.127400000000002</v>
      </c>
      <c r="K663" s="4"/>
      <c r="L663" s="9">
        <v>26.515499999999999</v>
      </c>
      <c r="M663" s="9">
        <v>11.6745</v>
      </c>
      <c r="N663" s="9">
        <v>4.7850000000000001</v>
      </c>
      <c r="O663" s="9">
        <v>0.36249999999999999</v>
      </c>
      <c r="P663" s="9">
        <v>1.2522</v>
      </c>
      <c r="Q663" s="9">
        <v>19.053000000000001</v>
      </c>
      <c r="R663" s="9"/>
      <c r="S663" s="11"/>
    </row>
    <row r="664" spans="1:19" ht="15.75">
      <c r="A664" s="13">
        <v>62093</v>
      </c>
      <c r="B664" s="8">
        <f>19.9305 * CHOOSE(CONTROL!$C$15, $D$11, 100%, $F$11)</f>
        <v>19.930499999999999</v>
      </c>
      <c r="C664" s="8">
        <f>19.9409 * CHOOSE(CONTROL!$C$15, $D$11, 100%, $F$11)</f>
        <v>19.940899999999999</v>
      </c>
      <c r="D664" s="8">
        <f>19.9245 * CHOOSE( CONTROL!$C$15, $D$11, 100%, $F$11)</f>
        <v>19.924499999999998</v>
      </c>
      <c r="E664" s="12">
        <f>19.9294 * CHOOSE( CONTROL!$C$15, $D$11, 100%, $F$11)</f>
        <v>19.929400000000001</v>
      </c>
      <c r="F664" s="4">
        <f>20.9273 * CHOOSE(CONTROL!$C$15, $D$11, 100%, $F$11)</f>
        <v>20.927299999999999</v>
      </c>
      <c r="G664" s="8">
        <f>19.4392 * CHOOSE( CONTROL!$C$15, $D$11, 100%, $F$11)</f>
        <v>19.4392</v>
      </c>
      <c r="H664" s="4">
        <f>20.3231 * CHOOSE(CONTROL!$C$15, $D$11, 100%, $F$11)</f>
        <v>20.3231</v>
      </c>
      <c r="I664" s="8">
        <f>19.2043 * CHOOSE(CONTROL!$C$15, $D$11, 100%, $F$11)</f>
        <v>19.2043</v>
      </c>
      <c r="J664" s="4">
        <f>19.0926 * CHOOSE(CONTROL!$C$15, $D$11, 100%, $F$11)</f>
        <v>19.092600000000001</v>
      </c>
      <c r="K664" s="4"/>
      <c r="L664" s="9">
        <v>27.3993</v>
      </c>
      <c r="M664" s="9">
        <v>12.063700000000001</v>
      </c>
      <c r="N664" s="9">
        <v>4.9444999999999997</v>
      </c>
      <c r="O664" s="9">
        <v>0.37459999999999999</v>
      </c>
      <c r="P664" s="9">
        <v>1.2939000000000001</v>
      </c>
      <c r="Q664" s="9">
        <v>19.688099999999999</v>
      </c>
      <c r="R664" s="9"/>
      <c r="S664" s="11"/>
    </row>
    <row r="665" spans="1:19" ht="15.75">
      <c r="A665" s="13">
        <v>62124</v>
      </c>
      <c r="B665" s="8">
        <f>20.692 * CHOOSE(CONTROL!$C$15, $D$11, 100%, $F$11)</f>
        <v>20.692</v>
      </c>
      <c r="C665" s="8">
        <f>20.7025 * CHOOSE(CONTROL!$C$15, $D$11, 100%, $F$11)</f>
        <v>20.702500000000001</v>
      </c>
      <c r="D665" s="8">
        <f>20.701 * CHOOSE( CONTROL!$C$15, $D$11, 100%, $F$11)</f>
        <v>20.701000000000001</v>
      </c>
      <c r="E665" s="12">
        <f>20.7004 * CHOOSE( CONTROL!$C$15, $D$11, 100%, $F$11)</f>
        <v>20.700399999999998</v>
      </c>
      <c r="F665" s="4">
        <f>21.7149 * CHOOSE(CONTROL!$C$15, $D$11, 100%, $F$11)</f>
        <v>21.7149</v>
      </c>
      <c r="G665" s="8">
        <f>20.1983 * CHOOSE( CONTROL!$C$15, $D$11, 100%, $F$11)</f>
        <v>20.1983</v>
      </c>
      <c r="H665" s="4">
        <f>21.0908 * CHOOSE(CONTROL!$C$15, $D$11, 100%, $F$11)</f>
        <v>21.090800000000002</v>
      </c>
      <c r="I665" s="8">
        <f>19.9408 * CHOOSE(CONTROL!$C$15, $D$11, 100%, $F$11)</f>
        <v>19.940799999999999</v>
      </c>
      <c r="J665" s="4">
        <f>19.8223 * CHOOSE(CONTROL!$C$15, $D$11, 100%, $F$11)</f>
        <v>19.822299999999998</v>
      </c>
      <c r="K665" s="4"/>
      <c r="L665" s="9">
        <v>27.3993</v>
      </c>
      <c r="M665" s="9">
        <v>12.063700000000001</v>
      </c>
      <c r="N665" s="9">
        <v>4.9444999999999997</v>
      </c>
      <c r="O665" s="9">
        <v>0.37459999999999999</v>
      </c>
      <c r="P665" s="9">
        <v>1.2939000000000001</v>
      </c>
      <c r="Q665" s="9">
        <v>19.688099999999999</v>
      </c>
      <c r="R665" s="9"/>
      <c r="S665" s="11"/>
    </row>
    <row r="666" spans="1:19" ht="15.75">
      <c r="A666" s="13">
        <v>62152</v>
      </c>
      <c r="B666" s="8">
        <f>19.3546 * CHOOSE(CONTROL!$C$15, $D$11, 100%, $F$11)</f>
        <v>19.354600000000001</v>
      </c>
      <c r="C666" s="8">
        <f>19.3651 * CHOOSE(CONTROL!$C$15, $D$11, 100%, $F$11)</f>
        <v>19.365100000000002</v>
      </c>
      <c r="D666" s="8">
        <f>19.3659 * CHOOSE( CONTROL!$C$15, $D$11, 100%, $F$11)</f>
        <v>19.3659</v>
      </c>
      <c r="E666" s="12">
        <f>19.3645 * CHOOSE( CONTROL!$C$15, $D$11, 100%, $F$11)</f>
        <v>19.3645</v>
      </c>
      <c r="F666" s="4">
        <f>20.3697 * CHOOSE(CONTROL!$C$15, $D$11, 100%, $F$11)</f>
        <v>20.369700000000002</v>
      </c>
      <c r="G666" s="8">
        <f>18.8945 * CHOOSE( CONTROL!$C$15, $D$11, 100%, $F$11)</f>
        <v>18.894500000000001</v>
      </c>
      <c r="H666" s="4">
        <f>19.7796 * CHOOSE(CONTROL!$C$15, $D$11, 100%, $F$11)</f>
        <v>19.779599999999999</v>
      </c>
      <c r="I666" s="8">
        <f>18.6478 * CHOOSE(CONTROL!$C$15, $D$11, 100%, $F$11)</f>
        <v>18.6478</v>
      </c>
      <c r="J666" s="4">
        <f>18.5409 * CHOOSE(CONTROL!$C$15, $D$11, 100%, $F$11)</f>
        <v>18.540900000000001</v>
      </c>
      <c r="K666" s="4"/>
      <c r="L666" s="9">
        <v>24.747800000000002</v>
      </c>
      <c r="M666" s="9">
        <v>10.8962</v>
      </c>
      <c r="N666" s="9">
        <v>4.4660000000000002</v>
      </c>
      <c r="O666" s="9">
        <v>0.33829999999999999</v>
      </c>
      <c r="P666" s="9">
        <v>1.1687000000000001</v>
      </c>
      <c r="Q666" s="9">
        <v>17.782800000000002</v>
      </c>
      <c r="R666" s="9"/>
      <c r="S666" s="11"/>
    </row>
    <row r="667" spans="1:19" ht="15.75">
      <c r="A667" s="13">
        <v>62183</v>
      </c>
      <c r="B667" s="8">
        <f>18.9427 * CHOOSE(CONTROL!$C$15, $D$11, 100%, $F$11)</f>
        <v>18.942699999999999</v>
      </c>
      <c r="C667" s="8">
        <f>18.9532 * CHOOSE(CONTROL!$C$15, $D$11, 100%, $F$11)</f>
        <v>18.953199999999999</v>
      </c>
      <c r="D667" s="8">
        <f>18.9336 * CHOOSE( CONTROL!$C$15, $D$11, 100%, $F$11)</f>
        <v>18.933599999999998</v>
      </c>
      <c r="E667" s="12">
        <f>18.9396 * CHOOSE( CONTROL!$C$15, $D$11, 100%, $F$11)</f>
        <v>18.939599999999999</v>
      </c>
      <c r="F667" s="4">
        <f>19.9416 * CHOOSE(CONTROL!$C$15, $D$11, 100%, $F$11)</f>
        <v>19.941600000000001</v>
      </c>
      <c r="G667" s="8">
        <f>18.4723 * CHOOSE( CONTROL!$C$15, $D$11, 100%, $F$11)</f>
        <v>18.472300000000001</v>
      </c>
      <c r="H667" s="4">
        <f>19.3623 * CHOOSE(CONTROL!$C$15, $D$11, 100%, $F$11)</f>
        <v>19.362300000000001</v>
      </c>
      <c r="I667" s="8">
        <f>18.2134 * CHOOSE(CONTROL!$C$15, $D$11, 100%, $F$11)</f>
        <v>18.2134</v>
      </c>
      <c r="J667" s="4">
        <f>18.1462 * CHOOSE(CONTROL!$C$15, $D$11, 100%, $F$11)</f>
        <v>18.1462</v>
      </c>
      <c r="K667" s="4"/>
      <c r="L667" s="9">
        <v>27.3993</v>
      </c>
      <c r="M667" s="9">
        <v>12.063700000000001</v>
      </c>
      <c r="N667" s="9">
        <v>4.9444999999999997</v>
      </c>
      <c r="O667" s="9">
        <v>0.37459999999999999</v>
      </c>
      <c r="P667" s="9">
        <v>1.2939000000000001</v>
      </c>
      <c r="Q667" s="9">
        <v>19.688099999999999</v>
      </c>
      <c r="R667" s="9"/>
      <c r="S667" s="11"/>
    </row>
    <row r="668" spans="1:19" ht="15.75">
      <c r="A668" s="13">
        <v>62213</v>
      </c>
      <c r="B668" s="8">
        <f>19.2306 * CHOOSE(CONTROL!$C$15, $D$11, 100%, $F$11)</f>
        <v>19.230599999999999</v>
      </c>
      <c r="C668" s="8">
        <f>19.241 * CHOOSE(CONTROL!$C$15, $D$11, 100%, $F$11)</f>
        <v>19.241</v>
      </c>
      <c r="D668" s="8">
        <f>19.2448 * CHOOSE( CONTROL!$C$15, $D$11, 100%, $F$11)</f>
        <v>19.244800000000001</v>
      </c>
      <c r="E668" s="12">
        <f>19.2424 * CHOOSE( CONTROL!$C$15, $D$11, 100%, $F$11)</f>
        <v>19.2424</v>
      </c>
      <c r="F668" s="4">
        <f>20.2378 * CHOOSE(CONTROL!$C$15, $D$11, 100%, $F$11)</f>
        <v>20.2378</v>
      </c>
      <c r="G668" s="8">
        <f>18.7408 * CHOOSE( CONTROL!$C$15, $D$11, 100%, $F$11)</f>
        <v>18.7408</v>
      </c>
      <c r="H668" s="4">
        <f>19.651 * CHOOSE(CONTROL!$C$15, $D$11, 100%, $F$11)</f>
        <v>19.651</v>
      </c>
      <c r="I668" s="8">
        <f>18.4794 * CHOOSE(CONTROL!$C$15, $D$11, 100%, $F$11)</f>
        <v>18.479399999999998</v>
      </c>
      <c r="J668" s="4">
        <f>18.422 * CHOOSE(CONTROL!$C$15, $D$11, 100%, $F$11)</f>
        <v>18.422000000000001</v>
      </c>
      <c r="K668" s="4"/>
      <c r="L668" s="9">
        <v>27.988800000000001</v>
      </c>
      <c r="M668" s="9">
        <v>11.6745</v>
      </c>
      <c r="N668" s="9">
        <v>4.7850000000000001</v>
      </c>
      <c r="O668" s="9">
        <v>0.36249999999999999</v>
      </c>
      <c r="P668" s="9">
        <v>1.1798</v>
      </c>
      <c r="Q668" s="9">
        <v>19.053000000000001</v>
      </c>
      <c r="R668" s="9"/>
      <c r="S668" s="11"/>
    </row>
    <row r="669" spans="1:19" ht="15.75">
      <c r="A669" s="13">
        <v>62244</v>
      </c>
      <c r="B669" s="8">
        <f>CHOOSE( CONTROL!$C$32, 19.7478, 19.7428) * CHOOSE(CONTROL!$C$15, $D$11, 100%, $F$11)</f>
        <v>19.747800000000002</v>
      </c>
      <c r="C669" s="8">
        <f>CHOOSE( CONTROL!$C$32, 19.7582, 19.7533) * CHOOSE(CONTROL!$C$15, $D$11, 100%, $F$11)</f>
        <v>19.758199999999999</v>
      </c>
      <c r="D669" s="8">
        <f>CHOOSE( CONTROL!$C$32, 19.7368, 19.7319) * CHOOSE( CONTROL!$C$15, $D$11, 100%, $F$11)</f>
        <v>19.736799999999999</v>
      </c>
      <c r="E669" s="12">
        <f>CHOOSE( CONTROL!$C$32, 19.743, 19.7381) * CHOOSE( CONTROL!$C$15, $D$11, 100%, $F$11)</f>
        <v>19.742999999999999</v>
      </c>
      <c r="F669" s="4">
        <f>CHOOSE( CONTROL!$C$32, 20.7227, 20.7177) * CHOOSE(CONTROL!$C$15, $D$11, 100%, $F$11)</f>
        <v>20.7227</v>
      </c>
      <c r="G669" s="8">
        <f>CHOOSE( CONTROL!$C$32, 19.2264, 19.2216) * CHOOSE( CONTROL!$C$15, $D$11, 100%, $F$11)</f>
        <v>19.226400000000002</v>
      </c>
      <c r="H669" s="4">
        <f>CHOOSE( CONTROL!$C$32, 20.1236, 20.1188) * CHOOSE(CONTROL!$C$15, $D$11, 100%, $F$11)</f>
        <v>20.1236</v>
      </c>
      <c r="I669" s="8">
        <f>CHOOSE( CONTROL!$C$32, 18.9537, 18.949) * CHOOSE(CONTROL!$C$15, $D$11, 100%, $F$11)</f>
        <v>18.953700000000001</v>
      </c>
      <c r="J669" s="4">
        <f>CHOOSE( CONTROL!$C$32, 18.9176, 18.9128) * CHOOSE(CONTROL!$C$15, $D$11, 100%, $F$11)</f>
        <v>18.9176</v>
      </c>
      <c r="K669" s="4"/>
      <c r="L669" s="9">
        <v>29.520499999999998</v>
      </c>
      <c r="M669" s="9">
        <v>12.063700000000001</v>
      </c>
      <c r="N669" s="9">
        <v>4.9444999999999997</v>
      </c>
      <c r="O669" s="9">
        <v>0.37459999999999999</v>
      </c>
      <c r="P669" s="9">
        <v>1.2192000000000001</v>
      </c>
      <c r="Q669" s="9">
        <v>19.688099999999999</v>
      </c>
      <c r="R669" s="9"/>
      <c r="S669" s="11"/>
    </row>
    <row r="670" spans="1:19" ht="15.75">
      <c r="A670" s="13">
        <v>62274</v>
      </c>
      <c r="B670" s="8">
        <f>CHOOSE( CONTROL!$C$32, 19.4304, 19.4255) * CHOOSE(CONTROL!$C$15, $D$11, 100%, $F$11)</f>
        <v>19.430399999999999</v>
      </c>
      <c r="C670" s="8">
        <f>CHOOSE( CONTROL!$C$32, 19.4409, 19.4359) * CHOOSE(CONTROL!$C$15, $D$11, 100%, $F$11)</f>
        <v>19.440899999999999</v>
      </c>
      <c r="D670" s="8">
        <f>CHOOSE( CONTROL!$C$32, 19.433, 19.428) * CHOOSE( CONTROL!$C$15, $D$11, 100%, $F$11)</f>
        <v>19.433</v>
      </c>
      <c r="E670" s="12">
        <f>CHOOSE( CONTROL!$C$32, 19.4343, 19.4293) * CHOOSE( CONTROL!$C$15, $D$11, 100%, $F$11)</f>
        <v>19.4343</v>
      </c>
      <c r="F670" s="4">
        <f>CHOOSE( CONTROL!$C$32, 20.4246, 20.4197) * CHOOSE(CONTROL!$C$15, $D$11, 100%, $F$11)</f>
        <v>20.424600000000002</v>
      </c>
      <c r="G670" s="8">
        <f>CHOOSE( CONTROL!$C$32, 18.9275, 18.9227) * CHOOSE( CONTROL!$C$15, $D$11, 100%, $F$11)</f>
        <v>18.927499999999998</v>
      </c>
      <c r="H670" s="4">
        <f>CHOOSE( CONTROL!$C$32, 19.8331, 19.8283) * CHOOSE(CONTROL!$C$15, $D$11, 100%, $F$11)</f>
        <v>19.833100000000002</v>
      </c>
      <c r="I670" s="8">
        <f>CHOOSE( CONTROL!$C$32, 18.6673, 18.6626) * CHOOSE(CONTROL!$C$15, $D$11, 100%, $F$11)</f>
        <v>18.667300000000001</v>
      </c>
      <c r="J670" s="4">
        <f>CHOOSE( CONTROL!$C$32, 18.6135, 18.6088) * CHOOSE(CONTROL!$C$15, $D$11, 100%, $F$11)</f>
        <v>18.613499999999998</v>
      </c>
      <c r="K670" s="4"/>
      <c r="L670" s="9">
        <v>28.568200000000001</v>
      </c>
      <c r="M670" s="9">
        <v>11.6745</v>
      </c>
      <c r="N670" s="9">
        <v>4.7850000000000001</v>
      </c>
      <c r="O670" s="9">
        <v>0.36249999999999999</v>
      </c>
      <c r="P670" s="9">
        <v>1.1798</v>
      </c>
      <c r="Q670" s="9">
        <v>19.053000000000001</v>
      </c>
      <c r="R670" s="9"/>
      <c r="S670" s="11"/>
    </row>
    <row r="671" spans="1:19" ht="15.75">
      <c r="A671" s="13">
        <v>62305</v>
      </c>
      <c r="B671" s="8">
        <f>CHOOSE( CONTROL!$C$32, 20.2661, 20.2612) * CHOOSE(CONTROL!$C$15, $D$11, 100%, $F$11)</f>
        <v>20.266100000000002</v>
      </c>
      <c r="C671" s="8">
        <f>CHOOSE( CONTROL!$C$32, 20.2765, 20.2716) * CHOOSE(CONTROL!$C$15, $D$11, 100%, $F$11)</f>
        <v>20.276499999999999</v>
      </c>
      <c r="D671" s="8">
        <f>CHOOSE( CONTROL!$C$32, 20.2755, 20.2706) * CHOOSE( CONTROL!$C$15, $D$11, 100%, $F$11)</f>
        <v>20.275500000000001</v>
      </c>
      <c r="E671" s="12">
        <f>CHOOSE( CONTROL!$C$32, 20.2743, 20.2694) * CHOOSE( CONTROL!$C$15, $D$11, 100%, $F$11)</f>
        <v>20.2743</v>
      </c>
      <c r="F671" s="4">
        <f>CHOOSE( CONTROL!$C$32, 21.2707, 21.2658) * CHOOSE(CONTROL!$C$15, $D$11, 100%, $F$11)</f>
        <v>21.270700000000001</v>
      </c>
      <c r="G671" s="8">
        <f>CHOOSE( CONTROL!$C$32, 19.7462, 19.7414) * CHOOSE( CONTROL!$C$15, $D$11, 100%, $F$11)</f>
        <v>19.746200000000002</v>
      </c>
      <c r="H671" s="4">
        <f>CHOOSE( CONTROL!$C$32, 20.6579, 20.6531) * CHOOSE(CONTROL!$C$15, $D$11, 100%, $F$11)</f>
        <v>20.657900000000001</v>
      </c>
      <c r="I671" s="8">
        <f>CHOOSE( CONTROL!$C$32, 19.4761, 19.4714) * CHOOSE(CONTROL!$C$15, $D$11, 100%, $F$11)</f>
        <v>19.476099999999999</v>
      </c>
      <c r="J671" s="4">
        <f>CHOOSE( CONTROL!$C$32, 19.4142, 19.4095) * CHOOSE(CONTROL!$C$15, $D$11, 100%, $F$11)</f>
        <v>19.414200000000001</v>
      </c>
      <c r="K671" s="4"/>
      <c r="L671" s="9">
        <v>29.520499999999998</v>
      </c>
      <c r="M671" s="9">
        <v>12.063700000000001</v>
      </c>
      <c r="N671" s="9">
        <v>4.9444999999999997</v>
      </c>
      <c r="O671" s="9">
        <v>0.37459999999999999</v>
      </c>
      <c r="P671" s="9">
        <v>1.2192000000000001</v>
      </c>
      <c r="Q671" s="9">
        <v>19.688099999999999</v>
      </c>
      <c r="R671" s="9"/>
      <c r="S671" s="11"/>
    </row>
    <row r="672" spans="1:19" ht="15.75">
      <c r="A672" s="13">
        <v>62336</v>
      </c>
      <c r="B672" s="8">
        <f>CHOOSE( CONTROL!$C$32, 18.7025, 18.6975) * CHOOSE(CONTROL!$C$15, $D$11, 100%, $F$11)</f>
        <v>18.702500000000001</v>
      </c>
      <c r="C672" s="8">
        <f>CHOOSE( CONTROL!$C$32, 18.7129, 18.708) * CHOOSE(CONTROL!$C$15, $D$11, 100%, $F$11)</f>
        <v>18.712900000000001</v>
      </c>
      <c r="D672" s="8">
        <f>CHOOSE( CONTROL!$C$32, 18.7131, 18.7081) * CHOOSE( CONTROL!$C$15, $D$11, 100%, $F$11)</f>
        <v>18.713100000000001</v>
      </c>
      <c r="E672" s="12">
        <f>CHOOSE( CONTROL!$C$32, 18.7114, 18.7065) * CHOOSE( CONTROL!$C$15, $D$11, 100%, $F$11)</f>
        <v>18.711400000000001</v>
      </c>
      <c r="F672" s="4">
        <f>CHOOSE( CONTROL!$C$32, 19.7149, 19.71) * CHOOSE(CONTROL!$C$15, $D$11, 100%, $F$11)</f>
        <v>19.7149</v>
      </c>
      <c r="G672" s="8">
        <f>CHOOSE( CONTROL!$C$32, 18.2171, 18.2123) * CHOOSE( CONTROL!$C$15, $D$11, 100%, $F$11)</f>
        <v>18.217099999999999</v>
      </c>
      <c r="H672" s="4">
        <f>CHOOSE( CONTROL!$C$32, 19.1413, 19.1365) * CHOOSE(CONTROL!$C$15, $D$11, 100%, $F$11)</f>
        <v>19.141300000000001</v>
      </c>
      <c r="I672" s="8">
        <f>CHOOSE( CONTROL!$C$32, 17.968, 17.9633) * CHOOSE(CONTROL!$C$15, $D$11, 100%, $F$11)</f>
        <v>17.968</v>
      </c>
      <c r="J672" s="4">
        <f>CHOOSE( CONTROL!$C$32, 17.916, 17.9112) * CHOOSE(CONTROL!$C$15, $D$11, 100%, $F$11)</f>
        <v>17.916</v>
      </c>
      <c r="K672" s="4"/>
      <c r="L672" s="9">
        <v>29.520499999999998</v>
      </c>
      <c r="M672" s="9">
        <v>12.063700000000001</v>
      </c>
      <c r="N672" s="9">
        <v>4.9444999999999997</v>
      </c>
      <c r="O672" s="9">
        <v>0.37459999999999999</v>
      </c>
      <c r="P672" s="9">
        <v>1.2192000000000001</v>
      </c>
      <c r="Q672" s="9">
        <v>19.688099999999999</v>
      </c>
      <c r="R672" s="9"/>
      <c r="S672" s="11"/>
    </row>
    <row r="673" spans="1:19" ht="15.75">
      <c r="A673" s="13">
        <v>62366</v>
      </c>
      <c r="B673" s="8">
        <f>CHOOSE( CONTROL!$C$32, 18.3109, 18.306) * CHOOSE(CONTROL!$C$15, $D$11, 100%, $F$11)</f>
        <v>18.3109</v>
      </c>
      <c r="C673" s="8">
        <f>CHOOSE( CONTROL!$C$32, 18.3214, 18.3164) * CHOOSE(CONTROL!$C$15, $D$11, 100%, $F$11)</f>
        <v>18.321400000000001</v>
      </c>
      <c r="D673" s="8">
        <f>CHOOSE( CONTROL!$C$32, 18.3218, 18.3169) * CHOOSE( CONTROL!$C$15, $D$11, 100%, $F$11)</f>
        <v>18.3218</v>
      </c>
      <c r="E673" s="12">
        <f>CHOOSE( CONTROL!$C$32, 18.3201, 18.3151) * CHOOSE( CONTROL!$C$15, $D$11, 100%, $F$11)</f>
        <v>18.3201</v>
      </c>
      <c r="F673" s="4">
        <f>CHOOSE( CONTROL!$C$32, 19.3234, 19.3185) * CHOOSE(CONTROL!$C$15, $D$11, 100%, $F$11)</f>
        <v>19.323399999999999</v>
      </c>
      <c r="G673" s="8">
        <f>CHOOSE( CONTROL!$C$32, 17.8359, 17.8311) * CHOOSE( CONTROL!$C$15, $D$11, 100%, $F$11)</f>
        <v>17.835899999999999</v>
      </c>
      <c r="H673" s="4">
        <f>CHOOSE( CONTROL!$C$32, 18.7596, 18.7548) * CHOOSE(CONTROL!$C$15, $D$11, 100%, $F$11)</f>
        <v>18.759599999999999</v>
      </c>
      <c r="I673" s="8">
        <f>CHOOSE( CONTROL!$C$32, 17.5941, 17.5893) * CHOOSE(CONTROL!$C$15, $D$11, 100%, $F$11)</f>
        <v>17.594100000000001</v>
      </c>
      <c r="J673" s="4">
        <f>CHOOSE( CONTROL!$C$32, 17.5408, 17.536) * CHOOSE(CONTROL!$C$15, $D$11, 100%, $F$11)</f>
        <v>17.540800000000001</v>
      </c>
      <c r="K673" s="4"/>
      <c r="L673" s="9">
        <v>28.568200000000001</v>
      </c>
      <c r="M673" s="9">
        <v>11.6745</v>
      </c>
      <c r="N673" s="9">
        <v>4.7850000000000001</v>
      </c>
      <c r="O673" s="9">
        <v>0.36249999999999999</v>
      </c>
      <c r="P673" s="9">
        <v>1.1798</v>
      </c>
      <c r="Q673" s="9">
        <v>19.053000000000001</v>
      </c>
      <c r="R673" s="9"/>
      <c r="S673" s="11"/>
    </row>
    <row r="674" spans="1:19" ht="15.75">
      <c r="A674" s="13">
        <v>62397</v>
      </c>
      <c r="B674" s="8">
        <f>19.119 * CHOOSE(CONTROL!$C$15, $D$11, 100%, $F$11)</f>
        <v>19.119</v>
      </c>
      <c r="C674" s="8">
        <f>19.1294 * CHOOSE(CONTROL!$C$15, $D$11, 100%, $F$11)</f>
        <v>19.1294</v>
      </c>
      <c r="D674" s="8">
        <f>19.1311 * CHOOSE( CONTROL!$C$15, $D$11, 100%, $F$11)</f>
        <v>19.1311</v>
      </c>
      <c r="E674" s="12">
        <f>19.1294 * CHOOSE( CONTROL!$C$15, $D$11, 100%, $F$11)</f>
        <v>19.1294</v>
      </c>
      <c r="F674" s="4">
        <f>20.1315 * CHOOSE(CONTROL!$C$15, $D$11, 100%, $F$11)</f>
        <v>20.131499999999999</v>
      </c>
      <c r="G674" s="8">
        <f>18.6232 * CHOOSE( CONTROL!$C$15, $D$11, 100%, $F$11)</f>
        <v>18.623200000000001</v>
      </c>
      <c r="H674" s="4">
        <f>19.5473 * CHOOSE(CONTROL!$C$15, $D$11, 100%, $F$11)</f>
        <v>19.5473</v>
      </c>
      <c r="I674" s="8">
        <f>18.371 * CHOOSE(CONTROL!$C$15, $D$11, 100%, $F$11)</f>
        <v>18.370999999999999</v>
      </c>
      <c r="J674" s="4">
        <f>18.315 * CHOOSE(CONTROL!$C$15, $D$11, 100%, $F$11)</f>
        <v>18.315000000000001</v>
      </c>
      <c r="K674" s="4"/>
      <c r="L674" s="9">
        <v>28.921800000000001</v>
      </c>
      <c r="M674" s="9">
        <v>12.063700000000001</v>
      </c>
      <c r="N674" s="9">
        <v>4.9444999999999997</v>
      </c>
      <c r="O674" s="9">
        <v>0.37459999999999999</v>
      </c>
      <c r="P674" s="9">
        <v>1.2192000000000001</v>
      </c>
      <c r="Q674" s="9">
        <v>19.688099999999999</v>
      </c>
      <c r="R674" s="9"/>
      <c r="S674" s="11"/>
    </row>
    <row r="675" spans="1:19" ht="15.75">
      <c r="A675" s="13">
        <v>62427</v>
      </c>
      <c r="B675" s="8">
        <f>20.6196 * CHOOSE(CONTROL!$C$15, $D$11, 100%, $F$11)</f>
        <v>20.619599999999998</v>
      </c>
      <c r="C675" s="8">
        <f>20.63 * CHOOSE(CONTROL!$C$15, $D$11, 100%, $F$11)</f>
        <v>20.63</v>
      </c>
      <c r="D675" s="8">
        <f>20.6111 * CHOOSE( CONTROL!$C$15, $D$11, 100%, $F$11)</f>
        <v>20.6111</v>
      </c>
      <c r="E675" s="12">
        <f>20.6169 * CHOOSE( CONTROL!$C$15, $D$11, 100%, $F$11)</f>
        <v>20.616900000000001</v>
      </c>
      <c r="F675" s="4">
        <f>21.6164 * CHOOSE(CONTROL!$C$15, $D$11, 100%, $F$11)</f>
        <v>21.616399999999999</v>
      </c>
      <c r="G675" s="8">
        <f>20.1089 * CHOOSE( CONTROL!$C$15, $D$11, 100%, $F$11)</f>
        <v>20.108899999999998</v>
      </c>
      <c r="H675" s="4">
        <f>20.9948 * CHOOSE(CONTROL!$C$15, $D$11, 100%, $F$11)</f>
        <v>20.994800000000001</v>
      </c>
      <c r="I675" s="8">
        <f>19.8562 * CHOOSE(CONTROL!$C$15, $D$11, 100%, $F$11)</f>
        <v>19.856200000000001</v>
      </c>
      <c r="J675" s="4">
        <f>19.7529 * CHOOSE(CONTROL!$C$15, $D$11, 100%, $F$11)</f>
        <v>19.7529</v>
      </c>
      <c r="K675" s="4"/>
      <c r="L675" s="9">
        <v>26.515499999999999</v>
      </c>
      <c r="M675" s="9">
        <v>11.6745</v>
      </c>
      <c r="N675" s="9">
        <v>4.7850000000000001</v>
      </c>
      <c r="O675" s="9">
        <v>0.36249999999999999</v>
      </c>
      <c r="P675" s="9">
        <v>1.2522</v>
      </c>
      <c r="Q675" s="9">
        <v>19.053000000000001</v>
      </c>
      <c r="R675" s="9"/>
      <c r="S675" s="11"/>
    </row>
    <row r="676" spans="1:19" ht="15.75">
      <c r="A676" s="13">
        <v>62458</v>
      </c>
      <c r="B676" s="8">
        <f>20.5821 * CHOOSE(CONTROL!$C$15, $D$11, 100%, $F$11)</f>
        <v>20.582100000000001</v>
      </c>
      <c r="C676" s="8">
        <f>20.5925 * CHOOSE(CONTROL!$C$15, $D$11, 100%, $F$11)</f>
        <v>20.592500000000001</v>
      </c>
      <c r="D676" s="8">
        <f>20.5762 * CHOOSE( CONTROL!$C$15, $D$11, 100%, $F$11)</f>
        <v>20.5762</v>
      </c>
      <c r="E676" s="12">
        <f>20.5811 * CHOOSE( CONTROL!$C$15, $D$11, 100%, $F$11)</f>
        <v>20.581099999999999</v>
      </c>
      <c r="F676" s="4">
        <f>21.5789 * CHOOSE(CONTROL!$C$15, $D$11, 100%, $F$11)</f>
        <v>21.578900000000001</v>
      </c>
      <c r="G676" s="8">
        <f>20.0744 * CHOOSE( CONTROL!$C$15, $D$11, 100%, $F$11)</f>
        <v>20.074400000000001</v>
      </c>
      <c r="H676" s="4">
        <f>20.9583 * CHOOSE(CONTROL!$C$15, $D$11, 100%, $F$11)</f>
        <v>20.958300000000001</v>
      </c>
      <c r="I676" s="8">
        <f>19.829 * CHOOSE(CONTROL!$C$15, $D$11, 100%, $F$11)</f>
        <v>19.829000000000001</v>
      </c>
      <c r="J676" s="4">
        <f>19.717 * CHOOSE(CONTROL!$C$15, $D$11, 100%, $F$11)</f>
        <v>19.716999999999999</v>
      </c>
      <c r="K676" s="4"/>
      <c r="L676" s="9">
        <v>27.3993</v>
      </c>
      <c r="M676" s="9">
        <v>12.063700000000001</v>
      </c>
      <c r="N676" s="9">
        <v>4.9444999999999997</v>
      </c>
      <c r="O676" s="9">
        <v>0.37459999999999999</v>
      </c>
      <c r="P676" s="9">
        <v>1.2939000000000001</v>
      </c>
      <c r="Q676" s="9">
        <v>19.688099999999999</v>
      </c>
      <c r="R676" s="9"/>
      <c r="S676" s="11"/>
    </row>
    <row r="677" spans="1:19" ht="15.75">
      <c r="A677" s="13">
        <v>62489</v>
      </c>
      <c r="B677" s="8">
        <f>21.3686 * CHOOSE(CONTROL!$C$15, $D$11, 100%, $F$11)</f>
        <v>21.368600000000001</v>
      </c>
      <c r="C677" s="8">
        <f>21.379 * CHOOSE(CONTROL!$C$15, $D$11, 100%, $F$11)</f>
        <v>21.379000000000001</v>
      </c>
      <c r="D677" s="8">
        <f>21.3776 * CHOOSE( CONTROL!$C$15, $D$11, 100%, $F$11)</f>
        <v>21.377600000000001</v>
      </c>
      <c r="E677" s="12">
        <f>21.377 * CHOOSE( CONTROL!$C$15, $D$11, 100%, $F$11)</f>
        <v>21.376999999999999</v>
      </c>
      <c r="F677" s="4">
        <f>22.3915 * CHOOSE(CONTROL!$C$15, $D$11, 100%, $F$11)</f>
        <v>22.391500000000001</v>
      </c>
      <c r="G677" s="8">
        <f>20.8578 * CHOOSE( CONTROL!$C$15, $D$11, 100%, $F$11)</f>
        <v>20.857800000000001</v>
      </c>
      <c r="H677" s="4">
        <f>21.7503 * CHOOSE(CONTROL!$C$15, $D$11, 100%, $F$11)</f>
        <v>21.750299999999999</v>
      </c>
      <c r="I677" s="8">
        <f>20.5894 * CHOOSE(CONTROL!$C$15, $D$11, 100%, $F$11)</f>
        <v>20.589400000000001</v>
      </c>
      <c r="J677" s="4">
        <f>20.4706 * CHOOSE(CONTROL!$C$15, $D$11, 100%, $F$11)</f>
        <v>20.470600000000001</v>
      </c>
      <c r="K677" s="4"/>
      <c r="L677" s="9">
        <v>27.3993</v>
      </c>
      <c r="M677" s="9">
        <v>12.063700000000001</v>
      </c>
      <c r="N677" s="9">
        <v>4.9444999999999997</v>
      </c>
      <c r="O677" s="9">
        <v>0.37459999999999999</v>
      </c>
      <c r="P677" s="9">
        <v>1.2939000000000001</v>
      </c>
      <c r="Q677" s="9">
        <v>19.688099999999999</v>
      </c>
      <c r="R677" s="9"/>
      <c r="S677" s="11"/>
    </row>
    <row r="678" spans="1:19" ht="15.75">
      <c r="A678" s="13">
        <v>62517</v>
      </c>
      <c r="B678" s="8">
        <f>19.9874 * CHOOSE(CONTROL!$C$15, $D$11, 100%, $F$11)</f>
        <v>19.987400000000001</v>
      </c>
      <c r="C678" s="8">
        <f>19.9979 * CHOOSE(CONTROL!$C$15, $D$11, 100%, $F$11)</f>
        <v>19.997900000000001</v>
      </c>
      <c r="D678" s="8">
        <f>19.9987 * CHOOSE( CONTROL!$C$15, $D$11, 100%, $F$11)</f>
        <v>19.998699999999999</v>
      </c>
      <c r="E678" s="12">
        <f>19.9973 * CHOOSE( CONTROL!$C$15, $D$11, 100%, $F$11)</f>
        <v>19.997299999999999</v>
      </c>
      <c r="F678" s="4">
        <f>21.0025 * CHOOSE(CONTROL!$C$15, $D$11, 100%, $F$11)</f>
        <v>21.002500000000001</v>
      </c>
      <c r="G678" s="8">
        <f>19.5113 * CHOOSE( CONTROL!$C$15, $D$11, 100%, $F$11)</f>
        <v>19.511299999999999</v>
      </c>
      <c r="H678" s="4">
        <f>20.3964 * CHOOSE(CONTROL!$C$15, $D$11, 100%, $F$11)</f>
        <v>20.3964</v>
      </c>
      <c r="I678" s="8">
        <f>19.2544 * CHOOSE(CONTROL!$C$15, $D$11, 100%, $F$11)</f>
        <v>19.2544</v>
      </c>
      <c r="J678" s="4">
        <f>19.1472 * CHOOSE(CONTROL!$C$15, $D$11, 100%, $F$11)</f>
        <v>19.147200000000002</v>
      </c>
      <c r="K678" s="4"/>
      <c r="L678" s="9">
        <v>24.747800000000002</v>
      </c>
      <c r="M678" s="9">
        <v>10.8962</v>
      </c>
      <c r="N678" s="9">
        <v>4.4660000000000002</v>
      </c>
      <c r="O678" s="9">
        <v>0.33829999999999999</v>
      </c>
      <c r="P678" s="9">
        <v>1.1687000000000001</v>
      </c>
      <c r="Q678" s="9">
        <v>17.782800000000002</v>
      </c>
      <c r="R678" s="9"/>
      <c r="S678" s="11"/>
    </row>
    <row r="679" spans="1:19" ht="15.75">
      <c r="A679" s="13">
        <v>62548</v>
      </c>
      <c r="B679" s="8">
        <f>19.5621 * CHOOSE(CONTROL!$C$15, $D$11, 100%, $F$11)</f>
        <v>19.562100000000001</v>
      </c>
      <c r="C679" s="8">
        <f>19.5725 * CHOOSE(CONTROL!$C$15, $D$11, 100%, $F$11)</f>
        <v>19.572500000000002</v>
      </c>
      <c r="D679" s="8">
        <f>19.553 * CHOOSE( CONTROL!$C$15, $D$11, 100%, $F$11)</f>
        <v>19.553000000000001</v>
      </c>
      <c r="E679" s="12">
        <f>19.559 * CHOOSE( CONTROL!$C$15, $D$11, 100%, $F$11)</f>
        <v>19.559000000000001</v>
      </c>
      <c r="F679" s="4">
        <f>20.561 * CHOOSE(CONTROL!$C$15, $D$11, 100%, $F$11)</f>
        <v>20.561</v>
      </c>
      <c r="G679" s="8">
        <f>19.076 * CHOOSE( CONTROL!$C$15, $D$11, 100%, $F$11)</f>
        <v>19.076000000000001</v>
      </c>
      <c r="H679" s="4">
        <f>19.966 * CHOOSE(CONTROL!$C$15, $D$11, 100%, $F$11)</f>
        <v>19.966000000000001</v>
      </c>
      <c r="I679" s="8">
        <f>18.8071 * CHOOSE(CONTROL!$C$15, $D$11, 100%, $F$11)</f>
        <v>18.807099999999998</v>
      </c>
      <c r="J679" s="4">
        <f>18.7396 * CHOOSE(CONTROL!$C$15, $D$11, 100%, $F$11)</f>
        <v>18.739599999999999</v>
      </c>
      <c r="K679" s="4"/>
      <c r="L679" s="9">
        <v>27.3993</v>
      </c>
      <c r="M679" s="9">
        <v>12.063700000000001</v>
      </c>
      <c r="N679" s="9">
        <v>4.9444999999999997</v>
      </c>
      <c r="O679" s="9">
        <v>0.37459999999999999</v>
      </c>
      <c r="P679" s="9">
        <v>1.2939000000000001</v>
      </c>
      <c r="Q679" s="9">
        <v>19.688099999999999</v>
      </c>
      <c r="R679" s="9"/>
      <c r="S679" s="11"/>
    </row>
    <row r="680" spans="1:19" ht="15.75">
      <c r="A680" s="13">
        <v>62578</v>
      </c>
      <c r="B680" s="8">
        <f>19.8593 * CHOOSE(CONTROL!$C$15, $D$11, 100%, $F$11)</f>
        <v>19.859300000000001</v>
      </c>
      <c r="C680" s="8">
        <f>19.8697 * CHOOSE(CONTROL!$C$15, $D$11, 100%, $F$11)</f>
        <v>19.869700000000002</v>
      </c>
      <c r="D680" s="8">
        <f>19.8736 * CHOOSE( CONTROL!$C$15, $D$11, 100%, $F$11)</f>
        <v>19.8736</v>
      </c>
      <c r="E680" s="12">
        <f>19.8711 * CHOOSE( CONTROL!$C$15, $D$11, 100%, $F$11)</f>
        <v>19.871099999999998</v>
      </c>
      <c r="F680" s="4">
        <f>20.8666 * CHOOSE(CONTROL!$C$15, $D$11, 100%, $F$11)</f>
        <v>20.866599999999998</v>
      </c>
      <c r="G680" s="8">
        <f>19.3537 * CHOOSE( CONTROL!$C$15, $D$11, 100%, $F$11)</f>
        <v>19.3537</v>
      </c>
      <c r="H680" s="4">
        <f>20.2639 * CHOOSE(CONTROL!$C$15, $D$11, 100%, $F$11)</f>
        <v>20.2639</v>
      </c>
      <c r="I680" s="8">
        <f>19.0822 * CHOOSE(CONTROL!$C$15, $D$11, 100%, $F$11)</f>
        <v>19.0822</v>
      </c>
      <c r="J680" s="4">
        <f>19.0244 * CHOOSE(CONTROL!$C$15, $D$11, 100%, $F$11)</f>
        <v>19.0244</v>
      </c>
      <c r="K680" s="4"/>
      <c r="L680" s="9">
        <v>27.988800000000001</v>
      </c>
      <c r="M680" s="9">
        <v>11.6745</v>
      </c>
      <c r="N680" s="9">
        <v>4.7850000000000001</v>
      </c>
      <c r="O680" s="9">
        <v>0.36249999999999999</v>
      </c>
      <c r="P680" s="9">
        <v>1.1798</v>
      </c>
      <c r="Q680" s="9">
        <v>19.053000000000001</v>
      </c>
      <c r="R680" s="9"/>
      <c r="S680" s="11"/>
    </row>
    <row r="681" spans="1:19" ht="15.75">
      <c r="A681" s="13">
        <v>62609</v>
      </c>
      <c r="B681" s="8">
        <f>CHOOSE( CONTROL!$C$32, 20.3933, 20.3883) * CHOOSE(CONTROL!$C$15, $D$11, 100%, $F$11)</f>
        <v>20.3933</v>
      </c>
      <c r="C681" s="8">
        <f>CHOOSE( CONTROL!$C$32, 20.4037, 20.3988) * CHOOSE(CONTROL!$C$15, $D$11, 100%, $F$11)</f>
        <v>20.403700000000001</v>
      </c>
      <c r="D681" s="8">
        <f>CHOOSE( CONTROL!$C$32, 20.3823, 20.3774) * CHOOSE( CONTROL!$C$15, $D$11, 100%, $F$11)</f>
        <v>20.382300000000001</v>
      </c>
      <c r="E681" s="12">
        <f>CHOOSE( CONTROL!$C$32, 20.3885, 20.3836) * CHOOSE( CONTROL!$C$15, $D$11, 100%, $F$11)</f>
        <v>20.388500000000001</v>
      </c>
      <c r="F681" s="4">
        <f>CHOOSE( CONTROL!$C$32, 21.3682, 21.3632) * CHOOSE(CONTROL!$C$15, $D$11, 100%, $F$11)</f>
        <v>21.368200000000002</v>
      </c>
      <c r="G681" s="8">
        <f>CHOOSE( CONTROL!$C$32, 19.8556, 19.8508) * CHOOSE( CONTROL!$C$15, $D$11, 100%, $F$11)</f>
        <v>19.855599999999999</v>
      </c>
      <c r="H681" s="4">
        <f>CHOOSE( CONTROL!$C$32, 20.7528, 20.748) * CHOOSE(CONTROL!$C$15, $D$11, 100%, $F$11)</f>
        <v>20.752800000000001</v>
      </c>
      <c r="I681" s="8">
        <f>CHOOSE( CONTROL!$C$32, 19.5725, 19.5678) * CHOOSE(CONTROL!$C$15, $D$11, 100%, $F$11)</f>
        <v>19.572500000000002</v>
      </c>
      <c r="J681" s="4">
        <f>CHOOSE( CONTROL!$C$32, 19.5361, 19.5313) * CHOOSE(CONTROL!$C$15, $D$11, 100%, $F$11)</f>
        <v>19.536100000000001</v>
      </c>
      <c r="K681" s="4"/>
      <c r="L681" s="9">
        <v>29.520499999999998</v>
      </c>
      <c r="M681" s="9">
        <v>12.063700000000001</v>
      </c>
      <c r="N681" s="9">
        <v>4.9444999999999997</v>
      </c>
      <c r="O681" s="9">
        <v>0.37459999999999999</v>
      </c>
      <c r="P681" s="9">
        <v>1.2192000000000001</v>
      </c>
      <c r="Q681" s="9">
        <v>19.688099999999999</v>
      </c>
      <c r="R681" s="9"/>
      <c r="S681" s="11"/>
    </row>
    <row r="682" spans="1:19" ht="15.75">
      <c r="A682" s="13">
        <v>62639</v>
      </c>
      <c r="B682" s="8">
        <f>CHOOSE( CONTROL!$C$32, 20.0656, 20.0606) * CHOOSE(CONTROL!$C$15, $D$11, 100%, $F$11)</f>
        <v>20.0656</v>
      </c>
      <c r="C682" s="8">
        <f>CHOOSE( CONTROL!$C$32, 20.076, 20.0711) * CHOOSE(CONTROL!$C$15, $D$11, 100%, $F$11)</f>
        <v>20.076000000000001</v>
      </c>
      <c r="D682" s="8">
        <f>CHOOSE( CONTROL!$C$32, 20.0681, 20.0632) * CHOOSE( CONTROL!$C$15, $D$11, 100%, $F$11)</f>
        <v>20.068100000000001</v>
      </c>
      <c r="E682" s="12">
        <f>CHOOSE( CONTROL!$C$32, 20.0694, 20.0645) * CHOOSE( CONTROL!$C$15, $D$11, 100%, $F$11)</f>
        <v>20.069400000000002</v>
      </c>
      <c r="F682" s="4">
        <f>CHOOSE( CONTROL!$C$32, 21.0598, 21.0548) * CHOOSE(CONTROL!$C$15, $D$11, 100%, $F$11)</f>
        <v>21.059799999999999</v>
      </c>
      <c r="G682" s="8">
        <f>CHOOSE( CONTROL!$C$32, 19.5466, 19.5418) * CHOOSE( CONTROL!$C$15, $D$11, 100%, $F$11)</f>
        <v>19.546600000000002</v>
      </c>
      <c r="H682" s="4">
        <f>CHOOSE( CONTROL!$C$32, 20.4522, 20.4474) * CHOOSE(CONTROL!$C$15, $D$11, 100%, $F$11)</f>
        <v>20.452200000000001</v>
      </c>
      <c r="I682" s="8">
        <f>CHOOSE( CONTROL!$C$32, 19.2762, 19.2715) * CHOOSE(CONTROL!$C$15, $D$11, 100%, $F$11)</f>
        <v>19.276199999999999</v>
      </c>
      <c r="J682" s="4">
        <f>CHOOSE( CONTROL!$C$32, 19.2221, 19.2173) * CHOOSE(CONTROL!$C$15, $D$11, 100%, $F$11)</f>
        <v>19.222100000000001</v>
      </c>
      <c r="K682" s="4"/>
      <c r="L682" s="9">
        <v>28.568200000000001</v>
      </c>
      <c r="M682" s="9">
        <v>11.6745</v>
      </c>
      <c r="N682" s="9">
        <v>4.7850000000000001</v>
      </c>
      <c r="O682" s="9">
        <v>0.36249999999999999</v>
      </c>
      <c r="P682" s="9">
        <v>1.1798</v>
      </c>
      <c r="Q682" s="9">
        <v>19.053000000000001</v>
      </c>
      <c r="R682" s="9"/>
      <c r="S682" s="11"/>
    </row>
    <row r="683" spans="1:19" ht="15.75">
      <c r="A683" s="13">
        <v>62670</v>
      </c>
      <c r="B683" s="8">
        <f>CHOOSE( CONTROL!$C$32, 20.9286, 20.9236) * CHOOSE(CONTROL!$C$15, $D$11, 100%, $F$11)</f>
        <v>20.928599999999999</v>
      </c>
      <c r="C683" s="8">
        <f>CHOOSE( CONTROL!$C$32, 20.939, 20.9341) * CHOOSE(CONTROL!$C$15, $D$11, 100%, $F$11)</f>
        <v>20.939</v>
      </c>
      <c r="D683" s="8">
        <f>CHOOSE( CONTROL!$C$32, 20.938, 20.9331) * CHOOSE( CONTROL!$C$15, $D$11, 100%, $F$11)</f>
        <v>20.937999999999999</v>
      </c>
      <c r="E683" s="12">
        <f>CHOOSE( CONTROL!$C$32, 20.9368, 20.9319) * CHOOSE( CONTROL!$C$15, $D$11, 100%, $F$11)</f>
        <v>20.936800000000002</v>
      </c>
      <c r="F683" s="4">
        <f>CHOOSE( CONTROL!$C$32, 21.9332, 21.9283) * CHOOSE(CONTROL!$C$15, $D$11, 100%, $F$11)</f>
        <v>21.933199999999999</v>
      </c>
      <c r="G683" s="8">
        <f>CHOOSE( CONTROL!$C$32, 20.3919, 20.3871) * CHOOSE( CONTROL!$C$15, $D$11, 100%, $F$11)</f>
        <v>20.3919</v>
      </c>
      <c r="H683" s="4">
        <f>CHOOSE( CONTROL!$C$32, 21.3036, 21.2988) * CHOOSE(CONTROL!$C$15, $D$11, 100%, $F$11)</f>
        <v>21.303599999999999</v>
      </c>
      <c r="I683" s="8">
        <f>CHOOSE( CONTROL!$C$32, 20.1112, 20.1064) * CHOOSE(CONTROL!$C$15, $D$11, 100%, $F$11)</f>
        <v>20.1112</v>
      </c>
      <c r="J683" s="4">
        <f>CHOOSE( CONTROL!$C$32, 20.049, 20.0443) * CHOOSE(CONTROL!$C$15, $D$11, 100%, $F$11)</f>
        <v>20.048999999999999</v>
      </c>
      <c r="K683" s="4"/>
      <c r="L683" s="9">
        <v>29.520499999999998</v>
      </c>
      <c r="M683" s="9">
        <v>12.063700000000001</v>
      </c>
      <c r="N683" s="9">
        <v>4.9444999999999997</v>
      </c>
      <c r="O683" s="9">
        <v>0.37459999999999999</v>
      </c>
      <c r="P683" s="9">
        <v>1.2192000000000001</v>
      </c>
      <c r="Q683" s="9">
        <v>19.688099999999999</v>
      </c>
      <c r="R683" s="9"/>
      <c r="S683" s="11"/>
    </row>
    <row r="684" spans="1:19" ht="15.75">
      <c r="A684" s="13">
        <v>62701</v>
      </c>
      <c r="B684" s="8">
        <f>CHOOSE( CONTROL!$C$32, 19.3138, 19.3089) * CHOOSE(CONTROL!$C$15, $D$11, 100%, $F$11)</f>
        <v>19.313800000000001</v>
      </c>
      <c r="C684" s="8">
        <f>CHOOSE( CONTROL!$C$32, 19.3242, 19.3193) * CHOOSE(CONTROL!$C$15, $D$11, 100%, $F$11)</f>
        <v>19.324200000000001</v>
      </c>
      <c r="D684" s="8">
        <f>CHOOSE( CONTROL!$C$32, 19.3244, 19.3195) * CHOOSE( CONTROL!$C$15, $D$11, 100%, $F$11)</f>
        <v>19.324400000000001</v>
      </c>
      <c r="E684" s="12">
        <f>CHOOSE( CONTROL!$C$32, 19.3227, 19.3178) * CHOOSE( CONTROL!$C$15, $D$11, 100%, $F$11)</f>
        <v>19.322700000000001</v>
      </c>
      <c r="F684" s="4">
        <f>CHOOSE( CONTROL!$C$32, 20.3263, 20.3213) * CHOOSE(CONTROL!$C$15, $D$11, 100%, $F$11)</f>
        <v>20.3263</v>
      </c>
      <c r="G684" s="8">
        <f>CHOOSE( CONTROL!$C$32, 18.813, 18.8082) * CHOOSE( CONTROL!$C$15, $D$11, 100%, $F$11)</f>
        <v>18.812999999999999</v>
      </c>
      <c r="H684" s="4">
        <f>CHOOSE( CONTROL!$C$32, 19.7372, 19.7324) * CHOOSE(CONTROL!$C$15, $D$11, 100%, $F$11)</f>
        <v>19.737200000000001</v>
      </c>
      <c r="I684" s="8">
        <f>CHOOSE( CONTROL!$C$32, 18.5541, 18.5494) * CHOOSE(CONTROL!$C$15, $D$11, 100%, $F$11)</f>
        <v>18.554099999999998</v>
      </c>
      <c r="J684" s="4">
        <f>CHOOSE( CONTROL!$C$32, 18.5017, 18.497) * CHOOSE(CONTROL!$C$15, $D$11, 100%, $F$11)</f>
        <v>18.5017</v>
      </c>
      <c r="K684" s="4"/>
      <c r="L684" s="9">
        <v>29.520499999999998</v>
      </c>
      <c r="M684" s="9">
        <v>12.063700000000001</v>
      </c>
      <c r="N684" s="9">
        <v>4.9444999999999997</v>
      </c>
      <c r="O684" s="9">
        <v>0.37459999999999999</v>
      </c>
      <c r="P684" s="9">
        <v>1.2192000000000001</v>
      </c>
      <c r="Q684" s="9">
        <v>19.688099999999999</v>
      </c>
      <c r="R684" s="9"/>
      <c r="S684" s="11"/>
    </row>
    <row r="685" spans="1:19" ht="15.75">
      <c r="A685" s="13">
        <v>62731</v>
      </c>
      <c r="B685" s="8">
        <f>CHOOSE( CONTROL!$C$32, 18.9094, 18.9045) * CHOOSE(CONTROL!$C$15, $D$11, 100%, $F$11)</f>
        <v>18.909400000000002</v>
      </c>
      <c r="C685" s="8">
        <f>CHOOSE( CONTROL!$C$32, 18.9199, 18.9149) * CHOOSE(CONTROL!$C$15, $D$11, 100%, $F$11)</f>
        <v>18.919899999999998</v>
      </c>
      <c r="D685" s="8">
        <f>CHOOSE( CONTROL!$C$32, 18.9203, 18.9154) * CHOOSE( CONTROL!$C$15, $D$11, 100%, $F$11)</f>
        <v>18.920300000000001</v>
      </c>
      <c r="E685" s="12">
        <f>CHOOSE( CONTROL!$C$32, 18.9186, 18.9136) * CHOOSE( CONTROL!$C$15, $D$11, 100%, $F$11)</f>
        <v>18.918600000000001</v>
      </c>
      <c r="F685" s="4">
        <f>CHOOSE( CONTROL!$C$32, 19.9219, 19.917) * CHOOSE(CONTROL!$C$15, $D$11, 100%, $F$11)</f>
        <v>19.921900000000001</v>
      </c>
      <c r="G685" s="8">
        <f>CHOOSE( CONTROL!$C$32, 18.4193, 18.4145) * CHOOSE( CONTROL!$C$15, $D$11, 100%, $F$11)</f>
        <v>18.4193</v>
      </c>
      <c r="H685" s="4">
        <f>CHOOSE( CONTROL!$C$32, 19.3431, 19.3382) * CHOOSE(CONTROL!$C$15, $D$11, 100%, $F$11)</f>
        <v>19.3431</v>
      </c>
      <c r="I685" s="8">
        <f>CHOOSE( CONTROL!$C$32, 18.1679, 18.1631) * CHOOSE(CONTROL!$C$15, $D$11, 100%, $F$11)</f>
        <v>18.167899999999999</v>
      </c>
      <c r="J685" s="4">
        <f>CHOOSE( CONTROL!$C$32, 18.1143, 18.1095) * CHOOSE(CONTROL!$C$15, $D$11, 100%, $F$11)</f>
        <v>18.1143</v>
      </c>
      <c r="K685" s="4"/>
      <c r="L685" s="9">
        <v>28.568200000000001</v>
      </c>
      <c r="M685" s="9">
        <v>11.6745</v>
      </c>
      <c r="N685" s="9">
        <v>4.7850000000000001</v>
      </c>
      <c r="O685" s="9">
        <v>0.36249999999999999</v>
      </c>
      <c r="P685" s="9">
        <v>1.1798</v>
      </c>
      <c r="Q685" s="9">
        <v>19.053000000000001</v>
      </c>
      <c r="R685" s="9"/>
      <c r="S685" s="11"/>
    </row>
    <row r="686" spans="1:19" ht="15.75">
      <c r="A686" s="13">
        <v>62762</v>
      </c>
      <c r="B686" s="8">
        <f>19.7441 * CHOOSE(CONTROL!$C$15, $D$11, 100%, $F$11)</f>
        <v>19.7441</v>
      </c>
      <c r="C686" s="8">
        <f>19.7545 * CHOOSE(CONTROL!$C$15, $D$11, 100%, $F$11)</f>
        <v>19.7545</v>
      </c>
      <c r="D686" s="8">
        <f>19.7562 * CHOOSE( CONTROL!$C$15, $D$11, 100%, $F$11)</f>
        <v>19.7562</v>
      </c>
      <c r="E686" s="12">
        <f>19.7545 * CHOOSE( CONTROL!$C$15, $D$11, 100%, $F$11)</f>
        <v>19.7545</v>
      </c>
      <c r="F686" s="4">
        <f>20.7566 * CHOOSE(CONTROL!$C$15, $D$11, 100%, $F$11)</f>
        <v>20.756599999999999</v>
      </c>
      <c r="G686" s="8">
        <f>19.2326 * CHOOSE( CONTROL!$C$15, $D$11, 100%, $F$11)</f>
        <v>19.232600000000001</v>
      </c>
      <c r="H686" s="4">
        <f>20.1566 * CHOOSE(CONTROL!$C$15, $D$11, 100%, $F$11)</f>
        <v>20.156600000000001</v>
      </c>
      <c r="I686" s="8">
        <f>18.9703 * CHOOSE(CONTROL!$C$15, $D$11, 100%, $F$11)</f>
        <v>18.970300000000002</v>
      </c>
      <c r="J686" s="4">
        <f>18.914 * CHOOSE(CONTROL!$C$15, $D$11, 100%, $F$11)</f>
        <v>18.914000000000001</v>
      </c>
      <c r="K686" s="4"/>
      <c r="L686" s="9">
        <v>28.921800000000001</v>
      </c>
      <c r="M686" s="9">
        <v>12.063700000000001</v>
      </c>
      <c r="N686" s="9">
        <v>4.9444999999999997</v>
      </c>
      <c r="O686" s="9">
        <v>0.37459999999999999</v>
      </c>
      <c r="P686" s="9">
        <v>1.2192000000000001</v>
      </c>
      <c r="Q686" s="9">
        <v>19.688099999999999</v>
      </c>
      <c r="R686" s="9"/>
      <c r="S686" s="11"/>
    </row>
    <row r="687" spans="1:19" ht="15.75">
      <c r="A687" s="13">
        <v>62792</v>
      </c>
      <c r="B687" s="8">
        <f>21.2938 * CHOOSE(CONTROL!$C$15, $D$11, 100%, $F$11)</f>
        <v>21.293800000000001</v>
      </c>
      <c r="C687" s="8">
        <f>21.3042 * CHOOSE(CONTROL!$C$15, $D$11, 100%, $F$11)</f>
        <v>21.304200000000002</v>
      </c>
      <c r="D687" s="8">
        <f>21.2853 * CHOOSE( CONTROL!$C$15, $D$11, 100%, $F$11)</f>
        <v>21.285299999999999</v>
      </c>
      <c r="E687" s="12">
        <f>21.2911 * CHOOSE( CONTROL!$C$15, $D$11, 100%, $F$11)</f>
        <v>21.2911</v>
      </c>
      <c r="F687" s="4">
        <f>22.2906 * CHOOSE(CONTROL!$C$15, $D$11, 100%, $F$11)</f>
        <v>22.290600000000001</v>
      </c>
      <c r="G687" s="8">
        <f>20.7661 * CHOOSE( CONTROL!$C$15, $D$11, 100%, $F$11)</f>
        <v>20.766100000000002</v>
      </c>
      <c r="H687" s="4">
        <f>21.652 * CHOOSE(CONTROL!$C$15, $D$11, 100%, $F$11)</f>
        <v>21.652000000000001</v>
      </c>
      <c r="I687" s="8">
        <f>20.5025 * CHOOSE(CONTROL!$C$15, $D$11, 100%, $F$11)</f>
        <v>20.502500000000001</v>
      </c>
      <c r="J687" s="4">
        <f>20.3989 * CHOOSE(CONTROL!$C$15, $D$11, 100%, $F$11)</f>
        <v>20.398900000000001</v>
      </c>
      <c r="K687" s="4"/>
      <c r="L687" s="9">
        <v>26.515499999999999</v>
      </c>
      <c r="M687" s="9">
        <v>11.6745</v>
      </c>
      <c r="N687" s="9">
        <v>4.7850000000000001</v>
      </c>
      <c r="O687" s="9">
        <v>0.36249999999999999</v>
      </c>
      <c r="P687" s="9">
        <v>1.2522</v>
      </c>
      <c r="Q687" s="9">
        <v>19.053000000000001</v>
      </c>
      <c r="R687" s="9"/>
      <c r="S687" s="11"/>
    </row>
    <row r="688" spans="1:19" ht="15.75">
      <c r="A688" s="13">
        <v>62823</v>
      </c>
      <c r="B688" s="8">
        <f>21.2551 * CHOOSE(CONTROL!$C$15, $D$11, 100%, $F$11)</f>
        <v>21.255099999999999</v>
      </c>
      <c r="C688" s="8">
        <f>21.2655 * CHOOSE(CONTROL!$C$15, $D$11, 100%, $F$11)</f>
        <v>21.265499999999999</v>
      </c>
      <c r="D688" s="8">
        <f>21.2491 * CHOOSE( CONTROL!$C$15, $D$11, 100%, $F$11)</f>
        <v>21.249099999999999</v>
      </c>
      <c r="E688" s="12">
        <f>21.254 * CHOOSE( CONTROL!$C$15, $D$11, 100%, $F$11)</f>
        <v>21.254000000000001</v>
      </c>
      <c r="F688" s="4">
        <f>22.2519 * CHOOSE(CONTROL!$C$15, $D$11, 100%, $F$11)</f>
        <v>22.251899999999999</v>
      </c>
      <c r="G688" s="8">
        <f>20.7303 * CHOOSE( CONTROL!$C$15, $D$11, 100%, $F$11)</f>
        <v>20.7303</v>
      </c>
      <c r="H688" s="4">
        <f>21.6142 * CHOOSE(CONTROL!$C$15, $D$11, 100%, $F$11)</f>
        <v>21.6142</v>
      </c>
      <c r="I688" s="8">
        <f>20.4741 * CHOOSE(CONTROL!$C$15, $D$11, 100%, $F$11)</f>
        <v>20.4741</v>
      </c>
      <c r="J688" s="4">
        <f>20.3618 * CHOOSE(CONTROL!$C$15, $D$11, 100%, $F$11)</f>
        <v>20.361799999999999</v>
      </c>
      <c r="K688" s="4"/>
      <c r="L688" s="9">
        <v>27.3993</v>
      </c>
      <c r="M688" s="9">
        <v>12.063700000000001</v>
      </c>
      <c r="N688" s="9">
        <v>4.9444999999999997</v>
      </c>
      <c r="O688" s="9">
        <v>0.37459999999999999</v>
      </c>
      <c r="P688" s="9">
        <v>1.2939000000000001</v>
      </c>
      <c r="Q688" s="9">
        <v>19.688099999999999</v>
      </c>
      <c r="R688" s="9"/>
      <c r="S688" s="11"/>
    </row>
    <row r="689" spans="1:19" ht="15.75">
      <c r="A689" s="13">
        <v>62854</v>
      </c>
      <c r="B689" s="8">
        <f>22.0672 * CHOOSE(CONTROL!$C$15, $D$11, 100%, $F$11)</f>
        <v>22.0672</v>
      </c>
      <c r="C689" s="8">
        <f>22.0777 * CHOOSE(CONTROL!$C$15, $D$11, 100%, $F$11)</f>
        <v>22.0777</v>
      </c>
      <c r="D689" s="8">
        <f>22.0762 * CHOOSE( CONTROL!$C$15, $D$11, 100%, $F$11)</f>
        <v>22.0762</v>
      </c>
      <c r="E689" s="12">
        <f>22.0756 * CHOOSE( CONTROL!$C$15, $D$11, 100%, $F$11)</f>
        <v>22.075600000000001</v>
      </c>
      <c r="F689" s="4">
        <f>23.0901 * CHOOSE(CONTROL!$C$15, $D$11, 100%, $F$11)</f>
        <v>23.0901</v>
      </c>
      <c r="G689" s="8">
        <f>21.5389 * CHOOSE( CONTROL!$C$15, $D$11, 100%, $F$11)</f>
        <v>21.538900000000002</v>
      </c>
      <c r="H689" s="4">
        <f>22.4314 * CHOOSE(CONTROL!$C$15, $D$11, 100%, $F$11)</f>
        <v>22.4314</v>
      </c>
      <c r="I689" s="8">
        <f>21.2592 * CHOOSE(CONTROL!$C$15, $D$11, 100%, $F$11)</f>
        <v>21.2592</v>
      </c>
      <c r="J689" s="4">
        <f>21.1401 * CHOOSE(CONTROL!$C$15, $D$11, 100%, $F$11)</f>
        <v>21.1401</v>
      </c>
      <c r="K689" s="4"/>
      <c r="L689" s="9">
        <v>27.3993</v>
      </c>
      <c r="M689" s="9">
        <v>12.063700000000001</v>
      </c>
      <c r="N689" s="9">
        <v>4.9444999999999997</v>
      </c>
      <c r="O689" s="9">
        <v>0.37459999999999999</v>
      </c>
      <c r="P689" s="9">
        <v>1.2939000000000001</v>
      </c>
      <c r="Q689" s="9">
        <v>19.688099999999999</v>
      </c>
      <c r="R689" s="9"/>
      <c r="S689" s="11"/>
    </row>
    <row r="690" spans="1:19" ht="15.75">
      <c r="A690" s="13">
        <v>62883</v>
      </c>
      <c r="B690" s="8">
        <f>20.6409 * CHOOSE(CONTROL!$C$15, $D$11, 100%, $F$11)</f>
        <v>20.640899999999998</v>
      </c>
      <c r="C690" s="8">
        <f>20.6514 * CHOOSE(CONTROL!$C$15, $D$11, 100%, $F$11)</f>
        <v>20.651399999999999</v>
      </c>
      <c r="D690" s="8">
        <f>20.6522 * CHOOSE( CONTROL!$C$15, $D$11, 100%, $F$11)</f>
        <v>20.652200000000001</v>
      </c>
      <c r="E690" s="12">
        <f>20.6508 * CHOOSE( CONTROL!$C$15, $D$11, 100%, $F$11)</f>
        <v>20.6508</v>
      </c>
      <c r="F690" s="4">
        <f>21.656 * CHOOSE(CONTROL!$C$15, $D$11, 100%, $F$11)</f>
        <v>21.655999999999999</v>
      </c>
      <c r="G690" s="8">
        <f>20.1483 * CHOOSE( CONTROL!$C$15, $D$11, 100%, $F$11)</f>
        <v>20.148299999999999</v>
      </c>
      <c r="H690" s="4">
        <f>21.0334 * CHOOSE(CONTROL!$C$15, $D$11, 100%, $F$11)</f>
        <v>21.0334</v>
      </c>
      <c r="I690" s="8">
        <f>19.8809 * CHOOSE(CONTROL!$C$15, $D$11, 100%, $F$11)</f>
        <v>19.8809</v>
      </c>
      <c r="J690" s="4">
        <f>19.7734 * CHOOSE(CONTROL!$C$15, $D$11, 100%, $F$11)</f>
        <v>19.773399999999999</v>
      </c>
      <c r="K690" s="4"/>
      <c r="L690" s="9">
        <v>25.631599999999999</v>
      </c>
      <c r="M690" s="9">
        <v>11.285299999999999</v>
      </c>
      <c r="N690" s="9">
        <v>4.6254999999999997</v>
      </c>
      <c r="O690" s="9">
        <v>0.35039999999999999</v>
      </c>
      <c r="P690" s="9">
        <v>1.2104999999999999</v>
      </c>
      <c r="Q690" s="9">
        <v>18.417899999999999</v>
      </c>
      <c r="R690" s="9"/>
      <c r="S690" s="11"/>
    </row>
    <row r="691" spans="1:19" ht="15.75">
      <c r="A691" s="13">
        <v>62914</v>
      </c>
      <c r="B691" s="8">
        <f>20.2016 * CHOOSE(CONTROL!$C$15, $D$11, 100%, $F$11)</f>
        <v>20.201599999999999</v>
      </c>
      <c r="C691" s="8">
        <f>20.2121 * CHOOSE(CONTROL!$C$15, $D$11, 100%, $F$11)</f>
        <v>20.2121</v>
      </c>
      <c r="D691" s="8">
        <f>20.1926 * CHOOSE( CONTROL!$C$15, $D$11, 100%, $F$11)</f>
        <v>20.192599999999999</v>
      </c>
      <c r="E691" s="12">
        <f>20.1986 * CHOOSE( CONTROL!$C$15, $D$11, 100%, $F$11)</f>
        <v>20.198599999999999</v>
      </c>
      <c r="F691" s="4">
        <f>21.2006 * CHOOSE(CONTROL!$C$15, $D$11, 100%, $F$11)</f>
        <v>21.200600000000001</v>
      </c>
      <c r="G691" s="8">
        <f>19.6995 * CHOOSE( CONTROL!$C$15, $D$11, 100%, $F$11)</f>
        <v>19.6995</v>
      </c>
      <c r="H691" s="4">
        <f>20.5894 * CHOOSE(CONTROL!$C$15, $D$11, 100%, $F$11)</f>
        <v>20.589400000000001</v>
      </c>
      <c r="I691" s="8">
        <f>19.4203 * CHOOSE(CONTROL!$C$15, $D$11, 100%, $F$11)</f>
        <v>19.420300000000001</v>
      </c>
      <c r="J691" s="4">
        <f>19.3525 * CHOOSE(CONTROL!$C$15, $D$11, 100%, $F$11)</f>
        <v>19.352499999999999</v>
      </c>
      <c r="K691" s="4"/>
      <c r="L691" s="9">
        <v>27.3993</v>
      </c>
      <c r="M691" s="9">
        <v>12.063700000000001</v>
      </c>
      <c r="N691" s="9">
        <v>4.9444999999999997</v>
      </c>
      <c r="O691" s="9">
        <v>0.37459999999999999</v>
      </c>
      <c r="P691" s="9">
        <v>1.2939000000000001</v>
      </c>
      <c r="Q691" s="9">
        <v>19.688099999999999</v>
      </c>
      <c r="R691" s="9"/>
      <c r="S691" s="11"/>
    </row>
    <row r="692" spans="1:19" ht="15.75">
      <c r="A692" s="13">
        <v>62944</v>
      </c>
      <c r="B692" s="8">
        <f>20.5086 * CHOOSE(CONTROL!$C$15, $D$11, 100%, $F$11)</f>
        <v>20.508600000000001</v>
      </c>
      <c r="C692" s="8">
        <f>20.5191 * CHOOSE(CONTROL!$C$15, $D$11, 100%, $F$11)</f>
        <v>20.519100000000002</v>
      </c>
      <c r="D692" s="8">
        <f>20.5229 * CHOOSE( CONTROL!$C$15, $D$11, 100%, $F$11)</f>
        <v>20.5229</v>
      </c>
      <c r="E692" s="12">
        <f>20.5204 * CHOOSE( CONTROL!$C$15, $D$11, 100%, $F$11)</f>
        <v>20.520399999999999</v>
      </c>
      <c r="F692" s="4">
        <f>21.5159 * CHOOSE(CONTROL!$C$15, $D$11, 100%, $F$11)</f>
        <v>21.515899999999998</v>
      </c>
      <c r="G692" s="8">
        <f>19.9866 * CHOOSE( CONTROL!$C$15, $D$11, 100%, $F$11)</f>
        <v>19.986599999999999</v>
      </c>
      <c r="H692" s="4">
        <f>20.8968 * CHOOSE(CONTROL!$C$15, $D$11, 100%, $F$11)</f>
        <v>20.896799999999999</v>
      </c>
      <c r="I692" s="8">
        <f>19.7047 * CHOOSE(CONTROL!$C$15, $D$11, 100%, $F$11)</f>
        <v>19.704699999999999</v>
      </c>
      <c r="J692" s="4">
        <f>19.6466 * CHOOSE(CONTROL!$C$15, $D$11, 100%, $F$11)</f>
        <v>19.646599999999999</v>
      </c>
      <c r="K692" s="4"/>
      <c r="L692" s="9">
        <v>27.988800000000001</v>
      </c>
      <c r="M692" s="9">
        <v>11.6745</v>
      </c>
      <c r="N692" s="9">
        <v>4.7850000000000001</v>
      </c>
      <c r="O692" s="9">
        <v>0.36249999999999999</v>
      </c>
      <c r="P692" s="9">
        <v>1.1798</v>
      </c>
      <c r="Q692" s="9">
        <v>19.053000000000001</v>
      </c>
      <c r="R692" s="9"/>
      <c r="S692" s="11"/>
    </row>
    <row r="693" spans="1:19" ht="15.75">
      <c r="A693" s="13">
        <v>62975</v>
      </c>
      <c r="B693" s="8">
        <f>CHOOSE( CONTROL!$C$32, 21.0599, 21.0549) * CHOOSE(CONTROL!$C$15, $D$11, 100%, $F$11)</f>
        <v>21.059899999999999</v>
      </c>
      <c r="C693" s="8">
        <f>CHOOSE( CONTROL!$C$32, 21.0703, 21.0654) * CHOOSE(CONTROL!$C$15, $D$11, 100%, $F$11)</f>
        <v>21.0703</v>
      </c>
      <c r="D693" s="8">
        <f>CHOOSE( CONTROL!$C$32, 21.049, 21.044) * CHOOSE( CONTROL!$C$15, $D$11, 100%, $F$11)</f>
        <v>21.048999999999999</v>
      </c>
      <c r="E693" s="12">
        <f>CHOOSE( CONTROL!$C$32, 21.0551, 21.0502) * CHOOSE( CONTROL!$C$15, $D$11, 100%, $F$11)</f>
        <v>21.055099999999999</v>
      </c>
      <c r="F693" s="4">
        <f>CHOOSE( CONTROL!$C$32, 22.0348, 22.0298) * CHOOSE(CONTROL!$C$15, $D$11, 100%, $F$11)</f>
        <v>22.034800000000001</v>
      </c>
      <c r="G693" s="8">
        <f>CHOOSE( CONTROL!$C$32, 20.5054, 20.5006) * CHOOSE( CONTROL!$C$15, $D$11, 100%, $F$11)</f>
        <v>20.505400000000002</v>
      </c>
      <c r="H693" s="4">
        <f>CHOOSE( CONTROL!$C$32, 21.4026, 21.3978) * CHOOSE(CONTROL!$C$15, $D$11, 100%, $F$11)</f>
        <v>21.4026</v>
      </c>
      <c r="I693" s="8">
        <f>CHOOSE( CONTROL!$C$32, 20.2116, 20.2069) * CHOOSE(CONTROL!$C$15, $D$11, 100%, $F$11)</f>
        <v>20.211600000000001</v>
      </c>
      <c r="J693" s="4">
        <f>CHOOSE( CONTROL!$C$32, 20.1748, 20.1701) * CHOOSE(CONTROL!$C$15, $D$11, 100%, $F$11)</f>
        <v>20.174800000000001</v>
      </c>
      <c r="K693" s="4"/>
      <c r="L693" s="9">
        <v>29.520499999999998</v>
      </c>
      <c r="M693" s="9">
        <v>12.063700000000001</v>
      </c>
      <c r="N693" s="9">
        <v>4.9444999999999997</v>
      </c>
      <c r="O693" s="9">
        <v>0.37459999999999999</v>
      </c>
      <c r="P693" s="9">
        <v>1.2192000000000001</v>
      </c>
      <c r="Q693" s="9">
        <v>19.688099999999999</v>
      </c>
      <c r="R693" s="9"/>
      <c r="S693" s="11"/>
    </row>
    <row r="694" spans="1:19" ht="15.75">
      <c r="A694" s="13">
        <v>63005</v>
      </c>
      <c r="B694" s="8">
        <f>CHOOSE( CONTROL!$C$32, 20.7214, 20.7165) * CHOOSE(CONTROL!$C$15, $D$11, 100%, $F$11)</f>
        <v>20.721399999999999</v>
      </c>
      <c r="C694" s="8">
        <f>CHOOSE( CONTROL!$C$32, 20.7319, 20.7269) * CHOOSE(CONTROL!$C$15, $D$11, 100%, $F$11)</f>
        <v>20.7319</v>
      </c>
      <c r="D694" s="8">
        <f>CHOOSE( CONTROL!$C$32, 20.724, 20.719) * CHOOSE( CONTROL!$C$15, $D$11, 100%, $F$11)</f>
        <v>20.724</v>
      </c>
      <c r="E694" s="12">
        <f>CHOOSE( CONTROL!$C$32, 20.7253, 20.7203) * CHOOSE( CONTROL!$C$15, $D$11, 100%, $F$11)</f>
        <v>20.725300000000001</v>
      </c>
      <c r="F694" s="4">
        <f>CHOOSE( CONTROL!$C$32, 21.7157, 21.7107) * CHOOSE(CONTROL!$C$15, $D$11, 100%, $F$11)</f>
        <v>21.715699999999998</v>
      </c>
      <c r="G694" s="8">
        <f>CHOOSE( CONTROL!$C$32, 20.1859, 20.1811) * CHOOSE( CONTROL!$C$15, $D$11, 100%, $F$11)</f>
        <v>20.1859</v>
      </c>
      <c r="H694" s="4">
        <f>CHOOSE( CONTROL!$C$32, 21.0916, 21.0867) * CHOOSE(CONTROL!$C$15, $D$11, 100%, $F$11)</f>
        <v>21.0916</v>
      </c>
      <c r="I694" s="8">
        <f>CHOOSE( CONTROL!$C$32, 19.905, 19.9003) * CHOOSE(CONTROL!$C$15, $D$11, 100%, $F$11)</f>
        <v>19.905000000000001</v>
      </c>
      <c r="J694" s="4">
        <f>CHOOSE( CONTROL!$C$32, 19.8505, 19.8458) * CHOOSE(CONTROL!$C$15, $D$11, 100%, $F$11)</f>
        <v>19.8505</v>
      </c>
      <c r="K694" s="4"/>
      <c r="L694" s="9">
        <v>28.568200000000001</v>
      </c>
      <c r="M694" s="9">
        <v>11.6745</v>
      </c>
      <c r="N694" s="9">
        <v>4.7850000000000001</v>
      </c>
      <c r="O694" s="9">
        <v>0.36249999999999999</v>
      </c>
      <c r="P694" s="9">
        <v>1.1798</v>
      </c>
      <c r="Q694" s="9">
        <v>19.053000000000001</v>
      </c>
      <c r="R694" s="9"/>
      <c r="S694" s="11"/>
    </row>
    <row r="695" spans="1:19" ht="15.75">
      <c r="A695" s="13">
        <v>63036</v>
      </c>
      <c r="B695" s="8">
        <f>CHOOSE( CONTROL!$C$32, 21.6127, 21.6077) * CHOOSE(CONTROL!$C$15, $D$11, 100%, $F$11)</f>
        <v>21.6127</v>
      </c>
      <c r="C695" s="8">
        <f>CHOOSE( CONTROL!$C$32, 21.6231, 21.6182) * CHOOSE(CONTROL!$C$15, $D$11, 100%, $F$11)</f>
        <v>21.623100000000001</v>
      </c>
      <c r="D695" s="8">
        <f>CHOOSE( CONTROL!$C$32, 21.6221, 21.6172) * CHOOSE( CONTROL!$C$15, $D$11, 100%, $F$11)</f>
        <v>21.6221</v>
      </c>
      <c r="E695" s="12">
        <f>CHOOSE( CONTROL!$C$32, 21.6209, 21.616) * CHOOSE( CONTROL!$C$15, $D$11, 100%, $F$11)</f>
        <v>21.620899999999999</v>
      </c>
      <c r="F695" s="4">
        <f>CHOOSE( CONTROL!$C$32, 22.6173, 22.6124) * CHOOSE(CONTROL!$C$15, $D$11, 100%, $F$11)</f>
        <v>22.6173</v>
      </c>
      <c r="G695" s="8">
        <f>CHOOSE( CONTROL!$C$32, 21.0588, 21.054) * CHOOSE( CONTROL!$C$15, $D$11, 100%, $F$11)</f>
        <v>21.058800000000002</v>
      </c>
      <c r="H695" s="4">
        <f>CHOOSE( CONTROL!$C$32, 21.9705, 21.9657) * CHOOSE(CONTROL!$C$15, $D$11, 100%, $F$11)</f>
        <v>21.970500000000001</v>
      </c>
      <c r="I695" s="8">
        <f>CHOOSE( CONTROL!$C$32, 20.767, 20.7623) * CHOOSE(CONTROL!$C$15, $D$11, 100%, $F$11)</f>
        <v>20.766999999999999</v>
      </c>
      <c r="J695" s="4">
        <f>CHOOSE( CONTROL!$C$32, 20.7045, 20.6998) * CHOOSE(CONTROL!$C$15, $D$11, 100%, $F$11)</f>
        <v>20.704499999999999</v>
      </c>
      <c r="K695" s="4"/>
      <c r="L695" s="9">
        <v>29.520499999999998</v>
      </c>
      <c r="M695" s="9">
        <v>12.063700000000001</v>
      </c>
      <c r="N695" s="9">
        <v>4.9444999999999997</v>
      </c>
      <c r="O695" s="9">
        <v>0.37459999999999999</v>
      </c>
      <c r="P695" s="9">
        <v>1.2192000000000001</v>
      </c>
      <c r="Q695" s="9">
        <v>19.688099999999999</v>
      </c>
      <c r="R695" s="9"/>
      <c r="S695" s="11"/>
    </row>
    <row r="696" spans="1:19" ht="15.75">
      <c r="A696" s="13">
        <v>63067</v>
      </c>
      <c r="B696" s="8">
        <f>CHOOSE( CONTROL!$C$32, 19.9451, 19.9402) * CHOOSE(CONTROL!$C$15, $D$11, 100%, $F$11)</f>
        <v>19.9451</v>
      </c>
      <c r="C696" s="8">
        <f>CHOOSE( CONTROL!$C$32, 19.9555, 19.9506) * CHOOSE(CONTROL!$C$15, $D$11, 100%, $F$11)</f>
        <v>19.955500000000001</v>
      </c>
      <c r="D696" s="8">
        <f>CHOOSE( CONTROL!$C$32, 19.9557, 19.9508) * CHOOSE( CONTROL!$C$15, $D$11, 100%, $F$11)</f>
        <v>19.9557</v>
      </c>
      <c r="E696" s="12">
        <f>CHOOSE( CONTROL!$C$32, 19.954, 19.9491) * CHOOSE( CONTROL!$C$15, $D$11, 100%, $F$11)</f>
        <v>19.954000000000001</v>
      </c>
      <c r="F696" s="4">
        <f>CHOOSE( CONTROL!$C$32, 20.9576, 20.9526) * CHOOSE(CONTROL!$C$15, $D$11, 100%, $F$11)</f>
        <v>20.957599999999999</v>
      </c>
      <c r="G696" s="8">
        <f>CHOOSE( CONTROL!$C$32, 19.4284, 19.4236) * CHOOSE( CONTROL!$C$15, $D$11, 100%, $F$11)</f>
        <v>19.4284</v>
      </c>
      <c r="H696" s="4">
        <f>CHOOSE( CONTROL!$C$32, 20.3526, 20.3478) * CHOOSE(CONTROL!$C$15, $D$11, 100%, $F$11)</f>
        <v>20.352599999999999</v>
      </c>
      <c r="I696" s="8">
        <f>CHOOSE( CONTROL!$C$32, 19.1593, 19.1546) * CHOOSE(CONTROL!$C$15, $D$11, 100%, $F$11)</f>
        <v>19.159300000000002</v>
      </c>
      <c r="J696" s="4">
        <f>CHOOSE( CONTROL!$C$32, 19.1066, 19.1019) * CHOOSE(CONTROL!$C$15, $D$11, 100%, $F$11)</f>
        <v>19.1066</v>
      </c>
      <c r="K696" s="4"/>
      <c r="L696" s="9">
        <v>29.520499999999998</v>
      </c>
      <c r="M696" s="9">
        <v>12.063700000000001</v>
      </c>
      <c r="N696" s="9">
        <v>4.9444999999999997</v>
      </c>
      <c r="O696" s="9">
        <v>0.37459999999999999</v>
      </c>
      <c r="P696" s="9">
        <v>1.2192000000000001</v>
      </c>
      <c r="Q696" s="9">
        <v>19.688099999999999</v>
      </c>
      <c r="R696" s="9"/>
      <c r="S696" s="11"/>
    </row>
    <row r="697" spans="1:19" ht="15.75">
      <c r="A697" s="13">
        <v>63097</v>
      </c>
      <c r="B697" s="8">
        <f>CHOOSE( CONTROL!$C$32, 19.5275, 19.5226) * CHOOSE(CONTROL!$C$15, $D$11, 100%, $F$11)</f>
        <v>19.5275</v>
      </c>
      <c r="C697" s="8">
        <f>CHOOSE( CONTROL!$C$32, 19.538, 19.533) * CHOOSE(CONTROL!$C$15, $D$11, 100%, $F$11)</f>
        <v>19.538</v>
      </c>
      <c r="D697" s="8">
        <f>CHOOSE( CONTROL!$C$32, 19.5384, 19.5335) * CHOOSE( CONTROL!$C$15, $D$11, 100%, $F$11)</f>
        <v>19.538399999999999</v>
      </c>
      <c r="E697" s="12">
        <f>CHOOSE( CONTROL!$C$32, 19.5367, 19.5317) * CHOOSE( CONTROL!$C$15, $D$11, 100%, $F$11)</f>
        <v>19.5367</v>
      </c>
      <c r="F697" s="4">
        <f>CHOOSE( CONTROL!$C$32, 20.54, 20.5351) * CHOOSE(CONTROL!$C$15, $D$11, 100%, $F$11)</f>
        <v>20.54</v>
      </c>
      <c r="G697" s="8">
        <f>CHOOSE( CONTROL!$C$32, 19.0218, 19.017) * CHOOSE( CONTROL!$C$15, $D$11, 100%, $F$11)</f>
        <v>19.021799999999999</v>
      </c>
      <c r="H697" s="4">
        <f>CHOOSE( CONTROL!$C$32, 19.9455, 19.9407) * CHOOSE(CONTROL!$C$15, $D$11, 100%, $F$11)</f>
        <v>19.945499999999999</v>
      </c>
      <c r="I697" s="8">
        <f>CHOOSE( CONTROL!$C$32, 18.7604, 18.7557) * CHOOSE(CONTROL!$C$15, $D$11, 100%, $F$11)</f>
        <v>18.760400000000001</v>
      </c>
      <c r="J697" s="4">
        <f>CHOOSE( CONTROL!$C$32, 18.7065, 18.7018) * CHOOSE(CONTROL!$C$15, $D$11, 100%, $F$11)</f>
        <v>18.706499999999998</v>
      </c>
      <c r="K697" s="4"/>
      <c r="L697" s="9">
        <v>28.568200000000001</v>
      </c>
      <c r="M697" s="9">
        <v>11.6745</v>
      </c>
      <c r="N697" s="9">
        <v>4.7850000000000001</v>
      </c>
      <c r="O697" s="9">
        <v>0.36249999999999999</v>
      </c>
      <c r="P697" s="9">
        <v>1.1798</v>
      </c>
      <c r="Q697" s="9">
        <v>19.053000000000001</v>
      </c>
      <c r="R697" s="9"/>
      <c r="S697" s="11"/>
    </row>
    <row r="698" spans="1:19" ht="15.75">
      <c r="A698" s="13">
        <v>63128</v>
      </c>
      <c r="B698" s="8">
        <f>20.3896 * CHOOSE(CONTROL!$C$15, $D$11, 100%, $F$11)</f>
        <v>20.389600000000002</v>
      </c>
      <c r="C698" s="8">
        <f>20.4001 * CHOOSE(CONTROL!$C$15, $D$11, 100%, $F$11)</f>
        <v>20.400099999999998</v>
      </c>
      <c r="D698" s="8">
        <f>20.4017 * CHOOSE( CONTROL!$C$15, $D$11, 100%, $F$11)</f>
        <v>20.401700000000002</v>
      </c>
      <c r="E698" s="12">
        <f>20.4001 * CHOOSE( CONTROL!$C$15, $D$11, 100%, $F$11)</f>
        <v>20.400099999999998</v>
      </c>
      <c r="F698" s="4">
        <f>21.4021 * CHOOSE(CONTROL!$C$15, $D$11, 100%, $F$11)</f>
        <v>21.402100000000001</v>
      </c>
      <c r="G698" s="8">
        <f>19.8618 * CHOOSE( CONTROL!$C$15, $D$11, 100%, $F$11)</f>
        <v>19.861799999999999</v>
      </c>
      <c r="H698" s="4">
        <f>20.7859 * CHOOSE(CONTROL!$C$15, $D$11, 100%, $F$11)</f>
        <v>20.785900000000002</v>
      </c>
      <c r="I698" s="8">
        <f>19.5892 * CHOOSE(CONTROL!$C$15, $D$11, 100%, $F$11)</f>
        <v>19.589200000000002</v>
      </c>
      <c r="J698" s="4">
        <f>19.5326 * CHOOSE(CONTROL!$C$15, $D$11, 100%, $F$11)</f>
        <v>19.532599999999999</v>
      </c>
      <c r="K698" s="4"/>
      <c r="L698" s="9">
        <v>28.921800000000001</v>
      </c>
      <c r="M698" s="9">
        <v>12.063700000000001</v>
      </c>
      <c r="N698" s="9">
        <v>4.9444999999999997</v>
      </c>
      <c r="O698" s="9">
        <v>0.37459999999999999</v>
      </c>
      <c r="P698" s="9">
        <v>1.2192000000000001</v>
      </c>
      <c r="Q698" s="9">
        <v>19.688099999999999</v>
      </c>
      <c r="R698" s="9"/>
      <c r="S698" s="11"/>
    </row>
    <row r="699" spans="1:19" ht="15.75">
      <c r="A699" s="13">
        <v>63158</v>
      </c>
      <c r="B699" s="8">
        <f>21.99 * CHOOSE(CONTROL!$C$15, $D$11, 100%, $F$11)</f>
        <v>21.99</v>
      </c>
      <c r="C699" s="8">
        <f>22.0004 * CHOOSE(CONTROL!$C$15, $D$11, 100%, $F$11)</f>
        <v>22.000399999999999</v>
      </c>
      <c r="D699" s="8">
        <f>21.9815 * CHOOSE( CONTROL!$C$15, $D$11, 100%, $F$11)</f>
        <v>21.9815</v>
      </c>
      <c r="E699" s="12">
        <f>21.9873 * CHOOSE( CONTROL!$C$15, $D$11, 100%, $F$11)</f>
        <v>21.987300000000001</v>
      </c>
      <c r="F699" s="4">
        <f>22.9868 * CHOOSE(CONTROL!$C$15, $D$11, 100%, $F$11)</f>
        <v>22.986799999999999</v>
      </c>
      <c r="G699" s="8">
        <f>21.4448 * CHOOSE( CONTROL!$C$15, $D$11, 100%, $F$11)</f>
        <v>21.444800000000001</v>
      </c>
      <c r="H699" s="4">
        <f>22.3306 * CHOOSE(CONTROL!$C$15, $D$11, 100%, $F$11)</f>
        <v>22.3306</v>
      </c>
      <c r="I699" s="8">
        <f>21.1699 * CHOOSE(CONTROL!$C$15, $D$11, 100%, $F$11)</f>
        <v>21.169899999999998</v>
      </c>
      <c r="J699" s="4">
        <f>21.0661 * CHOOSE(CONTROL!$C$15, $D$11, 100%, $F$11)</f>
        <v>21.066099999999999</v>
      </c>
      <c r="K699" s="4"/>
      <c r="L699" s="9">
        <v>26.515499999999999</v>
      </c>
      <c r="M699" s="9">
        <v>11.6745</v>
      </c>
      <c r="N699" s="9">
        <v>4.7850000000000001</v>
      </c>
      <c r="O699" s="9">
        <v>0.36249999999999999</v>
      </c>
      <c r="P699" s="9">
        <v>1.2522</v>
      </c>
      <c r="Q699" s="9">
        <v>19.053000000000001</v>
      </c>
      <c r="R699" s="9"/>
      <c r="S699" s="11"/>
    </row>
    <row r="700" spans="1:19" ht="15.75">
      <c r="A700" s="13">
        <v>63189</v>
      </c>
      <c r="B700" s="8">
        <f>21.95 * CHOOSE(CONTROL!$C$15, $D$11, 100%, $F$11)</f>
        <v>21.95</v>
      </c>
      <c r="C700" s="8">
        <f>21.9605 * CHOOSE(CONTROL!$C$15, $D$11, 100%, $F$11)</f>
        <v>21.9605</v>
      </c>
      <c r="D700" s="8">
        <f>21.9441 * CHOOSE( CONTROL!$C$15, $D$11, 100%, $F$11)</f>
        <v>21.944099999999999</v>
      </c>
      <c r="E700" s="12">
        <f>21.949 * CHOOSE( CONTROL!$C$15, $D$11, 100%, $F$11)</f>
        <v>21.949000000000002</v>
      </c>
      <c r="F700" s="4">
        <f>22.9468 * CHOOSE(CONTROL!$C$15, $D$11, 100%, $F$11)</f>
        <v>22.9468</v>
      </c>
      <c r="G700" s="8">
        <f>21.4078 * CHOOSE( CONTROL!$C$15, $D$11, 100%, $F$11)</f>
        <v>21.407800000000002</v>
      </c>
      <c r="H700" s="4">
        <f>22.2917 * CHOOSE(CONTROL!$C$15, $D$11, 100%, $F$11)</f>
        <v>22.291699999999999</v>
      </c>
      <c r="I700" s="8">
        <f>21.1404 * CHOOSE(CONTROL!$C$15, $D$11, 100%, $F$11)</f>
        <v>21.1404</v>
      </c>
      <c r="J700" s="4">
        <f>21.0278 * CHOOSE(CONTROL!$C$15, $D$11, 100%, $F$11)</f>
        <v>21.027799999999999</v>
      </c>
      <c r="K700" s="4"/>
      <c r="L700" s="9">
        <v>27.3993</v>
      </c>
      <c r="M700" s="9">
        <v>12.063700000000001</v>
      </c>
      <c r="N700" s="9">
        <v>4.9444999999999997</v>
      </c>
      <c r="O700" s="9">
        <v>0.37459999999999999</v>
      </c>
      <c r="P700" s="9">
        <v>1.2939000000000001</v>
      </c>
      <c r="Q700" s="9">
        <v>19.688099999999999</v>
      </c>
      <c r="R700" s="9"/>
      <c r="S700" s="11"/>
    </row>
    <row r="701" spans="1:19" ht="15.75">
      <c r="A701" s="13">
        <v>63220</v>
      </c>
      <c r="B701" s="8">
        <f>22.7887 * CHOOSE(CONTROL!$C$15, $D$11, 100%, $F$11)</f>
        <v>22.788699999999999</v>
      </c>
      <c r="C701" s="8">
        <f>22.7992 * CHOOSE(CONTROL!$C$15, $D$11, 100%, $F$11)</f>
        <v>22.799199999999999</v>
      </c>
      <c r="D701" s="8">
        <f>22.7978 * CHOOSE( CONTROL!$C$15, $D$11, 100%, $F$11)</f>
        <v>22.797799999999999</v>
      </c>
      <c r="E701" s="12">
        <f>22.7972 * CHOOSE( CONTROL!$C$15, $D$11, 100%, $F$11)</f>
        <v>22.7972</v>
      </c>
      <c r="F701" s="4">
        <f>23.8117 * CHOOSE(CONTROL!$C$15, $D$11, 100%, $F$11)</f>
        <v>23.811699999999998</v>
      </c>
      <c r="G701" s="8">
        <f>22.2422 * CHOOSE( CONTROL!$C$15, $D$11, 100%, $F$11)</f>
        <v>22.2422</v>
      </c>
      <c r="H701" s="4">
        <f>23.1347 * CHOOSE(CONTROL!$C$15, $D$11, 100%, $F$11)</f>
        <v>23.134699999999999</v>
      </c>
      <c r="I701" s="8">
        <f>21.9509 * CHOOSE(CONTROL!$C$15, $D$11, 100%, $F$11)</f>
        <v>21.950900000000001</v>
      </c>
      <c r="J701" s="4">
        <f>21.8314 * CHOOSE(CONTROL!$C$15, $D$11, 100%, $F$11)</f>
        <v>21.831399999999999</v>
      </c>
      <c r="K701" s="4"/>
      <c r="L701" s="9">
        <v>27.3993</v>
      </c>
      <c r="M701" s="9">
        <v>12.063700000000001</v>
      </c>
      <c r="N701" s="9">
        <v>4.9444999999999997</v>
      </c>
      <c r="O701" s="9">
        <v>0.37459999999999999</v>
      </c>
      <c r="P701" s="9">
        <v>1.2939000000000001</v>
      </c>
      <c r="Q701" s="9">
        <v>19.688099999999999</v>
      </c>
      <c r="R701" s="9"/>
      <c r="S701" s="11"/>
    </row>
    <row r="702" spans="1:19" ht="15.75">
      <c r="A702" s="13">
        <v>63248</v>
      </c>
      <c r="B702" s="8">
        <f>21.3158 * CHOOSE(CONTROL!$C$15, $D$11, 100%, $F$11)</f>
        <v>21.315799999999999</v>
      </c>
      <c r="C702" s="8">
        <f>21.3262 * CHOOSE(CONTROL!$C$15, $D$11, 100%, $F$11)</f>
        <v>21.3262</v>
      </c>
      <c r="D702" s="8">
        <f>21.3271 * CHOOSE( CONTROL!$C$15, $D$11, 100%, $F$11)</f>
        <v>21.327100000000002</v>
      </c>
      <c r="E702" s="12">
        <f>21.3257 * CHOOSE( CONTROL!$C$15, $D$11, 100%, $F$11)</f>
        <v>21.325700000000001</v>
      </c>
      <c r="F702" s="4">
        <f>22.3309 * CHOOSE(CONTROL!$C$15, $D$11, 100%, $F$11)</f>
        <v>22.3309</v>
      </c>
      <c r="G702" s="8">
        <f>20.8062 * CHOOSE( CONTROL!$C$15, $D$11, 100%, $F$11)</f>
        <v>20.8062</v>
      </c>
      <c r="H702" s="4">
        <f>21.6913 * CHOOSE(CONTROL!$C$15, $D$11, 100%, $F$11)</f>
        <v>21.691299999999998</v>
      </c>
      <c r="I702" s="8">
        <f>20.5279 * CHOOSE(CONTROL!$C$15, $D$11, 100%, $F$11)</f>
        <v>20.527899999999999</v>
      </c>
      <c r="J702" s="4">
        <f>20.4201 * CHOOSE(CONTROL!$C$15, $D$11, 100%, $F$11)</f>
        <v>20.420100000000001</v>
      </c>
      <c r="K702" s="4"/>
      <c r="L702" s="9">
        <v>24.747800000000002</v>
      </c>
      <c r="M702" s="9">
        <v>10.8962</v>
      </c>
      <c r="N702" s="9">
        <v>4.4660000000000002</v>
      </c>
      <c r="O702" s="9">
        <v>0.33829999999999999</v>
      </c>
      <c r="P702" s="9">
        <v>1.1687000000000001</v>
      </c>
      <c r="Q702" s="9">
        <v>17.782800000000002</v>
      </c>
      <c r="R702" s="9"/>
      <c r="S702" s="11"/>
    </row>
    <row r="703" spans="1:19" ht="15.75">
      <c r="A703" s="13">
        <v>63279</v>
      </c>
      <c r="B703" s="8">
        <f>20.8622 * CHOOSE(CONTROL!$C$15, $D$11, 100%, $F$11)</f>
        <v>20.862200000000001</v>
      </c>
      <c r="C703" s="8">
        <f>20.8726 * CHOOSE(CONTROL!$C$15, $D$11, 100%, $F$11)</f>
        <v>20.872599999999998</v>
      </c>
      <c r="D703" s="8">
        <f>20.8531 * CHOOSE( CONTROL!$C$15, $D$11, 100%, $F$11)</f>
        <v>20.853100000000001</v>
      </c>
      <c r="E703" s="12">
        <f>20.8591 * CHOOSE( CONTROL!$C$15, $D$11, 100%, $F$11)</f>
        <v>20.859100000000002</v>
      </c>
      <c r="F703" s="4">
        <f>21.8611 * CHOOSE(CONTROL!$C$15, $D$11, 100%, $F$11)</f>
        <v>21.8611</v>
      </c>
      <c r="G703" s="8">
        <f>20.3433 * CHOOSE( CONTROL!$C$15, $D$11, 100%, $F$11)</f>
        <v>20.343299999999999</v>
      </c>
      <c r="H703" s="4">
        <f>21.2333 * CHOOSE(CONTROL!$C$15, $D$11, 100%, $F$11)</f>
        <v>21.2333</v>
      </c>
      <c r="I703" s="8">
        <f>20.0535 * CHOOSE(CONTROL!$C$15, $D$11, 100%, $F$11)</f>
        <v>20.0535</v>
      </c>
      <c r="J703" s="4">
        <f>19.9854 * CHOOSE(CONTROL!$C$15, $D$11, 100%, $F$11)</f>
        <v>19.985399999999998</v>
      </c>
      <c r="K703" s="4"/>
      <c r="L703" s="9">
        <v>27.3993</v>
      </c>
      <c r="M703" s="9">
        <v>12.063700000000001</v>
      </c>
      <c r="N703" s="9">
        <v>4.9444999999999997</v>
      </c>
      <c r="O703" s="9">
        <v>0.37459999999999999</v>
      </c>
      <c r="P703" s="9">
        <v>1.2939000000000001</v>
      </c>
      <c r="Q703" s="9">
        <v>19.688099999999999</v>
      </c>
      <c r="R703" s="9"/>
      <c r="S703" s="11"/>
    </row>
    <row r="704" spans="1:19" ht="15.75">
      <c r="A704" s="13">
        <v>63309</v>
      </c>
      <c r="B704" s="8">
        <f>21.1792 * CHOOSE(CONTROL!$C$15, $D$11, 100%, $F$11)</f>
        <v>21.179200000000002</v>
      </c>
      <c r="C704" s="8">
        <f>21.1896 * CHOOSE(CONTROL!$C$15, $D$11, 100%, $F$11)</f>
        <v>21.189599999999999</v>
      </c>
      <c r="D704" s="8">
        <f>21.1934 * CHOOSE( CONTROL!$C$15, $D$11, 100%, $F$11)</f>
        <v>21.1934</v>
      </c>
      <c r="E704" s="12">
        <f>21.191 * CHOOSE( CONTROL!$C$15, $D$11, 100%, $F$11)</f>
        <v>21.190999999999999</v>
      </c>
      <c r="F704" s="4">
        <f>22.1864 * CHOOSE(CONTROL!$C$15, $D$11, 100%, $F$11)</f>
        <v>22.186399999999999</v>
      </c>
      <c r="G704" s="8">
        <f>20.6403 * CHOOSE( CONTROL!$C$15, $D$11, 100%, $F$11)</f>
        <v>20.6403</v>
      </c>
      <c r="H704" s="4">
        <f>21.5504 * CHOOSE(CONTROL!$C$15, $D$11, 100%, $F$11)</f>
        <v>21.5504</v>
      </c>
      <c r="I704" s="8">
        <f>20.3475 * CHOOSE(CONTROL!$C$15, $D$11, 100%, $F$11)</f>
        <v>20.3475</v>
      </c>
      <c r="J704" s="4">
        <f>20.2891 * CHOOSE(CONTROL!$C$15, $D$11, 100%, $F$11)</f>
        <v>20.289100000000001</v>
      </c>
      <c r="K704" s="4"/>
      <c r="L704" s="9">
        <v>27.988800000000001</v>
      </c>
      <c r="M704" s="9">
        <v>11.6745</v>
      </c>
      <c r="N704" s="9">
        <v>4.7850000000000001</v>
      </c>
      <c r="O704" s="9">
        <v>0.36249999999999999</v>
      </c>
      <c r="P704" s="9">
        <v>1.1798</v>
      </c>
      <c r="Q704" s="9">
        <v>19.053000000000001</v>
      </c>
      <c r="R704" s="9"/>
      <c r="S704" s="11"/>
    </row>
    <row r="705" spans="1:19" ht="15.75">
      <c r="A705" s="13">
        <v>63340</v>
      </c>
      <c r="B705" s="8">
        <f>CHOOSE( CONTROL!$C$32, 21.7483, 21.7434) * CHOOSE(CONTROL!$C$15, $D$11, 100%, $F$11)</f>
        <v>21.7483</v>
      </c>
      <c r="C705" s="8">
        <f>CHOOSE( CONTROL!$C$32, 21.7587, 21.7538) * CHOOSE(CONTROL!$C$15, $D$11, 100%, $F$11)</f>
        <v>21.758700000000001</v>
      </c>
      <c r="D705" s="8">
        <f>CHOOSE( CONTROL!$C$32, 21.7374, 21.7324) * CHOOSE( CONTROL!$C$15, $D$11, 100%, $F$11)</f>
        <v>21.737400000000001</v>
      </c>
      <c r="E705" s="12">
        <f>CHOOSE( CONTROL!$C$32, 21.7435, 21.7386) * CHOOSE( CONTROL!$C$15, $D$11, 100%, $F$11)</f>
        <v>21.743500000000001</v>
      </c>
      <c r="F705" s="4">
        <f>CHOOSE( CONTROL!$C$32, 22.7232, 22.7183) * CHOOSE(CONTROL!$C$15, $D$11, 100%, $F$11)</f>
        <v>22.723199999999999</v>
      </c>
      <c r="G705" s="8">
        <f>CHOOSE( CONTROL!$C$32, 21.1764, 21.1716) * CHOOSE( CONTROL!$C$15, $D$11, 100%, $F$11)</f>
        <v>21.176400000000001</v>
      </c>
      <c r="H705" s="4">
        <f>CHOOSE( CONTROL!$C$32, 22.0737, 22.0689) * CHOOSE(CONTROL!$C$15, $D$11, 100%, $F$11)</f>
        <v>22.073699999999999</v>
      </c>
      <c r="I705" s="8">
        <f>CHOOSE( CONTROL!$C$32, 20.8716, 20.8668) * CHOOSE(CONTROL!$C$15, $D$11, 100%, $F$11)</f>
        <v>20.871600000000001</v>
      </c>
      <c r="J705" s="4">
        <f>CHOOSE( CONTROL!$C$32, 20.8345, 20.8297) * CHOOSE(CONTROL!$C$15, $D$11, 100%, $F$11)</f>
        <v>20.834499999999998</v>
      </c>
      <c r="K705" s="4"/>
      <c r="L705" s="9">
        <v>29.520499999999998</v>
      </c>
      <c r="M705" s="9">
        <v>12.063700000000001</v>
      </c>
      <c r="N705" s="9">
        <v>4.9444999999999997</v>
      </c>
      <c r="O705" s="9">
        <v>0.37459999999999999</v>
      </c>
      <c r="P705" s="9">
        <v>1.2192000000000001</v>
      </c>
      <c r="Q705" s="9">
        <v>19.688099999999999</v>
      </c>
      <c r="R705" s="9"/>
      <c r="S705" s="11"/>
    </row>
    <row r="706" spans="1:19" ht="15.75">
      <c r="A706" s="13">
        <v>63370</v>
      </c>
      <c r="B706" s="8">
        <f>CHOOSE( CONTROL!$C$32, 21.3988, 21.3939) * CHOOSE(CONTROL!$C$15, $D$11, 100%, $F$11)</f>
        <v>21.398800000000001</v>
      </c>
      <c r="C706" s="8">
        <f>CHOOSE( CONTROL!$C$32, 21.4092, 21.4043) * CHOOSE(CONTROL!$C$15, $D$11, 100%, $F$11)</f>
        <v>21.409199999999998</v>
      </c>
      <c r="D706" s="8">
        <f>CHOOSE( CONTROL!$C$32, 21.4013, 21.3964) * CHOOSE( CONTROL!$C$15, $D$11, 100%, $F$11)</f>
        <v>21.401299999999999</v>
      </c>
      <c r="E706" s="12">
        <f>CHOOSE( CONTROL!$C$32, 21.4026, 21.3977) * CHOOSE( CONTROL!$C$15, $D$11, 100%, $F$11)</f>
        <v>21.4026</v>
      </c>
      <c r="F706" s="4">
        <f>CHOOSE( CONTROL!$C$32, 22.393, 22.3881) * CHOOSE(CONTROL!$C$15, $D$11, 100%, $F$11)</f>
        <v>22.393000000000001</v>
      </c>
      <c r="G706" s="8">
        <f>CHOOSE( CONTROL!$C$32, 20.8462, 20.8414) * CHOOSE( CONTROL!$C$15, $D$11, 100%, $F$11)</f>
        <v>20.8462</v>
      </c>
      <c r="H706" s="4">
        <f>CHOOSE( CONTROL!$C$32, 21.7518, 21.747) * CHOOSE(CONTROL!$C$15, $D$11, 100%, $F$11)</f>
        <v>21.751799999999999</v>
      </c>
      <c r="I706" s="8">
        <f>CHOOSE( CONTROL!$C$32, 20.5543, 20.5496) * CHOOSE(CONTROL!$C$15, $D$11, 100%, $F$11)</f>
        <v>20.554300000000001</v>
      </c>
      <c r="J706" s="4">
        <f>CHOOSE( CONTROL!$C$32, 20.4996, 20.4948) * CHOOSE(CONTROL!$C$15, $D$11, 100%, $F$11)</f>
        <v>20.499600000000001</v>
      </c>
      <c r="K706" s="4"/>
      <c r="L706" s="9">
        <v>28.568200000000001</v>
      </c>
      <c r="M706" s="9">
        <v>11.6745</v>
      </c>
      <c r="N706" s="9">
        <v>4.7850000000000001</v>
      </c>
      <c r="O706" s="9">
        <v>0.36249999999999999</v>
      </c>
      <c r="P706" s="9">
        <v>1.1798</v>
      </c>
      <c r="Q706" s="9">
        <v>19.053000000000001</v>
      </c>
      <c r="R706" s="9"/>
      <c r="S706" s="11"/>
    </row>
    <row r="707" spans="1:19" ht="15.75">
      <c r="A707" s="13">
        <v>63401</v>
      </c>
      <c r="B707" s="8">
        <f>CHOOSE( CONTROL!$C$32, 22.3192, 22.3142) * CHOOSE(CONTROL!$C$15, $D$11, 100%, $F$11)</f>
        <v>22.319199999999999</v>
      </c>
      <c r="C707" s="8">
        <f>CHOOSE( CONTROL!$C$32, 22.3296, 22.3247) * CHOOSE(CONTROL!$C$15, $D$11, 100%, $F$11)</f>
        <v>22.329599999999999</v>
      </c>
      <c r="D707" s="8">
        <f>CHOOSE( CONTROL!$C$32, 22.3286, 22.3237) * CHOOSE( CONTROL!$C$15, $D$11, 100%, $F$11)</f>
        <v>22.328600000000002</v>
      </c>
      <c r="E707" s="12">
        <f>CHOOSE( CONTROL!$C$32, 22.3274, 22.3225) * CHOOSE( CONTROL!$C$15, $D$11, 100%, $F$11)</f>
        <v>22.327400000000001</v>
      </c>
      <c r="F707" s="4">
        <f>CHOOSE( CONTROL!$C$32, 23.3238, 23.3189) * CHOOSE(CONTROL!$C$15, $D$11, 100%, $F$11)</f>
        <v>23.323799999999999</v>
      </c>
      <c r="G707" s="8">
        <f>CHOOSE( CONTROL!$C$32, 21.7474, 21.7426) * CHOOSE( CONTROL!$C$15, $D$11, 100%, $F$11)</f>
        <v>21.747399999999999</v>
      </c>
      <c r="H707" s="4">
        <f>CHOOSE( CONTROL!$C$32, 22.6591, 22.6543) * CHOOSE(CONTROL!$C$15, $D$11, 100%, $F$11)</f>
        <v>22.659099999999999</v>
      </c>
      <c r="I707" s="8">
        <f>CHOOSE( CONTROL!$C$32, 21.4443, 21.4396) * CHOOSE(CONTROL!$C$15, $D$11, 100%, $F$11)</f>
        <v>21.444299999999998</v>
      </c>
      <c r="J707" s="4">
        <f>CHOOSE( CONTROL!$C$32, 21.3815, 21.3767) * CHOOSE(CONTROL!$C$15, $D$11, 100%, $F$11)</f>
        <v>21.381499999999999</v>
      </c>
      <c r="K707" s="4"/>
      <c r="L707" s="9">
        <v>29.520499999999998</v>
      </c>
      <c r="M707" s="9">
        <v>12.063700000000001</v>
      </c>
      <c r="N707" s="9">
        <v>4.9444999999999997</v>
      </c>
      <c r="O707" s="9">
        <v>0.37459999999999999</v>
      </c>
      <c r="P707" s="9">
        <v>1.2192000000000001</v>
      </c>
      <c r="Q707" s="9">
        <v>19.688099999999999</v>
      </c>
      <c r="R707" s="9"/>
      <c r="S707" s="11"/>
    </row>
    <row r="708" spans="1:19" ht="15.75">
      <c r="A708" s="13">
        <v>63432</v>
      </c>
      <c r="B708" s="8">
        <f>CHOOSE( CONTROL!$C$32, 20.5971, 20.5921) * CHOOSE(CONTROL!$C$15, $D$11, 100%, $F$11)</f>
        <v>20.597100000000001</v>
      </c>
      <c r="C708" s="8">
        <f>CHOOSE( CONTROL!$C$32, 20.6075, 20.6026) * CHOOSE(CONTROL!$C$15, $D$11, 100%, $F$11)</f>
        <v>20.607500000000002</v>
      </c>
      <c r="D708" s="8">
        <f>CHOOSE( CONTROL!$C$32, 20.6076, 20.6027) * CHOOSE( CONTROL!$C$15, $D$11, 100%, $F$11)</f>
        <v>20.607600000000001</v>
      </c>
      <c r="E708" s="12">
        <f>CHOOSE( CONTROL!$C$32, 20.606, 20.6011) * CHOOSE( CONTROL!$C$15, $D$11, 100%, $F$11)</f>
        <v>20.606000000000002</v>
      </c>
      <c r="F708" s="4">
        <f>CHOOSE( CONTROL!$C$32, 21.6095, 21.6046) * CHOOSE(CONTROL!$C$15, $D$11, 100%, $F$11)</f>
        <v>21.609500000000001</v>
      </c>
      <c r="G708" s="8">
        <f>CHOOSE( CONTROL!$C$32, 20.0639, 20.0591) * CHOOSE( CONTROL!$C$15, $D$11, 100%, $F$11)</f>
        <v>20.0639</v>
      </c>
      <c r="H708" s="4">
        <f>CHOOSE( CONTROL!$C$32, 20.9881, 20.9833) * CHOOSE(CONTROL!$C$15, $D$11, 100%, $F$11)</f>
        <v>20.988099999999999</v>
      </c>
      <c r="I708" s="8">
        <f>CHOOSE( CONTROL!$C$32, 19.7843, 19.7796) * CHOOSE(CONTROL!$C$15, $D$11, 100%, $F$11)</f>
        <v>19.784300000000002</v>
      </c>
      <c r="J708" s="4">
        <f>CHOOSE( CONTROL!$C$32, 19.7313, 19.7266) * CHOOSE(CONTROL!$C$15, $D$11, 100%, $F$11)</f>
        <v>19.731300000000001</v>
      </c>
      <c r="K708" s="4"/>
      <c r="L708" s="9">
        <v>29.520499999999998</v>
      </c>
      <c r="M708" s="9">
        <v>12.063700000000001</v>
      </c>
      <c r="N708" s="9">
        <v>4.9444999999999997</v>
      </c>
      <c r="O708" s="9">
        <v>0.37459999999999999</v>
      </c>
      <c r="P708" s="9">
        <v>1.2192000000000001</v>
      </c>
      <c r="Q708" s="9">
        <v>19.688099999999999</v>
      </c>
      <c r="R708" s="9"/>
      <c r="S708" s="11"/>
    </row>
    <row r="709" spans="1:19" ht="15.75">
      <c r="A709" s="13">
        <v>63462</v>
      </c>
      <c r="B709" s="8">
        <f>CHOOSE( CONTROL!$C$32, 20.1658, 20.1609) * CHOOSE(CONTROL!$C$15, $D$11, 100%, $F$11)</f>
        <v>20.165800000000001</v>
      </c>
      <c r="C709" s="8">
        <f>CHOOSE( CONTROL!$C$32, 20.1762, 20.1713) * CHOOSE(CONTROL!$C$15, $D$11, 100%, $F$11)</f>
        <v>20.176200000000001</v>
      </c>
      <c r="D709" s="8">
        <f>CHOOSE( CONTROL!$C$32, 20.1767, 20.1718) * CHOOSE( CONTROL!$C$15, $D$11, 100%, $F$11)</f>
        <v>20.1767</v>
      </c>
      <c r="E709" s="12">
        <f>CHOOSE( CONTROL!$C$32, 20.1749, 20.17) * CHOOSE( CONTROL!$C$15, $D$11, 100%, $F$11)</f>
        <v>20.174900000000001</v>
      </c>
      <c r="F709" s="4">
        <f>CHOOSE( CONTROL!$C$32, 21.1783, 21.1734) * CHOOSE(CONTROL!$C$15, $D$11, 100%, $F$11)</f>
        <v>21.1783</v>
      </c>
      <c r="G709" s="8">
        <f>CHOOSE( CONTROL!$C$32, 19.644, 19.6392) * CHOOSE( CONTROL!$C$15, $D$11, 100%, $F$11)</f>
        <v>19.643999999999998</v>
      </c>
      <c r="H709" s="4">
        <f>CHOOSE( CONTROL!$C$32, 20.5677, 20.5629) * CHOOSE(CONTROL!$C$15, $D$11, 100%, $F$11)</f>
        <v>20.567699999999999</v>
      </c>
      <c r="I709" s="8">
        <f>CHOOSE( CONTROL!$C$32, 19.3723, 19.3676) * CHOOSE(CONTROL!$C$15, $D$11, 100%, $F$11)</f>
        <v>19.372299999999999</v>
      </c>
      <c r="J709" s="4">
        <f>CHOOSE( CONTROL!$C$32, 19.3181, 19.3134) * CHOOSE(CONTROL!$C$15, $D$11, 100%, $F$11)</f>
        <v>19.318100000000001</v>
      </c>
      <c r="K709" s="4"/>
      <c r="L709" s="9">
        <v>28.568200000000001</v>
      </c>
      <c r="M709" s="9">
        <v>11.6745</v>
      </c>
      <c r="N709" s="9">
        <v>4.7850000000000001</v>
      </c>
      <c r="O709" s="9">
        <v>0.36249999999999999</v>
      </c>
      <c r="P709" s="9">
        <v>1.1798</v>
      </c>
      <c r="Q709" s="9">
        <v>19.053000000000001</v>
      </c>
      <c r="R709" s="9"/>
      <c r="S709" s="11"/>
    </row>
    <row r="710" spans="1:19" ht="15.75">
      <c r="A710" s="13">
        <v>63493</v>
      </c>
      <c r="B710" s="8">
        <f>21.0563 * CHOOSE(CONTROL!$C$15, $D$11, 100%, $F$11)</f>
        <v>21.0563</v>
      </c>
      <c r="C710" s="8">
        <f>21.0667 * CHOOSE(CONTROL!$C$15, $D$11, 100%, $F$11)</f>
        <v>21.066700000000001</v>
      </c>
      <c r="D710" s="8">
        <f>21.0684 * CHOOSE( CONTROL!$C$15, $D$11, 100%, $F$11)</f>
        <v>21.0684</v>
      </c>
      <c r="E710" s="12">
        <f>21.0667 * CHOOSE( CONTROL!$C$15, $D$11, 100%, $F$11)</f>
        <v>21.066700000000001</v>
      </c>
      <c r="F710" s="4">
        <f>22.0687 * CHOOSE(CONTROL!$C$15, $D$11, 100%, $F$11)</f>
        <v>22.0687</v>
      </c>
      <c r="G710" s="8">
        <f>20.5116 * CHOOSE( CONTROL!$C$15, $D$11, 100%, $F$11)</f>
        <v>20.511600000000001</v>
      </c>
      <c r="H710" s="4">
        <f>21.4357 * CHOOSE(CONTROL!$C$15, $D$11, 100%, $F$11)</f>
        <v>21.435700000000001</v>
      </c>
      <c r="I710" s="8">
        <f>20.2283 * CHOOSE(CONTROL!$C$15, $D$11, 100%, $F$11)</f>
        <v>20.228300000000001</v>
      </c>
      <c r="J710" s="4">
        <f>20.1714 * CHOOSE(CONTROL!$C$15, $D$11, 100%, $F$11)</f>
        <v>20.171399999999998</v>
      </c>
      <c r="K710" s="4"/>
      <c r="L710" s="9">
        <v>28.921800000000001</v>
      </c>
      <c r="M710" s="9">
        <v>12.063700000000001</v>
      </c>
      <c r="N710" s="9">
        <v>4.9444999999999997</v>
      </c>
      <c r="O710" s="9">
        <v>0.37459999999999999</v>
      </c>
      <c r="P710" s="9">
        <v>1.2192000000000001</v>
      </c>
      <c r="Q710" s="9">
        <v>19.688099999999999</v>
      </c>
      <c r="R710" s="9"/>
      <c r="S710" s="11"/>
    </row>
    <row r="711" spans="1:19" ht="15.75">
      <c r="A711" s="13">
        <v>63523</v>
      </c>
      <c r="B711" s="8">
        <f>22.709 * CHOOSE(CONTROL!$C$15, $D$11, 100%, $F$11)</f>
        <v>22.709</v>
      </c>
      <c r="C711" s="8">
        <f>22.7194 * CHOOSE(CONTROL!$C$15, $D$11, 100%, $F$11)</f>
        <v>22.7194</v>
      </c>
      <c r="D711" s="8">
        <f>22.7005 * CHOOSE( CONTROL!$C$15, $D$11, 100%, $F$11)</f>
        <v>22.700500000000002</v>
      </c>
      <c r="E711" s="12">
        <f>22.7063 * CHOOSE( CONTROL!$C$15, $D$11, 100%, $F$11)</f>
        <v>22.706299999999999</v>
      </c>
      <c r="F711" s="4">
        <f>23.7058 * CHOOSE(CONTROL!$C$15, $D$11, 100%, $F$11)</f>
        <v>23.7058</v>
      </c>
      <c r="G711" s="8">
        <f>22.1456 * CHOOSE( CONTROL!$C$15, $D$11, 100%, $F$11)</f>
        <v>22.145600000000002</v>
      </c>
      <c r="H711" s="4">
        <f>23.0315 * CHOOSE(CONTROL!$C$15, $D$11, 100%, $F$11)</f>
        <v>23.031500000000001</v>
      </c>
      <c r="I711" s="8">
        <f>21.8592 * CHOOSE(CONTROL!$C$15, $D$11, 100%, $F$11)</f>
        <v>21.859200000000001</v>
      </c>
      <c r="J711" s="4">
        <f>21.755 * CHOOSE(CONTROL!$C$15, $D$11, 100%, $F$11)</f>
        <v>21.754999999999999</v>
      </c>
      <c r="K711" s="4"/>
      <c r="L711" s="9">
        <v>26.515499999999999</v>
      </c>
      <c r="M711" s="9">
        <v>11.6745</v>
      </c>
      <c r="N711" s="9">
        <v>4.7850000000000001</v>
      </c>
      <c r="O711" s="9">
        <v>0.36249999999999999</v>
      </c>
      <c r="P711" s="9">
        <v>1.2522</v>
      </c>
      <c r="Q711" s="9">
        <v>19.053000000000001</v>
      </c>
      <c r="R711" s="9"/>
      <c r="S711" s="11"/>
    </row>
    <row r="712" spans="1:19" ht="15.75">
      <c r="A712" s="13">
        <v>63554</v>
      </c>
      <c r="B712" s="8">
        <f>22.6677 * CHOOSE(CONTROL!$C$15, $D$11, 100%, $F$11)</f>
        <v>22.6677</v>
      </c>
      <c r="C712" s="8">
        <f>22.6781 * CHOOSE(CONTROL!$C$15, $D$11, 100%, $F$11)</f>
        <v>22.678100000000001</v>
      </c>
      <c r="D712" s="8">
        <f>22.6618 * CHOOSE( CONTROL!$C$15, $D$11, 100%, $F$11)</f>
        <v>22.661799999999999</v>
      </c>
      <c r="E712" s="12">
        <f>22.6667 * CHOOSE( CONTROL!$C$15, $D$11, 100%, $F$11)</f>
        <v>22.666699999999999</v>
      </c>
      <c r="F712" s="4">
        <f>23.6645 * CHOOSE(CONTROL!$C$15, $D$11, 100%, $F$11)</f>
        <v>23.6645</v>
      </c>
      <c r="G712" s="8">
        <f>22.1073 * CHOOSE( CONTROL!$C$15, $D$11, 100%, $F$11)</f>
        <v>22.107299999999999</v>
      </c>
      <c r="H712" s="4">
        <f>22.9912 * CHOOSE(CONTROL!$C$15, $D$11, 100%, $F$11)</f>
        <v>22.991199999999999</v>
      </c>
      <c r="I712" s="8">
        <f>21.8284 * CHOOSE(CONTROL!$C$15, $D$11, 100%, $F$11)</f>
        <v>21.828399999999998</v>
      </c>
      <c r="J712" s="4">
        <f>21.7154 * CHOOSE(CONTROL!$C$15, $D$11, 100%, $F$11)</f>
        <v>21.715399999999999</v>
      </c>
      <c r="K712" s="4"/>
      <c r="L712" s="9">
        <v>27.3993</v>
      </c>
      <c r="M712" s="9">
        <v>12.063700000000001</v>
      </c>
      <c r="N712" s="9">
        <v>4.9444999999999997</v>
      </c>
      <c r="O712" s="9">
        <v>0.37459999999999999</v>
      </c>
      <c r="P712" s="9">
        <v>1.2939000000000001</v>
      </c>
      <c r="Q712" s="9">
        <v>19.688099999999999</v>
      </c>
      <c r="R712" s="9"/>
      <c r="S712" s="11"/>
    </row>
    <row r="713" spans="1:19" ht="15.75">
      <c r="A713" s="13">
        <v>63585</v>
      </c>
      <c r="B713" s="8">
        <f>23.5339 * CHOOSE(CONTROL!$C$15, $D$11, 100%, $F$11)</f>
        <v>23.533899999999999</v>
      </c>
      <c r="C713" s="8">
        <f>23.5443 * CHOOSE(CONTROL!$C$15, $D$11, 100%, $F$11)</f>
        <v>23.5443</v>
      </c>
      <c r="D713" s="8">
        <f>23.5429 * CHOOSE( CONTROL!$C$15, $D$11, 100%, $F$11)</f>
        <v>23.542899999999999</v>
      </c>
      <c r="E713" s="12">
        <f>23.5423 * CHOOSE( CONTROL!$C$15, $D$11, 100%, $F$11)</f>
        <v>23.542300000000001</v>
      </c>
      <c r="F713" s="4">
        <f>24.5568 * CHOOSE(CONTROL!$C$15, $D$11, 100%, $F$11)</f>
        <v>24.556799999999999</v>
      </c>
      <c r="G713" s="8">
        <f>22.9685 * CHOOSE( CONTROL!$C$15, $D$11, 100%, $F$11)</f>
        <v>22.968499999999999</v>
      </c>
      <c r="H713" s="4">
        <f>23.861 * CHOOSE(CONTROL!$C$15, $D$11, 100%, $F$11)</f>
        <v>23.861000000000001</v>
      </c>
      <c r="I713" s="8">
        <f>22.6653 * CHOOSE(CONTROL!$C$15, $D$11, 100%, $F$11)</f>
        <v>22.665299999999998</v>
      </c>
      <c r="J713" s="4">
        <f>22.5454 * CHOOSE(CONTROL!$C$15, $D$11, 100%, $F$11)</f>
        <v>22.545400000000001</v>
      </c>
      <c r="K713" s="4"/>
      <c r="L713" s="9">
        <v>27.3993</v>
      </c>
      <c r="M713" s="9">
        <v>12.063700000000001</v>
      </c>
      <c r="N713" s="9">
        <v>4.9444999999999997</v>
      </c>
      <c r="O713" s="9">
        <v>0.37459999999999999</v>
      </c>
      <c r="P713" s="9">
        <v>1.2939000000000001</v>
      </c>
      <c r="Q713" s="9">
        <v>19.688099999999999</v>
      </c>
      <c r="R713" s="9"/>
      <c r="S713" s="11"/>
    </row>
    <row r="714" spans="1:19" ht="15.75">
      <c r="A714" s="13">
        <v>63613</v>
      </c>
      <c r="B714" s="8">
        <f>22.0128 * CHOOSE(CONTROL!$C$15, $D$11, 100%, $F$11)</f>
        <v>22.012799999999999</v>
      </c>
      <c r="C714" s="8">
        <f>22.0232 * CHOOSE(CONTROL!$C$15, $D$11, 100%, $F$11)</f>
        <v>22.023199999999999</v>
      </c>
      <c r="D714" s="8">
        <f>22.024 * CHOOSE( CONTROL!$C$15, $D$11, 100%, $F$11)</f>
        <v>22.024000000000001</v>
      </c>
      <c r="E714" s="12">
        <f>22.0226 * CHOOSE( CONTROL!$C$15, $D$11, 100%, $F$11)</f>
        <v>22.022600000000001</v>
      </c>
      <c r="F714" s="4">
        <f>23.0278 * CHOOSE(CONTROL!$C$15, $D$11, 100%, $F$11)</f>
        <v>23.027799999999999</v>
      </c>
      <c r="G714" s="8">
        <f>21.4856 * CHOOSE( CONTROL!$C$15, $D$11, 100%, $F$11)</f>
        <v>21.485600000000002</v>
      </c>
      <c r="H714" s="4">
        <f>22.3706 * CHOOSE(CONTROL!$C$15, $D$11, 100%, $F$11)</f>
        <v>22.3706</v>
      </c>
      <c r="I714" s="8">
        <f>21.1961 * CHOOSE(CONTROL!$C$15, $D$11, 100%, $F$11)</f>
        <v>21.196100000000001</v>
      </c>
      <c r="J714" s="4">
        <f>21.0879 * CHOOSE(CONTROL!$C$15, $D$11, 100%, $F$11)</f>
        <v>21.087900000000001</v>
      </c>
      <c r="K714" s="4"/>
      <c r="L714" s="9">
        <v>24.747800000000002</v>
      </c>
      <c r="M714" s="9">
        <v>10.8962</v>
      </c>
      <c r="N714" s="9">
        <v>4.4660000000000002</v>
      </c>
      <c r="O714" s="9">
        <v>0.33829999999999999</v>
      </c>
      <c r="P714" s="9">
        <v>1.1687000000000001</v>
      </c>
      <c r="Q714" s="9">
        <v>17.782800000000002</v>
      </c>
      <c r="R714" s="9"/>
      <c r="S714" s="11"/>
    </row>
    <row r="715" spans="1:19" ht="15.75">
      <c r="A715" s="13">
        <v>63644</v>
      </c>
      <c r="B715" s="8">
        <f>21.5443 * CHOOSE(CONTROL!$C$15, $D$11, 100%, $F$11)</f>
        <v>21.5443</v>
      </c>
      <c r="C715" s="8">
        <f>21.5547 * CHOOSE(CONTROL!$C$15, $D$11, 100%, $F$11)</f>
        <v>21.5547</v>
      </c>
      <c r="D715" s="8">
        <f>21.5352 * CHOOSE( CONTROL!$C$15, $D$11, 100%, $F$11)</f>
        <v>21.5352</v>
      </c>
      <c r="E715" s="12">
        <f>21.5412 * CHOOSE( CONTROL!$C$15, $D$11, 100%, $F$11)</f>
        <v>21.5412</v>
      </c>
      <c r="F715" s="4">
        <f>22.5432 * CHOOSE(CONTROL!$C$15, $D$11, 100%, $F$11)</f>
        <v>22.543199999999999</v>
      </c>
      <c r="G715" s="8">
        <f>21.0082 * CHOOSE( CONTROL!$C$15, $D$11, 100%, $F$11)</f>
        <v>21.008199999999999</v>
      </c>
      <c r="H715" s="4">
        <f>21.8982 * CHOOSE(CONTROL!$C$15, $D$11, 100%, $F$11)</f>
        <v>21.898199999999999</v>
      </c>
      <c r="I715" s="8">
        <f>20.7074 * CHOOSE(CONTROL!$C$15, $D$11, 100%, $F$11)</f>
        <v>20.7074</v>
      </c>
      <c r="J715" s="4">
        <f>20.639 * CHOOSE(CONTROL!$C$15, $D$11, 100%, $F$11)</f>
        <v>20.638999999999999</v>
      </c>
      <c r="K715" s="4"/>
      <c r="L715" s="9">
        <v>27.3993</v>
      </c>
      <c r="M715" s="9">
        <v>12.063700000000001</v>
      </c>
      <c r="N715" s="9">
        <v>4.9444999999999997</v>
      </c>
      <c r="O715" s="9">
        <v>0.37459999999999999</v>
      </c>
      <c r="P715" s="9">
        <v>1.2939000000000001</v>
      </c>
      <c r="Q715" s="9">
        <v>19.688099999999999</v>
      </c>
      <c r="R715" s="9"/>
      <c r="S715" s="11"/>
    </row>
    <row r="716" spans="1:19" ht="15.75">
      <c r="A716" s="13">
        <v>63674</v>
      </c>
      <c r="B716" s="8">
        <f>21.8716 * CHOOSE(CONTROL!$C$15, $D$11, 100%, $F$11)</f>
        <v>21.871600000000001</v>
      </c>
      <c r="C716" s="8">
        <f>21.8821 * CHOOSE(CONTROL!$C$15, $D$11, 100%, $F$11)</f>
        <v>21.882100000000001</v>
      </c>
      <c r="D716" s="8">
        <f>21.8859 * CHOOSE( CONTROL!$C$15, $D$11, 100%, $F$11)</f>
        <v>21.885899999999999</v>
      </c>
      <c r="E716" s="12">
        <f>21.8834 * CHOOSE( CONTROL!$C$15, $D$11, 100%, $F$11)</f>
        <v>21.883400000000002</v>
      </c>
      <c r="F716" s="4">
        <f>22.8789 * CHOOSE(CONTROL!$C$15, $D$11, 100%, $F$11)</f>
        <v>22.878900000000002</v>
      </c>
      <c r="G716" s="8">
        <f>21.3153 * CHOOSE( CONTROL!$C$15, $D$11, 100%, $F$11)</f>
        <v>21.315300000000001</v>
      </c>
      <c r="H716" s="4">
        <f>22.2254 * CHOOSE(CONTROL!$C$15, $D$11, 100%, $F$11)</f>
        <v>22.2254</v>
      </c>
      <c r="I716" s="8">
        <f>21.0114 * CHOOSE(CONTROL!$C$15, $D$11, 100%, $F$11)</f>
        <v>21.011399999999998</v>
      </c>
      <c r="J716" s="4">
        <f>20.9526 * CHOOSE(CONTROL!$C$15, $D$11, 100%, $F$11)</f>
        <v>20.9526</v>
      </c>
      <c r="K716" s="4"/>
      <c r="L716" s="9">
        <v>27.988800000000001</v>
      </c>
      <c r="M716" s="9">
        <v>11.6745</v>
      </c>
      <c r="N716" s="9">
        <v>4.7850000000000001</v>
      </c>
      <c r="O716" s="9">
        <v>0.36249999999999999</v>
      </c>
      <c r="P716" s="9">
        <v>1.1798</v>
      </c>
      <c r="Q716" s="9">
        <v>19.053000000000001</v>
      </c>
      <c r="R716" s="9"/>
      <c r="S716" s="11"/>
    </row>
    <row r="717" spans="1:19" ht="15.75">
      <c r="A717" s="13">
        <v>63705</v>
      </c>
      <c r="B717" s="8">
        <f>CHOOSE( CONTROL!$C$32, 22.4592, 22.4543) * CHOOSE(CONTROL!$C$15, $D$11, 100%, $F$11)</f>
        <v>22.459199999999999</v>
      </c>
      <c r="C717" s="8">
        <f>CHOOSE( CONTROL!$C$32, 22.4697, 22.4647) * CHOOSE(CONTROL!$C$15, $D$11, 100%, $F$11)</f>
        <v>22.4697</v>
      </c>
      <c r="D717" s="8">
        <f>CHOOSE( CONTROL!$C$32, 22.4483, 22.4434) * CHOOSE( CONTROL!$C$15, $D$11, 100%, $F$11)</f>
        <v>22.4483</v>
      </c>
      <c r="E717" s="12">
        <f>CHOOSE( CONTROL!$C$32, 22.4545, 22.4495) * CHOOSE( CONTROL!$C$15, $D$11, 100%, $F$11)</f>
        <v>22.454499999999999</v>
      </c>
      <c r="F717" s="4">
        <f>CHOOSE( CONTROL!$C$32, 23.4341, 23.4292) * CHOOSE(CONTROL!$C$15, $D$11, 100%, $F$11)</f>
        <v>23.434100000000001</v>
      </c>
      <c r="G717" s="8">
        <f>CHOOSE( CONTROL!$C$32, 21.8694, 21.8646) * CHOOSE( CONTROL!$C$15, $D$11, 100%, $F$11)</f>
        <v>21.869399999999999</v>
      </c>
      <c r="H717" s="4">
        <f>CHOOSE( CONTROL!$C$32, 22.7667, 22.7619) * CHOOSE(CONTROL!$C$15, $D$11, 100%, $F$11)</f>
        <v>22.7667</v>
      </c>
      <c r="I717" s="8">
        <f>CHOOSE( CONTROL!$C$32, 21.5531, 21.5484) * CHOOSE(CONTROL!$C$15, $D$11, 100%, $F$11)</f>
        <v>21.553100000000001</v>
      </c>
      <c r="J717" s="4">
        <f>CHOOSE( CONTROL!$C$32, 21.5157, 21.5109) * CHOOSE(CONTROL!$C$15, $D$11, 100%, $F$11)</f>
        <v>21.515699999999999</v>
      </c>
      <c r="K717" s="4"/>
      <c r="L717" s="9">
        <v>29.520499999999998</v>
      </c>
      <c r="M717" s="9">
        <v>12.063700000000001</v>
      </c>
      <c r="N717" s="9">
        <v>4.9444999999999997</v>
      </c>
      <c r="O717" s="9">
        <v>0.37459999999999999</v>
      </c>
      <c r="P717" s="9">
        <v>1.2192000000000001</v>
      </c>
      <c r="Q717" s="9">
        <v>19.688099999999999</v>
      </c>
      <c r="R717" s="9"/>
      <c r="S717" s="11"/>
    </row>
    <row r="718" spans="1:19" ht="15.75">
      <c r="A718" s="13">
        <v>63735</v>
      </c>
      <c r="B718" s="8">
        <f>CHOOSE( CONTROL!$C$32, 22.0983, 22.0934) * CHOOSE(CONTROL!$C$15, $D$11, 100%, $F$11)</f>
        <v>22.098299999999998</v>
      </c>
      <c r="C718" s="8">
        <f>CHOOSE( CONTROL!$C$32, 22.1087, 22.1038) * CHOOSE(CONTROL!$C$15, $D$11, 100%, $F$11)</f>
        <v>22.108699999999999</v>
      </c>
      <c r="D718" s="8">
        <f>CHOOSE( CONTROL!$C$32, 22.1008, 22.0959) * CHOOSE( CONTROL!$C$15, $D$11, 100%, $F$11)</f>
        <v>22.1008</v>
      </c>
      <c r="E718" s="12">
        <f>CHOOSE( CONTROL!$C$32, 22.1021, 22.0972) * CHOOSE( CONTROL!$C$15, $D$11, 100%, $F$11)</f>
        <v>22.1021</v>
      </c>
      <c r="F718" s="4">
        <f>CHOOSE( CONTROL!$C$32, 23.0925, 23.0876) * CHOOSE(CONTROL!$C$15, $D$11, 100%, $F$11)</f>
        <v>23.092500000000001</v>
      </c>
      <c r="G718" s="8">
        <f>CHOOSE( CONTROL!$C$32, 21.528, 21.5232) * CHOOSE( CONTROL!$C$15, $D$11, 100%, $F$11)</f>
        <v>21.527999999999999</v>
      </c>
      <c r="H718" s="4">
        <f>CHOOSE( CONTROL!$C$32, 22.4337, 22.4288) * CHOOSE(CONTROL!$C$15, $D$11, 100%, $F$11)</f>
        <v>22.433700000000002</v>
      </c>
      <c r="I718" s="8">
        <f>CHOOSE( CONTROL!$C$32, 21.2249, 21.2202) * CHOOSE(CONTROL!$C$15, $D$11, 100%, $F$11)</f>
        <v>21.224900000000002</v>
      </c>
      <c r="J718" s="4">
        <f>CHOOSE( CONTROL!$C$32, 21.1698, 21.1651) * CHOOSE(CONTROL!$C$15, $D$11, 100%, $F$11)</f>
        <v>21.169799999999999</v>
      </c>
      <c r="K718" s="4"/>
      <c r="L718" s="9">
        <v>28.568200000000001</v>
      </c>
      <c r="M718" s="9">
        <v>11.6745</v>
      </c>
      <c r="N718" s="9">
        <v>4.7850000000000001</v>
      </c>
      <c r="O718" s="9">
        <v>0.36249999999999999</v>
      </c>
      <c r="P718" s="9">
        <v>1.1798</v>
      </c>
      <c r="Q718" s="9">
        <v>19.053000000000001</v>
      </c>
      <c r="R718" s="9"/>
      <c r="S718" s="11"/>
    </row>
    <row r="719" spans="1:19" ht="15.75">
      <c r="A719" s="13">
        <v>63766</v>
      </c>
      <c r="B719" s="8">
        <f>CHOOSE( CONTROL!$C$32, 23.0488, 23.0438) * CHOOSE(CONTROL!$C$15, $D$11, 100%, $F$11)</f>
        <v>23.0488</v>
      </c>
      <c r="C719" s="8">
        <f>CHOOSE( CONTROL!$C$32, 23.0592, 23.0543) * CHOOSE(CONTROL!$C$15, $D$11, 100%, $F$11)</f>
        <v>23.059200000000001</v>
      </c>
      <c r="D719" s="8">
        <f>CHOOSE( CONTROL!$C$32, 23.0582, 23.0533) * CHOOSE( CONTROL!$C$15, $D$11, 100%, $F$11)</f>
        <v>23.058199999999999</v>
      </c>
      <c r="E719" s="12">
        <f>CHOOSE( CONTROL!$C$32, 23.057, 23.0521) * CHOOSE( CONTROL!$C$15, $D$11, 100%, $F$11)</f>
        <v>23.056999999999999</v>
      </c>
      <c r="F719" s="4">
        <f>CHOOSE( CONTROL!$C$32, 24.0534, 24.0485) * CHOOSE(CONTROL!$C$15, $D$11, 100%, $F$11)</f>
        <v>24.0534</v>
      </c>
      <c r="G719" s="8">
        <f>CHOOSE( CONTROL!$C$32, 22.4586, 22.4538) * CHOOSE( CONTROL!$C$15, $D$11, 100%, $F$11)</f>
        <v>22.458600000000001</v>
      </c>
      <c r="H719" s="4">
        <f>CHOOSE( CONTROL!$C$32, 23.3703, 23.3655) * CHOOSE(CONTROL!$C$15, $D$11, 100%, $F$11)</f>
        <v>23.3703</v>
      </c>
      <c r="I719" s="8">
        <f>CHOOSE( CONTROL!$C$32, 22.1438, 22.139) * CHOOSE(CONTROL!$C$15, $D$11, 100%, $F$11)</f>
        <v>22.143799999999999</v>
      </c>
      <c r="J719" s="4">
        <f>CHOOSE( CONTROL!$C$32, 22.0806, 22.0758) * CHOOSE(CONTROL!$C$15, $D$11, 100%, $F$11)</f>
        <v>22.0806</v>
      </c>
      <c r="K719" s="4"/>
      <c r="L719" s="9">
        <v>29.520499999999998</v>
      </c>
      <c r="M719" s="9">
        <v>12.063700000000001</v>
      </c>
      <c r="N719" s="9">
        <v>4.9444999999999997</v>
      </c>
      <c r="O719" s="9">
        <v>0.37459999999999999</v>
      </c>
      <c r="P719" s="9">
        <v>1.2192000000000001</v>
      </c>
      <c r="Q719" s="9">
        <v>19.688099999999999</v>
      </c>
      <c r="R719" s="9"/>
      <c r="S719" s="11"/>
    </row>
    <row r="720" spans="1:19" ht="15.75">
      <c r="A720" s="13">
        <v>63797</v>
      </c>
      <c r="B720" s="8">
        <f>CHOOSE( CONTROL!$C$32, 21.2703, 21.2654) * CHOOSE(CONTROL!$C$15, $D$11, 100%, $F$11)</f>
        <v>21.270299999999999</v>
      </c>
      <c r="C720" s="8">
        <f>CHOOSE( CONTROL!$C$32, 21.2808, 21.2758) * CHOOSE(CONTROL!$C$15, $D$11, 100%, $F$11)</f>
        <v>21.280799999999999</v>
      </c>
      <c r="D720" s="8">
        <f>CHOOSE( CONTROL!$C$32, 21.2809, 21.276) * CHOOSE( CONTROL!$C$15, $D$11, 100%, $F$11)</f>
        <v>21.280899999999999</v>
      </c>
      <c r="E720" s="12">
        <f>CHOOSE( CONTROL!$C$32, 21.2793, 21.2743) * CHOOSE( CONTROL!$C$15, $D$11, 100%, $F$11)</f>
        <v>21.279299999999999</v>
      </c>
      <c r="F720" s="4">
        <f>CHOOSE( CONTROL!$C$32, 22.2828, 22.2779) * CHOOSE(CONTROL!$C$15, $D$11, 100%, $F$11)</f>
        <v>22.282800000000002</v>
      </c>
      <c r="G720" s="8">
        <f>CHOOSE( CONTROL!$C$32, 20.7202, 20.7154) * CHOOSE( CONTROL!$C$15, $D$11, 100%, $F$11)</f>
        <v>20.720199999999998</v>
      </c>
      <c r="H720" s="4">
        <f>CHOOSE( CONTROL!$C$32, 21.6444, 21.6396) * CHOOSE(CONTROL!$C$15, $D$11, 100%, $F$11)</f>
        <v>21.644400000000001</v>
      </c>
      <c r="I720" s="8">
        <f>CHOOSE( CONTROL!$C$32, 20.4298, 20.4251) * CHOOSE(CONTROL!$C$15, $D$11, 100%, $F$11)</f>
        <v>20.4298</v>
      </c>
      <c r="J720" s="4">
        <f>CHOOSE( CONTROL!$C$32, 20.3765, 20.3717) * CHOOSE(CONTROL!$C$15, $D$11, 100%, $F$11)</f>
        <v>20.3765</v>
      </c>
      <c r="K720" s="4"/>
      <c r="L720" s="9">
        <v>29.520499999999998</v>
      </c>
      <c r="M720" s="9">
        <v>12.063700000000001</v>
      </c>
      <c r="N720" s="9">
        <v>4.9444999999999997</v>
      </c>
      <c r="O720" s="9">
        <v>0.37459999999999999</v>
      </c>
      <c r="P720" s="9">
        <v>1.2192000000000001</v>
      </c>
      <c r="Q720" s="9">
        <v>19.688099999999999</v>
      </c>
      <c r="R720" s="9"/>
      <c r="S720" s="11"/>
    </row>
    <row r="721" spans="1:19" ht="15.75">
      <c r="A721" s="13">
        <v>63827</v>
      </c>
      <c r="B721" s="8">
        <f>CHOOSE( CONTROL!$C$32, 20.825, 20.8201) * CHOOSE(CONTROL!$C$15, $D$11, 100%, $F$11)</f>
        <v>20.824999999999999</v>
      </c>
      <c r="C721" s="8">
        <f>CHOOSE( CONTROL!$C$32, 20.8354, 20.8305) * CHOOSE(CONTROL!$C$15, $D$11, 100%, $F$11)</f>
        <v>20.8354</v>
      </c>
      <c r="D721" s="8">
        <f>CHOOSE( CONTROL!$C$32, 20.8359, 20.8309) * CHOOSE( CONTROL!$C$15, $D$11, 100%, $F$11)</f>
        <v>20.835899999999999</v>
      </c>
      <c r="E721" s="12">
        <f>CHOOSE( CONTROL!$C$32, 20.8341, 20.8292) * CHOOSE( CONTROL!$C$15, $D$11, 100%, $F$11)</f>
        <v>20.834099999999999</v>
      </c>
      <c r="F721" s="4">
        <f>CHOOSE( CONTROL!$C$32, 21.8375, 21.8325) * CHOOSE(CONTROL!$C$15, $D$11, 100%, $F$11)</f>
        <v>21.837499999999999</v>
      </c>
      <c r="G721" s="8">
        <f>CHOOSE( CONTROL!$C$32, 20.2865, 20.2817) * CHOOSE( CONTROL!$C$15, $D$11, 100%, $F$11)</f>
        <v>20.2865</v>
      </c>
      <c r="H721" s="4">
        <f>CHOOSE( CONTROL!$C$32, 21.2103, 21.2055) * CHOOSE(CONTROL!$C$15, $D$11, 100%, $F$11)</f>
        <v>21.2103</v>
      </c>
      <c r="I721" s="8">
        <f>CHOOSE( CONTROL!$C$32, 20.0043, 19.9995) * CHOOSE(CONTROL!$C$15, $D$11, 100%, $F$11)</f>
        <v>20.004300000000001</v>
      </c>
      <c r="J721" s="4">
        <f>CHOOSE( CONTROL!$C$32, 19.9497, 19.945) * CHOOSE(CONTROL!$C$15, $D$11, 100%, $F$11)</f>
        <v>19.9497</v>
      </c>
      <c r="K721" s="4"/>
      <c r="L721" s="9">
        <v>28.568200000000001</v>
      </c>
      <c r="M721" s="9">
        <v>11.6745</v>
      </c>
      <c r="N721" s="9">
        <v>4.7850000000000001</v>
      </c>
      <c r="O721" s="9">
        <v>0.36249999999999999</v>
      </c>
      <c r="P721" s="9">
        <v>1.1798</v>
      </c>
      <c r="Q721" s="9">
        <v>19.053000000000001</v>
      </c>
      <c r="R721" s="9"/>
      <c r="S721" s="11"/>
    </row>
    <row r="722" spans="1:19" ht="15.75">
      <c r="A722" s="13">
        <v>63858</v>
      </c>
      <c r="B722" s="8">
        <f>21.7447 * CHOOSE(CONTROL!$C$15, $D$11, 100%, $F$11)</f>
        <v>21.744700000000002</v>
      </c>
      <c r="C722" s="8">
        <f>21.7552 * CHOOSE(CONTROL!$C$15, $D$11, 100%, $F$11)</f>
        <v>21.755199999999999</v>
      </c>
      <c r="D722" s="8">
        <f>21.7568 * CHOOSE( CONTROL!$C$15, $D$11, 100%, $F$11)</f>
        <v>21.756799999999998</v>
      </c>
      <c r="E722" s="12">
        <f>21.7552 * CHOOSE( CONTROL!$C$15, $D$11, 100%, $F$11)</f>
        <v>21.755199999999999</v>
      </c>
      <c r="F722" s="4">
        <f>22.7572 * CHOOSE(CONTROL!$C$15, $D$11, 100%, $F$11)</f>
        <v>22.757200000000001</v>
      </c>
      <c r="G722" s="8">
        <f>21.1827 * CHOOSE( CONTROL!$C$15, $D$11, 100%, $F$11)</f>
        <v>21.182700000000001</v>
      </c>
      <c r="H722" s="4">
        <f>22.1068 * CHOOSE(CONTROL!$C$15, $D$11, 100%, $F$11)</f>
        <v>22.1068</v>
      </c>
      <c r="I722" s="8">
        <f>20.8883 * CHOOSE(CONTROL!$C$15, $D$11, 100%, $F$11)</f>
        <v>20.888300000000001</v>
      </c>
      <c r="J722" s="4">
        <f>20.831 * CHOOSE(CONTROL!$C$15, $D$11, 100%, $F$11)</f>
        <v>20.831</v>
      </c>
      <c r="K722" s="4"/>
      <c r="L722" s="9">
        <v>28.921800000000001</v>
      </c>
      <c r="M722" s="9">
        <v>12.063700000000001</v>
      </c>
      <c r="N722" s="9">
        <v>4.9444999999999997</v>
      </c>
      <c r="O722" s="9">
        <v>0.37459999999999999</v>
      </c>
      <c r="P722" s="9">
        <v>1.2192000000000001</v>
      </c>
      <c r="Q722" s="9">
        <v>19.688099999999999</v>
      </c>
      <c r="R722" s="9"/>
      <c r="S722" s="11"/>
    </row>
    <row r="723" spans="1:19" ht="15.75">
      <c r="A723" s="13">
        <v>63888</v>
      </c>
      <c r="B723" s="8">
        <f>23.4515 * CHOOSE(CONTROL!$C$15, $D$11, 100%, $F$11)</f>
        <v>23.451499999999999</v>
      </c>
      <c r="C723" s="8">
        <f>23.4619 * CHOOSE(CONTROL!$C$15, $D$11, 100%, $F$11)</f>
        <v>23.4619</v>
      </c>
      <c r="D723" s="8">
        <f>23.443 * CHOOSE( CONTROL!$C$15, $D$11, 100%, $F$11)</f>
        <v>23.443000000000001</v>
      </c>
      <c r="E723" s="12">
        <f>23.4488 * CHOOSE( CONTROL!$C$15, $D$11, 100%, $F$11)</f>
        <v>23.448799999999999</v>
      </c>
      <c r="F723" s="4">
        <f>24.4483 * CHOOSE(CONTROL!$C$15, $D$11, 100%, $F$11)</f>
        <v>24.4483</v>
      </c>
      <c r="G723" s="8">
        <f>22.8694 * CHOOSE( CONTROL!$C$15, $D$11, 100%, $F$11)</f>
        <v>22.869399999999999</v>
      </c>
      <c r="H723" s="4">
        <f>23.7553 * CHOOSE(CONTROL!$C$15, $D$11, 100%, $F$11)</f>
        <v>23.755299999999998</v>
      </c>
      <c r="I723" s="8">
        <f>22.571 * CHOOSE(CONTROL!$C$15, $D$11, 100%, $F$11)</f>
        <v>22.571000000000002</v>
      </c>
      <c r="J723" s="4">
        <f>22.4665 * CHOOSE(CONTROL!$C$15, $D$11, 100%, $F$11)</f>
        <v>22.4665</v>
      </c>
      <c r="K723" s="4"/>
      <c r="L723" s="9">
        <v>26.515499999999999</v>
      </c>
      <c r="M723" s="9">
        <v>11.6745</v>
      </c>
      <c r="N723" s="9">
        <v>4.7850000000000001</v>
      </c>
      <c r="O723" s="9">
        <v>0.36249999999999999</v>
      </c>
      <c r="P723" s="9">
        <v>1.2522</v>
      </c>
      <c r="Q723" s="9">
        <v>19.053000000000001</v>
      </c>
      <c r="R723" s="9"/>
      <c r="S723" s="11"/>
    </row>
    <row r="724" spans="1:19" ht="15.75">
      <c r="A724" s="13">
        <v>63919</v>
      </c>
      <c r="B724" s="8">
        <f>23.4089 * CHOOSE(CONTROL!$C$15, $D$11, 100%, $F$11)</f>
        <v>23.408899999999999</v>
      </c>
      <c r="C724" s="8">
        <f>23.4193 * CHOOSE(CONTROL!$C$15, $D$11, 100%, $F$11)</f>
        <v>23.4193</v>
      </c>
      <c r="D724" s="8">
        <f>23.4029 * CHOOSE( CONTROL!$C$15, $D$11, 100%, $F$11)</f>
        <v>23.402899999999999</v>
      </c>
      <c r="E724" s="12">
        <f>23.4078 * CHOOSE( CONTROL!$C$15, $D$11, 100%, $F$11)</f>
        <v>23.407800000000002</v>
      </c>
      <c r="F724" s="4">
        <f>24.4057 * CHOOSE(CONTROL!$C$15, $D$11, 100%, $F$11)</f>
        <v>24.4057</v>
      </c>
      <c r="G724" s="8">
        <f>22.8298 * CHOOSE( CONTROL!$C$15, $D$11, 100%, $F$11)</f>
        <v>22.829799999999999</v>
      </c>
      <c r="H724" s="4">
        <f>23.7137 * CHOOSE(CONTROL!$C$15, $D$11, 100%, $F$11)</f>
        <v>23.713699999999999</v>
      </c>
      <c r="I724" s="8">
        <f>22.5389 * CHOOSE(CONTROL!$C$15, $D$11, 100%, $F$11)</f>
        <v>22.538900000000002</v>
      </c>
      <c r="J724" s="4">
        <f>22.4256 * CHOOSE(CONTROL!$C$15, $D$11, 100%, $F$11)</f>
        <v>22.425599999999999</v>
      </c>
      <c r="K724" s="4"/>
      <c r="L724" s="9">
        <v>27.3993</v>
      </c>
      <c r="M724" s="9">
        <v>12.063700000000001</v>
      </c>
      <c r="N724" s="9">
        <v>4.9444999999999997</v>
      </c>
      <c r="O724" s="9">
        <v>0.37459999999999999</v>
      </c>
      <c r="P724" s="9">
        <v>1.2939000000000001</v>
      </c>
      <c r="Q724" s="9">
        <v>19.688099999999999</v>
      </c>
      <c r="R724" s="9"/>
      <c r="S724" s="11"/>
    </row>
    <row r="725" spans="1:19" ht="15.75">
      <c r="A725" s="13">
        <v>63950</v>
      </c>
      <c r="B725" s="8">
        <f>24.3033 * CHOOSE(CONTROL!$C$15, $D$11, 100%, $F$11)</f>
        <v>24.3033</v>
      </c>
      <c r="C725" s="8">
        <f>24.3138 * CHOOSE(CONTROL!$C$15, $D$11, 100%, $F$11)</f>
        <v>24.313800000000001</v>
      </c>
      <c r="D725" s="8">
        <f>24.3123 * CHOOSE( CONTROL!$C$15, $D$11, 100%, $F$11)</f>
        <v>24.3123</v>
      </c>
      <c r="E725" s="12">
        <f>24.3117 * CHOOSE( CONTROL!$C$15, $D$11, 100%, $F$11)</f>
        <v>24.311699999999998</v>
      </c>
      <c r="F725" s="4">
        <f>25.3262 * CHOOSE(CONTROL!$C$15, $D$11, 100%, $F$11)</f>
        <v>25.3262</v>
      </c>
      <c r="G725" s="8">
        <f>23.7186 * CHOOSE( CONTROL!$C$15, $D$11, 100%, $F$11)</f>
        <v>23.718599999999999</v>
      </c>
      <c r="H725" s="4">
        <f>24.6111 * CHOOSE(CONTROL!$C$15, $D$11, 100%, $F$11)</f>
        <v>24.6111</v>
      </c>
      <c r="I725" s="8">
        <f>23.4029 * CHOOSE(CONTROL!$C$15, $D$11, 100%, $F$11)</f>
        <v>23.402899999999999</v>
      </c>
      <c r="J725" s="4">
        <f>23.2827 * CHOOSE(CONTROL!$C$15, $D$11, 100%, $F$11)</f>
        <v>23.282699999999998</v>
      </c>
      <c r="K725" s="4"/>
      <c r="L725" s="9">
        <v>27.3993</v>
      </c>
      <c r="M725" s="9">
        <v>12.063700000000001</v>
      </c>
      <c r="N725" s="9">
        <v>4.9444999999999997</v>
      </c>
      <c r="O725" s="9">
        <v>0.37459999999999999</v>
      </c>
      <c r="P725" s="9">
        <v>1.2939000000000001</v>
      </c>
      <c r="Q725" s="9">
        <v>19.688099999999999</v>
      </c>
      <c r="R725" s="9"/>
      <c r="S725" s="11"/>
    </row>
    <row r="726" spans="1:19" ht="15.75">
      <c r="A726" s="13">
        <v>63978</v>
      </c>
      <c r="B726" s="8">
        <f>22.7325 * CHOOSE(CONTROL!$C$15, $D$11, 100%, $F$11)</f>
        <v>22.732500000000002</v>
      </c>
      <c r="C726" s="8">
        <f>22.7429 * CHOOSE(CONTROL!$C$15, $D$11, 100%, $F$11)</f>
        <v>22.742899999999999</v>
      </c>
      <c r="D726" s="8">
        <f>22.7437 * CHOOSE( CONTROL!$C$15, $D$11, 100%, $F$11)</f>
        <v>22.7437</v>
      </c>
      <c r="E726" s="12">
        <f>22.7423 * CHOOSE( CONTROL!$C$15, $D$11, 100%, $F$11)</f>
        <v>22.7423</v>
      </c>
      <c r="F726" s="4">
        <f>23.7476 * CHOOSE(CONTROL!$C$15, $D$11, 100%, $F$11)</f>
        <v>23.747599999999998</v>
      </c>
      <c r="G726" s="8">
        <f>22.1871 * CHOOSE( CONTROL!$C$15, $D$11, 100%, $F$11)</f>
        <v>22.187100000000001</v>
      </c>
      <c r="H726" s="4">
        <f>23.0722 * CHOOSE(CONTROL!$C$15, $D$11, 100%, $F$11)</f>
        <v>23.072199999999999</v>
      </c>
      <c r="I726" s="8">
        <f>21.8861 * CHOOSE(CONTROL!$C$15, $D$11, 100%, $F$11)</f>
        <v>21.886099999999999</v>
      </c>
      <c r="J726" s="4">
        <f>21.7775 * CHOOSE(CONTROL!$C$15, $D$11, 100%, $F$11)</f>
        <v>21.7775</v>
      </c>
      <c r="K726" s="4"/>
      <c r="L726" s="9">
        <v>24.747800000000002</v>
      </c>
      <c r="M726" s="9">
        <v>10.8962</v>
      </c>
      <c r="N726" s="9">
        <v>4.4660000000000002</v>
      </c>
      <c r="O726" s="9">
        <v>0.33829999999999999</v>
      </c>
      <c r="P726" s="9">
        <v>1.1687000000000001</v>
      </c>
      <c r="Q726" s="9">
        <v>17.782800000000002</v>
      </c>
      <c r="R726" s="9"/>
      <c r="S726" s="11"/>
    </row>
    <row r="727" spans="1:19" ht="15.75">
      <c r="A727" s="13">
        <v>64009</v>
      </c>
      <c r="B727" s="8">
        <f>22.2487 * CHOOSE(CONTROL!$C$15, $D$11, 100%, $F$11)</f>
        <v>22.248699999999999</v>
      </c>
      <c r="C727" s="8">
        <f>22.2591 * CHOOSE(CONTROL!$C$15, $D$11, 100%, $F$11)</f>
        <v>22.2591</v>
      </c>
      <c r="D727" s="8">
        <f>22.2396 * CHOOSE( CONTROL!$C$15, $D$11, 100%, $F$11)</f>
        <v>22.239599999999999</v>
      </c>
      <c r="E727" s="12">
        <f>22.2456 * CHOOSE( CONTROL!$C$15, $D$11, 100%, $F$11)</f>
        <v>22.2456</v>
      </c>
      <c r="F727" s="4">
        <f>23.2476 * CHOOSE(CONTROL!$C$15, $D$11, 100%, $F$11)</f>
        <v>23.247599999999998</v>
      </c>
      <c r="G727" s="8">
        <f>21.6948 * CHOOSE( CONTROL!$C$15, $D$11, 100%, $F$11)</f>
        <v>21.694800000000001</v>
      </c>
      <c r="H727" s="4">
        <f>22.5848 * CHOOSE(CONTROL!$C$15, $D$11, 100%, $F$11)</f>
        <v>22.584800000000001</v>
      </c>
      <c r="I727" s="8">
        <f>21.3827 * CHOOSE(CONTROL!$C$15, $D$11, 100%, $F$11)</f>
        <v>21.3827</v>
      </c>
      <c r="J727" s="4">
        <f>21.3139 * CHOOSE(CONTROL!$C$15, $D$11, 100%, $F$11)</f>
        <v>21.3139</v>
      </c>
      <c r="K727" s="4"/>
      <c r="L727" s="9">
        <v>27.3993</v>
      </c>
      <c r="M727" s="9">
        <v>12.063700000000001</v>
      </c>
      <c r="N727" s="9">
        <v>4.9444999999999997</v>
      </c>
      <c r="O727" s="9">
        <v>0.37459999999999999</v>
      </c>
      <c r="P727" s="9">
        <v>1.2939000000000001</v>
      </c>
      <c r="Q727" s="9">
        <v>19.688099999999999</v>
      </c>
      <c r="R727" s="9"/>
      <c r="S727" s="11"/>
    </row>
    <row r="728" spans="1:19" ht="15.75">
      <c r="A728" s="13">
        <v>64039</v>
      </c>
      <c r="B728" s="8">
        <f>22.5868 * CHOOSE(CONTROL!$C$15, $D$11, 100%, $F$11)</f>
        <v>22.5868</v>
      </c>
      <c r="C728" s="8">
        <f>22.5972 * CHOOSE(CONTROL!$C$15, $D$11, 100%, $F$11)</f>
        <v>22.597200000000001</v>
      </c>
      <c r="D728" s="8">
        <f>22.601 * CHOOSE( CONTROL!$C$15, $D$11, 100%, $F$11)</f>
        <v>22.600999999999999</v>
      </c>
      <c r="E728" s="12">
        <f>22.5986 * CHOOSE( CONTROL!$C$15, $D$11, 100%, $F$11)</f>
        <v>22.598600000000001</v>
      </c>
      <c r="F728" s="4">
        <f>23.594 * CHOOSE(CONTROL!$C$15, $D$11, 100%, $F$11)</f>
        <v>23.594000000000001</v>
      </c>
      <c r="G728" s="8">
        <f>22.0123 * CHOOSE( CONTROL!$C$15, $D$11, 100%, $F$11)</f>
        <v>22.0123</v>
      </c>
      <c r="H728" s="4">
        <f>22.9225 * CHOOSE(CONTROL!$C$15, $D$11, 100%, $F$11)</f>
        <v>22.922499999999999</v>
      </c>
      <c r="I728" s="8">
        <f>21.6969 * CHOOSE(CONTROL!$C$15, $D$11, 100%, $F$11)</f>
        <v>21.696899999999999</v>
      </c>
      <c r="J728" s="4">
        <f>21.6379 * CHOOSE(CONTROL!$C$15, $D$11, 100%, $F$11)</f>
        <v>21.637899999999998</v>
      </c>
      <c r="K728" s="4"/>
      <c r="L728" s="9">
        <v>27.988800000000001</v>
      </c>
      <c r="M728" s="9">
        <v>11.6745</v>
      </c>
      <c r="N728" s="9">
        <v>4.7850000000000001</v>
      </c>
      <c r="O728" s="9">
        <v>0.36249999999999999</v>
      </c>
      <c r="P728" s="9">
        <v>1.1798</v>
      </c>
      <c r="Q728" s="9">
        <v>19.053000000000001</v>
      </c>
      <c r="R728" s="9"/>
      <c r="S728" s="11"/>
    </row>
    <row r="729" spans="1:19" ht="15.75">
      <c r="A729" s="13">
        <v>64070</v>
      </c>
      <c r="B729" s="8">
        <f>CHOOSE( CONTROL!$C$32, 23.1934, 23.1885) * CHOOSE(CONTROL!$C$15, $D$11, 100%, $F$11)</f>
        <v>23.1934</v>
      </c>
      <c r="C729" s="8">
        <f>CHOOSE( CONTROL!$C$32, 23.2038, 23.1989) * CHOOSE(CONTROL!$C$15, $D$11, 100%, $F$11)</f>
        <v>23.203800000000001</v>
      </c>
      <c r="D729" s="8">
        <f>CHOOSE( CONTROL!$C$32, 23.1825, 23.1775) * CHOOSE( CONTROL!$C$15, $D$11, 100%, $F$11)</f>
        <v>23.182500000000001</v>
      </c>
      <c r="E729" s="12">
        <f>CHOOSE( CONTROL!$C$32, 23.1886, 23.1837) * CHOOSE( CONTROL!$C$15, $D$11, 100%, $F$11)</f>
        <v>23.188600000000001</v>
      </c>
      <c r="F729" s="4">
        <f>CHOOSE( CONTROL!$C$32, 24.1683, 24.1634) * CHOOSE(CONTROL!$C$15, $D$11, 100%, $F$11)</f>
        <v>24.168299999999999</v>
      </c>
      <c r="G729" s="8">
        <f>CHOOSE( CONTROL!$C$32, 22.5851, 22.5803) * CHOOSE( CONTROL!$C$15, $D$11, 100%, $F$11)</f>
        <v>22.585100000000001</v>
      </c>
      <c r="H729" s="4">
        <f>CHOOSE( CONTROL!$C$32, 23.4823, 23.4775) * CHOOSE(CONTROL!$C$15, $D$11, 100%, $F$11)</f>
        <v>23.482299999999999</v>
      </c>
      <c r="I729" s="8">
        <f>CHOOSE( CONTROL!$C$32, 22.257, 22.2522) * CHOOSE(CONTROL!$C$15, $D$11, 100%, $F$11)</f>
        <v>22.257000000000001</v>
      </c>
      <c r="J729" s="4">
        <f>CHOOSE( CONTROL!$C$32, 22.2192, 22.2144) * CHOOSE(CONTROL!$C$15, $D$11, 100%, $F$11)</f>
        <v>22.219200000000001</v>
      </c>
      <c r="K729" s="4"/>
      <c r="L729" s="9">
        <v>29.520499999999998</v>
      </c>
      <c r="M729" s="9">
        <v>12.063700000000001</v>
      </c>
      <c r="N729" s="9">
        <v>4.9444999999999997</v>
      </c>
      <c r="O729" s="9">
        <v>0.37459999999999999</v>
      </c>
      <c r="P729" s="9">
        <v>1.2192000000000001</v>
      </c>
      <c r="Q729" s="9">
        <v>19.688099999999999</v>
      </c>
      <c r="R729" s="9"/>
      <c r="S729" s="11"/>
    </row>
    <row r="730" spans="1:19" ht="15.75">
      <c r="A730" s="13">
        <v>64100</v>
      </c>
      <c r="B730" s="8">
        <f>CHOOSE( CONTROL!$C$32, 22.8207, 22.8157) * CHOOSE(CONTROL!$C$15, $D$11, 100%, $F$11)</f>
        <v>22.820699999999999</v>
      </c>
      <c r="C730" s="8">
        <f>CHOOSE( CONTROL!$C$32, 22.8311, 22.8262) * CHOOSE(CONTROL!$C$15, $D$11, 100%, $F$11)</f>
        <v>22.831099999999999</v>
      </c>
      <c r="D730" s="8">
        <f>CHOOSE( CONTROL!$C$32, 22.8232, 22.8183) * CHOOSE( CONTROL!$C$15, $D$11, 100%, $F$11)</f>
        <v>22.8232</v>
      </c>
      <c r="E730" s="12">
        <f>CHOOSE( CONTROL!$C$32, 22.8245, 22.8196) * CHOOSE( CONTROL!$C$15, $D$11, 100%, $F$11)</f>
        <v>22.8245</v>
      </c>
      <c r="F730" s="4">
        <f>CHOOSE( CONTROL!$C$32, 23.8149, 23.8099) * CHOOSE(CONTROL!$C$15, $D$11, 100%, $F$11)</f>
        <v>23.814900000000002</v>
      </c>
      <c r="G730" s="8">
        <f>CHOOSE( CONTROL!$C$32, 22.2322, 22.2274) * CHOOSE( CONTROL!$C$15, $D$11, 100%, $F$11)</f>
        <v>22.232199999999999</v>
      </c>
      <c r="H730" s="4">
        <f>CHOOSE( CONTROL!$C$32, 23.1378, 23.133) * CHOOSE(CONTROL!$C$15, $D$11, 100%, $F$11)</f>
        <v>23.137799999999999</v>
      </c>
      <c r="I730" s="8">
        <f>CHOOSE( CONTROL!$C$32, 21.9175, 21.9127) * CHOOSE(CONTROL!$C$15, $D$11, 100%, $F$11)</f>
        <v>21.9175</v>
      </c>
      <c r="J730" s="4">
        <f>CHOOSE( CONTROL!$C$32, 21.862, 21.8573) * CHOOSE(CONTROL!$C$15, $D$11, 100%, $F$11)</f>
        <v>21.861999999999998</v>
      </c>
      <c r="K730" s="4"/>
      <c r="L730" s="9">
        <v>28.568200000000001</v>
      </c>
      <c r="M730" s="9">
        <v>11.6745</v>
      </c>
      <c r="N730" s="9">
        <v>4.7850000000000001</v>
      </c>
      <c r="O730" s="9">
        <v>0.36249999999999999</v>
      </c>
      <c r="P730" s="9">
        <v>1.1798</v>
      </c>
      <c r="Q730" s="9">
        <v>19.053000000000001</v>
      </c>
      <c r="R730" s="9"/>
      <c r="S730" s="11"/>
    </row>
    <row r="731" spans="1:19" ht="15.75">
      <c r="A731" s="13">
        <v>64131</v>
      </c>
      <c r="B731" s="8">
        <f>CHOOSE( CONTROL!$C$32, 23.8022, 23.7973) * CHOOSE(CONTROL!$C$15, $D$11, 100%, $F$11)</f>
        <v>23.802199999999999</v>
      </c>
      <c r="C731" s="8">
        <f>CHOOSE( CONTROL!$C$32, 23.8127, 23.8077) * CHOOSE(CONTROL!$C$15, $D$11, 100%, $F$11)</f>
        <v>23.8127</v>
      </c>
      <c r="D731" s="8">
        <f>CHOOSE( CONTROL!$C$32, 23.8117, 23.8067) * CHOOSE( CONTROL!$C$15, $D$11, 100%, $F$11)</f>
        <v>23.811699999999998</v>
      </c>
      <c r="E731" s="12">
        <f>CHOOSE( CONTROL!$C$32, 23.8105, 23.8055) * CHOOSE( CONTROL!$C$15, $D$11, 100%, $F$11)</f>
        <v>23.810500000000001</v>
      </c>
      <c r="F731" s="4">
        <f>CHOOSE( CONTROL!$C$32, 24.8069, 24.8019) * CHOOSE(CONTROL!$C$15, $D$11, 100%, $F$11)</f>
        <v>24.806899999999999</v>
      </c>
      <c r="G731" s="8">
        <f>CHOOSE( CONTROL!$C$32, 23.1931, 23.1883) * CHOOSE( CONTROL!$C$15, $D$11, 100%, $F$11)</f>
        <v>23.193100000000001</v>
      </c>
      <c r="H731" s="4">
        <f>CHOOSE( CONTROL!$C$32, 24.1048, 24.1) * CHOOSE(CONTROL!$C$15, $D$11, 100%, $F$11)</f>
        <v>24.104800000000001</v>
      </c>
      <c r="I731" s="8">
        <f>CHOOSE( CONTROL!$C$32, 22.8661, 22.8614) * CHOOSE(CONTROL!$C$15, $D$11, 100%, $F$11)</f>
        <v>22.866099999999999</v>
      </c>
      <c r="J731" s="4">
        <f>CHOOSE( CONTROL!$C$32, 22.8025, 22.7978) * CHOOSE(CONTROL!$C$15, $D$11, 100%, $F$11)</f>
        <v>22.802499999999998</v>
      </c>
      <c r="K731" s="4"/>
      <c r="L731" s="9">
        <v>29.520499999999998</v>
      </c>
      <c r="M731" s="9">
        <v>12.063700000000001</v>
      </c>
      <c r="N731" s="9">
        <v>4.9444999999999997</v>
      </c>
      <c r="O731" s="9">
        <v>0.37459999999999999</v>
      </c>
      <c r="P731" s="9">
        <v>1.2192000000000001</v>
      </c>
      <c r="Q731" s="9">
        <v>19.688099999999999</v>
      </c>
      <c r="R731" s="9"/>
      <c r="S731" s="11"/>
    </row>
    <row r="732" spans="1:19" ht="15.75">
      <c r="A732" s="13">
        <v>64162</v>
      </c>
      <c r="B732" s="8">
        <f>CHOOSE( CONTROL!$C$32, 21.9656, 21.9607) * CHOOSE(CONTROL!$C$15, $D$11, 100%, $F$11)</f>
        <v>21.965599999999998</v>
      </c>
      <c r="C732" s="8">
        <f>CHOOSE( CONTROL!$C$32, 21.9761, 21.9711) * CHOOSE(CONTROL!$C$15, $D$11, 100%, $F$11)</f>
        <v>21.976099999999999</v>
      </c>
      <c r="D732" s="8">
        <f>CHOOSE( CONTROL!$C$32, 21.9762, 21.9713) * CHOOSE( CONTROL!$C$15, $D$11, 100%, $F$11)</f>
        <v>21.976199999999999</v>
      </c>
      <c r="E732" s="12">
        <f>CHOOSE( CONTROL!$C$32, 21.9746, 21.9696) * CHOOSE( CONTROL!$C$15, $D$11, 100%, $F$11)</f>
        <v>21.974599999999999</v>
      </c>
      <c r="F732" s="4">
        <f>CHOOSE( CONTROL!$C$32, 22.9781, 22.9732) * CHOOSE(CONTROL!$C$15, $D$11, 100%, $F$11)</f>
        <v>22.978100000000001</v>
      </c>
      <c r="G732" s="8">
        <f>CHOOSE( CONTROL!$C$32, 21.398, 21.3932) * CHOOSE( CONTROL!$C$15, $D$11, 100%, $F$11)</f>
        <v>21.398</v>
      </c>
      <c r="H732" s="4">
        <f>CHOOSE( CONTROL!$C$32, 22.3221, 22.3173) * CHOOSE(CONTROL!$C$15, $D$11, 100%, $F$11)</f>
        <v>22.322099999999999</v>
      </c>
      <c r="I732" s="8">
        <f>CHOOSE( CONTROL!$C$32, 21.0964, 21.0916) * CHOOSE(CONTROL!$C$15, $D$11, 100%, $F$11)</f>
        <v>21.096399999999999</v>
      </c>
      <c r="J732" s="4">
        <f>CHOOSE( CONTROL!$C$32, 21.0427, 21.038) * CHOOSE(CONTROL!$C$15, $D$11, 100%, $F$11)</f>
        <v>21.0427</v>
      </c>
      <c r="K732" s="4"/>
      <c r="L732" s="9">
        <v>29.520499999999998</v>
      </c>
      <c r="M732" s="9">
        <v>12.063700000000001</v>
      </c>
      <c r="N732" s="9">
        <v>4.9444999999999997</v>
      </c>
      <c r="O732" s="9">
        <v>0.37459999999999999</v>
      </c>
      <c r="P732" s="9">
        <v>1.2192000000000001</v>
      </c>
      <c r="Q732" s="9">
        <v>19.688099999999999</v>
      </c>
      <c r="R732" s="9"/>
      <c r="S732" s="11"/>
    </row>
    <row r="733" spans="1:19" ht="15.75">
      <c r="A733" s="13">
        <v>64192</v>
      </c>
      <c r="B733" s="8">
        <f>CHOOSE( CONTROL!$C$32, 21.5057, 21.5008) * CHOOSE(CONTROL!$C$15, $D$11, 100%, $F$11)</f>
        <v>21.505700000000001</v>
      </c>
      <c r="C733" s="8">
        <f>CHOOSE( CONTROL!$C$32, 21.5162, 21.5112) * CHOOSE(CONTROL!$C$15, $D$11, 100%, $F$11)</f>
        <v>21.516200000000001</v>
      </c>
      <c r="D733" s="8">
        <f>CHOOSE( CONTROL!$C$32, 21.5166, 21.5117) * CHOOSE( CONTROL!$C$15, $D$11, 100%, $F$11)</f>
        <v>21.5166</v>
      </c>
      <c r="E733" s="12">
        <f>CHOOSE( CONTROL!$C$32, 21.5149, 21.5099) * CHOOSE( CONTROL!$C$15, $D$11, 100%, $F$11)</f>
        <v>21.514900000000001</v>
      </c>
      <c r="F733" s="4">
        <f>CHOOSE( CONTROL!$C$32, 22.5182, 22.5133) * CHOOSE(CONTROL!$C$15, $D$11, 100%, $F$11)</f>
        <v>22.5182</v>
      </c>
      <c r="G733" s="8">
        <f>CHOOSE( CONTROL!$C$32, 20.9501, 20.9453) * CHOOSE( CONTROL!$C$15, $D$11, 100%, $F$11)</f>
        <v>20.950099999999999</v>
      </c>
      <c r="H733" s="4">
        <f>CHOOSE( CONTROL!$C$32, 21.8738, 21.869) * CHOOSE(CONTROL!$C$15, $D$11, 100%, $F$11)</f>
        <v>21.873799999999999</v>
      </c>
      <c r="I733" s="8">
        <f>CHOOSE( CONTROL!$C$32, 20.6569, 20.6521) * CHOOSE(CONTROL!$C$15, $D$11, 100%, $F$11)</f>
        <v>20.6569</v>
      </c>
      <c r="J733" s="4">
        <f>CHOOSE( CONTROL!$C$32, 20.602, 20.5973) * CHOOSE(CONTROL!$C$15, $D$11, 100%, $F$11)</f>
        <v>20.602</v>
      </c>
      <c r="K733" s="4"/>
      <c r="L733" s="9">
        <v>28.568200000000001</v>
      </c>
      <c r="M733" s="9">
        <v>11.6745</v>
      </c>
      <c r="N733" s="9">
        <v>4.7850000000000001</v>
      </c>
      <c r="O733" s="9">
        <v>0.36249999999999999</v>
      </c>
      <c r="P733" s="9">
        <v>1.1798</v>
      </c>
      <c r="Q733" s="9">
        <v>19.053000000000001</v>
      </c>
      <c r="R733" s="9"/>
      <c r="S733" s="11"/>
    </row>
    <row r="734" spans="1:19" ht="15.75">
      <c r="A734" s="13">
        <v>64223</v>
      </c>
      <c r="B734" s="8">
        <f>22.4557 * CHOOSE(CONTROL!$C$15, $D$11, 100%, $F$11)</f>
        <v>22.4557</v>
      </c>
      <c r="C734" s="8">
        <f>22.4661 * CHOOSE(CONTROL!$C$15, $D$11, 100%, $F$11)</f>
        <v>22.466100000000001</v>
      </c>
      <c r="D734" s="8">
        <f>22.4678 * CHOOSE( CONTROL!$C$15, $D$11, 100%, $F$11)</f>
        <v>22.4678</v>
      </c>
      <c r="E734" s="12">
        <f>22.4661 * CHOOSE( CONTROL!$C$15, $D$11, 100%, $F$11)</f>
        <v>22.466100000000001</v>
      </c>
      <c r="F734" s="4">
        <f>23.4682 * CHOOSE(CONTROL!$C$15, $D$11, 100%, $F$11)</f>
        <v>23.4682</v>
      </c>
      <c r="G734" s="8">
        <f>21.8758 * CHOOSE( CONTROL!$C$15, $D$11, 100%, $F$11)</f>
        <v>21.875800000000002</v>
      </c>
      <c r="H734" s="4">
        <f>22.7999 * CHOOSE(CONTROL!$C$15, $D$11, 100%, $F$11)</f>
        <v>22.799900000000001</v>
      </c>
      <c r="I734" s="8">
        <f>21.5699 * CHOOSE(CONTROL!$C$15, $D$11, 100%, $F$11)</f>
        <v>21.569900000000001</v>
      </c>
      <c r="J734" s="4">
        <f>21.5123 * CHOOSE(CONTROL!$C$15, $D$11, 100%, $F$11)</f>
        <v>21.5123</v>
      </c>
      <c r="K734" s="4"/>
      <c r="L734" s="9">
        <v>28.921800000000001</v>
      </c>
      <c r="M734" s="9">
        <v>12.063700000000001</v>
      </c>
      <c r="N734" s="9">
        <v>4.9444999999999997</v>
      </c>
      <c r="O734" s="9">
        <v>0.37459999999999999</v>
      </c>
      <c r="P734" s="9">
        <v>1.2192000000000001</v>
      </c>
      <c r="Q734" s="9">
        <v>19.688099999999999</v>
      </c>
      <c r="R734" s="9"/>
      <c r="S734" s="11"/>
    </row>
    <row r="735" spans="1:19" ht="15.75">
      <c r="A735" s="13">
        <v>64253</v>
      </c>
      <c r="B735" s="8">
        <f>24.2183 * CHOOSE(CONTROL!$C$15, $D$11, 100%, $F$11)</f>
        <v>24.218299999999999</v>
      </c>
      <c r="C735" s="8">
        <f>24.2287 * CHOOSE(CONTROL!$C$15, $D$11, 100%, $F$11)</f>
        <v>24.2287</v>
      </c>
      <c r="D735" s="8">
        <f>24.2098 * CHOOSE( CONTROL!$C$15, $D$11, 100%, $F$11)</f>
        <v>24.209800000000001</v>
      </c>
      <c r="E735" s="12">
        <f>24.2156 * CHOOSE( CONTROL!$C$15, $D$11, 100%, $F$11)</f>
        <v>24.215599999999998</v>
      </c>
      <c r="F735" s="4">
        <f>25.2151 * CHOOSE(CONTROL!$C$15, $D$11, 100%, $F$11)</f>
        <v>25.2151</v>
      </c>
      <c r="G735" s="8">
        <f>23.6168 * CHOOSE( CONTROL!$C$15, $D$11, 100%, $F$11)</f>
        <v>23.616800000000001</v>
      </c>
      <c r="H735" s="4">
        <f>24.5027 * CHOOSE(CONTROL!$C$15, $D$11, 100%, $F$11)</f>
        <v>24.502700000000001</v>
      </c>
      <c r="I735" s="8">
        <f>23.3061 * CHOOSE(CONTROL!$C$15, $D$11, 100%, $F$11)</f>
        <v>23.306100000000001</v>
      </c>
      <c r="J735" s="4">
        <f>23.2012 * CHOOSE(CONTROL!$C$15, $D$11, 100%, $F$11)</f>
        <v>23.2012</v>
      </c>
      <c r="K735" s="4"/>
      <c r="L735" s="9">
        <v>26.515499999999999</v>
      </c>
      <c r="M735" s="9">
        <v>11.6745</v>
      </c>
      <c r="N735" s="9">
        <v>4.7850000000000001</v>
      </c>
      <c r="O735" s="9">
        <v>0.36249999999999999</v>
      </c>
      <c r="P735" s="9">
        <v>1.2522</v>
      </c>
      <c r="Q735" s="9">
        <v>19.053000000000001</v>
      </c>
      <c r="R735" s="9"/>
      <c r="S735" s="11"/>
    </row>
    <row r="736" spans="1:19" ht="15.75">
      <c r="A736" s="13">
        <v>64284</v>
      </c>
      <c r="B736" s="8">
        <f>24.1743 * CHOOSE(CONTROL!$C$15, $D$11, 100%, $F$11)</f>
        <v>24.174299999999999</v>
      </c>
      <c r="C736" s="8">
        <f>24.1847 * CHOOSE(CONTROL!$C$15, $D$11, 100%, $F$11)</f>
        <v>24.184699999999999</v>
      </c>
      <c r="D736" s="8">
        <f>24.1683 * CHOOSE( CONTROL!$C$15, $D$11, 100%, $F$11)</f>
        <v>24.168299999999999</v>
      </c>
      <c r="E736" s="12">
        <f>24.1732 * CHOOSE( CONTROL!$C$15, $D$11, 100%, $F$11)</f>
        <v>24.173200000000001</v>
      </c>
      <c r="F736" s="4">
        <f>25.1711 * CHOOSE(CONTROL!$C$15, $D$11, 100%, $F$11)</f>
        <v>25.171099999999999</v>
      </c>
      <c r="G736" s="8">
        <f>23.5759 * CHOOSE( CONTROL!$C$15, $D$11, 100%, $F$11)</f>
        <v>23.575900000000001</v>
      </c>
      <c r="H736" s="4">
        <f>24.4598 * CHOOSE(CONTROL!$C$15, $D$11, 100%, $F$11)</f>
        <v>24.459800000000001</v>
      </c>
      <c r="I736" s="8">
        <f>23.2727 * CHOOSE(CONTROL!$C$15, $D$11, 100%, $F$11)</f>
        <v>23.2727</v>
      </c>
      <c r="J736" s="4">
        <f>23.159 * CHOOSE(CONTROL!$C$15, $D$11, 100%, $F$11)</f>
        <v>23.158999999999999</v>
      </c>
      <c r="K736" s="4"/>
      <c r="L736" s="9">
        <v>27.3993</v>
      </c>
      <c r="M736" s="9">
        <v>12.063700000000001</v>
      </c>
      <c r="N736" s="9">
        <v>4.9444999999999997</v>
      </c>
      <c r="O736" s="9">
        <v>0.37459999999999999</v>
      </c>
      <c r="P736" s="9">
        <v>1.2939000000000001</v>
      </c>
      <c r="Q736" s="9">
        <v>19.688099999999999</v>
      </c>
      <c r="R736" s="9"/>
      <c r="S736" s="11"/>
    </row>
    <row r="737" spans="1:19" ht="15.75">
      <c r="A737" s="13">
        <v>64315</v>
      </c>
      <c r="B737" s="8">
        <f>25.098 * CHOOSE(CONTROL!$C$15, $D$11, 100%, $F$11)</f>
        <v>25.097999999999999</v>
      </c>
      <c r="C737" s="8">
        <f>25.1084 * CHOOSE(CONTROL!$C$15, $D$11, 100%, $F$11)</f>
        <v>25.1084</v>
      </c>
      <c r="D737" s="8">
        <f>25.107 * CHOOSE( CONTROL!$C$15, $D$11, 100%, $F$11)</f>
        <v>25.106999999999999</v>
      </c>
      <c r="E737" s="12">
        <f>25.1064 * CHOOSE( CONTROL!$C$15, $D$11, 100%, $F$11)</f>
        <v>25.106400000000001</v>
      </c>
      <c r="F737" s="4">
        <f>26.1209 * CHOOSE(CONTROL!$C$15, $D$11, 100%, $F$11)</f>
        <v>26.120899999999999</v>
      </c>
      <c r="G737" s="8">
        <f>24.4932 * CHOOSE( CONTROL!$C$15, $D$11, 100%, $F$11)</f>
        <v>24.493200000000002</v>
      </c>
      <c r="H737" s="4">
        <f>25.3857 * CHOOSE(CONTROL!$C$15, $D$11, 100%, $F$11)</f>
        <v>25.3857</v>
      </c>
      <c r="I737" s="8">
        <f>24.1647 * CHOOSE(CONTROL!$C$15, $D$11, 100%, $F$11)</f>
        <v>24.1647</v>
      </c>
      <c r="J737" s="4">
        <f>24.0441 * CHOOSE(CONTROL!$C$15, $D$11, 100%, $F$11)</f>
        <v>24.0441</v>
      </c>
      <c r="K737" s="4"/>
      <c r="L737" s="9">
        <v>27.3993</v>
      </c>
      <c r="M737" s="9">
        <v>12.063700000000001</v>
      </c>
      <c r="N737" s="9">
        <v>4.9444999999999997</v>
      </c>
      <c r="O737" s="9">
        <v>0.37459999999999999</v>
      </c>
      <c r="P737" s="9">
        <v>1.2939000000000001</v>
      </c>
      <c r="Q737" s="9">
        <v>19.688099999999999</v>
      </c>
      <c r="R737" s="9"/>
      <c r="S737" s="11"/>
    </row>
    <row r="738" spans="1:19" ht="15.75">
      <c r="A738" s="13">
        <v>64344</v>
      </c>
      <c r="B738" s="8">
        <f>23.4758 * CHOOSE(CONTROL!$C$15, $D$11, 100%, $F$11)</f>
        <v>23.4758</v>
      </c>
      <c r="C738" s="8">
        <f>23.4862 * CHOOSE(CONTROL!$C$15, $D$11, 100%, $F$11)</f>
        <v>23.4862</v>
      </c>
      <c r="D738" s="8">
        <f>23.487 * CHOOSE( CONTROL!$C$15, $D$11, 100%, $F$11)</f>
        <v>23.486999999999998</v>
      </c>
      <c r="E738" s="12">
        <f>23.4856 * CHOOSE( CONTROL!$C$15, $D$11, 100%, $F$11)</f>
        <v>23.485600000000002</v>
      </c>
      <c r="F738" s="4">
        <f>24.4908 * CHOOSE(CONTROL!$C$15, $D$11, 100%, $F$11)</f>
        <v>24.4908</v>
      </c>
      <c r="G738" s="8">
        <f>22.9117 * CHOOSE( CONTROL!$C$15, $D$11, 100%, $F$11)</f>
        <v>22.9117</v>
      </c>
      <c r="H738" s="4">
        <f>23.7967 * CHOOSE(CONTROL!$C$15, $D$11, 100%, $F$11)</f>
        <v>23.796700000000001</v>
      </c>
      <c r="I738" s="8">
        <f>22.5986 * CHOOSE(CONTROL!$C$15, $D$11, 100%, $F$11)</f>
        <v>22.598600000000001</v>
      </c>
      <c r="J738" s="4">
        <f>22.4897 * CHOOSE(CONTROL!$C$15, $D$11, 100%, $F$11)</f>
        <v>22.489699999999999</v>
      </c>
      <c r="K738" s="4"/>
      <c r="L738" s="9">
        <v>25.631599999999999</v>
      </c>
      <c r="M738" s="9">
        <v>11.285299999999999</v>
      </c>
      <c r="N738" s="9">
        <v>4.6254999999999997</v>
      </c>
      <c r="O738" s="9">
        <v>0.35039999999999999</v>
      </c>
      <c r="P738" s="9">
        <v>1.2104999999999999</v>
      </c>
      <c r="Q738" s="9">
        <v>18.417899999999999</v>
      </c>
      <c r="R738" s="9"/>
      <c r="S738" s="11"/>
    </row>
    <row r="739" spans="1:19" ht="15.75">
      <c r="A739" s="13">
        <v>64375</v>
      </c>
      <c r="B739" s="8">
        <f>22.9761 * CHOOSE(CONTROL!$C$15, $D$11, 100%, $F$11)</f>
        <v>22.976099999999999</v>
      </c>
      <c r="C739" s="8">
        <f>22.9866 * CHOOSE(CONTROL!$C$15, $D$11, 100%, $F$11)</f>
        <v>22.986599999999999</v>
      </c>
      <c r="D739" s="8">
        <f>22.9671 * CHOOSE( CONTROL!$C$15, $D$11, 100%, $F$11)</f>
        <v>22.967099999999999</v>
      </c>
      <c r="E739" s="12">
        <f>22.9731 * CHOOSE( CONTROL!$C$15, $D$11, 100%, $F$11)</f>
        <v>22.973099999999999</v>
      </c>
      <c r="F739" s="4">
        <f>23.975 * CHOOSE(CONTROL!$C$15, $D$11, 100%, $F$11)</f>
        <v>23.975000000000001</v>
      </c>
      <c r="G739" s="8">
        <f>22.4039 * CHOOSE( CONTROL!$C$15, $D$11, 100%, $F$11)</f>
        <v>22.4039</v>
      </c>
      <c r="H739" s="4">
        <f>23.2939 * CHOOSE(CONTROL!$C$15, $D$11, 100%, $F$11)</f>
        <v>23.293900000000001</v>
      </c>
      <c r="I739" s="8">
        <f>22.0801 * CHOOSE(CONTROL!$C$15, $D$11, 100%, $F$11)</f>
        <v>22.080100000000002</v>
      </c>
      <c r="J739" s="4">
        <f>22.011 * CHOOSE(CONTROL!$C$15, $D$11, 100%, $F$11)</f>
        <v>22.010999999999999</v>
      </c>
      <c r="K739" s="4"/>
      <c r="L739" s="9">
        <v>27.3993</v>
      </c>
      <c r="M739" s="9">
        <v>12.063700000000001</v>
      </c>
      <c r="N739" s="9">
        <v>4.9444999999999997</v>
      </c>
      <c r="O739" s="9">
        <v>0.37459999999999999</v>
      </c>
      <c r="P739" s="9">
        <v>1.2939000000000001</v>
      </c>
      <c r="Q739" s="9">
        <v>19.688099999999999</v>
      </c>
      <c r="R739" s="9"/>
      <c r="S739" s="11"/>
    </row>
    <row r="740" spans="1:19" ht="15.75">
      <c r="A740" s="13">
        <v>64405</v>
      </c>
      <c r="B740" s="8">
        <f>23.3253 * CHOOSE(CONTROL!$C$15, $D$11, 100%, $F$11)</f>
        <v>23.325299999999999</v>
      </c>
      <c r="C740" s="8">
        <f>23.3357 * CHOOSE(CONTROL!$C$15, $D$11, 100%, $F$11)</f>
        <v>23.335699999999999</v>
      </c>
      <c r="D740" s="8">
        <f>23.3395 * CHOOSE( CONTROL!$C$15, $D$11, 100%, $F$11)</f>
        <v>23.339500000000001</v>
      </c>
      <c r="E740" s="12">
        <f>23.3371 * CHOOSE( CONTROL!$C$15, $D$11, 100%, $F$11)</f>
        <v>23.3371</v>
      </c>
      <c r="F740" s="4">
        <f>24.3325 * CHOOSE(CONTROL!$C$15, $D$11, 100%, $F$11)</f>
        <v>24.3325</v>
      </c>
      <c r="G740" s="8">
        <f>22.7322 * CHOOSE( CONTROL!$C$15, $D$11, 100%, $F$11)</f>
        <v>22.732199999999999</v>
      </c>
      <c r="H740" s="4">
        <f>23.6424 * CHOOSE(CONTROL!$C$15, $D$11, 100%, $F$11)</f>
        <v>23.642399999999999</v>
      </c>
      <c r="I740" s="8">
        <f>22.4049 * CHOOSE(CONTROL!$C$15, $D$11, 100%, $F$11)</f>
        <v>22.404900000000001</v>
      </c>
      <c r="J740" s="4">
        <f>22.3455 * CHOOSE(CONTROL!$C$15, $D$11, 100%, $F$11)</f>
        <v>22.345500000000001</v>
      </c>
      <c r="K740" s="4"/>
      <c r="L740" s="9">
        <v>27.988800000000001</v>
      </c>
      <c r="M740" s="9">
        <v>11.6745</v>
      </c>
      <c r="N740" s="9">
        <v>4.7850000000000001</v>
      </c>
      <c r="O740" s="9">
        <v>0.36249999999999999</v>
      </c>
      <c r="P740" s="9">
        <v>1.1798</v>
      </c>
      <c r="Q740" s="9">
        <v>19.053000000000001</v>
      </c>
      <c r="R740" s="9"/>
      <c r="S740" s="11"/>
    </row>
    <row r="741" spans="1:19" ht="15.75">
      <c r="A741" s="13">
        <v>64436</v>
      </c>
      <c r="B741" s="8">
        <f>CHOOSE( CONTROL!$C$32, 23.9516, 23.9466) * CHOOSE(CONTROL!$C$15, $D$11, 100%, $F$11)</f>
        <v>23.951599999999999</v>
      </c>
      <c r="C741" s="8">
        <f>CHOOSE( CONTROL!$C$32, 23.962, 23.9571) * CHOOSE(CONTROL!$C$15, $D$11, 100%, $F$11)</f>
        <v>23.962</v>
      </c>
      <c r="D741" s="8">
        <f>CHOOSE( CONTROL!$C$32, 23.9407, 23.9357) * CHOOSE( CONTROL!$C$15, $D$11, 100%, $F$11)</f>
        <v>23.9407</v>
      </c>
      <c r="E741" s="12">
        <f>CHOOSE( CONTROL!$C$32, 23.9468, 23.9419) * CHOOSE( CONTROL!$C$15, $D$11, 100%, $F$11)</f>
        <v>23.9468</v>
      </c>
      <c r="F741" s="4">
        <f>CHOOSE( CONTROL!$C$32, 24.9265, 24.9216) * CHOOSE(CONTROL!$C$15, $D$11, 100%, $F$11)</f>
        <v>24.926500000000001</v>
      </c>
      <c r="G741" s="8">
        <f>CHOOSE( CONTROL!$C$32, 23.3241, 23.3193) * CHOOSE( CONTROL!$C$15, $D$11, 100%, $F$11)</f>
        <v>23.324100000000001</v>
      </c>
      <c r="H741" s="4">
        <f>CHOOSE( CONTROL!$C$32, 24.2214, 24.2166) * CHOOSE(CONTROL!$C$15, $D$11, 100%, $F$11)</f>
        <v>24.221399999999999</v>
      </c>
      <c r="I741" s="8">
        <f>CHOOSE( CONTROL!$C$32, 22.9838, 22.9791) * CHOOSE(CONTROL!$C$15, $D$11, 100%, $F$11)</f>
        <v>22.983799999999999</v>
      </c>
      <c r="J741" s="4">
        <f>CHOOSE( CONTROL!$C$32, 22.9457, 22.9409) * CHOOSE(CONTROL!$C$15, $D$11, 100%, $F$11)</f>
        <v>22.945699999999999</v>
      </c>
      <c r="K741" s="4"/>
      <c r="L741" s="9">
        <v>29.520499999999998</v>
      </c>
      <c r="M741" s="9">
        <v>12.063700000000001</v>
      </c>
      <c r="N741" s="9">
        <v>4.9444999999999997</v>
      </c>
      <c r="O741" s="9">
        <v>0.37459999999999999</v>
      </c>
      <c r="P741" s="9">
        <v>1.2192000000000001</v>
      </c>
      <c r="Q741" s="9">
        <v>19.688099999999999</v>
      </c>
      <c r="R741" s="9"/>
      <c r="S741" s="11"/>
    </row>
    <row r="742" spans="1:19" ht="15.75">
      <c r="A742" s="13">
        <v>64466</v>
      </c>
      <c r="B742" s="8">
        <f>CHOOSE( CONTROL!$C$32, 23.5667, 23.5617) * CHOOSE(CONTROL!$C$15, $D$11, 100%, $F$11)</f>
        <v>23.566700000000001</v>
      </c>
      <c r="C742" s="8">
        <f>CHOOSE( CONTROL!$C$32, 23.5771, 23.5722) * CHOOSE(CONTROL!$C$15, $D$11, 100%, $F$11)</f>
        <v>23.577100000000002</v>
      </c>
      <c r="D742" s="8">
        <f>CHOOSE( CONTROL!$C$32, 23.5692, 23.5643) * CHOOSE( CONTROL!$C$15, $D$11, 100%, $F$11)</f>
        <v>23.569199999999999</v>
      </c>
      <c r="E742" s="12">
        <f>CHOOSE( CONTROL!$C$32, 23.5705, 23.5656) * CHOOSE( CONTROL!$C$15, $D$11, 100%, $F$11)</f>
        <v>23.570499999999999</v>
      </c>
      <c r="F742" s="4">
        <f>CHOOSE( CONTROL!$C$32, 24.5609, 24.5559) * CHOOSE(CONTROL!$C$15, $D$11, 100%, $F$11)</f>
        <v>24.5609</v>
      </c>
      <c r="G742" s="8">
        <f>CHOOSE( CONTROL!$C$32, 22.9593, 22.9545) * CHOOSE( CONTROL!$C$15, $D$11, 100%, $F$11)</f>
        <v>22.959299999999999</v>
      </c>
      <c r="H742" s="4">
        <f>CHOOSE( CONTROL!$C$32, 23.865, 23.8602) * CHOOSE(CONTROL!$C$15, $D$11, 100%, $F$11)</f>
        <v>23.864999999999998</v>
      </c>
      <c r="I742" s="8">
        <f>CHOOSE( CONTROL!$C$32, 22.6326, 22.6279) * CHOOSE(CONTROL!$C$15, $D$11, 100%, $F$11)</f>
        <v>22.6326</v>
      </c>
      <c r="J742" s="4">
        <f>CHOOSE( CONTROL!$C$32, 22.5768, 22.5721) * CHOOSE(CONTROL!$C$15, $D$11, 100%, $F$11)</f>
        <v>22.576799999999999</v>
      </c>
      <c r="K742" s="4"/>
      <c r="L742" s="9">
        <v>28.568200000000001</v>
      </c>
      <c r="M742" s="9">
        <v>11.6745</v>
      </c>
      <c r="N742" s="9">
        <v>4.7850000000000001</v>
      </c>
      <c r="O742" s="9">
        <v>0.36249999999999999</v>
      </c>
      <c r="P742" s="9">
        <v>1.1798</v>
      </c>
      <c r="Q742" s="9">
        <v>19.053000000000001</v>
      </c>
      <c r="R742" s="9"/>
      <c r="S742" s="11"/>
    </row>
    <row r="743" spans="1:19" ht="15.75">
      <c r="A743" s="13">
        <v>64497</v>
      </c>
      <c r="B743" s="8">
        <f>CHOOSE( CONTROL!$C$32, 24.5803, 24.5754) * CHOOSE(CONTROL!$C$15, $D$11, 100%, $F$11)</f>
        <v>24.580300000000001</v>
      </c>
      <c r="C743" s="8">
        <f>CHOOSE( CONTROL!$C$32, 24.5907, 24.5858) * CHOOSE(CONTROL!$C$15, $D$11, 100%, $F$11)</f>
        <v>24.590699999999998</v>
      </c>
      <c r="D743" s="8">
        <f>CHOOSE( CONTROL!$C$32, 24.5897, 24.5848) * CHOOSE( CONTROL!$C$15, $D$11, 100%, $F$11)</f>
        <v>24.589700000000001</v>
      </c>
      <c r="E743" s="12">
        <f>CHOOSE( CONTROL!$C$32, 24.5885, 24.5836) * CHOOSE( CONTROL!$C$15, $D$11, 100%, $F$11)</f>
        <v>24.5885</v>
      </c>
      <c r="F743" s="4">
        <f>CHOOSE( CONTROL!$C$32, 25.585, 25.58) * CHOOSE(CONTROL!$C$15, $D$11, 100%, $F$11)</f>
        <v>25.585000000000001</v>
      </c>
      <c r="G743" s="8">
        <f>CHOOSE( CONTROL!$C$32, 23.9515, 23.9467) * CHOOSE( CONTROL!$C$15, $D$11, 100%, $F$11)</f>
        <v>23.951499999999999</v>
      </c>
      <c r="H743" s="4">
        <f>CHOOSE( CONTROL!$C$32, 24.8632, 24.8584) * CHOOSE(CONTROL!$C$15, $D$11, 100%, $F$11)</f>
        <v>24.863199999999999</v>
      </c>
      <c r="I743" s="8">
        <f>CHOOSE( CONTROL!$C$32, 23.612, 23.6073) * CHOOSE(CONTROL!$C$15, $D$11, 100%, $F$11)</f>
        <v>23.611999999999998</v>
      </c>
      <c r="J743" s="4">
        <f>CHOOSE( CONTROL!$C$32, 23.5481, 23.5434) * CHOOSE(CONTROL!$C$15, $D$11, 100%, $F$11)</f>
        <v>23.548100000000002</v>
      </c>
      <c r="K743" s="4"/>
      <c r="L743" s="9">
        <v>29.520499999999998</v>
      </c>
      <c r="M743" s="9">
        <v>12.063700000000001</v>
      </c>
      <c r="N743" s="9">
        <v>4.9444999999999997</v>
      </c>
      <c r="O743" s="9">
        <v>0.37459999999999999</v>
      </c>
      <c r="P743" s="9">
        <v>1.2192000000000001</v>
      </c>
      <c r="Q743" s="9">
        <v>19.688099999999999</v>
      </c>
      <c r="R743" s="9"/>
      <c r="S743" s="11"/>
    </row>
    <row r="744" spans="1:19" ht="15.75">
      <c r="A744" s="13">
        <v>64528</v>
      </c>
      <c r="B744" s="8">
        <f>CHOOSE( CONTROL!$C$32, 22.6837, 22.6787) * CHOOSE(CONTROL!$C$15, $D$11, 100%, $F$11)</f>
        <v>22.683700000000002</v>
      </c>
      <c r="C744" s="8">
        <f>CHOOSE( CONTROL!$C$32, 22.6941, 22.6892) * CHOOSE(CONTROL!$C$15, $D$11, 100%, $F$11)</f>
        <v>22.694099999999999</v>
      </c>
      <c r="D744" s="8">
        <f>CHOOSE( CONTROL!$C$32, 22.6943, 22.6893) * CHOOSE( CONTROL!$C$15, $D$11, 100%, $F$11)</f>
        <v>22.694299999999998</v>
      </c>
      <c r="E744" s="12">
        <f>CHOOSE( CONTROL!$C$32, 22.6926, 22.6877) * CHOOSE( CONTROL!$C$15, $D$11, 100%, $F$11)</f>
        <v>22.692599999999999</v>
      </c>
      <c r="F744" s="4">
        <f>CHOOSE( CONTROL!$C$32, 23.6961, 23.6912) * CHOOSE(CONTROL!$C$15, $D$11, 100%, $F$11)</f>
        <v>23.696100000000001</v>
      </c>
      <c r="G744" s="8">
        <f>CHOOSE( CONTROL!$C$32, 22.0979, 22.0931) * CHOOSE( CONTROL!$C$15, $D$11, 100%, $F$11)</f>
        <v>22.097899999999999</v>
      </c>
      <c r="H744" s="4">
        <f>CHOOSE( CONTROL!$C$32, 23.0221, 23.0172) * CHOOSE(CONTROL!$C$15, $D$11, 100%, $F$11)</f>
        <v>23.022099999999998</v>
      </c>
      <c r="I744" s="8">
        <f>CHOOSE( CONTROL!$C$32, 21.7847, 21.78) * CHOOSE(CONTROL!$C$15, $D$11, 100%, $F$11)</f>
        <v>21.784700000000001</v>
      </c>
      <c r="J744" s="4">
        <f>CHOOSE( CONTROL!$C$32, 21.7307, 21.726) * CHOOSE(CONTROL!$C$15, $D$11, 100%, $F$11)</f>
        <v>21.730699999999999</v>
      </c>
      <c r="K744" s="4"/>
      <c r="L744" s="9">
        <v>29.520499999999998</v>
      </c>
      <c r="M744" s="9">
        <v>12.063700000000001</v>
      </c>
      <c r="N744" s="9">
        <v>4.9444999999999997</v>
      </c>
      <c r="O744" s="9">
        <v>0.37459999999999999</v>
      </c>
      <c r="P744" s="9">
        <v>1.2192000000000001</v>
      </c>
      <c r="Q744" s="9">
        <v>19.688099999999999</v>
      </c>
      <c r="R744" s="9"/>
      <c r="S744" s="11"/>
    </row>
    <row r="745" spans="1:19" ht="15.75">
      <c r="A745" s="13">
        <v>64558</v>
      </c>
      <c r="B745" s="8">
        <f>CHOOSE( CONTROL!$C$32, 22.2087, 22.2038) * CHOOSE(CONTROL!$C$15, $D$11, 100%, $F$11)</f>
        <v>22.2087</v>
      </c>
      <c r="C745" s="8">
        <f>CHOOSE( CONTROL!$C$32, 22.2191, 22.2142) * CHOOSE(CONTROL!$C$15, $D$11, 100%, $F$11)</f>
        <v>22.219100000000001</v>
      </c>
      <c r="D745" s="8">
        <f>CHOOSE( CONTROL!$C$32, 22.2196, 22.2147) * CHOOSE( CONTROL!$C$15, $D$11, 100%, $F$11)</f>
        <v>22.2196</v>
      </c>
      <c r="E745" s="12">
        <f>CHOOSE( CONTROL!$C$32, 22.2178, 22.2129) * CHOOSE( CONTROL!$C$15, $D$11, 100%, $F$11)</f>
        <v>22.2178</v>
      </c>
      <c r="F745" s="4">
        <f>CHOOSE( CONTROL!$C$32, 23.2212, 23.2162) * CHOOSE(CONTROL!$C$15, $D$11, 100%, $F$11)</f>
        <v>23.2212</v>
      </c>
      <c r="G745" s="8">
        <f>CHOOSE( CONTROL!$C$32, 21.6353, 21.6305) * CHOOSE( CONTROL!$C$15, $D$11, 100%, $F$11)</f>
        <v>21.635300000000001</v>
      </c>
      <c r="H745" s="4">
        <f>CHOOSE( CONTROL!$C$32, 22.5591, 22.5543) * CHOOSE(CONTROL!$C$15, $D$11, 100%, $F$11)</f>
        <v>22.559100000000001</v>
      </c>
      <c r="I745" s="8">
        <f>CHOOSE( CONTROL!$C$32, 21.3308, 21.3261) * CHOOSE(CONTROL!$C$15, $D$11, 100%, $F$11)</f>
        <v>21.3308</v>
      </c>
      <c r="J745" s="4">
        <f>CHOOSE( CONTROL!$C$32, 21.2756, 21.2709) * CHOOSE(CONTROL!$C$15, $D$11, 100%, $F$11)</f>
        <v>21.275600000000001</v>
      </c>
      <c r="K745" s="4"/>
      <c r="L745" s="9">
        <v>28.568200000000001</v>
      </c>
      <c r="M745" s="9">
        <v>11.6745</v>
      </c>
      <c r="N745" s="9">
        <v>4.7850000000000001</v>
      </c>
      <c r="O745" s="9">
        <v>0.36249999999999999</v>
      </c>
      <c r="P745" s="9">
        <v>1.1798</v>
      </c>
      <c r="Q745" s="9">
        <v>19.053000000000001</v>
      </c>
      <c r="R745" s="9"/>
      <c r="S745" s="11"/>
    </row>
    <row r="746" spans="1:19" ht="15.75">
      <c r="A746" s="13">
        <v>64589</v>
      </c>
      <c r="B746" s="8">
        <f>23.1899 * CHOOSE(CONTROL!$C$15, $D$11, 100%, $F$11)</f>
        <v>23.189900000000002</v>
      </c>
      <c r="C746" s="8">
        <f>23.2004 * CHOOSE(CONTROL!$C$15, $D$11, 100%, $F$11)</f>
        <v>23.200399999999998</v>
      </c>
      <c r="D746" s="8">
        <f>23.202 * CHOOSE( CONTROL!$C$15, $D$11, 100%, $F$11)</f>
        <v>23.202000000000002</v>
      </c>
      <c r="E746" s="12">
        <f>23.2004 * CHOOSE( CONTROL!$C$15, $D$11, 100%, $F$11)</f>
        <v>23.200399999999998</v>
      </c>
      <c r="F746" s="4">
        <f>24.2024 * CHOOSE(CONTROL!$C$15, $D$11, 100%, $F$11)</f>
        <v>24.202400000000001</v>
      </c>
      <c r="G746" s="8">
        <f>22.5915 * CHOOSE( CONTROL!$C$15, $D$11, 100%, $F$11)</f>
        <v>22.5915</v>
      </c>
      <c r="H746" s="4">
        <f>23.5156 * CHOOSE(CONTROL!$C$15, $D$11, 100%, $F$11)</f>
        <v>23.515599999999999</v>
      </c>
      <c r="I746" s="8">
        <f>22.2738 * CHOOSE(CONTROL!$C$15, $D$11, 100%, $F$11)</f>
        <v>22.273800000000001</v>
      </c>
      <c r="J746" s="4">
        <f>22.2158 * CHOOSE(CONTROL!$C$15, $D$11, 100%, $F$11)</f>
        <v>22.215800000000002</v>
      </c>
      <c r="K746" s="4"/>
      <c r="L746" s="9">
        <v>28.921800000000001</v>
      </c>
      <c r="M746" s="9">
        <v>12.063700000000001</v>
      </c>
      <c r="N746" s="9">
        <v>4.9444999999999997</v>
      </c>
      <c r="O746" s="9">
        <v>0.37459999999999999</v>
      </c>
      <c r="P746" s="9">
        <v>1.2192000000000001</v>
      </c>
      <c r="Q746" s="9">
        <v>19.688099999999999</v>
      </c>
      <c r="R746" s="9"/>
      <c r="S746" s="11"/>
    </row>
    <row r="747" spans="1:19" ht="15.75">
      <c r="A747" s="13">
        <v>64619</v>
      </c>
      <c r="B747" s="8">
        <f>25.0102 * CHOOSE(CONTROL!$C$15, $D$11, 100%, $F$11)</f>
        <v>25.010200000000001</v>
      </c>
      <c r="C747" s="8">
        <f>25.0206 * CHOOSE(CONTROL!$C$15, $D$11, 100%, $F$11)</f>
        <v>25.020600000000002</v>
      </c>
      <c r="D747" s="8">
        <f>25.0016 * CHOOSE( CONTROL!$C$15, $D$11, 100%, $F$11)</f>
        <v>25.0016</v>
      </c>
      <c r="E747" s="12">
        <f>25.0074 * CHOOSE( CONTROL!$C$15, $D$11, 100%, $F$11)</f>
        <v>25.007400000000001</v>
      </c>
      <c r="F747" s="4">
        <f>26.007 * CHOOSE(CONTROL!$C$15, $D$11, 100%, $F$11)</f>
        <v>26.007000000000001</v>
      </c>
      <c r="G747" s="8">
        <f>24.3887 * CHOOSE( CONTROL!$C$15, $D$11, 100%, $F$11)</f>
        <v>24.3887</v>
      </c>
      <c r="H747" s="4">
        <f>25.2746 * CHOOSE(CONTROL!$C$15, $D$11, 100%, $F$11)</f>
        <v>25.2746</v>
      </c>
      <c r="I747" s="8">
        <f>24.0653 * CHOOSE(CONTROL!$C$15, $D$11, 100%, $F$11)</f>
        <v>24.065300000000001</v>
      </c>
      <c r="J747" s="4">
        <f>23.96 * CHOOSE(CONTROL!$C$15, $D$11, 100%, $F$11)</f>
        <v>23.96</v>
      </c>
      <c r="K747" s="4"/>
      <c r="L747" s="9">
        <v>26.515499999999999</v>
      </c>
      <c r="M747" s="9">
        <v>11.6745</v>
      </c>
      <c r="N747" s="9">
        <v>4.7850000000000001</v>
      </c>
      <c r="O747" s="9">
        <v>0.36249999999999999</v>
      </c>
      <c r="P747" s="9">
        <v>1.2522</v>
      </c>
      <c r="Q747" s="9">
        <v>19.053000000000001</v>
      </c>
      <c r="R747" s="9"/>
      <c r="S747" s="11"/>
    </row>
    <row r="748" spans="1:19" ht="15.75">
      <c r="A748" s="13">
        <v>64650</v>
      </c>
      <c r="B748" s="8">
        <f>24.9647 * CHOOSE(CONTROL!$C$15, $D$11, 100%, $F$11)</f>
        <v>24.964700000000001</v>
      </c>
      <c r="C748" s="8">
        <f>24.9751 * CHOOSE(CONTROL!$C$15, $D$11, 100%, $F$11)</f>
        <v>24.975100000000001</v>
      </c>
      <c r="D748" s="8">
        <f>24.9587 * CHOOSE( CONTROL!$C$15, $D$11, 100%, $F$11)</f>
        <v>24.9587</v>
      </c>
      <c r="E748" s="12">
        <f>24.9636 * CHOOSE( CONTROL!$C$15, $D$11, 100%, $F$11)</f>
        <v>24.9636</v>
      </c>
      <c r="F748" s="4">
        <f>25.9615 * CHOOSE(CONTROL!$C$15, $D$11, 100%, $F$11)</f>
        <v>25.961500000000001</v>
      </c>
      <c r="G748" s="8">
        <f>24.3464 * CHOOSE( CONTROL!$C$15, $D$11, 100%, $F$11)</f>
        <v>24.346399999999999</v>
      </c>
      <c r="H748" s="4">
        <f>25.2303 * CHOOSE(CONTROL!$C$15, $D$11, 100%, $F$11)</f>
        <v>25.2303</v>
      </c>
      <c r="I748" s="8">
        <f>24.0305 * CHOOSE(CONTROL!$C$15, $D$11, 100%, $F$11)</f>
        <v>24.0305</v>
      </c>
      <c r="J748" s="4">
        <f>23.9164 * CHOOSE(CONTROL!$C$15, $D$11, 100%, $F$11)</f>
        <v>23.916399999999999</v>
      </c>
      <c r="K748" s="4"/>
      <c r="L748" s="9">
        <v>27.3993</v>
      </c>
      <c r="M748" s="9">
        <v>12.063700000000001</v>
      </c>
      <c r="N748" s="9">
        <v>4.9444999999999997</v>
      </c>
      <c r="O748" s="9">
        <v>0.37459999999999999</v>
      </c>
      <c r="P748" s="9">
        <v>1.2939000000000001</v>
      </c>
      <c r="Q748" s="9">
        <v>19.688099999999999</v>
      </c>
      <c r="R748" s="9"/>
      <c r="S748" s="11"/>
    </row>
    <row r="749" spans="1:19" ht="15.75">
      <c r="A749" s="13">
        <v>64681</v>
      </c>
      <c r="B749" s="8">
        <f>25.9186 * CHOOSE(CONTROL!$C$15, $D$11, 100%, $F$11)</f>
        <v>25.918600000000001</v>
      </c>
      <c r="C749" s="8">
        <f>25.9291 * CHOOSE(CONTROL!$C$15, $D$11, 100%, $F$11)</f>
        <v>25.929099999999998</v>
      </c>
      <c r="D749" s="8">
        <f>25.9276 * CHOOSE( CONTROL!$C$15, $D$11, 100%, $F$11)</f>
        <v>25.927600000000002</v>
      </c>
      <c r="E749" s="12">
        <f>25.927 * CHOOSE( CONTROL!$C$15, $D$11, 100%, $F$11)</f>
        <v>25.927</v>
      </c>
      <c r="F749" s="4">
        <f>26.9415 * CHOOSE(CONTROL!$C$15, $D$11, 100%, $F$11)</f>
        <v>26.941500000000001</v>
      </c>
      <c r="G749" s="8">
        <f>25.2931 * CHOOSE( CONTROL!$C$15, $D$11, 100%, $F$11)</f>
        <v>25.293099999999999</v>
      </c>
      <c r="H749" s="4">
        <f>26.1856 * CHOOSE(CONTROL!$C$15, $D$11, 100%, $F$11)</f>
        <v>26.185600000000001</v>
      </c>
      <c r="I749" s="8">
        <f>24.9515 * CHOOSE(CONTROL!$C$15, $D$11, 100%, $F$11)</f>
        <v>24.951499999999999</v>
      </c>
      <c r="J749" s="4">
        <f>24.8305 * CHOOSE(CONTROL!$C$15, $D$11, 100%, $F$11)</f>
        <v>24.830500000000001</v>
      </c>
      <c r="K749" s="4"/>
      <c r="L749" s="9">
        <v>27.3993</v>
      </c>
      <c r="M749" s="9">
        <v>12.063700000000001</v>
      </c>
      <c r="N749" s="9">
        <v>4.9444999999999997</v>
      </c>
      <c r="O749" s="9">
        <v>0.37459999999999999</v>
      </c>
      <c r="P749" s="9">
        <v>1.2939000000000001</v>
      </c>
      <c r="Q749" s="9">
        <v>19.688099999999999</v>
      </c>
      <c r="R749" s="9"/>
      <c r="S749" s="11"/>
    </row>
    <row r="750" spans="1:19" ht="15.75">
      <c r="A750" s="13">
        <v>64709</v>
      </c>
      <c r="B750" s="8">
        <f>24.2433 * CHOOSE(CONTROL!$C$15, $D$11, 100%, $F$11)</f>
        <v>24.243300000000001</v>
      </c>
      <c r="C750" s="8">
        <f>24.2538 * CHOOSE(CONTROL!$C$15, $D$11, 100%, $F$11)</f>
        <v>24.253799999999998</v>
      </c>
      <c r="D750" s="8">
        <f>24.2546 * CHOOSE( CONTROL!$C$15, $D$11, 100%, $F$11)</f>
        <v>24.2546</v>
      </c>
      <c r="E750" s="12">
        <f>24.2532 * CHOOSE( CONTROL!$C$15, $D$11, 100%, $F$11)</f>
        <v>24.2532</v>
      </c>
      <c r="F750" s="4">
        <f>25.2584 * CHOOSE(CONTROL!$C$15, $D$11, 100%, $F$11)</f>
        <v>25.258400000000002</v>
      </c>
      <c r="G750" s="8">
        <f>23.6599 * CHOOSE( CONTROL!$C$15, $D$11, 100%, $F$11)</f>
        <v>23.6599</v>
      </c>
      <c r="H750" s="4">
        <f>24.5449 * CHOOSE(CONTROL!$C$15, $D$11, 100%, $F$11)</f>
        <v>24.544899999999998</v>
      </c>
      <c r="I750" s="8">
        <f>23.3345 * CHOOSE(CONTROL!$C$15, $D$11, 100%, $F$11)</f>
        <v>23.334499999999998</v>
      </c>
      <c r="J750" s="4">
        <f>23.2252 * CHOOSE(CONTROL!$C$15, $D$11, 100%, $F$11)</f>
        <v>23.225200000000001</v>
      </c>
      <c r="K750" s="4"/>
      <c r="L750" s="9">
        <v>24.747800000000002</v>
      </c>
      <c r="M750" s="9">
        <v>10.8962</v>
      </c>
      <c r="N750" s="9">
        <v>4.4660000000000002</v>
      </c>
      <c r="O750" s="9">
        <v>0.33829999999999999</v>
      </c>
      <c r="P750" s="9">
        <v>1.1687000000000001</v>
      </c>
      <c r="Q750" s="9">
        <v>17.782800000000002</v>
      </c>
      <c r="R750" s="9"/>
      <c r="S750" s="11"/>
    </row>
    <row r="751" spans="1:19" ht="15.75">
      <c r="A751" s="13">
        <v>64740</v>
      </c>
      <c r="B751" s="8">
        <f>23.7274 * CHOOSE(CONTROL!$C$15, $D$11, 100%, $F$11)</f>
        <v>23.727399999999999</v>
      </c>
      <c r="C751" s="8">
        <f>23.7378 * CHOOSE(CONTROL!$C$15, $D$11, 100%, $F$11)</f>
        <v>23.7378</v>
      </c>
      <c r="D751" s="8">
        <f>23.7183 * CHOOSE( CONTROL!$C$15, $D$11, 100%, $F$11)</f>
        <v>23.718299999999999</v>
      </c>
      <c r="E751" s="12">
        <f>23.7243 * CHOOSE( CONTROL!$C$15, $D$11, 100%, $F$11)</f>
        <v>23.724299999999999</v>
      </c>
      <c r="F751" s="4">
        <f>24.7263 * CHOOSE(CONTROL!$C$15, $D$11, 100%, $F$11)</f>
        <v>24.726299999999998</v>
      </c>
      <c r="G751" s="8">
        <f>23.1362 * CHOOSE( CONTROL!$C$15, $D$11, 100%, $F$11)</f>
        <v>23.136199999999999</v>
      </c>
      <c r="H751" s="4">
        <f>24.0262 * CHOOSE(CONTROL!$C$15, $D$11, 100%, $F$11)</f>
        <v>24.026199999999999</v>
      </c>
      <c r="I751" s="8">
        <f>22.8003 * CHOOSE(CONTROL!$C$15, $D$11, 100%, $F$11)</f>
        <v>22.8003</v>
      </c>
      <c r="J751" s="4">
        <f>22.7308 * CHOOSE(CONTROL!$C$15, $D$11, 100%, $F$11)</f>
        <v>22.730799999999999</v>
      </c>
      <c r="K751" s="4"/>
      <c r="L751" s="9">
        <v>27.3993</v>
      </c>
      <c r="M751" s="9">
        <v>12.063700000000001</v>
      </c>
      <c r="N751" s="9">
        <v>4.9444999999999997</v>
      </c>
      <c r="O751" s="9">
        <v>0.37459999999999999</v>
      </c>
      <c r="P751" s="9">
        <v>1.2939000000000001</v>
      </c>
      <c r="Q751" s="9">
        <v>19.688099999999999</v>
      </c>
      <c r="R751" s="9"/>
      <c r="S751" s="11"/>
    </row>
    <row r="752" spans="1:19" ht="15.75">
      <c r="A752" s="13">
        <v>64770</v>
      </c>
      <c r="B752" s="8">
        <f>24.0879 * CHOOSE(CONTROL!$C$15, $D$11, 100%, $F$11)</f>
        <v>24.087900000000001</v>
      </c>
      <c r="C752" s="8">
        <f>24.0984 * CHOOSE(CONTROL!$C$15, $D$11, 100%, $F$11)</f>
        <v>24.098400000000002</v>
      </c>
      <c r="D752" s="8">
        <f>24.1022 * CHOOSE( CONTROL!$C$15, $D$11, 100%, $F$11)</f>
        <v>24.1022</v>
      </c>
      <c r="E752" s="12">
        <f>24.0997 * CHOOSE( CONTROL!$C$15, $D$11, 100%, $F$11)</f>
        <v>24.099699999999999</v>
      </c>
      <c r="F752" s="4">
        <f>25.0952 * CHOOSE(CONTROL!$C$15, $D$11, 100%, $F$11)</f>
        <v>25.095199999999998</v>
      </c>
      <c r="G752" s="8">
        <f>23.4756 * CHOOSE( CONTROL!$C$15, $D$11, 100%, $F$11)</f>
        <v>23.4756</v>
      </c>
      <c r="H752" s="4">
        <f>24.3858 * CHOOSE(CONTROL!$C$15, $D$11, 100%, $F$11)</f>
        <v>24.3858</v>
      </c>
      <c r="I752" s="8">
        <f>23.1361 * CHOOSE(CONTROL!$C$15, $D$11, 100%, $F$11)</f>
        <v>23.136099999999999</v>
      </c>
      <c r="J752" s="4">
        <f>23.0763 * CHOOSE(CONTROL!$C$15, $D$11, 100%, $F$11)</f>
        <v>23.0763</v>
      </c>
      <c r="K752" s="4"/>
      <c r="L752" s="9">
        <v>27.988800000000001</v>
      </c>
      <c r="M752" s="9">
        <v>11.6745</v>
      </c>
      <c r="N752" s="9">
        <v>4.7850000000000001</v>
      </c>
      <c r="O752" s="9">
        <v>0.36249999999999999</v>
      </c>
      <c r="P752" s="9">
        <v>1.1798</v>
      </c>
      <c r="Q752" s="9">
        <v>19.053000000000001</v>
      </c>
      <c r="R752" s="9"/>
      <c r="S752" s="11"/>
    </row>
    <row r="753" spans="1:19" ht="15.75">
      <c r="A753" s="13">
        <v>64801</v>
      </c>
      <c r="B753" s="8">
        <f>CHOOSE( CONTROL!$C$32, 24.7346, 24.7296) * CHOOSE(CONTROL!$C$15, $D$11, 100%, $F$11)</f>
        <v>24.7346</v>
      </c>
      <c r="C753" s="8">
        <f>CHOOSE( CONTROL!$C$32, 24.745, 24.7401) * CHOOSE(CONTROL!$C$15, $D$11, 100%, $F$11)</f>
        <v>24.745000000000001</v>
      </c>
      <c r="D753" s="8">
        <f>CHOOSE( CONTROL!$C$32, 24.7236, 24.7187) * CHOOSE( CONTROL!$C$15, $D$11, 100%, $F$11)</f>
        <v>24.723600000000001</v>
      </c>
      <c r="E753" s="12">
        <f>CHOOSE( CONTROL!$C$32, 24.7298, 24.7249) * CHOOSE( CONTROL!$C$15, $D$11, 100%, $F$11)</f>
        <v>24.729800000000001</v>
      </c>
      <c r="F753" s="4">
        <f>CHOOSE( CONTROL!$C$32, 25.7095, 25.7045) * CHOOSE(CONTROL!$C$15, $D$11, 100%, $F$11)</f>
        <v>25.709499999999998</v>
      </c>
      <c r="G753" s="8">
        <f>CHOOSE( CONTROL!$C$32, 24.0874, 24.0826) * CHOOSE( CONTROL!$C$15, $D$11, 100%, $F$11)</f>
        <v>24.087399999999999</v>
      </c>
      <c r="H753" s="4">
        <f>CHOOSE( CONTROL!$C$32, 24.9846, 24.9798) * CHOOSE(CONTROL!$C$15, $D$11, 100%, $F$11)</f>
        <v>24.9846</v>
      </c>
      <c r="I753" s="8">
        <f>CHOOSE( CONTROL!$C$32, 23.7345, 23.7297) * CHOOSE(CONTROL!$C$15, $D$11, 100%, $F$11)</f>
        <v>23.734500000000001</v>
      </c>
      <c r="J753" s="4">
        <f>CHOOSE( CONTROL!$C$32, 23.6959, 23.6912) * CHOOSE(CONTROL!$C$15, $D$11, 100%, $F$11)</f>
        <v>23.695900000000002</v>
      </c>
      <c r="K753" s="4"/>
      <c r="L753" s="9">
        <v>29.520499999999998</v>
      </c>
      <c r="M753" s="9">
        <v>12.063700000000001</v>
      </c>
      <c r="N753" s="9">
        <v>4.9444999999999997</v>
      </c>
      <c r="O753" s="9">
        <v>0.37459999999999999</v>
      </c>
      <c r="P753" s="9">
        <v>1.2192000000000001</v>
      </c>
      <c r="Q753" s="9">
        <v>19.688099999999999</v>
      </c>
      <c r="R753" s="9"/>
      <c r="S753" s="11"/>
    </row>
    <row r="754" spans="1:19" ht="15.75">
      <c r="A754" s="13">
        <v>64831</v>
      </c>
      <c r="B754" s="8">
        <f>CHOOSE( CONTROL!$C$32, 24.3371, 24.3321) * CHOOSE(CONTROL!$C$15, $D$11, 100%, $F$11)</f>
        <v>24.3371</v>
      </c>
      <c r="C754" s="8">
        <f>CHOOSE( CONTROL!$C$32, 24.3475, 24.3426) * CHOOSE(CONTROL!$C$15, $D$11, 100%, $F$11)</f>
        <v>24.3475</v>
      </c>
      <c r="D754" s="8">
        <f>CHOOSE( CONTROL!$C$32, 24.3396, 24.3347) * CHOOSE( CONTROL!$C$15, $D$11, 100%, $F$11)</f>
        <v>24.339600000000001</v>
      </c>
      <c r="E754" s="12">
        <f>CHOOSE( CONTROL!$C$32, 24.3409, 24.336) * CHOOSE( CONTROL!$C$15, $D$11, 100%, $F$11)</f>
        <v>24.340900000000001</v>
      </c>
      <c r="F754" s="4">
        <f>CHOOSE( CONTROL!$C$32, 25.3313, 25.3263) * CHOOSE(CONTROL!$C$15, $D$11, 100%, $F$11)</f>
        <v>25.331299999999999</v>
      </c>
      <c r="G754" s="8">
        <f>CHOOSE( CONTROL!$C$32, 23.7103, 23.7055) * CHOOSE( CONTROL!$C$15, $D$11, 100%, $F$11)</f>
        <v>23.7103</v>
      </c>
      <c r="H754" s="4">
        <f>CHOOSE( CONTROL!$C$32, 24.6159, 24.6111) * CHOOSE(CONTROL!$C$15, $D$11, 100%, $F$11)</f>
        <v>24.6159</v>
      </c>
      <c r="I754" s="8">
        <f>CHOOSE( CONTROL!$C$32, 23.3712, 23.3665) * CHOOSE(CONTROL!$C$15, $D$11, 100%, $F$11)</f>
        <v>23.371200000000002</v>
      </c>
      <c r="J754" s="4">
        <f>CHOOSE( CONTROL!$C$32, 23.315, 23.3103) * CHOOSE(CONTROL!$C$15, $D$11, 100%, $F$11)</f>
        <v>23.315000000000001</v>
      </c>
      <c r="K754" s="4"/>
      <c r="L754" s="9">
        <v>28.568200000000001</v>
      </c>
      <c r="M754" s="9">
        <v>11.6745</v>
      </c>
      <c r="N754" s="9">
        <v>4.7850000000000001</v>
      </c>
      <c r="O754" s="9">
        <v>0.36249999999999999</v>
      </c>
      <c r="P754" s="9">
        <v>1.1798</v>
      </c>
      <c r="Q754" s="9">
        <v>19.053000000000001</v>
      </c>
      <c r="R754" s="9"/>
      <c r="S754" s="11"/>
    </row>
    <row r="755" spans="1:19" ht="15.75">
      <c r="A755" s="13">
        <v>64862</v>
      </c>
      <c r="B755" s="8">
        <f>CHOOSE( CONTROL!$C$32, 25.3839, 25.3789) * CHOOSE(CONTROL!$C$15, $D$11, 100%, $F$11)</f>
        <v>25.383900000000001</v>
      </c>
      <c r="C755" s="8">
        <f>CHOOSE( CONTROL!$C$32, 25.3943, 25.3894) * CHOOSE(CONTROL!$C$15, $D$11, 100%, $F$11)</f>
        <v>25.394300000000001</v>
      </c>
      <c r="D755" s="8">
        <f>CHOOSE( CONTROL!$C$32, 25.3933, 25.3884) * CHOOSE( CONTROL!$C$15, $D$11, 100%, $F$11)</f>
        <v>25.3933</v>
      </c>
      <c r="E755" s="12">
        <f>CHOOSE( CONTROL!$C$32, 25.3921, 25.3872) * CHOOSE( CONTROL!$C$15, $D$11, 100%, $F$11)</f>
        <v>25.392099999999999</v>
      </c>
      <c r="F755" s="4">
        <f>CHOOSE( CONTROL!$C$32, 26.3885, 26.3836) * CHOOSE(CONTROL!$C$15, $D$11, 100%, $F$11)</f>
        <v>26.388500000000001</v>
      </c>
      <c r="G755" s="8">
        <f>CHOOSE( CONTROL!$C$32, 24.7348, 24.73) * CHOOSE( CONTROL!$C$15, $D$11, 100%, $F$11)</f>
        <v>24.7348</v>
      </c>
      <c r="H755" s="4">
        <f>CHOOSE( CONTROL!$C$32, 25.6465, 25.6417) * CHOOSE(CONTROL!$C$15, $D$11, 100%, $F$11)</f>
        <v>25.6465</v>
      </c>
      <c r="I755" s="8">
        <f>CHOOSE( CONTROL!$C$32, 24.3824, 24.3777) * CHOOSE(CONTROL!$C$15, $D$11, 100%, $F$11)</f>
        <v>24.382400000000001</v>
      </c>
      <c r="J755" s="4">
        <f>CHOOSE( CONTROL!$C$32, 24.3181, 24.3133) * CHOOSE(CONTROL!$C$15, $D$11, 100%, $F$11)</f>
        <v>24.318100000000001</v>
      </c>
      <c r="K755" s="4"/>
      <c r="L755" s="9">
        <v>29.520499999999998</v>
      </c>
      <c r="M755" s="9">
        <v>12.063700000000001</v>
      </c>
      <c r="N755" s="9">
        <v>4.9444999999999997</v>
      </c>
      <c r="O755" s="9">
        <v>0.37459999999999999</v>
      </c>
      <c r="P755" s="9">
        <v>1.2192000000000001</v>
      </c>
      <c r="Q755" s="9">
        <v>19.688099999999999</v>
      </c>
      <c r="R755" s="9"/>
      <c r="S755" s="11"/>
    </row>
    <row r="756" spans="1:19" ht="15.75">
      <c r="A756" s="13">
        <v>64893</v>
      </c>
      <c r="B756" s="8">
        <f>CHOOSE( CONTROL!$C$32, 23.4252, 23.4202) * CHOOSE(CONTROL!$C$15, $D$11, 100%, $F$11)</f>
        <v>23.4252</v>
      </c>
      <c r="C756" s="8">
        <f>CHOOSE( CONTROL!$C$32, 23.4356, 23.4307) * CHOOSE(CONTROL!$C$15, $D$11, 100%, $F$11)</f>
        <v>23.435600000000001</v>
      </c>
      <c r="D756" s="8">
        <f>CHOOSE( CONTROL!$C$32, 23.4358, 23.4308) * CHOOSE( CONTROL!$C$15, $D$11, 100%, $F$11)</f>
        <v>23.4358</v>
      </c>
      <c r="E756" s="12">
        <f>CHOOSE( CONTROL!$C$32, 23.4341, 23.4292) * CHOOSE( CONTROL!$C$15, $D$11, 100%, $F$11)</f>
        <v>23.434100000000001</v>
      </c>
      <c r="F756" s="4">
        <f>CHOOSE( CONTROL!$C$32, 24.4376, 24.4327) * CHOOSE(CONTROL!$C$15, $D$11, 100%, $F$11)</f>
        <v>24.4376</v>
      </c>
      <c r="G756" s="8">
        <f>CHOOSE( CONTROL!$C$32, 22.8207, 22.8159) * CHOOSE( CONTROL!$C$15, $D$11, 100%, $F$11)</f>
        <v>22.820699999999999</v>
      </c>
      <c r="H756" s="4">
        <f>CHOOSE( CONTROL!$C$32, 23.7449, 23.7401) * CHOOSE(CONTROL!$C$15, $D$11, 100%, $F$11)</f>
        <v>23.744900000000001</v>
      </c>
      <c r="I756" s="8">
        <f>CHOOSE( CONTROL!$C$32, 22.4956, 22.4909) * CHOOSE(CONTROL!$C$15, $D$11, 100%, $F$11)</f>
        <v>22.4956</v>
      </c>
      <c r="J756" s="4">
        <f>CHOOSE( CONTROL!$C$32, 22.4412, 22.4365) * CHOOSE(CONTROL!$C$15, $D$11, 100%, $F$11)</f>
        <v>22.441199999999998</v>
      </c>
      <c r="K756" s="4"/>
      <c r="L756" s="9">
        <v>29.520499999999998</v>
      </c>
      <c r="M756" s="9">
        <v>12.063700000000001</v>
      </c>
      <c r="N756" s="9">
        <v>4.9444999999999997</v>
      </c>
      <c r="O756" s="9">
        <v>0.37459999999999999</v>
      </c>
      <c r="P756" s="9">
        <v>1.2192000000000001</v>
      </c>
      <c r="Q756" s="9">
        <v>19.688099999999999</v>
      </c>
      <c r="R756" s="9"/>
      <c r="S756" s="11"/>
    </row>
    <row r="757" spans="1:19" ht="15.75">
      <c r="A757" s="13">
        <v>64923</v>
      </c>
      <c r="B757" s="8">
        <f>CHOOSE( CONTROL!$C$32, 22.9347, 22.9298) * CHOOSE(CONTROL!$C$15, $D$11, 100%, $F$11)</f>
        <v>22.934699999999999</v>
      </c>
      <c r="C757" s="8">
        <f>CHOOSE( CONTROL!$C$32, 22.9451, 22.9402) * CHOOSE(CONTROL!$C$15, $D$11, 100%, $F$11)</f>
        <v>22.9451</v>
      </c>
      <c r="D757" s="8">
        <f>CHOOSE( CONTROL!$C$32, 22.9456, 22.9406) * CHOOSE( CONTROL!$C$15, $D$11, 100%, $F$11)</f>
        <v>22.945599999999999</v>
      </c>
      <c r="E757" s="12">
        <f>CHOOSE( CONTROL!$C$32, 22.9438, 22.9389) * CHOOSE( CONTROL!$C$15, $D$11, 100%, $F$11)</f>
        <v>22.9438</v>
      </c>
      <c r="F757" s="4">
        <f>CHOOSE( CONTROL!$C$32, 23.9472, 23.9422) * CHOOSE(CONTROL!$C$15, $D$11, 100%, $F$11)</f>
        <v>23.947199999999999</v>
      </c>
      <c r="G757" s="8">
        <f>CHOOSE( CONTROL!$C$32, 22.343, 22.3382) * CHOOSE( CONTROL!$C$15, $D$11, 100%, $F$11)</f>
        <v>22.343</v>
      </c>
      <c r="H757" s="4">
        <f>CHOOSE( CONTROL!$C$32, 23.2668, 23.262) * CHOOSE(CONTROL!$C$15, $D$11, 100%, $F$11)</f>
        <v>23.2668</v>
      </c>
      <c r="I757" s="8">
        <f>CHOOSE( CONTROL!$C$32, 22.0268, 22.0221) * CHOOSE(CONTROL!$C$15, $D$11, 100%, $F$11)</f>
        <v>22.026800000000001</v>
      </c>
      <c r="J757" s="4">
        <f>CHOOSE( CONTROL!$C$32, 21.9713, 21.9665) * CHOOSE(CONTROL!$C$15, $D$11, 100%, $F$11)</f>
        <v>21.971299999999999</v>
      </c>
      <c r="K757" s="4"/>
      <c r="L757" s="9">
        <v>28.568200000000001</v>
      </c>
      <c r="M757" s="9">
        <v>11.6745</v>
      </c>
      <c r="N757" s="9">
        <v>4.7850000000000001</v>
      </c>
      <c r="O757" s="9">
        <v>0.36249999999999999</v>
      </c>
      <c r="P757" s="9">
        <v>1.1798</v>
      </c>
      <c r="Q757" s="9">
        <v>19.053000000000001</v>
      </c>
      <c r="R757" s="9"/>
      <c r="S757" s="11"/>
    </row>
    <row r="758" spans="1:19" ht="15.75">
      <c r="A758" s="13">
        <v>64954</v>
      </c>
      <c r="B758" s="8">
        <f>23.9482 * CHOOSE(CONTROL!$C$15, $D$11, 100%, $F$11)</f>
        <v>23.9482</v>
      </c>
      <c r="C758" s="8">
        <f>23.9586 * CHOOSE(CONTROL!$C$15, $D$11, 100%, $F$11)</f>
        <v>23.958600000000001</v>
      </c>
      <c r="D758" s="8">
        <f>23.9603 * CHOOSE( CONTROL!$C$15, $D$11, 100%, $F$11)</f>
        <v>23.9603</v>
      </c>
      <c r="E758" s="12">
        <f>23.9586 * CHOOSE( CONTROL!$C$15, $D$11, 100%, $F$11)</f>
        <v>23.958600000000001</v>
      </c>
      <c r="F758" s="4">
        <f>24.9606 * CHOOSE(CONTROL!$C$15, $D$11, 100%, $F$11)</f>
        <v>24.960599999999999</v>
      </c>
      <c r="G758" s="8">
        <f>23.3306 * CHOOSE( CONTROL!$C$15, $D$11, 100%, $F$11)</f>
        <v>23.3306</v>
      </c>
      <c r="H758" s="4">
        <f>24.2547 * CHOOSE(CONTROL!$C$15, $D$11, 100%, $F$11)</f>
        <v>24.2547</v>
      </c>
      <c r="I758" s="8">
        <f>23.0007 * CHOOSE(CONTROL!$C$15, $D$11, 100%, $F$11)</f>
        <v>23.000699999999998</v>
      </c>
      <c r="J758" s="4">
        <f>22.9424 * CHOOSE(CONTROL!$C$15, $D$11, 100%, $F$11)</f>
        <v>22.942399999999999</v>
      </c>
      <c r="K758" s="4"/>
      <c r="L758" s="9">
        <v>28.921800000000001</v>
      </c>
      <c r="M758" s="9">
        <v>12.063700000000001</v>
      </c>
      <c r="N758" s="9">
        <v>4.9444999999999997</v>
      </c>
      <c r="O758" s="9">
        <v>0.37459999999999999</v>
      </c>
      <c r="P758" s="9">
        <v>1.2192000000000001</v>
      </c>
      <c r="Q758" s="9">
        <v>19.688099999999999</v>
      </c>
      <c r="R758" s="9"/>
      <c r="S758" s="11"/>
    </row>
    <row r="759" spans="1:19" ht="15.75">
      <c r="A759" s="13">
        <v>64984</v>
      </c>
      <c r="B759" s="8">
        <f>25.8279 * CHOOSE(CONTROL!$C$15, $D$11, 100%, $F$11)</f>
        <v>25.8279</v>
      </c>
      <c r="C759" s="8">
        <f>25.8384 * CHOOSE(CONTROL!$C$15, $D$11, 100%, $F$11)</f>
        <v>25.8384</v>
      </c>
      <c r="D759" s="8">
        <f>25.8194 * CHOOSE( CONTROL!$C$15, $D$11, 100%, $F$11)</f>
        <v>25.819400000000002</v>
      </c>
      <c r="E759" s="12">
        <f>25.8252 * CHOOSE( CONTROL!$C$15, $D$11, 100%, $F$11)</f>
        <v>25.825199999999999</v>
      </c>
      <c r="F759" s="4">
        <f>26.8247 * CHOOSE(CONTROL!$C$15, $D$11, 100%, $F$11)</f>
        <v>26.8247</v>
      </c>
      <c r="G759" s="8">
        <f>25.1858 * CHOOSE( CONTROL!$C$15, $D$11, 100%, $F$11)</f>
        <v>25.1858</v>
      </c>
      <c r="H759" s="4">
        <f>26.0717 * CHOOSE(CONTROL!$C$15, $D$11, 100%, $F$11)</f>
        <v>26.0717</v>
      </c>
      <c r="I759" s="8">
        <f>24.8493 * CHOOSE(CONTROL!$C$15, $D$11, 100%, $F$11)</f>
        <v>24.849299999999999</v>
      </c>
      <c r="J759" s="4">
        <f>24.7436 * CHOOSE(CONTROL!$C$15, $D$11, 100%, $F$11)</f>
        <v>24.743600000000001</v>
      </c>
      <c r="K759" s="4"/>
      <c r="L759" s="9">
        <v>26.515499999999999</v>
      </c>
      <c r="M759" s="9">
        <v>11.6745</v>
      </c>
      <c r="N759" s="9">
        <v>4.7850000000000001</v>
      </c>
      <c r="O759" s="9">
        <v>0.36249999999999999</v>
      </c>
      <c r="P759" s="9">
        <v>1.2522</v>
      </c>
      <c r="Q759" s="9">
        <v>19.053000000000001</v>
      </c>
      <c r="R759" s="9"/>
      <c r="S759" s="11"/>
    </row>
    <row r="760" spans="1:19" ht="15.75">
      <c r="A760" s="13">
        <v>65015</v>
      </c>
      <c r="B760" s="8">
        <f>25.781 * CHOOSE(CONTROL!$C$15, $D$11, 100%, $F$11)</f>
        <v>25.780999999999999</v>
      </c>
      <c r="C760" s="8">
        <f>25.7914 * CHOOSE(CONTROL!$C$15, $D$11, 100%, $F$11)</f>
        <v>25.791399999999999</v>
      </c>
      <c r="D760" s="8">
        <f>25.775 * CHOOSE( CONTROL!$C$15, $D$11, 100%, $F$11)</f>
        <v>25.774999999999999</v>
      </c>
      <c r="E760" s="12">
        <f>25.7799 * CHOOSE( CONTROL!$C$15, $D$11, 100%, $F$11)</f>
        <v>25.779900000000001</v>
      </c>
      <c r="F760" s="4">
        <f>26.7778 * CHOOSE(CONTROL!$C$15, $D$11, 100%, $F$11)</f>
        <v>26.777799999999999</v>
      </c>
      <c r="G760" s="8">
        <f>25.142 * CHOOSE( CONTROL!$C$15, $D$11, 100%, $F$11)</f>
        <v>25.141999999999999</v>
      </c>
      <c r="H760" s="4">
        <f>26.026 * CHOOSE(CONTROL!$C$15, $D$11, 100%, $F$11)</f>
        <v>26.026</v>
      </c>
      <c r="I760" s="8">
        <f>24.813 * CHOOSE(CONTROL!$C$15, $D$11, 100%, $F$11)</f>
        <v>24.812999999999999</v>
      </c>
      <c r="J760" s="4">
        <f>24.6986 * CHOOSE(CONTROL!$C$15, $D$11, 100%, $F$11)</f>
        <v>24.698599999999999</v>
      </c>
      <c r="K760" s="4"/>
      <c r="L760" s="9">
        <v>27.3993</v>
      </c>
      <c r="M760" s="9">
        <v>12.063700000000001</v>
      </c>
      <c r="N760" s="9">
        <v>4.9444999999999997</v>
      </c>
      <c r="O760" s="9">
        <v>0.37459999999999999</v>
      </c>
      <c r="P760" s="9">
        <v>1.2939000000000001</v>
      </c>
      <c r="Q760" s="9">
        <v>19.688099999999999</v>
      </c>
      <c r="R760" s="9"/>
      <c r="S760" s="11"/>
    </row>
    <row r="761" spans="1:19" ht="15.75">
      <c r="A761" s="13">
        <v>65046</v>
      </c>
      <c r="B761" s="8">
        <f>26.7661 * CHOOSE(CONTROL!$C$15, $D$11, 100%, $F$11)</f>
        <v>26.766100000000002</v>
      </c>
      <c r="C761" s="8">
        <f>26.7765 * CHOOSE(CONTROL!$C$15, $D$11, 100%, $F$11)</f>
        <v>26.776499999999999</v>
      </c>
      <c r="D761" s="8">
        <f>26.7751 * CHOOSE( CONTROL!$C$15, $D$11, 100%, $F$11)</f>
        <v>26.775099999999998</v>
      </c>
      <c r="E761" s="12">
        <f>26.7745 * CHOOSE( CONTROL!$C$15, $D$11, 100%, $F$11)</f>
        <v>26.7745</v>
      </c>
      <c r="F761" s="4">
        <f>27.789 * CHOOSE(CONTROL!$C$15, $D$11, 100%, $F$11)</f>
        <v>27.789000000000001</v>
      </c>
      <c r="G761" s="8">
        <f>26.1192 * CHOOSE( CONTROL!$C$15, $D$11, 100%, $F$11)</f>
        <v>26.119199999999999</v>
      </c>
      <c r="H761" s="4">
        <f>27.0117 * CHOOSE(CONTROL!$C$15, $D$11, 100%, $F$11)</f>
        <v>27.011700000000001</v>
      </c>
      <c r="I761" s="8">
        <f>25.7639 * CHOOSE(CONTROL!$C$15, $D$11, 100%, $F$11)</f>
        <v>25.7639</v>
      </c>
      <c r="J761" s="4">
        <f>25.6425 * CHOOSE(CONTROL!$C$15, $D$11, 100%, $F$11)</f>
        <v>25.642499999999998</v>
      </c>
      <c r="K761" s="4"/>
      <c r="L761" s="9">
        <v>27.3993</v>
      </c>
      <c r="M761" s="9">
        <v>12.063700000000001</v>
      </c>
      <c r="N761" s="9">
        <v>4.9444999999999997</v>
      </c>
      <c r="O761" s="9">
        <v>0.37459999999999999</v>
      </c>
      <c r="P761" s="9">
        <v>1.2939000000000001</v>
      </c>
      <c r="Q761" s="9">
        <v>19.688099999999999</v>
      </c>
      <c r="R761" s="9"/>
      <c r="S761" s="11"/>
    </row>
    <row r="762" spans="1:19" ht="15.75">
      <c r="A762" s="13">
        <v>65074</v>
      </c>
      <c r="B762" s="8">
        <f>25.036 * CHOOSE(CONTROL!$C$15, $D$11, 100%, $F$11)</f>
        <v>25.036000000000001</v>
      </c>
      <c r="C762" s="8">
        <f>25.0465 * CHOOSE(CONTROL!$C$15, $D$11, 100%, $F$11)</f>
        <v>25.046500000000002</v>
      </c>
      <c r="D762" s="8">
        <f>25.0473 * CHOOSE( CONTROL!$C$15, $D$11, 100%, $F$11)</f>
        <v>25.0473</v>
      </c>
      <c r="E762" s="12">
        <f>25.0459 * CHOOSE( CONTROL!$C$15, $D$11, 100%, $F$11)</f>
        <v>25.0459</v>
      </c>
      <c r="F762" s="4">
        <f>26.0511 * CHOOSE(CONTROL!$C$15, $D$11, 100%, $F$11)</f>
        <v>26.051100000000002</v>
      </c>
      <c r="G762" s="8">
        <f>24.4326 * CHOOSE( CONTROL!$C$15, $D$11, 100%, $F$11)</f>
        <v>24.432600000000001</v>
      </c>
      <c r="H762" s="4">
        <f>25.3176 * CHOOSE(CONTROL!$C$15, $D$11, 100%, $F$11)</f>
        <v>25.317599999999999</v>
      </c>
      <c r="I762" s="8">
        <f>24.0944 * CHOOSE(CONTROL!$C$15, $D$11, 100%, $F$11)</f>
        <v>24.0944</v>
      </c>
      <c r="J762" s="4">
        <f>23.9848 * CHOOSE(CONTROL!$C$15, $D$11, 100%, $F$11)</f>
        <v>23.9848</v>
      </c>
      <c r="K762" s="4"/>
      <c r="L762" s="9">
        <v>24.747800000000002</v>
      </c>
      <c r="M762" s="9">
        <v>10.8962</v>
      </c>
      <c r="N762" s="9">
        <v>4.4660000000000002</v>
      </c>
      <c r="O762" s="9">
        <v>0.33829999999999999</v>
      </c>
      <c r="P762" s="9">
        <v>1.1687000000000001</v>
      </c>
      <c r="Q762" s="9">
        <v>17.782800000000002</v>
      </c>
      <c r="R762" s="9"/>
      <c r="S762" s="11"/>
    </row>
    <row r="763" spans="1:19" ht="15.75">
      <c r="A763" s="13">
        <v>65105</v>
      </c>
      <c r="B763" s="8">
        <f>24.5032 * CHOOSE(CONTROL!$C$15, $D$11, 100%, $F$11)</f>
        <v>24.5032</v>
      </c>
      <c r="C763" s="8">
        <f>24.5136 * CHOOSE(CONTROL!$C$15, $D$11, 100%, $F$11)</f>
        <v>24.5136</v>
      </c>
      <c r="D763" s="8">
        <f>24.4941 * CHOOSE( CONTROL!$C$15, $D$11, 100%, $F$11)</f>
        <v>24.4941</v>
      </c>
      <c r="E763" s="12">
        <f>24.5001 * CHOOSE( CONTROL!$C$15, $D$11, 100%, $F$11)</f>
        <v>24.5001</v>
      </c>
      <c r="F763" s="4">
        <f>25.5021 * CHOOSE(CONTROL!$C$15, $D$11, 100%, $F$11)</f>
        <v>25.502099999999999</v>
      </c>
      <c r="G763" s="8">
        <f>23.8925 * CHOOSE( CONTROL!$C$15, $D$11, 100%, $F$11)</f>
        <v>23.892499999999998</v>
      </c>
      <c r="H763" s="4">
        <f>24.7825 * CHOOSE(CONTROL!$C$15, $D$11, 100%, $F$11)</f>
        <v>24.782499999999999</v>
      </c>
      <c r="I763" s="8">
        <f>23.5441 * CHOOSE(CONTROL!$C$15, $D$11, 100%, $F$11)</f>
        <v>23.5441</v>
      </c>
      <c r="J763" s="4">
        <f>23.4742 * CHOOSE(CONTROL!$C$15, $D$11, 100%, $F$11)</f>
        <v>23.4742</v>
      </c>
      <c r="K763" s="4"/>
      <c r="L763" s="9">
        <v>27.3993</v>
      </c>
      <c r="M763" s="9">
        <v>12.063700000000001</v>
      </c>
      <c r="N763" s="9">
        <v>4.9444999999999997</v>
      </c>
      <c r="O763" s="9">
        <v>0.37459999999999999</v>
      </c>
      <c r="P763" s="9">
        <v>1.2939000000000001</v>
      </c>
      <c r="Q763" s="9">
        <v>19.688099999999999</v>
      </c>
      <c r="R763" s="9"/>
      <c r="S763" s="11"/>
    </row>
    <row r="764" spans="1:19" ht="15.75">
      <c r="A764" s="13">
        <v>65135</v>
      </c>
      <c r="B764" s="8">
        <f>24.8755 * CHOOSE(CONTROL!$C$15, $D$11, 100%, $F$11)</f>
        <v>24.875499999999999</v>
      </c>
      <c r="C764" s="8">
        <f>24.886 * CHOOSE(CONTROL!$C$15, $D$11, 100%, $F$11)</f>
        <v>24.885999999999999</v>
      </c>
      <c r="D764" s="8">
        <f>24.8898 * CHOOSE( CONTROL!$C$15, $D$11, 100%, $F$11)</f>
        <v>24.889800000000001</v>
      </c>
      <c r="E764" s="12">
        <f>24.8873 * CHOOSE( CONTROL!$C$15, $D$11, 100%, $F$11)</f>
        <v>24.8873</v>
      </c>
      <c r="F764" s="4">
        <f>25.8828 * CHOOSE(CONTROL!$C$15, $D$11, 100%, $F$11)</f>
        <v>25.8828</v>
      </c>
      <c r="G764" s="8">
        <f>24.2434 * CHOOSE( CONTROL!$C$15, $D$11, 100%, $F$11)</f>
        <v>24.243400000000001</v>
      </c>
      <c r="H764" s="4">
        <f>25.1535 * CHOOSE(CONTROL!$C$15, $D$11, 100%, $F$11)</f>
        <v>25.153500000000001</v>
      </c>
      <c r="I764" s="8">
        <f>23.8911 * CHOOSE(CONTROL!$C$15, $D$11, 100%, $F$11)</f>
        <v>23.891100000000002</v>
      </c>
      <c r="J764" s="4">
        <f>23.831 * CHOOSE(CONTROL!$C$15, $D$11, 100%, $F$11)</f>
        <v>23.831</v>
      </c>
      <c r="K764" s="4"/>
      <c r="L764" s="9">
        <v>27.988800000000001</v>
      </c>
      <c r="M764" s="9">
        <v>11.6745</v>
      </c>
      <c r="N764" s="9">
        <v>4.7850000000000001</v>
      </c>
      <c r="O764" s="9">
        <v>0.36249999999999999</v>
      </c>
      <c r="P764" s="9">
        <v>1.1798</v>
      </c>
      <c r="Q764" s="9">
        <v>19.053000000000001</v>
      </c>
      <c r="R764" s="9"/>
      <c r="S764" s="11"/>
    </row>
    <row r="765" spans="1:19" ht="15.75">
      <c r="A765" s="13">
        <v>65166</v>
      </c>
      <c r="B765" s="8">
        <f>CHOOSE( CONTROL!$C$32, 25.5432, 25.5382) * CHOOSE(CONTROL!$C$15, $D$11, 100%, $F$11)</f>
        <v>25.543199999999999</v>
      </c>
      <c r="C765" s="8">
        <f>CHOOSE( CONTROL!$C$32, 25.5536, 25.5487) * CHOOSE(CONTROL!$C$15, $D$11, 100%, $F$11)</f>
        <v>25.553599999999999</v>
      </c>
      <c r="D765" s="8">
        <f>CHOOSE( CONTROL!$C$32, 25.5322, 25.5273) * CHOOSE( CONTROL!$C$15, $D$11, 100%, $F$11)</f>
        <v>25.5322</v>
      </c>
      <c r="E765" s="12">
        <f>CHOOSE( CONTROL!$C$32, 25.5384, 25.5335) * CHOOSE( CONTROL!$C$15, $D$11, 100%, $F$11)</f>
        <v>25.538399999999999</v>
      </c>
      <c r="F765" s="4">
        <f>CHOOSE( CONTROL!$C$32, 26.5181, 26.5131) * CHOOSE(CONTROL!$C$15, $D$11, 100%, $F$11)</f>
        <v>26.5181</v>
      </c>
      <c r="G765" s="8">
        <f>CHOOSE( CONTROL!$C$32, 24.8756, 24.8707) * CHOOSE( CONTROL!$C$15, $D$11, 100%, $F$11)</f>
        <v>24.875599999999999</v>
      </c>
      <c r="H765" s="4">
        <f>CHOOSE( CONTROL!$C$32, 25.7728, 25.768) * CHOOSE(CONTROL!$C$15, $D$11, 100%, $F$11)</f>
        <v>25.7728</v>
      </c>
      <c r="I765" s="8">
        <f>CHOOSE( CONTROL!$C$32, 24.5096, 24.5049) * CHOOSE(CONTROL!$C$15, $D$11, 100%, $F$11)</f>
        <v>24.509599999999999</v>
      </c>
      <c r="J765" s="4">
        <f>CHOOSE( CONTROL!$C$32, 24.4707, 24.466) * CHOOSE(CONTROL!$C$15, $D$11, 100%, $F$11)</f>
        <v>24.470700000000001</v>
      </c>
      <c r="K765" s="4"/>
      <c r="L765" s="9">
        <v>29.520499999999998</v>
      </c>
      <c r="M765" s="9">
        <v>12.063700000000001</v>
      </c>
      <c r="N765" s="9">
        <v>4.9444999999999997</v>
      </c>
      <c r="O765" s="9">
        <v>0.37459999999999999</v>
      </c>
      <c r="P765" s="9">
        <v>1.2192000000000001</v>
      </c>
      <c r="Q765" s="9">
        <v>19.688099999999999</v>
      </c>
      <c r="R765" s="9"/>
      <c r="S765" s="11"/>
    </row>
    <row r="766" spans="1:19" ht="15.75">
      <c r="A766" s="13">
        <v>65196</v>
      </c>
      <c r="B766" s="8">
        <f>CHOOSE( CONTROL!$C$32, 25.1326, 25.1277) * CHOOSE(CONTROL!$C$15, $D$11, 100%, $F$11)</f>
        <v>25.1326</v>
      </c>
      <c r="C766" s="8">
        <f>CHOOSE( CONTROL!$C$32, 25.1431, 25.1381) * CHOOSE(CONTROL!$C$15, $D$11, 100%, $F$11)</f>
        <v>25.1431</v>
      </c>
      <c r="D766" s="8">
        <f>CHOOSE( CONTROL!$C$32, 25.1352, 25.1302) * CHOOSE( CONTROL!$C$15, $D$11, 100%, $F$11)</f>
        <v>25.135200000000001</v>
      </c>
      <c r="E766" s="12">
        <f>CHOOSE( CONTROL!$C$32, 25.1365, 25.1315) * CHOOSE( CONTROL!$C$15, $D$11, 100%, $F$11)</f>
        <v>25.136500000000002</v>
      </c>
      <c r="F766" s="4">
        <f>CHOOSE( CONTROL!$C$32, 26.1268, 26.1219) * CHOOSE(CONTROL!$C$15, $D$11, 100%, $F$11)</f>
        <v>26.126799999999999</v>
      </c>
      <c r="G766" s="8">
        <f>CHOOSE( CONTROL!$C$32, 24.4858, 24.481) * CHOOSE( CONTROL!$C$15, $D$11, 100%, $F$11)</f>
        <v>24.485800000000001</v>
      </c>
      <c r="H766" s="4">
        <f>CHOOSE( CONTROL!$C$32, 25.3915, 25.3866) * CHOOSE(CONTROL!$C$15, $D$11, 100%, $F$11)</f>
        <v>25.391500000000001</v>
      </c>
      <c r="I766" s="8">
        <f>CHOOSE( CONTROL!$C$32, 24.1339, 24.1292) * CHOOSE(CONTROL!$C$15, $D$11, 100%, $F$11)</f>
        <v>24.133900000000001</v>
      </c>
      <c r="J766" s="4">
        <f>CHOOSE( CONTROL!$C$32, 24.0773, 24.0726) * CHOOSE(CONTROL!$C$15, $D$11, 100%, $F$11)</f>
        <v>24.077300000000001</v>
      </c>
      <c r="K766" s="4"/>
      <c r="L766" s="9">
        <v>28.568200000000001</v>
      </c>
      <c r="M766" s="9">
        <v>11.6745</v>
      </c>
      <c r="N766" s="9">
        <v>4.7850000000000001</v>
      </c>
      <c r="O766" s="9">
        <v>0.36249999999999999</v>
      </c>
      <c r="P766" s="9">
        <v>1.1798</v>
      </c>
      <c r="Q766" s="9">
        <v>19.053000000000001</v>
      </c>
      <c r="R766" s="9"/>
      <c r="S766" s="11"/>
    </row>
    <row r="767" spans="1:19" ht="15.75">
      <c r="A767" s="13">
        <v>65227</v>
      </c>
      <c r="B767" s="8">
        <f>CHOOSE( CONTROL!$C$32, 26.2137, 26.2087) * CHOOSE(CONTROL!$C$15, $D$11, 100%, $F$11)</f>
        <v>26.213699999999999</v>
      </c>
      <c r="C767" s="8">
        <f>CHOOSE( CONTROL!$C$32, 26.2241, 26.2192) * CHOOSE(CONTROL!$C$15, $D$11, 100%, $F$11)</f>
        <v>26.2241</v>
      </c>
      <c r="D767" s="8">
        <f>CHOOSE( CONTROL!$C$32, 26.2231, 26.2182) * CHOOSE( CONTROL!$C$15, $D$11, 100%, $F$11)</f>
        <v>26.223099999999999</v>
      </c>
      <c r="E767" s="12">
        <f>CHOOSE( CONTROL!$C$32, 26.2219, 26.217) * CHOOSE( CONTROL!$C$15, $D$11, 100%, $F$11)</f>
        <v>26.221900000000002</v>
      </c>
      <c r="F767" s="4">
        <f>CHOOSE( CONTROL!$C$32, 27.2183, 27.2134) * CHOOSE(CONTROL!$C$15, $D$11, 100%, $F$11)</f>
        <v>27.218299999999999</v>
      </c>
      <c r="G767" s="8">
        <f>CHOOSE( CONTROL!$C$32, 25.5437, 25.5389) * CHOOSE( CONTROL!$C$15, $D$11, 100%, $F$11)</f>
        <v>25.543700000000001</v>
      </c>
      <c r="H767" s="4">
        <f>CHOOSE( CONTROL!$C$32, 26.4554, 26.4506) * CHOOSE(CONTROL!$C$15, $D$11, 100%, $F$11)</f>
        <v>26.455400000000001</v>
      </c>
      <c r="I767" s="8">
        <f>CHOOSE( CONTROL!$C$32, 25.1779, 25.1732) * CHOOSE(CONTROL!$C$15, $D$11, 100%, $F$11)</f>
        <v>25.177900000000001</v>
      </c>
      <c r="J767" s="4">
        <f>CHOOSE( CONTROL!$C$32, 25.1132, 25.1085) * CHOOSE(CONTROL!$C$15, $D$11, 100%, $F$11)</f>
        <v>25.113199999999999</v>
      </c>
      <c r="K767" s="4"/>
      <c r="L767" s="9">
        <v>29.520499999999998</v>
      </c>
      <c r="M767" s="9">
        <v>12.063700000000001</v>
      </c>
      <c r="N767" s="9">
        <v>4.9444999999999997</v>
      </c>
      <c r="O767" s="9">
        <v>0.37459999999999999</v>
      </c>
      <c r="P767" s="9">
        <v>1.2192000000000001</v>
      </c>
      <c r="Q767" s="9">
        <v>19.688099999999999</v>
      </c>
      <c r="R767" s="9"/>
      <c r="S767" s="11"/>
    </row>
    <row r="768" spans="1:19" ht="15.75">
      <c r="A768" s="13">
        <v>65258</v>
      </c>
      <c r="B768" s="8">
        <f>CHOOSE( CONTROL!$C$32, 24.1909, 24.186) * CHOOSE(CONTROL!$C$15, $D$11, 100%, $F$11)</f>
        <v>24.190899999999999</v>
      </c>
      <c r="C768" s="8">
        <f>CHOOSE( CONTROL!$C$32, 24.2014, 24.1964) * CHOOSE(CONTROL!$C$15, $D$11, 100%, $F$11)</f>
        <v>24.2014</v>
      </c>
      <c r="D768" s="8">
        <f>CHOOSE( CONTROL!$C$32, 24.2015, 24.1966) * CHOOSE( CONTROL!$C$15, $D$11, 100%, $F$11)</f>
        <v>24.201499999999999</v>
      </c>
      <c r="E768" s="12">
        <f>CHOOSE( CONTROL!$C$32, 24.1999, 24.1949) * CHOOSE( CONTROL!$C$15, $D$11, 100%, $F$11)</f>
        <v>24.1999</v>
      </c>
      <c r="F768" s="4">
        <f>CHOOSE( CONTROL!$C$32, 25.2034, 25.1985) * CHOOSE(CONTROL!$C$15, $D$11, 100%, $F$11)</f>
        <v>25.203399999999998</v>
      </c>
      <c r="G768" s="8">
        <f>CHOOSE( CONTROL!$C$32, 23.5671, 23.5623) * CHOOSE( CONTROL!$C$15, $D$11, 100%, $F$11)</f>
        <v>23.5671</v>
      </c>
      <c r="H768" s="4">
        <f>CHOOSE( CONTROL!$C$32, 24.4913, 24.4865) * CHOOSE(CONTROL!$C$15, $D$11, 100%, $F$11)</f>
        <v>24.491299999999999</v>
      </c>
      <c r="I768" s="8">
        <f>CHOOSE( CONTROL!$C$32, 23.2297, 23.225) * CHOOSE(CONTROL!$C$15, $D$11, 100%, $F$11)</f>
        <v>23.229700000000001</v>
      </c>
      <c r="J768" s="4">
        <f>CHOOSE( CONTROL!$C$32, 23.175, 23.1703) * CHOOSE(CONTROL!$C$15, $D$11, 100%, $F$11)</f>
        <v>23.175000000000001</v>
      </c>
      <c r="K768" s="4"/>
      <c r="L768" s="9">
        <v>29.520499999999998</v>
      </c>
      <c r="M768" s="9">
        <v>12.063700000000001</v>
      </c>
      <c r="N768" s="9">
        <v>4.9444999999999997</v>
      </c>
      <c r="O768" s="9">
        <v>0.37459999999999999</v>
      </c>
      <c r="P768" s="9">
        <v>1.2192000000000001</v>
      </c>
      <c r="Q768" s="9">
        <v>19.688099999999999</v>
      </c>
      <c r="R768" s="9"/>
      <c r="S768" s="11"/>
    </row>
    <row r="769" spans="1:19" ht="15.75">
      <c r="A769" s="13">
        <v>65288</v>
      </c>
      <c r="B769" s="8">
        <f>CHOOSE( CONTROL!$C$32, 23.6844, 23.6795) * CHOOSE(CONTROL!$C$15, $D$11, 100%, $F$11)</f>
        <v>23.6844</v>
      </c>
      <c r="C769" s="8">
        <f>CHOOSE( CONTROL!$C$32, 23.6949, 23.6899) * CHOOSE(CONTROL!$C$15, $D$11, 100%, $F$11)</f>
        <v>23.694900000000001</v>
      </c>
      <c r="D769" s="8">
        <f>CHOOSE( CONTROL!$C$32, 23.6953, 23.6904) * CHOOSE( CONTROL!$C$15, $D$11, 100%, $F$11)</f>
        <v>23.6953</v>
      </c>
      <c r="E769" s="12">
        <f>CHOOSE( CONTROL!$C$32, 23.6936, 23.6886) * CHOOSE( CONTROL!$C$15, $D$11, 100%, $F$11)</f>
        <v>23.6936</v>
      </c>
      <c r="F769" s="4">
        <f>CHOOSE( CONTROL!$C$32, 24.6969, 24.692) * CHOOSE(CONTROL!$C$15, $D$11, 100%, $F$11)</f>
        <v>24.696899999999999</v>
      </c>
      <c r="G769" s="8">
        <f>CHOOSE( CONTROL!$C$32, 23.0738, 23.069) * CHOOSE( CONTROL!$C$15, $D$11, 100%, $F$11)</f>
        <v>23.073799999999999</v>
      </c>
      <c r="H769" s="4">
        <f>CHOOSE( CONTROL!$C$32, 23.9976, 23.9928) * CHOOSE(CONTROL!$C$15, $D$11, 100%, $F$11)</f>
        <v>23.997599999999998</v>
      </c>
      <c r="I769" s="8">
        <f>CHOOSE( CONTROL!$C$32, 22.7455, 22.7408) * CHOOSE(CONTROL!$C$15, $D$11, 100%, $F$11)</f>
        <v>22.7455</v>
      </c>
      <c r="J769" s="4">
        <f>CHOOSE( CONTROL!$C$32, 22.6897, 22.6849) * CHOOSE(CONTROL!$C$15, $D$11, 100%, $F$11)</f>
        <v>22.689699999999998</v>
      </c>
      <c r="K769" s="4"/>
      <c r="L769" s="9">
        <v>28.568200000000001</v>
      </c>
      <c r="M769" s="9">
        <v>11.6745</v>
      </c>
      <c r="N769" s="9">
        <v>4.7850000000000001</v>
      </c>
      <c r="O769" s="9">
        <v>0.36249999999999999</v>
      </c>
      <c r="P769" s="9">
        <v>1.1798</v>
      </c>
      <c r="Q769" s="9">
        <v>19.053000000000001</v>
      </c>
      <c r="R769" s="9"/>
      <c r="S769" s="11"/>
    </row>
    <row r="770" spans="1:19" ht="15.75">
      <c r="A770" s="13">
        <v>65319</v>
      </c>
      <c r="B770" s="8">
        <f>24.7312 * CHOOSE(CONTROL!$C$15, $D$11, 100%, $F$11)</f>
        <v>24.731200000000001</v>
      </c>
      <c r="C770" s="8">
        <f>24.7416 * CHOOSE(CONTROL!$C$15, $D$11, 100%, $F$11)</f>
        <v>24.741599999999998</v>
      </c>
      <c r="D770" s="8">
        <f>24.7433 * CHOOSE( CONTROL!$C$15, $D$11, 100%, $F$11)</f>
        <v>24.743300000000001</v>
      </c>
      <c r="E770" s="12">
        <f>24.7416 * CHOOSE( CONTROL!$C$15, $D$11, 100%, $F$11)</f>
        <v>24.741599999999998</v>
      </c>
      <c r="F770" s="4">
        <f>25.7437 * CHOOSE(CONTROL!$C$15, $D$11, 100%, $F$11)</f>
        <v>25.7437</v>
      </c>
      <c r="G770" s="8">
        <f>24.0938 * CHOOSE( CONTROL!$C$15, $D$11, 100%, $F$11)</f>
        <v>24.093800000000002</v>
      </c>
      <c r="H770" s="4">
        <f>25.0179 * CHOOSE(CONTROL!$C$15, $D$11, 100%, $F$11)</f>
        <v>25.017900000000001</v>
      </c>
      <c r="I770" s="8">
        <f>23.7513 * CHOOSE(CONTROL!$C$15, $D$11, 100%, $F$11)</f>
        <v>23.751300000000001</v>
      </c>
      <c r="J770" s="4">
        <f>23.6927 * CHOOSE(CONTROL!$C$15, $D$11, 100%, $F$11)</f>
        <v>23.692699999999999</v>
      </c>
      <c r="K770" s="4"/>
      <c r="L770" s="9">
        <v>28.921800000000001</v>
      </c>
      <c r="M770" s="9">
        <v>12.063700000000001</v>
      </c>
      <c r="N770" s="9">
        <v>4.9444999999999997</v>
      </c>
      <c r="O770" s="9">
        <v>0.37459999999999999</v>
      </c>
      <c r="P770" s="9">
        <v>1.2192000000000001</v>
      </c>
      <c r="Q770" s="9">
        <v>19.688099999999999</v>
      </c>
      <c r="R770" s="9"/>
      <c r="S770" s="11"/>
    </row>
    <row r="771" spans="1:19" ht="15.75">
      <c r="A771" s="13">
        <v>65349</v>
      </c>
      <c r="B771" s="8">
        <f>26.6724 * CHOOSE(CONTROL!$C$15, $D$11, 100%, $F$11)</f>
        <v>26.6724</v>
      </c>
      <c r="C771" s="8">
        <f>26.6829 * CHOOSE(CONTROL!$C$15, $D$11, 100%, $F$11)</f>
        <v>26.6829</v>
      </c>
      <c r="D771" s="8">
        <f>26.6639 * CHOOSE( CONTROL!$C$15, $D$11, 100%, $F$11)</f>
        <v>26.663900000000002</v>
      </c>
      <c r="E771" s="12">
        <f>26.6697 * CHOOSE( CONTROL!$C$15, $D$11, 100%, $F$11)</f>
        <v>26.669699999999999</v>
      </c>
      <c r="F771" s="4">
        <f>27.6692 * CHOOSE(CONTROL!$C$15, $D$11, 100%, $F$11)</f>
        <v>27.6692</v>
      </c>
      <c r="G771" s="8">
        <f>26.009 * CHOOSE( CONTROL!$C$15, $D$11, 100%, $F$11)</f>
        <v>26.009</v>
      </c>
      <c r="H771" s="4">
        <f>26.8949 * CHOOSE(CONTROL!$C$15, $D$11, 100%, $F$11)</f>
        <v>26.8949</v>
      </c>
      <c r="I771" s="8">
        <f>25.6589 * CHOOSE(CONTROL!$C$15, $D$11, 100%, $F$11)</f>
        <v>25.658899999999999</v>
      </c>
      <c r="J771" s="4">
        <f>25.5528 * CHOOSE(CONTROL!$C$15, $D$11, 100%, $F$11)</f>
        <v>25.552800000000001</v>
      </c>
      <c r="K771" s="4"/>
      <c r="L771" s="9">
        <v>26.515499999999999</v>
      </c>
      <c r="M771" s="9">
        <v>11.6745</v>
      </c>
      <c r="N771" s="9">
        <v>4.7850000000000001</v>
      </c>
      <c r="O771" s="9">
        <v>0.36249999999999999</v>
      </c>
      <c r="P771" s="9">
        <v>1.2522</v>
      </c>
      <c r="Q771" s="9">
        <v>19.053000000000001</v>
      </c>
      <c r="R771" s="9"/>
      <c r="S771" s="11"/>
    </row>
    <row r="772" spans="1:19" ht="15.75">
      <c r="A772" s="13">
        <v>65380</v>
      </c>
      <c r="B772" s="8">
        <f>26.6239 * CHOOSE(CONTROL!$C$15, $D$11, 100%, $F$11)</f>
        <v>26.623899999999999</v>
      </c>
      <c r="C772" s="8">
        <f>26.6344 * CHOOSE(CONTROL!$C$15, $D$11, 100%, $F$11)</f>
        <v>26.634399999999999</v>
      </c>
      <c r="D772" s="8">
        <f>26.618 * CHOOSE( CONTROL!$C$15, $D$11, 100%, $F$11)</f>
        <v>26.617999999999999</v>
      </c>
      <c r="E772" s="12">
        <f>26.6229 * CHOOSE( CONTROL!$C$15, $D$11, 100%, $F$11)</f>
        <v>26.622900000000001</v>
      </c>
      <c r="F772" s="4">
        <f>27.6207 * CHOOSE(CONTROL!$C$15, $D$11, 100%, $F$11)</f>
        <v>27.620699999999999</v>
      </c>
      <c r="G772" s="8">
        <f>25.9637 * CHOOSE( CONTROL!$C$15, $D$11, 100%, $F$11)</f>
        <v>25.963699999999999</v>
      </c>
      <c r="H772" s="4">
        <f>26.8477 * CHOOSE(CONTROL!$C$15, $D$11, 100%, $F$11)</f>
        <v>26.8477</v>
      </c>
      <c r="I772" s="8">
        <f>25.6212 * CHOOSE(CONTROL!$C$15, $D$11, 100%, $F$11)</f>
        <v>25.621200000000002</v>
      </c>
      <c r="J772" s="4">
        <f>25.5063 * CHOOSE(CONTROL!$C$15, $D$11, 100%, $F$11)</f>
        <v>25.5063</v>
      </c>
      <c r="K772" s="4"/>
      <c r="L772" s="9">
        <v>27.3993</v>
      </c>
      <c r="M772" s="9">
        <v>12.063700000000001</v>
      </c>
      <c r="N772" s="9">
        <v>4.9444999999999997</v>
      </c>
      <c r="O772" s="9">
        <v>0.37459999999999999</v>
      </c>
      <c r="P772" s="9">
        <v>1.2939000000000001</v>
      </c>
      <c r="Q772" s="9">
        <v>19.688099999999999</v>
      </c>
      <c r="R772" s="9"/>
      <c r="S772" s="11"/>
    </row>
    <row r="773" spans="1:19" ht="15.75">
      <c r="A773" s="13">
        <v>65411</v>
      </c>
      <c r="B773" s="8">
        <f>27.6413 * CHOOSE(CONTROL!$C$15, $D$11, 100%, $F$11)</f>
        <v>27.641300000000001</v>
      </c>
      <c r="C773" s="8">
        <f>27.6517 * CHOOSE(CONTROL!$C$15, $D$11, 100%, $F$11)</f>
        <v>27.651700000000002</v>
      </c>
      <c r="D773" s="8">
        <f>27.6503 * CHOOSE( CONTROL!$C$15, $D$11, 100%, $F$11)</f>
        <v>27.650300000000001</v>
      </c>
      <c r="E773" s="12">
        <f>27.6497 * CHOOSE( CONTROL!$C$15, $D$11, 100%, $F$11)</f>
        <v>27.649699999999999</v>
      </c>
      <c r="F773" s="4">
        <f>28.6642 * CHOOSE(CONTROL!$C$15, $D$11, 100%, $F$11)</f>
        <v>28.664200000000001</v>
      </c>
      <c r="G773" s="8">
        <f>26.9723 * CHOOSE( CONTROL!$C$15, $D$11, 100%, $F$11)</f>
        <v>26.972300000000001</v>
      </c>
      <c r="H773" s="4">
        <f>27.8648 * CHOOSE(CONTROL!$C$15, $D$11, 100%, $F$11)</f>
        <v>27.864799999999999</v>
      </c>
      <c r="I773" s="8">
        <f>26.603 * CHOOSE(CONTROL!$C$15, $D$11, 100%, $F$11)</f>
        <v>26.603000000000002</v>
      </c>
      <c r="J773" s="4">
        <f>26.4811 * CHOOSE(CONTROL!$C$15, $D$11, 100%, $F$11)</f>
        <v>26.481100000000001</v>
      </c>
      <c r="K773" s="4"/>
      <c r="L773" s="9">
        <v>27.3993</v>
      </c>
      <c r="M773" s="9">
        <v>12.063700000000001</v>
      </c>
      <c r="N773" s="9">
        <v>4.9444999999999997</v>
      </c>
      <c r="O773" s="9">
        <v>0.37459999999999999</v>
      </c>
      <c r="P773" s="9">
        <v>1.2939000000000001</v>
      </c>
      <c r="Q773" s="9">
        <v>19.688099999999999</v>
      </c>
      <c r="R773" s="9"/>
      <c r="S773" s="11"/>
    </row>
    <row r="774" spans="1:19" ht="15.75">
      <c r="A774" s="13">
        <v>65439</v>
      </c>
      <c r="B774" s="8">
        <f>25.8546 * CHOOSE(CONTROL!$C$15, $D$11, 100%, $F$11)</f>
        <v>25.854600000000001</v>
      </c>
      <c r="C774" s="8">
        <f>25.8651 * CHOOSE(CONTROL!$C$15, $D$11, 100%, $F$11)</f>
        <v>25.865100000000002</v>
      </c>
      <c r="D774" s="8">
        <f>25.8659 * CHOOSE( CONTROL!$C$15, $D$11, 100%, $F$11)</f>
        <v>25.8659</v>
      </c>
      <c r="E774" s="12">
        <f>25.8645 * CHOOSE( CONTROL!$C$15, $D$11, 100%, $F$11)</f>
        <v>25.8645</v>
      </c>
      <c r="F774" s="4">
        <f>26.8697 * CHOOSE(CONTROL!$C$15, $D$11, 100%, $F$11)</f>
        <v>26.869700000000002</v>
      </c>
      <c r="G774" s="8">
        <f>25.2305 * CHOOSE( CONTROL!$C$15, $D$11, 100%, $F$11)</f>
        <v>25.230499999999999</v>
      </c>
      <c r="H774" s="4">
        <f>26.1156 * CHOOSE(CONTROL!$C$15, $D$11, 100%, $F$11)</f>
        <v>26.115600000000001</v>
      </c>
      <c r="I774" s="8">
        <f>24.8792 * CHOOSE(CONTROL!$C$15, $D$11, 100%, $F$11)</f>
        <v>24.879200000000001</v>
      </c>
      <c r="J774" s="4">
        <f>24.7692 * CHOOSE(CONTROL!$C$15, $D$11, 100%, $F$11)</f>
        <v>24.769200000000001</v>
      </c>
      <c r="K774" s="4"/>
      <c r="L774" s="9">
        <v>24.747800000000002</v>
      </c>
      <c r="M774" s="9">
        <v>10.8962</v>
      </c>
      <c r="N774" s="9">
        <v>4.4660000000000002</v>
      </c>
      <c r="O774" s="9">
        <v>0.33829999999999999</v>
      </c>
      <c r="P774" s="9">
        <v>1.1687000000000001</v>
      </c>
      <c r="Q774" s="9">
        <v>17.782800000000002</v>
      </c>
      <c r="R774" s="9"/>
      <c r="S774" s="11"/>
    </row>
    <row r="775" spans="1:19" ht="15.75">
      <c r="A775" s="13">
        <v>65470</v>
      </c>
      <c r="B775" s="8">
        <f>25.3044 * CHOOSE(CONTROL!$C$15, $D$11, 100%, $F$11)</f>
        <v>25.304400000000001</v>
      </c>
      <c r="C775" s="8">
        <f>25.3148 * CHOOSE(CONTROL!$C$15, $D$11, 100%, $F$11)</f>
        <v>25.314800000000002</v>
      </c>
      <c r="D775" s="8">
        <f>25.2953 * CHOOSE( CONTROL!$C$15, $D$11, 100%, $F$11)</f>
        <v>25.295300000000001</v>
      </c>
      <c r="E775" s="12">
        <f>25.3013 * CHOOSE( CONTROL!$C$15, $D$11, 100%, $F$11)</f>
        <v>25.301300000000001</v>
      </c>
      <c r="F775" s="4">
        <f>26.3033 * CHOOSE(CONTROL!$C$15, $D$11, 100%, $F$11)</f>
        <v>26.3033</v>
      </c>
      <c r="G775" s="8">
        <f>24.6734 * CHOOSE( CONTROL!$C$15, $D$11, 100%, $F$11)</f>
        <v>24.673400000000001</v>
      </c>
      <c r="H775" s="4">
        <f>25.5634 * CHOOSE(CONTROL!$C$15, $D$11, 100%, $F$11)</f>
        <v>25.563400000000001</v>
      </c>
      <c r="I775" s="8">
        <f>24.3122 * CHOOSE(CONTROL!$C$15, $D$11, 100%, $F$11)</f>
        <v>24.312200000000001</v>
      </c>
      <c r="J775" s="4">
        <f>24.2419 * CHOOSE(CONTROL!$C$15, $D$11, 100%, $F$11)</f>
        <v>24.241900000000001</v>
      </c>
      <c r="K775" s="4"/>
      <c r="L775" s="9">
        <v>27.3993</v>
      </c>
      <c r="M775" s="9">
        <v>12.063700000000001</v>
      </c>
      <c r="N775" s="9">
        <v>4.9444999999999997</v>
      </c>
      <c r="O775" s="9">
        <v>0.37459999999999999</v>
      </c>
      <c r="P775" s="9">
        <v>1.2939000000000001</v>
      </c>
      <c r="Q775" s="9">
        <v>19.688099999999999</v>
      </c>
      <c r="R775" s="9"/>
      <c r="S775" s="11"/>
    </row>
    <row r="776" spans="1:19" ht="15.75">
      <c r="A776" s="13">
        <v>65500</v>
      </c>
      <c r="B776" s="8">
        <f>25.6889 * CHOOSE(CONTROL!$C$15, $D$11, 100%, $F$11)</f>
        <v>25.6889</v>
      </c>
      <c r="C776" s="8">
        <f>25.6993 * CHOOSE(CONTROL!$C$15, $D$11, 100%, $F$11)</f>
        <v>25.699300000000001</v>
      </c>
      <c r="D776" s="8">
        <f>25.7032 * CHOOSE( CONTROL!$C$15, $D$11, 100%, $F$11)</f>
        <v>25.703199999999999</v>
      </c>
      <c r="E776" s="12">
        <f>25.7007 * CHOOSE( CONTROL!$C$15, $D$11, 100%, $F$11)</f>
        <v>25.700700000000001</v>
      </c>
      <c r="F776" s="4">
        <f>26.6961 * CHOOSE(CONTROL!$C$15, $D$11, 100%, $F$11)</f>
        <v>26.696100000000001</v>
      </c>
      <c r="G776" s="8">
        <f>25.0362 * CHOOSE( CONTROL!$C$15, $D$11, 100%, $F$11)</f>
        <v>25.036200000000001</v>
      </c>
      <c r="H776" s="4">
        <f>25.9464 * CHOOSE(CONTROL!$C$15, $D$11, 100%, $F$11)</f>
        <v>25.946400000000001</v>
      </c>
      <c r="I776" s="8">
        <f>24.6709 * CHOOSE(CONTROL!$C$15, $D$11, 100%, $F$11)</f>
        <v>24.6709</v>
      </c>
      <c r="J776" s="4">
        <f>24.6103 * CHOOSE(CONTROL!$C$15, $D$11, 100%, $F$11)</f>
        <v>24.610299999999999</v>
      </c>
      <c r="K776" s="4"/>
      <c r="L776" s="9">
        <v>27.988800000000001</v>
      </c>
      <c r="M776" s="9">
        <v>11.6745</v>
      </c>
      <c r="N776" s="9">
        <v>4.7850000000000001</v>
      </c>
      <c r="O776" s="9">
        <v>0.36249999999999999</v>
      </c>
      <c r="P776" s="9">
        <v>1.1798</v>
      </c>
      <c r="Q776" s="9">
        <v>19.053000000000001</v>
      </c>
      <c r="R776" s="9"/>
      <c r="S776" s="11"/>
    </row>
    <row r="777" spans="1:19" ht="15.75">
      <c r="A777" s="13">
        <v>65531</v>
      </c>
      <c r="B777" s="8">
        <f>CHOOSE( CONTROL!$C$32, 26.3782, 26.3733) * CHOOSE(CONTROL!$C$15, $D$11, 100%, $F$11)</f>
        <v>26.3782</v>
      </c>
      <c r="C777" s="8">
        <f>CHOOSE( CONTROL!$C$32, 26.3886, 26.3837) * CHOOSE(CONTROL!$C$15, $D$11, 100%, $F$11)</f>
        <v>26.3886</v>
      </c>
      <c r="D777" s="8">
        <f>CHOOSE( CONTROL!$C$32, 26.3673, 26.3623) * CHOOSE( CONTROL!$C$15, $D$11, 100%, $F$11)</f>
        <v>26.3673</v>
      </c>
      <c r="E777" s="12">
        <f>CHOOSE( CONTROL!$C$32, 26.3734, 26.3685) * CHOOSE( CONTROL!$C$15, $D$11, 100%, $F$11)</f>
        <v>26.3734</v>
      </c>
      <c r="F777" s="4">
        <f>CHOOSE( CONTROL!$C$32, 27.3531, 27.3482) * CHOOSE(CONTROL!$C$15, $D$11, 100%, $F$11)</f>
        <v>27.353100000000001</v>
      </c>
      <c r="G777" s="8">
        <f>CHOOSE( CONTROL!$C$32, 25.6895, 25.6847) * CHOOSE( CONTROL!$C$15, $D$11, 100%, $F$11)</f>
        <v>25.689499999999999</v>
      </c>
      <c r="H777" s="4">
        <f>CHOOSE( CONTROL!$C$32, 26.5868, 26.5819) * CHOOSE(CONTROL!$C$15, $D$11, 100%, $F$11)</f>
        <v>26.5868</v>
      </c>
      <c r="I777" s="8">
        <f>CHOOSE( CONTROL!$C$32, 25.3102, 25.3054) * CHOOSE(CONTROL!$C$15, $D$11, 100%, $F$11)</f>
        <v>25.310199999999998</v>
      </c>
      <c r="J777" s="4">
        <f>CHOOSE( CONTROL!$C$32, 25.2708, 25.2661) * CHOOSE(CONTROL!$C$15, $D$11, 100%, $F$11)</f>
        <v>25.270800000000001</v>
      </c>
      <c r="K777" s="4"/>
      <c r="L777" s="9">
        <v>29.520499999999998</v>
      </c>
      <c r="M777" s="9">
        <v>12.063700000000001</v>
      </c>
      <c r="N777" s="9">
        <v>4.9444999999999997</v>
      </c>
      <c r="O777" s="9">
        <v>0.37459999999999999</v>
      </c>
      <c r="P777" s="9">
        <v>1.2192000000000001</v>
      </c>
      <c r="Q777" s="9">
        <v>19.688099999999999</v>
      </c>
      <c r="R777" s="9"/>
      <c r="S777" s="11"/>
    </row>
    <row r="778" spans="1:19" ht="15.75">
      <c r="A778" s="13">
        <v>65561</v>
      </c>
      <c r="B778" s="8">
        <f>CHOOSE( CONTROL!$C$32, 25.9542, 25.9493) * CHOOSE(CONTROL!$C$15, $D$11, 100%, $F$11)</f>
        <v>25.9542</v>
      </c>
      <c r="C778" s="8">
        <f>CHOOSE( CONTROL!$C$32, 25.9647, 25.9597) * CHOOSE(CONTROL!$C$15, $D$11, 100%, $F$11)</f>
        <v>25.964700000000001</v>
      </c>
      <c r="D778" s="8">
        <f>CHOOSE( CONTROL!$C$32, 25.9568, 25.9518) * CHOOSE( CONTROL!$C$15, $D$11, 100%, $F$11)</f>
        <v>25.956800000000001</v>
      </c>
      <c r="E778" s="12">
        <f>CHOOSE( CONTROL!$C$32, 25.9581, 25.9531) * CHOOSE( CONTROL!$C$15, $D$11, 100%, $F$11)</f>
        <v>25.958100000000002</v>
      </c>
      <c r="F778" s="4">
        <f>CHOOSE( CONTROL!$C$32, 26.9485, 26.9435) * CHOOSE(CONTROL!$C$15, $D$11, 100%, $F$11)</f>
        <v>26.948499999999999</v>
      </c>
      <c r="G778" s="8">
        <f>CHOOSE( CONTROL!$C$32, 25.2867, 25.2819) * CHOOSE( CONTROL!$C$15, $D$11, 100%, $F$11)</f>
        <v>25.2867</v>
      </c>
      <c r="H778" s="4">
        <f>CHOOSE( CONTROL!$C$32, 26.1923, 26.1875) * CHOOSE(CONTROL!$C$15, $D$11, 100%, $F$11)</f>
        <v>26.192299999999999</v>
      </c>
      <c r="I778" s="8">
        <f>CHOOSE( CONTROL!$C$32, 24.9216, 24.9168) * CHOOSE(CONTROL!$C$15, $D$11, 100%, $F$11)</f>
        <v>24.921600000000002</v>
      </c>
      <c r="J778" s="4">
        <f>CHOOSE( CONTROL!$C$32, 24.8646, 24.8599) * CHOOSE(CONTROL!$C$15, $D$11, 100%, $F$11)</f>
        <v>24.864599999999999</v>
      </c>
      <c r="K778" s="4"/>
      <c r="L778" s="9">
        <v>28.568200000000001</v>
      </c>
      <c r="M778" s="9">
        <v>11.6745</v>
      </c>
      <c r="N778" s="9">
        <v>4.7850000000000001</v>
      </c>
      <c r="O778" s="9">
        <v>0.36249999999999999</v>
      </c>
      <c r="P778" s="9">
        <v>1.1798</v>
      </c>
      <c r="Q778" s="9">
        <v>19.053000000000001</v>
      </c>
      <c r="R778" s="9"/>
      <c r="S778" s="11"/>
    </row>
    <row r="779" spans="1:19" ht="15.75">
      <c r="A779" s="13">
        <v>65592</v>
      </c>
      <c r="B779" s="8">
        <f>CHOOSE( CONTROL!$C$32, 27.0706, 27.0657) * CHOOSE(CONTROL!$C$15, $D$11, 100%, $F$11)</f>
        <v>27.070599999999999</v>
      </c>
      <c r="C779" s="8">
        <f>CHOOSE( CONTROL!$C$32, 27.0811, 27.0761) * CHOOSE(CONTROL!$C$15, $D$11, 100%, $F$11)</f>
        <v>27.081099999999999</v>
      </c>
      <c r="D779" s="8">
        <f>CHOOSE( CONTROL!$C$32, 27.0801, 27.0751) * CHOOSE( CONTROL!$C$15, $D$11, 100%, $F$11)</f>
        <v>27.080100000000002</v>
      </c>
      <c r="E779" s="12">
        <f>CHOOSE( CONTROL!$C$32, 27.0789, 27.0739) * CHOOSE( CONTROL!$C$15, $D$11, 100%, $F$11)</f>
        <v>27.078900000000001</v>
      </c>
      <c r="F779" s="4">
        <f>CHOOSE( CONTROL!$C$32, 28.0753, 28.0703) * CHOOSE(CONTROL!$C$15, $D$11, 100%, $F$11)</f>
        <v>28.075299999999999</v>
      </c>
      <c r="G779" s="8">
        <f>CHOOSE( CONTROL!$C$32, 26.379, 26.3742) * CHOOSE( CONTROL!$C$15, $D$11, 100%, $F$11)</f>
        <v>26.379000000000001</v>
      </c>
      <c r="H779" s="4">
        <f>CHOOSE( CONTROL!$C$32, 27.2907, 27.2859) * CHOOSE(CONTROL!$C$15, $D$11, 100%, $F$11)</f>
        <v>27.290700000000001</v>
      </c>
      <c r="I779" s="8">
        <f>CHOOSE( CONTROL!$C$32, 25.9995, 25.9947) * CHOOSE(CONTROL!$C$15, $D$11, 100%, $F$11)</f>
        <v>25.999500000000001</v>
      </c>
      <c r="J779" s="4">
        <f>CHOOSE( CONTROL!$C$32, 25.9343, 25.9296) * CHOOSE(CONTROL!$C$15, $D$11, 100%, $F$11)</f>
        <v>25.9343</v>
      </c>
      <c r="K779" s="4"/>
      <c r="L779" s="9">
        <v>29.520499999999998</v>
      </c>
      <c r="M779" s="9">
        <v>12.063700000000001</v>
      </c>
      <c r="N779" s="9">
        <v>4.9444999999999997</v>
      </c>
      <c r="O779" s="9">
        <v>0.37459999999999999</v>
      </c>
      <c r="P779" s="9">
        <v>1.2192000000000001</v>
      </c>
      <c r="Q779" s="9">
        <v>19.688099999999999</v>
      </c>
      <c r="R779" s="9"/>
      <c r="S779" s="11"/>
    </row>
    <row r="780" spans="1:19" ht="15.75">
      <c r="A780" s="13">
        <v>65623</v>
      </c>
      <c r="B780" s="8">
        <f>CHOOSE( CONTROL!$C$32, 24.9817, 24.9768) * CHOOSE(CONTROL!$C$15, $D$11, 100%, $F$11)</f>
        <v>24.9817</v>
      </c>
      <c r="C780" s="8">
        <f>CHOOSE( CONTROL!$C$32, 24.9922, 24.9872) * CHOOSE(CONTROL!$C$15, $D$11, 100%, $F$11)</f>
        <v>24.9922</v>
      </c>
      <c r="D780" s="8">
        <f>CHOOSE( CONTROL!$C$32, 24.9923, 24.9874) * CHOOSE( CONTROL!$C$15, $D$11, 100%, $F$11)</f>
        <v>24.9923</v>
      </c>
      <c r="E780" s="12">
        <f>CHOOSE( CONTROL!$C$32, 24.9907, 24.9857) * CHOOSE( CONTROL!$C$15, $D$11, 100%, $F$11)</f>
        <v>24.9907</v>
      </c>
      <c r="F780" s="4">
        <f>CHOOSE( CONTROL!$C$32, 25.9942, 25.9893) * CHOOSE(CONTROL!$C$15, $D$11, 100%, $F$11)</f>
        <v>25.994199999999999</v>
      </c>
      <c r="G780" s="8">
        <f>CHOOSE( CONTROL!$C$32, 24.338, 24.3332) * CHOOSE( CONTROL!$C$15, $D$11, 100%, $F$11)</f>
        <v>24.338000000000001</v>
      </c>
      <c r="H780" s="4">
        <f>CHOOSE( CONTROL!$C$32, 25.2622, 25.2574) * CHOOSE(CONTROL!$C$15, $D$11, 100%, $F$11)</f>
        <v>25.2622</v>
      </c>
      <c r="I780" s="8">
        <f>CHOOSE( CONTROL!$C$32, 23.9879, 23.9831) * CHOOSE(CONTROL!$C$15, $D$11, 100%, $F$11)</f>
        <v>23.9879</v>
      </c>
      <c r="J780" s="4">
        <f>CHOOSE( CONTROL!$C$32, 23.9328, 23.928) * CHOOSE(CONTROL!$C$15, $D$11, 100%, $F$11)</f>
        <v>23.9328</v>
      </c>
      <c r="K780" s="4"/>
      <c r="L780" s="9">
        <v>29.520499999999998</v>
      </c>
      <c r="M780" s="9">
        <v>12.063700000000001</v>
      </c>
      <c r="N780" s="9">
        <v>4.9444999999999997</v>
      </c>
      <c r="O780" s="9">
        <v>0.37459999999999999</v>
      </c>
      <c r="P780" s="9">
        <v>1.2192000000000001</v>
      </c>
      <c r="Q780" s="9">
        <v>19.688099999999999</v>
      </c>
      <c r="R780" s="9"/>
      <c r="S780" s="11"/>
    </row>
    <row r="781" spans="1:19" ht="15.75">
      <c r="A781" s="13">
        <v>65653</v>
      </c>
      <c r="B781" s="8">
        <f>CHOOSE( CONTROL!$C$32, 24.4587, 24.4537) * CHOOSE(CONTROL!$C$15, $D$11, 100%, $F$11)</f>
        <v>24.4587</v>
      </c>
      <c r="C781" s="8">
        <f>CHOOSE( CONTROL!$C$32, 24.4691, 24.4642) * CHOOSE(CONTROL!$C$15, $D$11, 100%, $F$11)</f>
        <v>24.469100000000001</v>
      </c>
      <c r="D781" s="8">
        <f>CHOOSE( CONTROL!$C$32, 24.4695, 24.4646) * CHOOSE( CONTROL!$C$15, $D$11, 100%, $F$11)</f>
        <v>24.4695</v>
      </c>
      <c r="E781" s="12">
        <f>CHOOSE( CONTROL!$C$32, 24.4678, 24.4629) * CHOOSE( CONTROL!$C$15, $D$11, 100%, $F$11)</f>
        <v>24.4678</v>
      </c>
      <c r="F781" s="4">
        <f>CHOOSE( CONTROL!$C$32, 25.4711, 25.4662) * CHOOSE(CONTROL!$C$15, $D$11, 100%, $F$11)</f>
        <v>25.4711</v>
      </c>
      <c r="G781" s="8">
        <f>CHOOSE( CONTROL!$C$32, 23.8285, 23.8237) * CHOOSE( CONTROL!$C$15, $D$11, 100%, $F$11)</f>
        <v>23.828499999999998</v>
      </c>
      <c r="H781" s="4">
        <f>CHOOSE( CONTROL!$C$32, 24.7523, 24.7475) * CHOOSE(CONTROL!$C$15, $D$11, 100%, $F$11)</f>
        <v>24.752300000000002</v>
      </c>
      <c r="I781" s="8">
        <f>CHOOSE( CONTROL!$C$32, 23.4878, 23.4831) * CHOOSE(CONTROL!$C$15, $D$11, 100%, $F$11)</f>
        <v>23.4878</v>
      </c>
      <c r="J781" s="4">
        <f>CHOOSE( CONTROL!$C$32, 23.4315, 23.4268) * CHOOSE(CONTROL!$C$15, $D$11, 100%, $F$11)</f>
        <v>23.4315</v>
      </c>
      <c r="K781" s="4"/>
      <c r="L781" s="9">
        <v>28.568200000000001</v>
      </c>
      <c r="M781" s="9">
        <v>11.6745</v>
      </c>
      <c r="N781" s="9">
        <v>4.7850000000000001</v>
      </c>
      <c r="O781" s="9">
        <v>0.36249999999999999</v>
      </c>
      <c r="P781" s="9">
        <v>1.1798</v>
      </c>
      <c r="Q781" s="9">
        <v>19.053000000000001</v>
      </c>
      <c r="R781" s="9"/>
      <c r="S781" s="11"/>
    </row>
    <row r="782" spans="1:19" ht="15.75">
      <c r="A782" s="13">
        <v>65684</v>
      </c>
      <c r="B782" s="8">
        <f>25.5398 * CHOOSE(CONTROL!$C$15, $D$11, 100%, $F$11)</f>
        <v>25.5398</v>
      </c>
      <c r="C782" s="8">
        <f>25.5503 * CHOOSE(CONTROL!$C$15, $D$11, 100%, $F$11)</f>
        <v>25.5503</v>
      </c>
      <c r="D782" s="8">
        <f>25.5519 * CHOOSE( CONTROL!$C$15, $D$11, 100%, $F$11)</f>
        <v>25.5519</v>
      </c>
      <c r="E782" s="12">
        <f>25.5503 * CHOOSE( CONTROL!$C$15, $D$11, 100%, $F$11)</f>
        <v>25.5503</v>
      </c>
      <c r="F782" s="4">
        <f>26.5523 * CHOOSE(CONTROL!$C$15, $D$11, 100%, $F$11)</f>
        <v>26.552299999999999</v>
      </c>
      <c r="G782" s="8">
        <f>24.8821 * CHOOSE( CONTROL!$C$15, $D$11, 100%, $F$11)</f>
        <v>24.882100000000001</v>
      </c>
      <c r="H782" s="4">
        <f>25.8062 * CHOOSE(CONTROL!$C$15, $D$11, 100%, $F$11)</f>
        <v>25.8062</v>
      </c>
      <c r="I782" s="8">
        <f>24.5266 * CHOOSE(CONTROL!$C$15, $D$11, 100%, $F$11)</f>
        <v>24.526599999999998</v>
      </c>
      <c r="J782" s="4">
        <f>24.4675 * CHOOSE(CONTROL!$C$15, $D$11, 100%, $F$11)</f>
        <v>24.467500000000001</v>
      </c>
      <c r="K782" s="4"/>
      <c r="L782" s="9">
        <v>28.921800000000001</v>
      </c>
      <c r="M782" s="9">
        <v>12.063700000000001</v>
      </c>
      <c r="N782" s="9">
        <v>4.9444999999999997</v>
      </c>
      <c r="O782" s="9">
        <v>0.37459999999999999</v>
      </c>
      <c r="P782" s="9">
        <v>1.2192000000000001</v>
      </c>
      <c r="Q782" s="9">
        <v>19.688099999999999</v>
      </c>
      <c r="R782" s="9"/>
      <c r="S782" s="11"/>
    </row>
    <row r="783" spans="1:19" ht="15.75">
      <c r="A783" s="13">
        <v>65714</v>
      </c>
      <c r="B783" s="8">
        <f>27.5446 * CHOOSE(CONTROL!$C$15, $D$11, 100%, $F$11)</f>
        <v>27.544599999999999</v>
      </c>
      <c r="C783" s="8">
        <f>27.555 * CHOOSE(CONTROL!$C$15, $D$11, 100%, $F$11)</f>
        <v>27.555</v>
      </c>
      <c r="D783" s="8">
        <f>27.536 * CHOOSE( CONTROL!$C$15, $D$11, 100%, $F$11)</f>
        <v>27.536000000000001</v>
      </c>
      <c r="E783" s="12">
        <f>27.5418 * CHOOSE( CONTROL!$C$15, $D$11, 100%, $F$11)</f>
        <v>27.541799999999999</v>
      </c>
      <c r="F783" s="4">
        <f>28.5414 * CHOOSE(CONTROL!$C$15, $D$11, 100%, $F$11)</f>
        <v>28.541399999999999</v>
      </c>
      <c r="G783" s="8">
        <f>26.8592 * CHOOSE( CONTROL!$C$15, $D$11, 100%, $F$11)</f>
        <v>26.859200000000001</v>
      </c>
      <c r="H783" s="4">
        <f>27.7451 * CHOOSE(CONTROL!$C$15, $D$11, 100%, $F$11)</f>
        <v>27.745100000000001</v>
      </c>
      <c r="I783" s="8">
        <f>26.495 * CHOOSE(CONTROL!$C$15, $D$11, 100%, $F$11)</f>
        <v>26.495000000000001</v>
      </c>
      <c r="J783" s="4">
        <f>26.3884 * CHOOSE(CONTROL!$C$15, $D$11, 100%, $F$11)</f>
        <v>26.388400000000001</v>
      </c>
      <c r="K783" s="4"/>
      <c r="L783" s="9">
        <v>26.515499999999999</v>
      </c>
      <c r="M783" s="9">
        <v>11.6745</v>
      </c>
      <c r="N783" s="9">
        <v>4.7850000000000001</v>
      </c>
      <c r="O783" s="9">
        <v>0.36249999999999999</v>
      </c>
      <c r="P783" s="9">
        <v>1.2522</v>
      </c>
      <c r="Q783" s="9">
        <v>19.053000000000001</v>
      </c>
      <c r="R783" s="9"/>
      <c r="S783" s="11"/>
    </row>
    <row r="784" spans="1:19" ht="15.75">
      <c r="A784" s="13">
        <v>65745</v>
      </c>
      <c r="B784" s="8">
        <f>27.4945 * CHOOSE(CONTROL!$C$15, $D$11, 100%, $F$11)</f>
        <v>27.494499999999999</v>
      </c>
      <c r="C784" s="8">
        <f>27.5049 * CHOOSE(CONTROL!$C$15, $D$11, 100%, $F$11)</f>
        <v>27.504899999999999</v>
      </c>
      <c r="D784" s="8">
        <f>27.4885 * CHOOSE( CONTROL!$C$15, $D$11, 100%, $F$11)</f>
        <v>27.488499999999998</v>
      </c>
      <c r="E784" s="12">
        <f>27.4934 * CHOOSE( CONTROL!$C$15, $D$11, 100%, $F$11)</f>
        <v>27.493400000000001</v>
      </c>
      <c r="F784" s="4">
        <f>28.4913 * CHOOSE(CONTROL!$C$15, $D$11, 100%, $F$11)</f>
        <v>28.491299999999999</v>
      </c>
      <c r="G784" s="8">
        <f>26.8123 * CHOOSE( CONTROL!$C$15, $D$11, 100%, $F$11)</f>
        <v>26.8123</v>
      </c>
      <c r="H784" s="4">
        <f>27.6962 * CHOOSE(CONTROL!$C$15, $D$11, 100%, $F$11)</f>
        <v>27.696200000000001</v>
      </c>
      <c r="I784" s="8">
        <f>26.4557 * CHOOSE(CONTROL!$C$15, $D$11, 100%, $F$11)</f>
        <v>26.4557</v>
      </c>
      <c r="J784" s="4">
        <f>26.3404 * CHOOSE(CONTROL!$C$15, $D$11, 100%, $F$11)</f>
        <v>26.340399999999999</v>
      </c>
      <c r="K784" s="4"/>
      <c r="L784" s="9">
        <v>27.3993</v>
      </c>
      <c r="M784" s="9">
        <v>12.063700000000001</v>
      </c>
      <c r="N784" s="9">
        <v>4.9444999999999997</v>
      </c>
      <c r="O784" s="9">
        <v>0.37459999999999999</v>
      </c>
      <c r="P784" s="9">
        <v>1.2939000000000001</v>
      </c>
      <c r="Q784" s="9">
        <v>19.688099999999999</v>
      </c>
      <c r="R784" s="9"/>
      <c r="S784" s="11"/>
    </row>
    <row r="785" spans="1:19" ht="15.75">
      <c r="A785" s="13">
        <v>65776</v>
      </c>
      <c r="B785" s="8">
        <f>28.5451 * CHOOSE(CONTROL!$C$15, $D$11, 100%, $F$11)</f>
        <v>28.545100000000001</v>
      </c>
      <c r="C785" s="8">
        <f>28.5555 * CHOOSE(CONTROL!$C$15, $D$11, 100%, $F$11)</f>
        <v>28.555499999999999</v>
      </c>
      <c r="D785" s="8">
        <f>28.5541 * CHOOSE( CONTROL!$C$15, $D$11, 100%, $F$11)</f>
        <v>28.554099999999998</v>
      </c>
      <c r="E785" s="12">
        <f>28.5535 * CHOOSE( CONTROL!$C$15, $D$11, 100%, $F$11)</f>
        <v>28.5535</v>
      </c>
      <c r="F785" s="4">
        <f>29.568 * CHOOSE(CONTROL!$C$15, $D$11, 100%, $F$11)</f>
        <v>29.568000000000001</v>
      </c>
      <c r="G785" s="8">
        <f>27.8533 * CHOOSE( CONTROL!$C$15, $D$11, 100%, $F$11)</f>
        <v>27.853300000000001</v>
      </c>
      <c r="H785" s="4">
        <f>28.7458 * CHOOSE(CONTROL!$C$15, $D$11, 100%, $F$11)</f>
        <v>28.745799999999999</v>
      </c>
      <c r="I785" s="8">
        <f>27.4694 * CHOOSE(CONTROL!$C$15, $D$11, 100%, $F$11)</f>
        <v>27.4694</v>
      </c>
      <c r="J785" s="4">
        <f>27.3472 * CHOOSE(CONTROL!$C$15, $D$11, 100%, $F$11)</f>
        <v>27.347200000000001</v>
      </c>
      <c r="K785" s="4"/>
      <c r="L785" s="9">
        <v>27.3993</v>
      </c>
      <c r="M785" s="9">
        <v>12.063700000000001</v>
      </c>
      <c r="N785" s="9">
        <v>4.9444999999999997</v>
      </c>
      <c r="O785" s="9">
        <v>0.37459999999999999</v>
      </c>
      <c r="P785" s="9">
        <v>1.2939000000000001</v>
      </c>
      <c r="Q785" s="9">
        <v>19.688099999999999</v>
      </c>
      <c r="R785" s="9"/>
      <c r="S785" s="11"/>
    </row>
    <row r="786" spans="1:19" ht="15.75">
      <c r="A786" s="13">
        <v>65805</v>
      </c>
      <c r="B786" s="8">
        <f>26.7 * CHOOSE(CONTROL!$C$15, $D$11, 100%, $F$11)</f>
        <v>26.7</v>
      </c>
      <c r="C786" s="8">
        <f>26.7105 * CHOOSE(CONTROL!$C$15, $D$11, 100%, $F$11)</f>
        <v>26.7105</v>
      </c>
      <c r="D786" s="8">
        <f>26.7113 * CHOOSE( CONTROL!$C$15, $D$11, 100%, $F$11)</f>
        <v>26.711300000000001</v>
      </c>
      <c r="E786" s="12">
        <f>26.7099 * CHOOSE( CONTROL!$C$15, $D$11, 100%, $F$11)</f>
        <v>26.709900000000001</v>
      </c>
      <c r="F786" s="4">
        <f>27.7151 * CHOOSE(CONTROL!$C$15, $D$11, 100%, $F$11)</f>
        <v>27.7151</v>
      </c>
      <c r="G786" s="8">
        <f>26.0546 * CHOOSE( CONTROL!$C$15, $D$11, 100%, $F$11)</f>
        <v>26.054600000000001</v>
      </c>
      <c r="H786" s="4">
        <f>26.9396 * CHOOSE(CONTROL!$C$15, $D$11, 100%, $F$11)</f>
        <v>26.939599999999999</v>
      </c>
      <c r="I786" s="8">
        <f>25.6897 * CHOOSE(CONTROL!$C$15, $D$11, 100%, $F$11)</f>
        <v>25.689699999999998</v>
      </c>
      <c r="J786" s="4">
        <f>25.5792 * CHOOSE(CONTROL!$C$15, $D$11, 100%, $F$11)</f>
        <v>25.5792</v>
      </c>
      <c r="K786" s="4"/>
      <c r="L786" s="9">
        <v>25.631599999999999</v>
      </c>
      <c r="M786" s="9">
        <v>11.285299999999999</v>
      </c>
      <c r="N786" s="9">
        <v>4.6254999999999997</v>
      </c>
      <c r="O786" s="9">
        <v>0.35039999999999999</v>
      </c>
      <c r="P786" s="9">
        <v>1.2104999999999999</v>
      </c>
      <c r="Q786" s="9">
        <v>18.417899999999999</v>
      </c>
      <c r="R786" s="9"/>
      <c r="S786" s="11"/>
    </row>
    <row r="787" spans="1:19" ht="15.75">
      <c r="A787" s="13">
        <v>65836</v>
      </c>
      <c r="B787" s="8">
        <f>26.1317 * CHOOSE(CONTROL!$C$15, $D$11, 100%, $F$11)</f>
        <v>26.131699999999999</v>
      </c>
      <c r="C787" s="8">
        <f>26.1422 * CHOOSE(CONTROL!$C$15, $D$11, 100%, $F$11)</f>
        <v>26.142199999999999</v>
      </c>
      <c r="D787" s="8">
        <f>26.1227 * CHOOSE( CONTROL!$C$15, $D$11, 100%, $F$11)</f>
        <v>26.122699999999998</v>
      </c>
      <c r="E787" s="12">
        <f>26.1287 * CHOOSE( CONTROL!$C$15, $D$11, 100%, $F$11)</f>
        <v>26.128699999999998</v>
      </c>
      <c r="F787" s="4">
        <f>27.1307 * CHOOSE(CONTROL!$C$15, $D$11, 100%, $F$11)</f>
        <v>27.130700000000001</v>
      </c>
      <c r="G787" s="8">
        <f>25.48 * CHOOSE( CONTROL!$C$15, $D$11, 100%, $F$11)</f>
        <v>25.48</v>
      </c>
      <c r="H787" s="4">
        <f>26.3699 * CHOOSE(CONTROL!$C$15, $D$11, 100%, $F$11)</f>
        <v>26.369900000000001</v>
      </c>
      <c r="I787" s="8">
        <f>25.1053 * CHOOSE(CONTROL!$C$15, $D$11, 100%, $F$11)</f>
        <v>25.1053</v>
      </c>
      <c r="J787" s="4">
        <f>25.0347 * CHOOSE(CONTROL!$C$15, $D$11, 100%, $F$11)</f>
        <v>25.034700000000001</v>
      </c>
      <c r="K787" s="4"/>
      <c r="L787" s="9">
        <v>27.3993</v>
      </c>
      <c r="M787" s="9">
        <v>12.063700000000001</v>
      </c>
      <c r="N787" s="9">
        <v>4.9444999999999997</v>
      </c>
      <c r="O787" s="9">
        <v>0.37459999999999999</v>
      </c>
      <c r="P787" s="9">
        <v>1.2939000000000001</v>
      </c>
      <c r="Q787" s="9">
        <v>19.688099999999999</v>
      </c>
      <c r="R787" s="9"/>
      <c r="S787" s="11"/>
    </row>
    <row r="788" spans="1:19" ht="15.75">
      <c r="A788" s="13">
        <v>65866</v>
      </c>
      <c r="B788" s="8">
        <f>26.5288 * CHOOSE(CONTROL!$C$15, $D$11, 100%, $F$11)</f>
        <v>26.5288</v>
      </c>
      <c r="C788" s="8">
        <f>26.5393 * CHOOSE(CONTROL!$C$15, $D$11, 100%, $F$11)</f>
        <v>26.539300000000001</v>
      </c>
      <c r="D788" s="8">
        <f>26.5431 * CHOOSE( CONTROL!$C$15, $D$11, 100%, $F$11)</f>
        <v>26.543099999999999</v>
      </c>
      <c r="E788" s="12">
        <f>26.5406 * CHOOSE( CONTROL!$C$15, $D$11, 100%, $F$11)</f>
        <v>26.540600000000001</v>
      </c>
      <c r="F788" s="4">
        <f>27.5361 * CHOOSE(CONTROL!$C$15, $D$11, 100%, $F$11)</f>
        <v>27.536100000000001</v>
      </c>
      <c r="G788" s="8">
        <f>25.855 * CHOOSE( CONTROL!$C$15, $D$11, 100%, $F$11)</f>
        <v>25.855</v>
      </c>
      <c r="H788" s="4">
        <f>26.7652 * CHOOSE(CONTROL!$C$15, $D$11, 100%, $F$11)</f>
        <v>26.7652</v>
      </c>
      <c r="I788" s="8">
        <f>25.4761 * CHOOSE(CONTROL!$C$15, $D$11, 100%, $F$11)</f>
        <v>25.476099999999999</v>
      </c>
      <c r="J788" s="4">
        <f>25.4152 * CHOOSE(CONTROL!$C$15, $D$11, 100%, $F$11)</f>
        <v>25.415199999999999</v>
      </c>
      <c r="K788" s="4"/>
      <c r="L788" s="9">
        <v>27.988800000000001</v>
      </c>
      <c r="M788" s="9">
        <v>11.6745</v>
      </c>
      <c r="N788" s="9">
        <v>4.7850000000000001</v>
      </c>
      <c r="O788" s="9">
        <v>0.36249999999999999</v>
      </c>
      <c r="P788" s="9">
        <v>1.1798</v>
      </c>
      <c r="Q788" s="9">
        <v>19.053000000000001</v>
      </c>
      <c r="R788" s="9"/>
      <c r="S788" s="11"/>
    </row>
    <row r="789" spans="1:19" ht="15.75">
      <c r="A789" s="13">
        <v>65897</v>
      </c>
      <c r="B789" s="8">
        <f>CHOOSE( CONTROL!$C$32, 27.2405, 27.2356) * CHOOSE(CONTROL!$C$15, $D$11, 100%, $F$11)</f>
        <v>27.240500000000001</v>
      </c>
      <c r="C789" s="8">
        <f>CHOOSE( CONTROL!$C$32, 27.251, 27.246) * CHOOSE(CONTROL!$C$15, $D$11, 100%, $F$11)</f>
        <v>27.251000000000001</v>
      </c>
      <c r="D789" s="8">
        <f>CHOOSE( CONTROL!$C$32, 27.2296, 27.2247) * CHOOSE( CONTROL!$C$15, $D$11, 100%, $F$11)</f>
        <v>27.229600000000001</v>
      </c>
      <c r="E789" s="12">
        <f>CHOOSE( CONTROL!$C$32, 27.2358, 27.2308) * CHOOSE( CONTROL!$C$15, $D$11, 100%, $F$11)</f>
        <v>27.235800000000001</v>
      </c>
      <c r="F789" s="4">
        <f>CHOOSE( CONTROL!$C$32, 28.2154, 28.2105) * CHOOSE(CONTROL!$C$15, $D$11, 100%, $F$11)</f>
        <v>28.215399999999999</v>
      </c>
      <c r="G789" s="8">
        <f>CHOOSE( CONTROL!$C$32, 26.5301, 26.5253) * CHOOSE( CONTROL!$C$15, $D$11, 100%, $F$11)</f>
        <v>26.530100000000001</v>
      </c>
      <c r="H789" s="4">
        <f>CHOOSE( CONTROL!$C$32, 27.4273, 27.4225) * CHOOSE(CONTROL!$C$15, $D$11, 100%, $F$11)</f>
        <v>27.427299999999999</v>
      </c>
      <c r="I789" s="8">
        <f>CHOOSE( CONTROL!$C$32, 26.1369, 26.1321) * CHOOSE(CONTROL!$C$15, $D$11, 100%, $F$11)</f>
        <v>26.136900000000001</v>
      </c>
      <c r="J789" s="4">
        <f>CHOOSE( CONTROL!$C$32, 26.0971, 26.0924) * CHOOSE(CONTROL!$C$15, $D$11, 100%, $F$11)</f>
        <v>26.097100000000001</v>
      </c>
      <c r="K789" s="4"/>
      <c r="L789" s="9">
        <v>29.520499999999998</v>
      </c>
      <c r="M789" s="9">
        <v>12.063700000000001</v>
      </c>
      <c r="N789" s="9">
        <v>4.9444999999999997</v>
      </c>
      <c r="O789" s="9">
        <v>0.37459999999999999</v>
      </c>
      <c r="P789" s="9">
        <v>1.2192000000000001</v>
      </c>
      <c r="Q789" s="9">
        <v>19.688099999999999</v>
      </c>
      <c r="R789" s="9"/>
      <c r="S789" s="11"/>
    </row>
    <row r="790" spans="1:19" ht="15.75">
      <c r="A790" s="13">
        <v>65927</v>
      </c>
      <c r="B790" s="8">
        <f>CHOOSE( CONTROL!$C$32, 26.8027, 26.7978) * CHOOSE(CONTROL!$C$15, $D$11, 100%, $F$11)</f>
        <v>26.802700000000002</v>
      </c>
      <c r="C790" s="8">
        <f>CHOOSE( CONTROL!$C$32, 26.8132, 26.8082) * CHOOSE(CONTROL!$C$15, $D$11, 100%, $F$11)</f>
        <v>26.813199999999998</v>
      </c>
      <c r="D790" s="8">
        <f>CHOOSE( CONTROL!$C$32, 26.8053, 26.8003) * CHOOSE( CONTROL!$C$15, $D$11, 100%, $F$11)</f>
        <v>26.805299999999999</v>
      </c>
      <c r="E790" s="12">
        <f>CHOOSE( CONTROL!$C$32, 26.8066, 26.8016) * CHOOSE( CONTROL!$C$15, $D$11, 100%, $F$11)</f>
        <v>26.8066</v>
      </c>
      <c r="F790" s="4">
        <f>CHOOSE( CONTROL!$C$32, 27.7969, 27.792) * CHOOSE(CONTROL!$C$15, $D$11, 100%, $F$11)</f>
        <v>27.796900000000001</v>
      </c>
      <c r="G790" s="8">
        <f>CHOOSE( CONTROL!$C$32, 26.1138, 26.109) * CHOOSE( CONTROL!$C$15, $D$11, 100%, $F$11)</f>
        <v>26.113800000000001</v>
      </c>
      <c r="H790" s="4">
        <f>CHOOSE( CONTROL!$C$32, 27.0194, 27.0146) * CHOOSE(CONTROL!$C$15, $D$11, 100%, $F$11)</f>
        <v>27.019400000000001</v>
      </c>
      <c r="I790" s="8">
        <f>CHOOSE( CONTROL!$C$32, 25.735, 25.7302) * CHOOSE(CONTROL!$C$15, $D$11, 100%, $F$11)</f>
        <v>25.734999999999999</v>
      </c>
      <c r="J790" s="4">
        <f>CHOOSE( CONTROL!$C$32, 25.6776, 25.6729) * CHOOSE(CONTROL!$C$15, $D$11, 100%, $F$11)</f>
        <v>25.677600000000002</v>
      </c>
      <c r="K790" s="4"/>
      <c r="L790" s="9">
        <v>28.568200000000001</v>
      </c>
      <c r="M790" s="9">
        <v>11.6745</v>
      </c>
      <c r="N790" s="9">
        <v>4.7850000000000001</v>
      </c>
      <c r="O790" s="9">
        <v>0.36249999999999999</v>
      </c>
      <c r="P790" s="9">
        <v>1.1798</v>
      </c>
      <c r="Q790" s="9">
        <v>19.053000000000001</v>
      </c>
      <c r="R790" s="9"/>
      <c r="S790" s="11"/>
    </row>
    <row r="791" spans="1:19" ht="15.75">
      <c r="A791" s="13">
        <v>65958</v>
      </c>
      <c r="B791" s="8">
        <f>CHOOSE( CONTROL!$C$32, 27.9556, 27.9507) * CHOOSE(CONTROL!$C$15, $D$11, 100%, $F$11)</f>
        <v>27.9556</v>
      </c>
      <c r="C791" s="8">
        <f>CHOOSE( CONTROL!$C$32, 27.9661, 27.9611) * CHOOSE(CONTROL!$C$15, $D$11, 100%, $F$11)</f>
        <v>27.966100000000001</v>
      </c>
      <c r="D791" s="8">
        <f>CHOOSE( CONTROL!$C$32, 27.9651, 27.9601) * CHOOSE( CONTROL!$C$15, $D$11, 100%, $F$11)</f>
        <v>27.9651</v>
      </c>
      <c r="E791" s="12">
        <f>CHOOSE( CONTROL!$C$32, 27.9639, 27.9589) * CHOOSE( CONTROL!$C$15, $D$11, 100%, $F$11)</f>
        <v>27.963899999999999</v>
      </c>
      <c r="F791" s="4">
        <f>CHOOSE( CONTROL!$C$32, 28.9603, 28.9553) * CHOOSE(CONTROL!$C$15, $D$11, 100%, $F$11)</f>
        <v>28.9603</v>
      </c>
      <c r="G791" s="8">
        <f>CHOOSE( CONTROL!$C$32, 27.2417, 27.2369) * CHOOSE( CONTROL!$C$15, $D$11, 100%, $F$11)</f>
        <v>27.241700000000002</v>
      </c>
      <c r="H791" s="4">
        <f>CHOOSE( CONTROL!$C$32, 28.1534, 28.1486) * CHOOSE(CONTROL!$C$15, $D$11, 100%, $F$11)</f>
        <v>28.153400000000001</v>
      </c>
      <c r="I791" s="8">
        <f>CHOOSE( CONTROL!$C$32, 26.8479, 26.8432) * CHOOSE(CONTROL!$C$15, $D$11, 100%, $F$11)</f>
        <v>26.847899999999999</v>
      </c>
      <c r="J791" s="4">
        <f>CHOOSE( CONTROL!$C$32, 26.7823, 26.7776) * CHOOSE(CONTROL!$C$15, $D$11, 100%, $F$11)</f>
        <v>26.782299999999999</v>
      </c>
      <c r="K791" s="4"/>
      <c r="L791" s="9">
        <v>29.520499999999998</v>
      </c>
      <c r="M791" s="9">
        <v>12.063700000000001</v>
      </c>
      <c r="N791" s="9">
        <v>4.9444999999999997</v>
      </c>
      <c r="O791" s="9">
        <v>0.37459999999999999</v>
      </c>
      <c r="P791" s="9">
        <v>1.2192000000000001</v>
      </c>
      <c r="Q791" s="9">
        <v>19.688099999999999</v>
      </c>
      <c r="R791" s="9"/>
      <c r="S791" s="11"/>
    </row>
    <row r="792" spans="1:19" ht="15.75">
      <c r="A792" s="13">
        <v>65989</v>
      </c>
      <c r="B792" s="8">
        <f>CHOOSE( CONTROL!$C$32, 25.7984, 25.7935) * CHOOSE(CONTROL!$C$15, $D$11, 100%, $F$11)</f>
        <v>25.798400000000001</v>
      </c>
      <c r="C792" s="8">
        <f>CHOOSE( CONTROL!$C$32, 25.8089, 25.8039) * CHOOSE(CONTROL!$C$15, $D$11, 100%, $F$11)</f>
        <v>25.808900000000001</v>
      </c>
      <c r="D792" s="8">
        <f>CHOOSE( CONTROL!$C$32, 25.809, 25.8041) * CHOOSE( CONTROL!$C$15, $D$11, 100%, $F$11)</f>
        <v>25.809000000000001</v>
      </c>
      <c r="E792" s="12">
        <f>CHOOSE( CONTROL!$C$32, 25.8074, 25.8024) * CHOOSE( CONTROL!$C$15, $D$11, 100%, $F$11)</f>
        <v>25.807400000000001</v>
      </c>
      <c r="F792" s="4">
        <f>CHOOSE( CONTROL!$C$32, 26.8109, 26.806) * CHOOSE(CONTROL!$C$15, $D$11, 100%, $F$11)</f>
        <v>26.8109</v>
      </c>
      <c r="G792" s="8">
        <f>CHOOSE( CONTROL!$C$32, 25.1341, 25.1293) * CHOOSE( CONTROL!$C$15, $D$11, 100%, $F$11)</f>
        <v>25.1341</v>
      </c>
      <c r="H792" s="4">
        <f>CHOOSE( CONTROL!$C$32, 26.0582, 26.0534) * CHOOSE(CONTROL!$C$15, $D$11, 100%, $F$11)</f>
        <v>26.058199999999999</v>
      </c>
      <c r="I792" s="8">
        <f>CHOOSE( CONTROL!$C$32, 24.7708, 24.766) * CHOOSE(CONTROL!$C$15, $D$11, 100%, $F$11)</f>
        <v>24.770800000000001</v>
      </c>
      <c r="J792" s="4">
        <f>CHOOSE( CONTROL!$C$32, 24.7153, 24.7106) * CHOOSE(CONTROL!$C$15, $D$11, 100%, $F$11)</f>
        <v>24.715299999999999</v>
      </c>
      <c r="K792" s="4"/>
      <c r="L792" s="9">
        <v>29.520499999999998</v>
      </c>
      <c r="M792" s="9">
        <v>12.063700000000001</v>
      </c>
      <c r="N792" s="9">
        <v>4.9444999999999997</v>
      </c>
      <c r="O792" s="9">
        <v>0.37459999999999999</v>
      </c>
      <c r="P792" s="9">
        <v>1.2192000000000001</v>
      </c>
      <c r="Q792" s="9">
        <v>19.688099999999999</v>
      </c>
      <c r="R792" s="9"/>
      <c r="S792" s="11"/>
    </row>
    <row r="793" spans="1:19" ht="15.75">
      <c r="A793" s="13">
        <v>66019</v>
      </c>
      <c r="B793" s="8">
        <f>CHOOSE( CONTROL!$C$32, 25.2582, 25.2533) * CHOOSE(CONTROL!$C$15, $D$11, 100%, $F$11)</f>
        <v>25.258199999999999</v>
      </c>
      <c r="C793" s="8">
        <f>CHOOSE( CONTROL!$C$32, 25.2687, 25.2637) * CHOOSE(CONTROL!$C$15, $D$11, 100%, $F$11)</f>
        <v>25.268699999999999</v>
      </c>
      <c r="D793" s="8">
        <f>CHOOSE( CONTROL!$C$32, 25.2691, 25.2642) * CHOOSE( CONTROL!$C$15, $D$11, 100%, $F$11)</f>
        <v>25.269100000000002</v>
      </c>
      <c r="E793" s="12">
        <f>CHOOSE( CONTROL!$C$32, 25.2674, 25.2624) * CHOOSE( CONTROL!$C$15, $D$11, 100%, $F$11)</f>
        <v>25.267399999999999</v>
      </c>
      <c r="F793" s="4">
        <f>CHOOSE( CONTROL!$C$32, 26.2707, 26.2658) * CHOOSE(CONTROL!$C$15, $D$11, 100%, $F$11)</f>
        <v>26.270700000000001</v>
      </c>
      <c r="G793" s="8">
        <f>CHOOSE( CONTROL!$C$32, 24.6079, 24.6031) * CHOOSE( CONTROL!$C$15, $D$11, 100%, $F$11)</f>
        <v>24.607900000000001</v>
      </c>
      <c r="H793" s="4">
        <f>CHOOSE( CONTROL!$C$32, 25.5317, 25.5269) * CHOOSE(CONTROL!$C$15, $D$11, 100%, $F$11)</f>
        <v>25.531700000000001</v>
      </c>
      <c r="I793" s="8">
        <f>CHOOSE( CONTROL!$C$32, 24.2543, 24.2496) * CHOOSE(CONTROL!$C$15, $D$11, 100%, $F$11)</f>
        <v>24.254300000000001</v>
      </c>
      <c r="J793" s="4">
        <f>CHOOSE( CONTROL!$C$32, 24.1977, 24.193) * CHOOSE(CONTROL!$C$15, $D$11, 100%, $F$11)</f>
        <v>24.197700000000001</v>
      </c>
      <c r="K793" s="4"/>
      <c r="L793" s="9">
        <v>28.568200000000001</v>
      </c>
      <c r="M793" s="9">
        <v>11.6745</v>
      </c>
      <c r="N793" s="9">
        <v>4.7850000000000001</v>
      </c>
      <c r="O793" s="9">
        <v>0.36249999999999999</v>
      </c>
      <c r="P793" s="9">
        <v>1.1798</v>
      </c>
      <c r="Q793" s="9">
        <v>19.053000000000001</v>
      </c>
      <c r="R793" s="9"/>
      <c r="S793" s="11"/>
    </row>
    <row r="794" spans="1:19" ht="15.75">
      <c r="A794" s="13">
        <v>66050</v>
      </c>
      <c r="B794" s="8">
        <f>26.3749 * CHOOSE(CONTROL!$C$15, $D$11, 100%, $F$11)</f>
        <v>26.3749</v>
      </c>
      <c r="C794" s="8">
        <f>26.3854 * CHOOSE(CONTROL!$C$15, $D$11, 100%, $F$11)</f>
        <v>26.385400000000001</v>
      </c>
      <c r="D794" s="8">
        <f>26.387 * CHOOSE( CONTROL!$C$15, $D$11, 100%, $F$11)</f>
        <v>26.387</v>
      </c>
      <c r="E794" s="12">
        <f>26.3854 * CHOOSE( CONTROL!$C$15, $D$11, 100%, $F$11)</f>
        <v>26.385400000000001</v>
      </c>
      <c r="F794" s="4">
        <f>27.3874 * CHOOSE(CONTROL!$C$15, $D$11, 100%, $F$11)</f>
        <v>27.3874</v>
      </c>
      <c r="G794" s="8">
        <f>25.6961 * CHOOSE( CONTROL!$C$15, $D$11, 100%, $F$11)</f>
        <v>25.696100000000001</v>
      </c>
      <c r="H794" s="4">
        <f>26.6202 * CHOOSE(CONTROL!$C$15, $D$11, 100%, $F$11)</f>
        <v>26.620200000000001</v>
      </c>
      <c r="I794" s="8">
        <f>25.3271 * CHOOSE(CONTROL!$C$15, $D$11, 100%, $F$11)</f>
        <v>25.327100000000002</v>
      </c>
      <c r="J794" s="4">
        <f>25.2677 * CHOOSE(CONTROL!$C$15, $D$11, 100%, $F$11)</f>
        <v>25.267700000000001</v>
      </c>
      <c r="K794" s="4"/>
      <c r="L794" s="9">
        <v>28.921800000000001</v>
      </c>
      <c r="M794" s="9">
        <v>12.063700000000001</v>
      </c>
      <c r="N794" s="9">
        <v>4.9444999999999997</v>
      </c>
      <c r="O794" s="9">
        <v>0.37459999999999999</v>
      </c>
      <c r="P794" s="9">
        <v>1.2192000000000001</v>
      </c>
      <c r="Q794" s="9">
        <v>19.688099999999999</v>
      </c>
      <c r="R794" s="9"/>
      <c r="S794" s="11"/>
    </row>
    <row r="795" spans="1:19" ht="15.75">
      <c r="A795" s="13">
        <v>66080</v>
      </c>
      <c r="B795" s="8">
        <f>28.4452 * CHOOSE(CONTROL!$C$15, $D$11, 100%, $F$11)</f>
        <v>28.4452</v>
      </c>
      <c r="C795" s="8">
        <f>28.4556 * CHOOSE(CONTROL!$C$15, $D$11, 100%, $F$11)</f>
        <v>28.4556</v>
      </c>
      <c r="D795" s="8">
        <f>28.4367 * CHOOSE( CONTROL!$C$15, $D$11, 100%, $F$11)</f>
        <v>28.436699999999998</v>
      </c>
      <c r="E795" s="12">
        <f>28.4425 * CHOOSE( CONTROL!$C$15, $D$11, 100%, $F$11)</f>
        <v>28.442499999999999</v>
      </c>
      <c r="F795" s="4">
        <f>29.442 * CHOOSE(CONTROL!$C$15, $D$11, 100%, $F$11)</f>
        <v>29.442</v>
      </c>
      <c r="G795" s="8">
        <f>27.7371 * CHOOSE( CONTROL!$C$15, $D$11, 100%, $F$11)</f>
        <v>27.737100000000002</v>
      </c>
      <c r="H795" s="4">
        <f>28.623 * CHOOSE(CONTROL!$C$15, $D$11, 100%, $F$11)</f>
        <v>28.623000000000001</v>
      </c>
      <c r="I795" s="8">
        <f>27.3584 * CHOOSE(CONTROL!$C$15, $D$11, 100%, $F$11)</f>
        <v>27.3584</v>
      </c>
      <c r="J795" s="4">
        <f>27.2514 * CHOOSE(CONTROL!$C$15, $D$11, 100%, $F$11)</f>
        <v>27.2514</v>
      </c>
      <c r="K795" s="4"/>
      <c r="L795" s="9">
        <v>26.515499999999999</v>
      </c>
      <c r="M795" s="9">
        <v>11.6745</v>
      </c>
      <c r="N795" s="9">
        <v>4.7850000000000001</v>
      </c>
      <c r="O795" s="9">
        <v>0.36249999999999999</v>
      </c>
      <c r="P795" s="9">
        <v>1.2522</v>
      </c>
      <c r="Q795" s="9">
        <v>19.053000000000001</v>
      </c>
      <c r="R795" s="9"/>
      <c r="S795" s="11"/>
    </row>
    <row r="796" spans="1:19" ht="15.75">
      <c r="A796" s="13">
        <v>66111</v>
      </c>
      <c r="B796" s="8">
        <f>28.3935 * CHOOSE(CONTROL!$C$15, $D$11, 100%, $F$11)</f>
        <v>28.3935</v>
      </c>
      <c r="C796" s="8">
        <f>28.4039 * CHOOSE(CONTROL!$C$15, $D$11, 100%, $F$11)</f>
        <v>28.4039</v>
      </c>
      <c r="D796" s="8">
        <f>28.3875 * CHOOSE( CONTROL!$C$15, $D$11, 100%, $F$11)</f>
        <v>28.387499999999999</v>
      </c>
      <c r="E796" s="12">
        <f>28.3924 * CHOOSE( CONTROL!$C$15, $D$11, 100%, $F$11)</f>
        <v>28.392399999999999</v>
      </c>
      <c r="F796" s="4">
        <f>29.3903 * CHOOSE(CONTROL!$C$15, $D$11, 100%, $F$11)</f>
        <v>29.3903</v>
      </c>
      <c r="G796" s="8">
        <f>27.6887 * CHOOSE( CONTROL!$C$15, $D$11, 100%, $F$11)</f>
        <v>27.688700000000001</v>
      </c>
      <c r="H796" s="4">
        <f>28.5726 * CHOOSE(CONTROL!$C$15, $D$11, 100%, $F$11)</f>
        <v>28.572600000000001</v>
      </c>
      <c r="I796" s="8">
        <f>27.3176 * CHOOSE(CONTROL!$C$15, $D$11, 100%, $F$11)</f>
        <v>27.317599999999999</v>
      </c>
      <c r="J796" s="4">
        <f>27.2019 * CHOOSE(CONTROL!$C$15, $D$11, 100%, $F$11)</f>
        <v>27.201899999999998</v>
      </c>
      <c r="K796" s="4"/>
      <c r="L796" s="9">
        <v>27.3993</v>
      </c>
      <c r="M796" s="9">
        <v>12.063700000000001</v>
      </c>
      <c r="N796" s="9">
        <v>4.9444999999999997</v>
      </c>
      <c r="O796" s="9">
        <v>0.37459999999999999</v>
      </c>
      <c r="P796" s="9">
        <v>1.2939000000000001</v>
      </c>
      <c r="Q796" s="9">
        <v>19.688099999999999</v>
      </c>
      <c r="R796" s="9"/>
      <c r="S796" s="11"/>
    </row>
    <row r="797" spans="1:19" ht="15.75">
      <c r="A797" s="13">
        <v>66142</v>
      </c>
      <c r="B797" s="8">
        <f>29.4785 * CHOOSE(CONTROL!$C$15, $D$11, 100%, $F$11)</f>
        <v>29.4785</v>
      </c>
      <c r="C797" s="8">
        <f>29.4889 * CHOOSE(CONTROL!$C$15, $D$11, 100%, $F$11)</f>
        <v>29.488900000000001</v>
      </c>
      <c r="D797" s="8">
        <f>29.4875 * CHOOSE( CONTROL!$C$15, $D$11, 100%, $F$11)</f>
        <v>29.487500000000001</v>
      </c>
      <c r="E797" s="12">
        <f>29.4869 * CHOOSE( CONTROL!$C$15, $D$11, 100%, $F$11)</f>
        <v>29.486899999999999</v>
      </c>
      <c r="F797" s="4">
        <f>30.5014 * CHOOSE(CONTROL!$C$15, $D$11, 100%, $F$11)</f>
        <v>30.5014</v>
      </c>
      <c r="G797" s="8">
        <f>28.7631 * CHOOSE( CONTROL!$C$15, $D$11, 100%, $F$11)</f>
        <v>28.763100000000001</v>
      </c>
      <c r="H797" s="4">
        <f>29.6556 * CHOOSE(CONTROL!$C$15, $D$11, 100%, $F$11)</f>
        <v>29.6556</v>
      </c>
      <c r="I797" s="8">
        <f>28.3642 * CHOOSE(CONTROL!$C$15, $D$11, 100%, $F$11)</f>
        <v>28.3642</v>
      </c>
      <c r="J797" s="4">
        <f>28.2415 * CHOOSE(CONTROL!$C$15, $D$11, 100%, $F$11)</f>
        <v>28.241499999999998</v>
      </c>
      <c r="K797" s="4"/>
      <c r="L797" s="9">
        <v>27.3993</v>
      </c>
      <c r="M797" s="9">
        <v>12.063700000000001</v>
      </c>
      <c r="N797" s="9">
        <v>4.9444999999999997</v>
      </c>
      <c r="O797" s="9">
        <v>0.37459999999999999</v>
      </c>
      <c r="P797" s="9">
        <v>1.2939000000000001</v>
      </c>
      <c r="Q797" s="9">
        <v>19.688099999999999</v>
      </c>
      <c r="R797" s="9"/>
      <c r="S797" s="11"/>
    </row>
    <row r="798" spans="1:19" ht="15.75">
      <c r="A798" s="13">
        <v>66170</v>
      </c>
      <c r="B798" s="8">
        <f>27.5731 * CHOOSE(CONTROL!$C$15, $D$11, 100%, $F$11)</f>
        <v>27.5731</v>
      </c>
      <c r="C798" s="8">
        <f>27.5835 * CHOOSE(CONTROL!$C$15, $D$11, 100%, $F$11)</f>
        <v>27.583500000000001</v>
      </c>
      <c r="D798" s="8">
        <f>27.5843 * CHOOSE( CONTROL!$C$15, $D$11, 100%, $F$11)</f>
        <v>27.584299999999999</v>
      </c>
      <c r="E798" s="12">
        <f>27.5829 * CHOOSE( CONTROL!$C$15, $D$11, 100%, $F$11)</f>
        <v>27.582899999999999</v>
      </c>
      <c r="F798" s="4">
        <f>28.5881 * CHOOSE(CONTROL!$C$15, $D$11, 100%, $F$11)</f>
        <v>28.588100000000001</v>
      </c>
      <c r="G798" s="8">
        <f>26.9056 * CHOOSE( CONTROL!$C$15, $D$11, 100%, $F$11)</f>
        <v>26.9056</v>
      </c>
      <c r="H798" s="4">
        <f>27.7906 * CHOOSE(CONTROL!$C$15, $D$11, 100%, $F$11)</f>
        <v>27.790600000000001</v>
      </c>
      <c r="I798" s="8">
        <f>26.5266 * CHOOSE(CONTROL!$C$15, $D$11, 100%, $F$11)</f>
        <v>26.526599999999998</v>
      </c>
      <c r="J798" s="4">
        <f>26.4157 * CHOOSE(CONTROL!$C$15, $D$11, 100%, $F$11)</f>
        <v>26.415700000000001</v>
      </c>
      <c r="K798" s="4"/>
      <c r="L798" s="9">
        <v>24.747800000000002</v>
      </c>
      <c r="M798" s="9">
        <v>10.8962</v>
      </c>
      <c r="N798" s="9">
        <v>4.4660000000000002</v>
      </c>
      <c r="O798" s="9">
        <v>0.33829999999999999</v>
      </c>
      <c r="P798" s="9">
        <v>1.1687000000000001</v>
      </c>
      <c r="Q798" s="9">
        <v>17.782800000000002</v>
      </c>
      <c r="R798" s="9"/>
      <c r="S798" s="11"/>
    </row>
    <row r="799" spans="1:19" ht="15.75">
      <c r="A799" s="13">
        <v>66201</v>
      </c>
      <c r="B799" s="8">
        <f>26.9862 * CHOOSE(CONTROL!$C$15, $D$11, 100%, $F$11)</f>
        <v>26.9862</v>
      </c>
      <c r="C799" s="8">
        <f>26.9966 * CHOOSE(CONTROL!$C$15, $D$11, 100%, $F$11)</f>
        <v>26.996600000000001</v>
      </c>
      <c r="D799" s="8">
        <f>26.9771 * CHOOSE( CONTROL!$C$15, $D$11, 100%, $F$11)</f>
        <v>26.9771</v>
      </c>
      <c r="E799" s="12">
        <f>26.9831 * CHOOSE( CONTROL!$C$15, $D$11, 100%, $F$11)</f>
        <v>26.9831</v>
      </c>
      <c r="F799" s="4">
        <f>27.9851 * CHOOSE(CONTROL!$C$15, $D$11, 100%, $F$11)</f>
        <v>27.985099999999999</v>
      </c>
      <c r="G799" s="8">
        <f>26.3128 * CHOOSE( CONTROL!$C$15, $D$11, 100%, $F$11)</f>
        <v>26.312799999999999</v>
      </c>
      <c r="H799" s="4">
        <f>27.2028 * CHOOSE(CONTROL!$C$15, $D$11, 100%, $F$11)</f>
        <v>27.2028</v>
      </c>
      <c r="I799" s="8">
        <f>25.9245 * CHOOSE(CONTROL!$C$15, $D$11, 100%, $F$11)</f>
        <v>25.924499999999998</v>
      </c>
      <c r="J799" s="4">
        <f>25.8534 * CHOOSE(CONTROL!$C$15, $D$11, 100%, $F$11)</f>
        <v>25.853400000000001</v>
      </c>
      <c r="K799" s="4"/>
      <c r="L799" s="9">
        <v>27.3993</v>
      </c>
      <c r="M799" s="9">
        <v>12.063700000000001</v>
      </c>
      <c r="N799" s="9">
        <v>4.9444999999999997</v>
      </c>
      <c r="O799" s="9">
        <v>0.37459999999999999</v>
      </c>
      <c r="P799" s="9">
        <v>1.2939000000000001</v>
      </c>
      <c r="Q799" s="9">
        <v>19.688099999999999</v>
      </c>
      <c r="R799" s="9"/>
      <c r="S799" s="11"/>
    </row>
    <row r="800" spans="1:19" ht="15.75">
      <c r="A800" s="13">
        <v>66231</v>
      </c>
      <c r="B800" s="8">
        <f>27.3963 * CHOOSE(CONTROL!$C$15, $D$11, 100%, $F$11)</f>
        <v>27.3963</v>
      </c>
      <c r="C800" s="8">
        <f>27.4067 * CHOOSE(CONTROL!$C$15, $D$11, 100%, $F$11)</f>
        <v>27.406700000000001</v>
      </c>
      <c r="D800" s="8">
        <f>27.4106 * CHOOSE( CONTROL!$C$15, $D$11, 100%, $F$11)</f>
        <v>27.410599999999999</v>
      </c>
      <c r="E800" s="12">
        <f>27.4081 * CHOOSE( CONTROL!$C$15, $D$11, 100%, $F$11)</f>
        <v>27.408100000000001</v>
      </c>
      <c r="F800" s="4">
        <f>28.4035 * CHOOSE(CONTROL!$C$15, $D$11, 100%, $F$11)</f>
        <v>28.403500000000001</v>
      </c>
      <c r="G800" s="8">
        <f>26.7005 * CHOOSE( CONTROL!$C$15, $D$11, 100%, $F$11)</f>
        <v>26.700500000000002</v>
      </c>
      <c r="H800" s="4">
        <f>27.6107 * CHOOSE(CONTROL!$C$15, $D$11, 100%, $F$11)</f>
        <v>27.610700000000001</v>
      </c>
      <c r="I800" s="8">
        <f>26.3077 * CHOOSE(CONTROL!$C$15, $D$11, 100%, $F$11)</f>
        <v>26.307700000000001</v>
      </c>
      <c r="J800" s="4">
        <f>26.2464 * CHOOSE(CONTROL!$C$15, $D$11, 100%, $F$11)</f>
        <v>26.246400000000001</v>
      </c>
      <c r="K800" s="4"/>
      <c r="L800" s="9">
        <v>27.988800000000001</v>
      </c>
      <c r="M800" s="9">
        <v>11.6745</v>
      </c>
      <c r="N800" s="9">
        <v>4.7850000000000001</v>
      </c>
      <c r="O800" s="9">
        <v>0.36249999999999999</v>
      </c>
      <c r="P800" s="9">
        <v>1.1798</v>
      </c>
      <c r="Q800" s="9">
        <v>19.053000000000001</v>
      </c>
      <c r="R800" s="9"/>
      <c r="S800" s="11"/>
    </row>
    <row r="801" spans="1:19" ht="15.75">
      <c r="A801" s="13">
        <v>66262</v>
      </c>
      <c r="B801" s="8">
        <f>CHOOSE( CONTROL!$C$32, 28.1311, 28.1261) * CHOOSE(CONTROL!$C$15, $D$11, 100%, $F$11)</f>
        <v>28.1311</v>
      </c>
      <c r="C801" s="8">
        <f>CHOOSE( CONTROL!$C$32, 28.1415, 28.1366) * CHOOSE(CONTROL!$C$15, $D$11, 100%, $F$11)</f>
        <v>28.141500000000001</v>
      </c>
      <c r="D801" s="8">
        <f>CHOOSE( CONTROL!$C$32, 28.1201, 28.1152) * CHOOSE( CONTROL!$C$15, $D$11, 100%, $F$11)</f>
        <v>28.120100000000001</v>
      </c>
      <c r="E801" s="12">
        <f>CHOOSE( CONTROL!$C$32, 28.1263, 28.1214) * CHOOSE( CONTROL!$C$15, $D$11, 100%, $F$11)</f>
        <v>28.126300000000001</v>
      </c>
      <c r="F801" s="4">
        <f>CHOOSE( CONTROL!$C$32, 29.106, 29.101) * CHOOSE(CONTROL!$C$15, $D$11, 100%, $F$11)</f>
        <v>29.106000000000002</v>
      </c>
      <c r="G801" s="8">
        <f>CHOOSE( CONTROL!$C$32, 27.3982, 27.3934) * CHOOSE( CONTROL!$C$15, $D$11, 100%, $F$11)</f>
        <v>27.398199999999999</v>
      </c>
      <c r="H801" s="4">
        <f>CHOOSE( CONTROL!$C$32, 28.2954, 28.2906) * CHOOSE(CONTROL!$C$15, $D$11, 100%, $F$11)</f>
        <v>28.295400000000001</v>
      </c>
      <c r="I801" s="8">
        <f>CHOOSE( CONTROL!$C$32, 26.9906, 26.9859) * CHOOSE(CONTROL!$C$15, $D$11, 100%, $F$11)</f>
        <v>26.990600000000001</v>
      </c>
      <c r="J801" s="4">
        <f>CHOOSE( CONTROL!$C$32, 26.9504, 26.9457) * CHOOSE(CONTROL!$C$15, $D$11, 100%, $F$11)</f>
        <v>26.950399999999998</v>
      </c>
      <c r="K801" s="4"/>
      <c r="L801" s="9">
        <v>29.520499999999998</v>
      </c>
      <c r="M801" s="9">
        <v>12.063700000000001</v>
      </c>
      <c r="N801" s="9">
        <v>4.9444999999999997</v>
      </c>
      <c r="O801" s="9">
        <v>0.37459999999999999</v>
      </c>
      <c r="P801" s="9">
        <v>1.2192000000000001</v>
      </c>
      <c r="Q801" s="9">
        <v>19.688099999999999</v>
      </c>
      <c r="R801" s="9"/>
      <c r="S801" s="11"/>
    </row>
    <row r="802" spans="1:19" ht="15.75">
      <c r="A802" s="13">
        <v>66292</v>
      </c>
      <c r="B802" s="8">
        <f>CHOOSE( CONTROL!$C$32, 27.6789, 27.674) * CHOOSE(CONTROL!$C$15, $D$11, 100%, $F$11)</f>
        <v>27.678899999999999</v>
      </c>
      <c r="C802" s="8">
        <f>CHOOSE( CONTROL!$C$32, 27.6894, 27.6844) * CHOOSE(CONTROL!$C$15, $D$11, 100%, $F$11)</f>
        <v>27.689399999999999</v>
      </c>
      <c r="D802" s="8">
        <f>CHOOSE( CONTROL!$C$32, 27.6815, 27.6765) * CHOOSE( CONTROL!$C$15, $D$11, 100%, $F$11)</f>
        <v>27.6815</v>
      </c>
      <c r="E802" s="12">
        <f>CHOOSE( CONTROL!$C$32, 27.6828, 27.6778) * CHOOSE( CONTROL!$C$15, $D$11, 100%, $F$11)</f>
        <v>27.6828</v>
      </c>
      <c r="F802" s="4">
        <f>CHOOSE( CONTROL!$C$32, 28.6732, 28.6682) * CHOOSE(CONTROL!$C$15, $D$11, 100%, $F$11)</f>
        <v>28.673200000000001</v>
      </c>
      <c r="G802" s="8">
        <f>CHOOSE( CONTROL!$C$32, 26.9679, 26.9631) * CHOOSE( CONTROL!$C$15, $D$11, 100%, $F$11)</f>
        <v>26.9679</v>
      </c>
      <c r="H802" s="4">
        <f>CHOOSE( CONTROL!$C$32, 27.8735, 27.8687) * CHOOSE(CONTROL!$C$15, $D$11, 100%, $F$11)</f>
        <v>27.8735</v>
      </c>
      <c r="I802" s="8">
        <f>CHOOSE( CONTROL!$C$32, 26.575, 26.5703) * CHOOSE(CONTROL!$C$15, $D$11, 100%, $F$11)</f>
        <v>26.574999999999999</v>
      </c>
      <c r="J802" s="4">
        <f>CHOOSE( CONTROL!$C$32, 26.5172, 26.5125) * CHOOSE(CONTROL!$C$15, $D$11, 100%, $F$11)</f>
        <v>26.517199999999999</v>
      </c>
      <c r="K802" s="4"/>
      <c r="L802" s="9">
        <v>28.568200000000001</v>
      </c>
      <c r="M802" s="9">
        <v>11.6745</v>
      </c>
      <c r="N802" s="9">
        <v>4.7850000000000001</v>
      </c>
      <c r="O802" s="9">
        <v>0.36249999999999999</v>
      </c>
      <c r="P802" s="9">
        <v>1.1798</v>
      </c>
      <c r="Q802" s="9">
        <v>19.053000000000001</v>
      </c>
      <c r="R802" s="9"/>
      <c r="S802" s="11"/>
    </row>
    <row r="803" spans="1:19" ht="15.75">
      <c r="A803" s="13">
        <v>66323</v>
      </c>
      <c r="B803" s="8">
        <f>CHOOSE( CONTROL!$C$32, 28.8696, 28.8646) * CHOOSE(CONTROL!$C$15, $D$11, 100%, $F$11)</f>
        <v>28.869599999999998</v>
      </c>
      <c r="C803" s="8">
        <f>CHOOSE( CONTROL!$C$32, 28.88, 28.8751) * CHOOSE(CONTROL!$C$15, $D$11, 100%, $F$11)</f>
        <v>28.88</v>
      </c>
      <c r="D803" s="8">
        <f>CHOOSE( CONTROL!$C$32, 28.879, 28.8741) * CHOOSE( CONTROL!$C$15, $D$11, 100%, $F$11)</f>
        <v>28.879000000000001</v>
      </c>
      <c r="E803" s="12">
        <f>CHOOSE( CONTROL!$C$32, 28.8778, 28.8729) * CHOOSE( CONTROL!$C$15, $D$11, 100%, $F$11)</f>
        <v>28.877800000000001</v>
      </c>
      <c r="F803" s="4">
        <f>CHOOSE( CONTROL!$C$32, 29.8742, 29.8693) * CHOOSE(CONTROL!$C$15, $D$11, 100%, $F$11)</f>
        <v>29.874199999999998</v>
      </c>
      <c r="G803" s="8">
        <f>CHOOSE( CONTROL!$C$32, 28.1326, 28.1278) * CHOOSE( CONTROL!$C$15, $D$11, 100%, $F$11)</f>
        <v>28.1326</v>
      </c>
      <c r="H803" s="4">
        <f>CHOOSE( CONTROL!$C$32, 29.0443, 29.0395) * CHOOSE(CONTROL!$C$15, $D$11, 100%, $F$11)</f>
        <v>29.0443</v>
      </c>
      <c r="I803" s="8">
        <f>CHOOSE( CONTROL!$C$32, 27.7241, 27.7193) * CHOOSE(CONTROL!$C$15, $D$11, 100%, $F$11)</f>
        <v>27.7241</v>
      </c>
      <c r="J803" s="4">
        <f>CHOOSE( CONTROL!$C$32, 27.6581, 27.6533) * CHOOSE(CONTROL!$C$15, $D$11, 100%, $F$11)</f>
        <v>27.658100000000001</v>
      </c>
      <c r="K803" s="4"/>
      <c r="L803" s="9">
        <v>29.520499999999998</v>
      </c>
      <c r="M803" s="9">
        <v>12.063700000000001</v>
      </c>
      <c r="N803" s="9">
        <v>4.9444999999999997</v>
      </c>
      <c r="O803" s="9">
        <v>0.37459999999999999</v>
      </c>
      <c r="P803" s="9">
        <v>1.2192000000000001</v>
      </c>
      <c r="Q803" s="9">
        <v>19.688099999999999</v>
      </c>
      <c r="R803" s="9"/>
      <c r="S803" s="11"/>
    </row>
    <row r="804" spans="1:19" ht="15.75">
      <c r="A804" s="13">
        <v>66354</v>
      </c>
      <c r="B804" s="8">
        <f>CHOOSE( CONTROL!$C$32, 26.6418, 26.6369) * CHOOSE(CONTROL!$C$15, $D$11, 100%, $F$11)</f>
        <v>26.6418</v>
      </c>
      <c r="C804" s="8">
        <f>CHOOSE( CONTROL!$C$32, 26.6522, 26.6473) * CHOOSE(CONTROL!$C$15, $D$11, 100%, $F$11)</f>
        <v>26.652200000000001</v>
      </c>
      <c r="D804" s="8">
        <f>CHOOSE( CONTROL!$C$32, 26.6524, 26.6475) * CHOOSE( CONTROL!$C$15, $D$11, 100%, $F$11)</f>
        <v>26.6524</v>
      </c>
      <c r="E804" s="12">
        <f>CHOOSE( CONTROL!$C$32, 26.6507, 26.6458) * CHOOSE( CONTROL!$C$15, $D$11, 100%, $F$11)</f>
        <v>26.650700000000001</v>
      </c>
      <c r="F804" s="4">
        <f>CHOOSE( CONTROL!$C$32, 27.6543, 27.6493) * CHOOSE(CONTROL!$C$15, $D$11, 100%, $F$11)</f>
        <v>27.654299999999999</v>
      </c>
      <c r="G804" s="8">
        <f>CHOOSE( CONTROL!$C$32, 25.9562, 25.9514) * CHOOSE( CONTROL!$C$15, $D$11, 100%, $F$11)</f>
        <v>25.956199999999999</v>
      </c>
      <c r="H804" s="4">
        <f>CHOOSE( CONTROL!$C$32, 26.8803, 26.8755) * CHOOSE(CONTROL!$C$15, $D$11, 100%, $F$11)</f>
        <v>26.880299999999998</v>
      </c>
      <c r="I804" s="8">
        <f>CHOOSE( CONTROL!$C$32, 25.5793, 25.5746) * CHOOSE(CONTROL!$C$15, $D$11, 100%, $F$11)</f>
        <v>25.5793</v>
      </c>
      <c r="J804" s="4">
        <f>CHOOSE( CONTROL!$C$32, 25.5234, 25.5187) * CHOOSE(CONTROL!$C$15, $D$11, 100%, $F$11)</f>
        <v>25.523399999999999</v>
      </c>
      <c r="K804" s="4"/>
      <c r="L804" s="9">
        <v>29.520499999999998</v>
      </c>
      <c r="M804" s="9">
        <v>12.063700000000001</v>
      </c>
      <c r="N804" s="9">
        <v>4.9444999999999997</v>
      </c>
      <c r="O804" s="9">
        <v>0.37459999999999999</v>
      </c>
      <c r="P804" s="9">
        <v>1.2192000000000001</v>
      </c>
      <c r="Q804" s="9">
        <v>19.688099999999999</v>
      </c>
      <c r="R804" s="9"/>
      <c r="S804" s="11"/>
    </row>
    <row r="805" spans="1:19" ht="15.75">
      <c r="A805" s="13">
        <v>66384</v>
      </c>
      <c r="B805" s="8">
        <f>CHOOSE( CONTROL!$C$32, 26.0839, 26.079) * CHOOSE(CONTROL!$C$15, $D$11, 100%, $F$11)</f>
        <v>26.0839</v>
      </c>
      <c r="C805" s="8">
        <f>CHOOSE( CONTROL!$C$32, 26.0944, 26.0894) * CHOOSE(CONTROL!$C$15, $D$11, 100%, $F$11)</f>
        <v>26.0944</v>
      </c>
      <c r="D805" s="8">
        <f>CHOOSE( CONTROL!$C$32, 26.0948, 26.0899) * CHOOSE( CONTROL!$C$15, $D$11, 100%, $F$11)</f>
        <v>26.094799999999999</v>
      </c>
      <c r="E805" s="12">
        <f>CHOOSE( CONTROL!$C$32, 26.0931, 26.0881) * CHOOSE( CONTROL!$C$15, $D$11, 100%, $F$11)</f>
        <v>26.0931</v>
      </c>
      <c r="F805" s="4">
        <f>CHOOSE( CONTROL!$C$32, 27.0964, 27.0915) * CHOOSE(CONTROL!$C$15, $D$11, 100%, $F$11)</f>
        <v>27.096399999999999</v>
      </c>
      <c r="G805" s="8">
        <f>CHOOSE( CONTROL!$C$32, 25.4128, 25.408) * CHOOSE( CONTROL!$C$15, $D$11, 100%, $F$11)</f>
        <v>25.412800000000001</v>
      </c>
      <c r="H805" s="4">
        <f>CHOOSE( CONTROL!$C$32, 26.3366, 26.3318) * CHOOSE(CONTROL!$C$15, $D$11, 100%, $F$11)</f>
        <v>26.336600000000001</v>
      </c>
      <c r="I805" s="8">
        <f>CHOOSE( CONTROL!$C$32, 25.0459, 25.0412) * CHOOSE(CONTROL!$C$15, $D$11, 100%, $F$11)</f>
        <v>25.0459</v>
      </c>
      <c r="J805" s="4">
        <f>CHOOSE( CONTROL!$C$32, 24.9889, 24.9842) * CHOOSE(CONTROL!$C$15, $D$11, 100%, $F$11)</f>
        <v>24.988900000000001</v>
      </c>
      <c r="K805" s="4"/>
      <c r="L805" s="9">
        <v>28.568200000000001</v>
      </c>
      <c r="M805" s="9">
        <v>11.6745</v>
      </c>
      <c r="N805" s="9">
        <v>4.7850000000000001</v>
      </c>
      <c r="O805" s="9">
        <v>0.36249999999999999</v>
      </c>
      <c r="P805" s="9">
        <v>1.1798</v>
      </c>
      <c r="Q805" s="9">
        <v>19.053000000000001</v>
      </c>
      <c r="R805" s="9"/>
      <c r="S805" s="11"/>
    </row>
    <row r="806" spans="1:19" ht="15.75">
      <c r="A806" s="13">
        <v>66415</v>
      </c>
      <c r="B806" s="8">
        <f>27.2373 * CHOOSE(CONTROL!$C$15, $D$11, 100%, $F$11)</f>
        <v>27.237300000000001</v>
      </c>
      <c r="C806" s="8">
        <f>27.2477 * CHOOSE(CONTROL!$C$15, $D$11, 100%, $F$11)</f>
        <v>27.247699999999998</v>
      </c>
      <c r="D806" s="8">
        <f>27.2494 * CHOOSE( CONTROL!$C$15, $D$11, 100%, $F$11)</f>
        <v>27.249400000000001</v>
      </c>
      <c r="E806" s="12">
        <f>27.2477 * CHOOSE( CONTROL!$C$15, $D$11, 100%, $F$11)</f>
        <v>27.247699999999998</v>
      </c>
      <c r="F806" s="4">
        <f>28.2498 * CHOOSE(CONTROL!$C$15, $D$11, 100%, $F$11)</f>
        <v>28.2498</v>
      </c>
      <c r="G806" s="8">
        <f>26.5367 * CHOOSE( CONTROL!$C$15, $D$11, 100%, $F$11)</f>
        <v>26.5367</v>
      </c>
      <c r="H806" s="4">
        <f>27.4608 * CHOOSE(CONTROL!$C$15, $D$11, 100%, $F$11)</f>
        <v>27.460799999999999</v>
      </c>
      <c r="I806" s="8">
        <f>26.1539 * CHOOSE(CONTROL!$C$15, $D$11, 100%, $F$11)</f>
        <v>26.1539</v>
      </c>
      <c r="J806" s="4">
        <f>26.094 * CHOOSE(CONTROL!$C$15, $D$11, 100%, $F$11)</f>
        <v>26.094000000000001</v>
      </c>
      <c r="K806" s="4"/>
      <c r="L806" s="9">
        <v>28.921800000000001</v>
      </c>
      <c r="M806" s="9">
        <v>12.063700000000001</v>
      </c>
      <c r="N806" s="9">
        <v>4.9444999999999997</v>
      </c>
      <c r="O806" s="9">
        <v>0.37459999999999999</v>
      </c>
      <c r="P806" s="9">
        <v>1.2192000000000001</v>
      </c>
      <c r="Q806" s="9">
        <v>19.688099999999999</v>
      </c>
      <c r="R806" s="9"/>
      <c r="S806" s="11"/>
    </row>
    <row r="807" spans="1:19" ht="15.75">
      <c r="A807" s="13">
        <v>66445</v>
      </c>
      <c r="B807" s="8">
        <f>29.3753 * CHOOSE(CONTROL!$C$15, $D$11, 100%, $F$11)</f>
        <v>29.375299999999999</v>
      </c>
      <c r="C807" s="8">
        <f>29.3857 * CHOOSE(CONTROL!$C$15, $D$11, 100%, $F$11)</f>
        <v>29.3857</v>
      </c>
      <c r="D807" s="8">
        <f>29.3668 * CHOOSE( CONTROL!$C$15, $D$11, 100%, $F$11)</f>
        <v>29.366800000000001</v>
      </c>
      <c r="E807" s="12">
        <f>29.3726 * CHOOSE( CONTROL!$C$15, $D$11, 100%, $F$11)</f>
        <v>29.372599999999998</v>
      </c>
      <c r="F807" s="4">
        <f>30.3721 * CHOOSE(CONTROL!$C$15, $D$11, 100%, $F$11)</f>
        <v>30.3721</v>
      </c>
      <c r="G807" s="8">
        <f>28.6437 * CHOOSE( CONTROL!$C$15, $D$11, 100%, $F$11)</f>
        <v>28.643699999999999</v>
      </c>
      <c r="H807" s="4">
        <f>29.5296 * CHOOSE(CONTROL!$C$15, $D$11, 100%, $F$11)</f>
        <v>29.529599999999999</v>
      </c>
      <c r="I807" s="8">
        <f>28.2501 * CHOOSE(CONTROL!$C$15, $D$11, 100%, $F$11)</f>
        <v>28.2501</v>
      </c>
      <c r="J807" s="4">
        <f>28.1427 * CHOOSE(CONTROL!$C$15, $D$11, 100%, $F$11)</f>
        <v>28.142700000000001</v>
      </c>
      <c r="K807" s="4"/>
      <c r="L807" s="9">
        <v>26.515499999999999</v>
      </c>
      <c r="M807" s="9">
        <v>11.6745</v>
      </c>
      <c r="N807" s="9">
        <v>4.7850000000000001</v>
      </c>
      <c r="O807" s="9">
        <v>0.36249999999999999</v>
      </c>
      <c r="P807" s="9">
        <v>1.2522</v>
      </c>
      <c r="Q807" s="9">
        <v>19.053000000000001</v>
      </c>
      <c r="R807" s="9"/>
      <c r="S807" s="11"/>
    </row>
    <row r="808" spans="1:19" ht="15.75">
      <c r="A808" s="13">
        <v>66476</v>
      </c>
      <c r="B808" s="8">
        <f>29.3219 * CHOOSE(CONTROL!$C$15, $D$11, 100%, $F$11)</f>
        <v>29.321899999999999</v>
      </c>
      <c r="C808" s="8">
        <f>29.3323 * CHOOSE(CONTROL!$C$15, $D$11, 100%, $F$11)</f>
        <v>29.3323</v>
      </c>
      <c r="D808" s="8">
        <f>29.3159 * CHOOSE( CONTROL!$C$15, $D$11, 100%, $F$11)</f>
        <v>29.315899999999999</v>
      </c>
      <c r="E808" s="12">
        <f>29.3208 * CHOOSE( CONTROL!$C$15, $D$11, 100%, $F$11)</f>
        <v>29.320799999999998</v>
      </c>
      <c r="F808" s="4">
        <f>30.3187 * CHOOSE(CONTROL!$C$15, $D$11, 100%, $F$11)</f>
        <v>30.3187</v>
      </c>
      <c r="G808" s="8">
        <f>28.5936 * CHOOSE( CONTROL!$C$15, $D$11, 100%, $F$11)</f>
        <v>28.593599999999999</v>
      </c>
      <c r="H808" s="4">
        <f>29.4776 * CHOOSE(CONTROL!$C$15, $D$11, 100%, $F$11)</f>
        <v>29.477599999999999</v>
      </c>
      <c r="I808" s="8">
        <f>28.2076 * CHOOSE(CONTROL!$C$15, $D$11, 100%, $F$11)</f>
        <v>28.207599999999999</v>
      </c>
      <c r="J808" s="4">
        <f>28.0915 * CHOOSE(CONTROL!$C$15, $D$11, 100%, $F$11)</f>
        <v>28.0915</v>
      </c>
      <c r="K808" s="4"/>
      <c r="L808" s="9">
        <v>27.3993</v>
      </c>
      <c r="M808" s="9">
        <v>12.063700000000001</v>
      </c>
      <c r="N808" s="9">
        <v>4.9444999999999997</v>
      </c>
      <c r="O808" s="9">
        <v>0.37459999999999999</v>
      </c>
      <c r="P808" s="9">
        <v>1.2939000000000001</v>
      </c>
      <c r="Q808" s="9">
        <v>19.688099999999999</v>
      </c>
      <c r="R808" s="9"/>
      <c r="S808" s="11"/>
    </row>
    <row r="809" spans="1:19" ht="15.75">
      <c r="A809" s="13">
        <v>66507</v>
      </c>
      <c r="B809" s="8">
        <f>30.4424 * CHOOSE(CONTROL!$C$15, $D$11, 100%, $F$11)</f>
        <v>30.442399999999999</v>
      </c>
      <c r="C809" s="8">
        <f>30.4528 * CHOOSE(CONTROL!$C$15, $D$11, 100%, $F$11)</f>
        <v>30.4528</v>
      </c>
      <c r="D809" s="8">
        <f>30.4514 * CHOOSE( CONTROL!$C$15, $D$11, 100%, $F$11)</f>
        <v>30.4514</v>
      </c>
      <c r="E809" s="12">
        <f>30.4508 * CHOOSE( CONTROL!$C$15, $D$11, 100%, $F$11)</f>
        <v>30.450800000000001</v>
      </c>
      <c r="F809" s="4">
        <f>31.4653 * CHOOSE(CONTROL!$C$15, $D$11, 100%, $F$11)</f>
        <v>31.465299999999999</v>
      </c>
      <c r="G809" s="8">
        <f>29.7027 * CHOOSE( CONTROL!$C$15, $D$11, 100%, $F$11)</f>
        <v>29.7027</v>
      </c>
      <c r="H809" s="4">
        <f>30.5952 * CHOOSE(CONTROL!$C$15, $D$11, 100%, $F$11)</f>
        <v>30.595199999999998</v>
      </c>
      <c r="I809" s="8">
        <f>29.2883 * CHOOSE(CONTROL!$C$15, $D$11, 100%, $F$11)</f>
        <v>29.2883</v>
      </c>
      <c r="J809" s="4">
        <f>29.1651 * CHOOSE(CONTROL!$C$15, $D$11, 100%, $F$11)</f>
        <v>29.165099999999999</v>
      </c>
      <c r="K809" s="4"/>
      <c r="L809" s="9">
        <v>27.3993</v>
      </c>
      <c r="M809" s="9">
        <v>12.063700000000001</v>
      </c>
      <c r="N809" s="9">
        <v>4.9444999999999997</v>
      </c>
      <c r="O809" s="9">
        <v>0.37459999999999999</v>
      </c>
      <c r="P809" s="9">
        <v>1.2939000000000001</v>
      </c>
      <c r="Q809" s="9">
        <v>19.688099999999999</v>
      </c>
      <c r="R809" s="9"/>
      <c r="S809" s="11"/>
    </row>
    <row r="810" spans="1:19" ht="15.75">
      <c r="A810" s="13">
        <v>66535</v>
      </c>
      <c r="B810" s="8">
        <f>28.4746 * CHOOSE(CONTROL!$C$15, $D$11, 100%, $F$11)</f>
        <v>28.474599999999999</v>
      </c>
      <c r="C810" s="8">
        <f>28.4851 * CHOOSE(CONTROL!$C$15, $D$11, 100%, $F$11)</f>
        <v>28.485099999999999</v>
      </c>
      <c r="D810" s="8">
        <f>28.4859 * CHOOSE( CONTROL!$C$15, $D$11, 100%, $F$11)</f>
        <v>28.485900000000001</v>
      </c>
      <c r="E810" s="12">
        <f>28.4845 * CHOOSE( CONTROL!$C$15, $D$11, 100%, $F$11)</f>
        <v>28.484500000000001</v>
      </c>
      <c r="F810" s="4">
        <f>29.4897 * CHOOSE(CONTROL!$C$15, $D$11, 100%, $F$11)</f>
        <v>29.489699999999999</v>
      </c>
      <c r="G810" s="8">
        <f>27.7844 * CHOOSE( CONTROL!$C$15, $D$11, 100%, $F$11)</f>
        <v>27.784400000000002</v>
      </c>
      <c r="H810" s="4">
        <f>28.6695 * CHOOSE(CONTROL!$C$15, $D$11, 100%, $F$11)</f>
        <v>28.669499999999999</v>
      </c>
      <c r="I810" s="8">
        <f>27.3909 * CHOOSE(CONTROL!$C$15, $D$11, 100%, $F$11)</f>
        <v>27.390899999999998</v>
      </c>
      <c r="J810" s="4">
        <f>27.2796 * CHOOSE(CONTROL!$C$15, $D$11, 100%, $F$11)</f>
        <v>27.279599999999999</v>
      </c>
      <c r="K810" s="4"/>
      <c r="L810" s="9">
        <v>24.747800000000002</v>
      </c>
      <c r="M810" s="9">
        <v>10.8962</v>
      </c>
      <c r="N810" s="9">
        <v>4.4660000000000002</v>
      </c>
      <c r="O810" s="9">
        <v>0.33829999999999999</v>
      </c>
      <c r="P810" s="9">
        <v>1.1687000000000001</v>
      </c>
      <c r="Q810" s="9">
        <v>17.782800000000002</v>
      </c>
      <c r="R810" s="9"/>
      <c r="S810" s="11"/>
    </row>
    <row r="811" spans="1:19" ht="15.75">
      <c r="A811" s="13">
        <v>66566</v>
      </c>
      <c r="B811" s="8">
        <f>27.8686 * CHOOSE(CONTROL!$C$15, $D$11, 100%, $F$11)</f>
        <v>27.868600000000001</v>
      </c>
      <c r="C811" s="8">
        <f>27.879 * CHOOSE(CONTROL!$C$15, $D$11, 100%, $F$11)</f>
        <v>27.879000000000001</v>
      </c>
      <c r="D811" s="8">
        <f>27.8595 * CHOOSE( CONTROL!$C$15, $D$11, 100%, $F$11)</f>
        <v>27.859500000000001</v>
      </c>
      <c r="E811" s="12">
        <f>27.8655 * CHOOSE( CONTROL!$C$15, $D$11, 100%, $F$11)</f>
        <v>27.865500000000001</v>
      </c>
      <c r="F811" s="4">
        <f>28.8675 * CHOOSE(CONTROL!$C$15, $D$11, 100%, $F$11)</f>
        <v>28.8675</v>
      </c>
      <c r="G811" s="8">
        <f>27.173 * CHOOSE( CONTROL!$C$15, $D$11, 100%, $F$11)</f>
        <v>27.172999999999998</v>
      </c>
      <c r="H811" s="4">
        <f>28.0629 * CHOOSE(CONTROL!$C$15, $D$11, 100%, $F$11)</f>
        <v>28.062899999999999</v>
      </c>
      <c r="I811" s="8">
        <f>26.7704 * CHOOSE(CONTROL!$C$15, $D$11, 100%, $F$11)</f>
        <v>26.770399999999999</v>
      </c>
      <c r="J811" s="4">
        <f>26.6989 * CHOOSE(CONTROL!$C$15, $D$11, 100%, $F$11)</f>
        <v>26.698899999999998</v>
      </c>
      <c r="K811" s="4"/>
      <c r="L811" s="9">
        <v>27.3993</v>
      </c>
      <c r="M811" s="9">
        <v>12.063700000000001</v>
      </c>
      <c r="N811" s="9">
        <v>4.9444999999999997</v>
      </c>
      <c r="O811" s="9">
        <v>0.37459999999999999</v>
      </c>
      <c r="P811" s="9">
        <v>1.2939000000000001</v>
      </c>
      <c r="Q811" s="9">
        <v>19.688099999999999</v>
      </c>
      <c r="R811" s="9"/>
      <c r="S811" s="11"/>
    </row>
    <row r="812" spans="1:19" ht="15.75">
      <c r="A812" s="13">
        <v>66596</v>
      </c>
      <c r="B812" s="8">
        <f>28.2921 * CHOOSE(CONTROL!$C$15, $D$11, 100%, $F$11)</f>
        <v>28.292100000000001</v>
      </c>
      <c r="C812" s="8">
        <f>28.3025 * CHOOSE(CONTROL!$C$15, $D$11, 100%, $F$11)</f>
        <v>28.302499999999998</v>
      </c>
      <c r="D812" s="8">
        <f>28.3064 * CHOOSE( CONTROL!$C$15, $D$11, 100%, $F$11)</f>
        <v>28.3064</v>
      </c>
      <c r="E812" s="12">
        <f>28.3039 * CHOOSE( CONTROL!$C$15, $D$11, 100%, $F$11)</f>
        <v>28.303899999999999</v>
      </c>
      <c r="F812" s="4">
        <f>29.2993 * CHOOSE(CONTROL!$C$15, $D$11, 100%, $F$11)</f>
        <v>29.299299999999999</v>
      </c>
      <c r="G812" s="8">
        <f>27.5737 * CHOOSE( CONTROL!$C$15, $D$11, 100%, $F$11)</f>
        <v>27.573699999999999</v>
      </c>
      <c r="H812" s="4">
        <f>28.4839 * CHOOSE(CONTROL!$C$15, $D$11, 100%, $F$11)</f>
        <v>28.483899999999998</v>
      </c>
      <c r="I812" s="8">
        <f>27.1665 * CHOOSE(CONTROL!$C$15, $D$11, 100%, $F$11)</f>
        <v>27.166499999999999</v>
      </c>
      <c r="J812" s="4">
        <f>27.1047 * CHOOSE(CONTROL!$C$15, $D$11, 100%, $F$11)</f>
        <v>27.104700000000001</v>
      </c>
      <c r="K812" s="4"/>
      <c r="L812" s="9">
        <v>27.988800000000001</v>
      </c>
      <c r="M812" s="9">
        <v>11.6745</v>
      </c>
      <c r="N812" s="9">
        <v>4.7850000000000001</v>
      </c>
      <c r="O812" s="9">
        <v>0.36249999999999999</v>
      </c>
      <c r="P812" s="9">
        <v>1.1798</v>
      </c>
      <c r="Q812" s="9">
        <v>19.053000000000001</v>
      </c>
      <c r="R812" s="9"/>
      <c r="S812" s="11"/>
    </row>
    <row r="813" spans="1:19" ht="15.75">
      <c r="A813" s="13">
        <v>66627</v>
      </c>
      <c r="B813" s="8">
        <f>CHOOSE( CONTROL!$C$32, 29.0507, 29.0458) * CHOOSE(CONTROL!$C$15, $D$11, 100%, $F$11)</f>
        <v>29.050699999999999</v>
      </c>
      <c r="C813" s="8">
        <f>CHOOSE( CONTROL!$C$32, 29.0612, 29.0562) * CHOOSE(CONTROL!$C$15, $D$11, 100%, $F$11)</f>
        <v>29.061199999999999</v>
      </c>
      <c r="D813" s="8">
        <f>CHOOSE( CONTROL!$C$32, 29.0398, 29.0349) * CHOOSE( CONTROL!$C$15, $D$11, 100%, $F$11)</f>
        <v>29.0398</v>
      </c>
      <c r="E813" s="12">
        <f>CHOOSE( CONTROL!$C$32, 29.046, 29.041) * CHOOSE( CONTROL!$C$15, $D$11, 100%, $F$11)</f>
        <v>29.045999999999999</v>
      </c>
      <c r="F813" s="4">
        <f>CHOOSE( CONTROL!$C$32, 30.0256, 30.0207) * CHOOSE(CONTROL!$C$15, $D$11, 100%, $F$11)</f>
        <v>30.025600000000001</v>
      </c>
      <c r="G813" s="8">
        <f>CHOOSE( CONTROL!$C$32, 28.2946, 28.2898) * CHOOSE( CONTROL!$C$15, $D$11, 100%, $F$11)</f>
        <v>28.294599999999999</v>
      </c>
      <c r="H813" s="4">
        <f>CHOOSE( CONTROL!$C$32, 29.1919, 29.1871) * CHOOSE(CONTROL!$C$15, $D$11, 100%, $F$11)</f>
        <v>29.1919</v>
      </c>
      <c r="I813" s="8">
        <f>CHOOSE( CONTROL!$C$32, 27.8723, 27.8675) * CHOOSE(CONTROL!$C$15, $D$11, 100%, $F$11)</f>
        <v>27.872299999999999</v>
      </c>
      <c r="J813" s="4">
        <f>CHOOSE( CONTROL!$C$32, 27.8317, 27.8269) * CHOOSE(CONTROL!$C$15, $D$11, 100%, $F$11)</f>
        <v>27.831700000000001</v>
      </c>
      <c r="K813" s="4"/>
      <c r="L813" s="9">
        <v>29.520499999999998</v>
      </c>
      <c r="M813" s="9">
        <v>12.063700000000001</v>
      </c>
      <c r="N813" s="9">
        <v>4.9444999999999997</v>
      </c>
      <c r="O813" s="9">
        <v>0.37459999999999999</v>
      </c>
      <c r="P813" s="9">
        <v>1.2192000000000001</v>
      </c>
      <c r="Q813" s="9">
        <v>19.688099999999999</v>
      </c>
      <c r="R813" s="9"/>
      <c r="S813" s="11"/>
    </row>
    <row r="814" spans="1:19" ht="15.75">
      <c r="A814" s="13">
        <v>66657</v>
      </c>
      <c r="B814" s="8">
        <f>CHOOSE( CONTROL!$C$32, 28.5838, 28.5789) * CHOOSE(CONTROL!$C$15, $D$11, 100%, $F$11)</f>
        <v>28.5838</v>
      </c>
      <c r="C814" s="8">
        <f>CHOOSE( CONTROL!$C$32, 28.5943, 28.5893) * CHOOSE(CONTROL!$C$15, $D$11, 100%, $F$11)</f>
        <v>28.5943</v>
      </c>
      <c r="D814" s="8">
        <f>CHOOSE( CONTROL!$C$32, 28.5864, 28.5814) * CHOOSE( CONTROL!$C$15, $D$11, 100%, $F$11)</f>
        <v>28.586400000000001</v>
      </c>
      <c r="E814" s="12">
        <f>CHOOSE( CONTROL!$C$32, 28.5877, 28.5827) * CHOOSE( CONTROL!$C$15, $D$11, 100%, $F$11)</f>
        <v>28.587700000000002</v>
      </c>
      <c r="F814" s="4">
        <f>CHOOSE( CONTROL!$C$32, 29.578, 29.5731) * CHOOSE(CONTROL!$C$15, $D$11, 100%, $F$11)</f>
        <v>29.577999999999999</v>
      </c>
      <c r="G814" s="8">
        <f>CHOOSE( CONTROL!$C$32, 27.8499, 27.8451) * CHOOSE( CONTROL!$C$15, $D$11, 100%, $F$11)</f>
        <v>27.849900000000002</v>
      </c>
      <c r="H814" s="4">
        <f>CHOOSE( CONTROL!$C$32, 28.7556, 28.7508) * CHOOSE(CONTROL!$C$15, $D$11, 100%, $F$11)</f>
        <v>28.755600000000001</v>
      </c>
      <c r="I814" s="8">
        <f>CHOOSE( CONTROL!$C$32, 27.4425, 27.4378) * CHOOSE(CONTROL!$C$15, $D$11, 100%, $F$11)</f>
        <v>27.442499999999999</v>
      </c>
      <c r="J814" s="4">
        <f>CHOOSE( CONTROL!$C$32, 27.3843, 27.3795) * CHOOSE(CONTROL!$C$15, $D$11, 100%, $F$11)</f>
        <v>27.3843</v>
      </c>
      <c r="K814" s="4"/>
      <c r="L814" s="9">
        <v>28.568200000000001</v>
      </c>
      <c r="M814" s="9">
        <v>11.6745</v>
      </c>
      <c r="N814" s="9">
        <v>4.7850000000000001</v>
      </c>
      <c r="O814" s="9">
        <v>0.36249999999999999</v>
      </c>
      <c r="P814" s="9">
        <v>1.1798</v>
      </c>
      <c r="Q814" s="9">
        <v>19.053000000000001</v>
      </c>
      <c r="R814" s="9"/>
      <c r="S814" s="11"/>
    </row>
    <row r="815" spans="1:19" ht="15.75">
      <c r="A815" s="13">
        <v>66688</v>
      </c>
      <c r="B815" s="8">
        <f>CHOOSE( CONTROL!$C$32, 29.8134, 29.8084) * CHOOSE(CONTROL!$C$15, $D$11, 100%, $F$11)</f>
        <v>29.813400000000001</v>
      </c>
      <c r="C815" s="8">
        <f>CHOOSE( CONTROL!$C$32, 29.8238, 29.8189) * CHOOSE(CONTROL!$C$15, $D$11, 100%, $F$11)</f>
        <v>29.823799999999999</v>
      </c>
      <c r="D815" s="8">
        <f>CHOOSE( CONTROL!$C$32, 29.8228, 29.8179) * CHOOSE( CONTROL!$C$15, $D$11, 100%, $F$11)</f>
        <v>29.822800000000001</v>
      </c>
      <c r="E815" s="12">
        <f>CHOOSE( CONTROL!$C$32, 29.8216, 29.8167) * CHOOSE( CONTROL!$C$15, $D$11, 100%, $F$11)</f>
        <v>29.8216</v>
      </c>
      <c r="F815" s="4">
        <f>CHOOSE( CONTROL!$C$32, 30.818, 30.8131) * CHOOSE(CONTROL!$C$15, $D$11, 100%, $F$11)</f>
        <v>30.818000000000001</v>
      </c>
      <c r="G815" s="8">
        <f>CHOOSE( CONTROL!$C$32, 29.0526, 29.0478) * CHOOSE( CONTROL!$C$15, $D$11, 100%, $F$11)</f>
        <v>29.052600000000002</v>
      </c>
      <c r="H815" s="4">
        <f>CHOOSE( CONTROL!$C$32, 29.9643, 29.9595) * CHOOSE(CONTROL!$C$15, $D$11, 100%, $F$11)</f>
        <v>29.964300000000001</v>
      </c>
      <c r="I815" s="8">
        <f>CHOOSE( CONTROL!$C$32, 28.6289, 28.6241) * CHOOSE(CONTROL!$C$15, $D$11, 100%, $F$11)</f>
        <v>28.628900000000002</v>
      </c>
      <c r="J815" s="4">
        <f>CHOOSE( CONTROL!$C$32, 28.5624, 28.5577) * CHOOSE(CONTROL!$C$15, $D$11, 100%, $F$11)</f>
        <v>28.5624</v>
      </c>
      <c r="K815" s="4"/>
      <c r="L815" s="9">
        <v>29.520499999999998</v>
      </c>
      <c r="M815" s="9">
        <v>12.063700000000001</v>
      </c>
      <c r="N815" s="9">
        <v>4.9444999999999997</v>
      </c>
      <c r="O815" s="9">
        <v>0.37459999999999999</v>
      </c>
      <c r="P815" s="9">
        <v>1.2192000000000001</v>
      </c>
      <c r="Q815" s="9">
        <v>19.688099999999999</v>
      </c>
      <c r="R815" s="9"/>
      <c r="S815" s="11"/>
    </row>
    <row r="816" spans="1:19" ht="15.75">
      <c r="A816" s="13">
        <v>66719</v>
      </c>
      <c r="B816" s="8">
        <f>CHOOSE( CONTROL!$C$32, 27.5128, 27.5078) * CHOOSE(CONTROL!$C$15, $D$11, 100%, $F$11)</f>
        <v>27.512799999999999</v>
      </c>
      <c r="C816" s="8">
        <f>CHOOSE( CONTROL!$C$32, 27.5232, 27.5183) * CHOOSE(CONTROL!$C$15, $D$11, 100%, $F$11)</f>
        <v>27.523199999999999</v>
      </c>
      <c r="D816" s="8">
        <f>CHOOSE( CONTROL!$C$32, 27.5234, 27.5184) * CHOOSE( CONTROL!$C$15, $D$11, 100%, $F$11)</f>
        <v>27.523399999999999</v>
      </c>
      <c r="E816" s="12">
        <f>CHOOSE( CONTROL!$C$32, 27.5217, 27.5168) * CHOOSE( CONTROL!$C$15, $D$11, 100%, $F$11)</f>
        <v>27.521699999999999</v>
      </c>
      <c r="F816" s="4">
        <f>CHOOSE( CONTROL!$C$32, 28.5252, 28.5203) * CHOOSE(CONTROL!$C$15, $D$11, 100%, $F$11)</f>
        <v>28.525200000000002</v>
      </c>
      <c r="G816" s="8">
        <f>CHOOSE( CONTROL!$C$32, 26.8052, 26.8004) * CHOOSE( CONTROL!$C$15, $D$11, 100%, $F$11)</f>
        <v>26.805199999999999</v>
      </c>
      <c r="H816" s="4">
        <f>CHOOSE( CONTROL!$C$32, 27.7293, 27.7245) * CHOOSE(CONTROL!$C$15, $D$11, 100%, $F$11)</f>
        <v>27.729299999999999</v>
      </c>
      <c r="I816" s="8">
        <f>CHOOSE( CONTROL!$C$32, 26.4143, 26.4096) * CHOOSE(CONTROL!$C$15, $D$11, 100%, $F$11)</f>
        <v>26.414300000000001</v>
      </c>
      <c r="J816" s="4">
        <f>CHOOSE( CONTROL!$C$32, 26.358, 26.3532) * CHOOSE(CONTROL!$C$15, $D$11, 100%, $F$11)</f>
        <v>26.358000000000001</v>
      </c>
      <c r="K816" s="4"/>
      <c r="L816" s="9">
        <v>29.520499999999998</v>
      </c>
      <c r="M816" s="9">
        <v>12.063700000000001</v>
      </c>
      <c r="N816" s="9">
        <v>4.9444999999999997</v>
      </c>
      <c r="O816" s="9">
        <v>0.37459999999999999</v>
      </c>
      <c r="P816" s="9">
        <v>1.2192000000000001</v>
      </c>
      <c r="Q816" s="9">
        <v>19.688099999999999</v>
      </c>
      <c r="R816" s="9"/>
      <c r="S816" s="11"/>
    </row>
    <row r="817" spans="1:19" ht="15.75">
      <c r="A817" s="13">
        <v>66749</v>
      </c>
      <c r="B817" s="8">
        <f>CHOOSE( CONTROL!$C$32, 26.9367, 26.9317) * CHOOSE(CONTROL!$C$15, $D$11, 100%, $F$11)</f>
        <v>26.936699999999998</v>
      </c>
      <c r="C817" s="8">
        <f>CHOOSE( CONTROL!$C$32, 26.9471, 26.9422) * CHOOSE(CONTROL!$C$15, $D$11, 100%, $F$11)</f>
        <v>26.947099999999999</v>
      </c>
      <c r="D817" s="8">
        <f>CHOOSE( CONTROL!$C$32, 26.9475, 26.9426) * CHOOSE( CONTROL!$C$15, $D$11, 100%, $F$11)</f>
        <v>26.947500000000002</v>
      </c>
      <c r="E817" s="12">
        <f>CHOOSE( CONTROL!$C$32, 26.9458, 26.9409) * CHOOSE( CONTROL!$C$15, $D$11, 100%, $F$11)</f>
        <v>26.945799999999998</v>
      </c>
      <c r="F817" s="4">
        <f>CHOOSE( CONTROL!$C$32, 27.9491, 27.9442) * CHOOSE(CONTROL!$C$15, $D$11, 100%, $F$11)</f>
        <v>27.949100000000001</v>
      </c>
      <c r="G817" s="8">
        <f>CHOOSE( CONTROL!$C$32, 26.244, 26.2392) * CHOOSE( CONTROL!$C$15, $D$11, 100%, $F$11)</f>
        <v>26.244</v>
      </c>
      <c r="H817" s="4">
        <f>CHOOSE( CONTROL!$C$32, 27.1678, 27.163) * CHOOSE(CONTROL!$C$15, $D$11, 100%, $F$11)</f>
        <v>27.1678</v>
      </c>
      <c r="I817" s="8">
        <f>CHOOSE( CONTROL!$C$32, 25.8634, 25.8587) * CHOOSE(CONTROL!$C$15, $D$11, 100%, $F$11)</f>
        <v>25.863399999999999</v>
      </c>
      <c r="J817" s="4">
        <f>CHOOSE( CONTROL!$C$32, 25.806, 25.8012) * CHOOSE(CONTROL!$C$15, $D$11, 100%, $F$11)</f>
        <v>25.806000000000001</v>
      </c>
      <c r="K817" s="4"/>
      <c r="L817" s="9">
        <v>28.568200000000001</v>
      </c>
      <c r="M817" s="9">
        <v>11.6745</v>
      </c>
      <c r="N817" s="9">
        <v>4.7850000000000001</v>
      </c>
      <c r="O817" s="9">
        <v>0.36249999999999999</v>
      </c>
      <c r="P817" s="9">
        <v>1.1798</v>
      </c>
      <c r="Q817" s="9">
        <v>19.053000000000001</v>
      </c>
      <c r="R817" s="9"/>
      <c r="S817" s="11"/>
    </row>
    <row r="818" spans="1:19" ht="15.75">
      <c r="A818" s="13">
        <v>66780</v>
      </c>
      <c r="B818" s="8">
        <f>28.1279 * CHOOSE(CONTROL!$C$15, $D$11, 100%, $F$11)</f>
        <v>28.1279</v>
      </c>
      <c r="C818" s="8">
        <f>28.1383 * CHOOSE(CONTROL!$C$15, $D$11, 100%, $F$11)</f>
        <v>28.138300000000001</v>
      </c>
      <c r="D818" s="8">
        <f>28.14 * CHOOSE( CONTROL!$C$15, $D$11, 100%, $F$11)</f>
        <v>28.14</v>
      </c>
      <c r="E818" s="12">
        <f>28.1383 * CHOOSE( CONTROL!$C$15, $D$11, 100%, $F$11)</f>
        <v>28.138300000000001</v>
      </c>
      <c r="F818" s="4">
        <f>29.1404 * CHOOSE(CONTROL!$C$15, $D$11, 100%, $F$11)</f>
        <v>29.1404</v>
      </c>
      <c r="G818" s="8">
        <f>27.4049 * CHOOSE( CONTROL!$C$15, $D$11, 100%, $F$11)</f>
        <v>27.404900000000001</v>
      </c>
      <c r="H818" s="4">
        <f>28.329 * CHOOSE(CONTROL!$C$15, $D$11, 100%, $F$11)</f>
        <v>28.329000000000001</v>
      </c>
      <c r="I818" s="8">
        <f>27.0077 * CHOOSE(CONTROL!$C$15, $D$11, 100%, $F$11)</f>
        <v>27.0077</v>
      </c>
      <c r="J818" s="4">
        <f>26.9474 * CHOOSE(CONTROL!$C$15, $D$11, 100%, $F$11)</f>
        <v>26.947399999999998</v>
      </c>
      <c r="K818" s="4"/>
      <c r="L818" s="9">
        <v>28.921800000000001</v>
      </c>
      <c r="M818" s="9">
        <v>12.063700000000001</v>
      </c>
      <c r="N818" s="9">
        <v>4.9444999999999997</v>
      </c>
      <c r="O818" s="9">
        <v>0.37459999999999999</v>
      </c>
      <c r="P818" s="9">
        <v>1.2192000000000001</v>
      </c>
      <c r="Q818" s="9">
        <v>19.688099999999999</v>
      </c>
      <c r="R818" s="9"/>
      <c r="S818" s="11"/>
    </row>
    <row r="819" spans="1:19" ht="15.75">
      <c r="A819" s="13">
        <v>66810</v>
      </c>
      <c r="B819" s="8">
        <f>30.3358 * CHOOSE(CONTROL!$C$15, $D$11, 100%, $F$11)</f>
        <v>30.335799999999999</v>
      </c>
      <c r="C819" s="8">
        <f>30.3463 * CHOOSE(CONTROL!$C$15, $D$11, 100%, $F$11)</f>
        <v>30.346299999999999</v>
      </c>
      <c r="D819" s="8">
        <f>30.3273 * CHOOSE( CONTROL!$C$15, $D$11, 100%, $F$11)</f>
        <v>30.327300000000001</v>
      </c>
      <c r="E819" s="12">
        <f>30.3331 * CHOOSE( CONTROL!$C$15, $D$11, 100%, $F$11)</f>
        <v>30.333100000000002</v>
      </c>
      <c r="F819" s="4">
        <f>31.3326 * CHOOSE(CONTROL!$C$15, $D$11, 100%, $F$11)</f>
        <v>31.332599999999999</v>
      </c>
      <c r="G819" s="8">
        <f>29.58 * CHOOSE( CONTROL!$C$15, $D$11, 100%, $F$11)</f>
        <v>29.58</v>
      </c>
      <c r="H819" s="4">
        <f>30.4659 * CHOOSE(CONTROL!$C$15, $D$11, 100%, $F$11)</f>
        <v>30.465900000000001</v>
      </c>
      <c r="I819" s="8">
        <f>29.1709 * CHOOSE(CONTROL!$C$15, $D$11, 100%, $F$11)</f>
        <v>29.1709</v>
      </c>
      <c r="J819" s="4">
        <f>29.063 * CHOOSE(CONTROL!$C$15, $D$11, 100%, $F$11)</f>
        <v>29.062999999999999</v>
      </c>
      <c r="K819" s="4"/>
      <c r="L819" s="9">
        <v>26.515499999999999</v>
      </c>
      <c r="M819" s="9">
        <v>11.6745</v>
      </c>
      <c r="N819" s="9">
        <v>4.7850000000000001</v>
      </c>
      <c r="O819" s="9">
        <v>0.36249999999999999</v>
      </c>
      <c r="P819" s="9">
        <v>1.2522</v>
      </c>
      <c r="Q819" s="9">
        <v>19.053000000000001</v>
      </c>
      <c r="R819" s="9"/>
      <c r="S819" s="11"/>
    </row>
    <row r="820" spans="1:19" ht="15.75">
      <c r="A820" s="13">
        <v>66841</v>
      </c>
      <c r="B820" s="8">
        <f>30.2807 * CHOOSE(CONTROL!$C$15, $D$11, 100%, $F$11)</f>
        <v>30.2807</v>
      </c>
      <c r="C820" s="8">
        <f>30.2911 * CHOOSE(CONTROL!$C$15, $D$11, 100%, $F$11)</f>
        <v>30.2911</v>
      </c>
      <c r="D820" s="8">
        <f>30.2747 * CHOOSE( CONTROL!$C$15, $D$11, 100%, $F$11)</f>
        <v>30.274699999999999</v>
      </c>
      <c r="E820" s="12">
        <f>30.2796 * CHOOSE( CONTROL!$C$15, $D$11, 100%, $F$11)</f>
        <v>30.279599999999999</v>
      </c>
      <c r="F820" s="4">
        <f>31.2775 * CHOOSE(CONTROL!$C$15, $D$11, 100%, $F$11)</f>
        <v>31.2775</v>
      </c>
      <c r="G820" s="8">
        <f>29.5282 * CHOOSE( CONTROL!$C$15, $D$11, 100%, $F$11)</f>
        <v>29.528199999999998</v>
      </c>
      <c r="H820" s="4">
        <f>30.4121 * CHOOSE(CONTROL!$C$15, $D$11, 100%, $F$11)</f>
        <v>30.412099999999999</v>
      </c>
      <c r="I820" s="8">
        <f>29.1268 * CHOOSE(CONTROL!$C$15, $D$11, 100%, $F$11)</f>
        <v>29.126799999999999</v>
      </c>
      <c r="J820" s="4">
        <f>29.0102 * CHOOSE(CONTROL!$C$15, $D$11, 100%, $F$11)</f>
        <v>29.010200000000001</v>
      </c>
      <c r="K820" s="4"/>
      <c r="L820" s="9">
        <v>27.3993</v>
      </c>
      <c r="M820" s="9">
        <v>12.063700000000001</v>
      </c>
      <c r="N820" s="9">
        <v>4.9444999999999997</v>
      </c>
      <c r="O820" s="9">
        <v>0.37459999999999999</v>
      </c>
      <c r="P820" s="9">
        <v>1.2939000000000001</v>
      </c>
      <c r="Q820" s="9">
        <v>19.688099999999999</v>
      </c>
      <c r="R820" s="9"/>
      <c r="S820" s="11"/>
    </row>
    <row r="821" spans="1:19" ht="15.75">
      <c r="A821" s="13">
        <v>66872</v>
      </c>
      <c r="B821" s="8">
        <f>31.4378 * CHOOSE(CONTROL!$C$15, $D$11, 100%, $F$11)</f>
        <v>31.437799999999999</v>
      </c>
      <c r="C821" s="8">
        <f>31.4482 * CHOOSE(CONTROL!$C$15, $D$11, 100%, $F$11)</f>
        <v>31.4482</v>
      </c>
      <c r="D821" s="8">
        <f>31.4468 * CHOOSE( CONTROL!$C$15, $D$11, 100%, $F$11)</f>
        <v>31.4468</v>
      </c>
      <c r="E821" s="12">
        <f>31.4462 * CHOOSE( CONTROL!$C$15, $D$11, 100%, $F$11)</f>
        <v>31.446200000000001</v>
      </c>
      <c r="F821" s="4">
        <f>32.4607 * CHOOSE(CONTROL!$C$15, $D$11, 100%, $F$11)</f>
        <v>32.460700000000003</v>
      </c>
      <c r="G821" s="8">
        <f>30.673 * CHOOSE( CONTROL!$C$15, $D$11, 100%, $F$11)</f>
        <v>30.672999999999998</v>
      </c>
      <c r="H821" s="4">
        <f>31.5655 * CHOOSE(CONTROL!$C$15, $D$11, 100%, $F$11)</f>
        <v>31.5655</v>
      </c>
      <c r="I821" s="8">
        <f>30.2426 * CHOOSE(CONTROL!$C$15, $D$11, 100%, $F$11)</f>
        <v>30.242599999999999</v>
      </c>
      <c r="J821" s="4">
        <f>30.1189 * CHOOSE(CONTROL!$C$15, $D$11, 100%, $F$11)</f>
        <v>30.1189</v>
      </c>
      <c r="K821" s="4"/>
      <c r="L821" s="9">
        <v>27.3993</v>
      </c>
      <c r="M821" s="9">
        <v>12.063700000000001</v>
      </c>
      <c r="N821" s="9">
        <v>4.9444999999999997</v>
      </c>
      <c r="O821" s="9">
        <v>0.37459999999999999</v>
      </c>
      <c r="P821" s="9">
        <v>1.2939000000000001</v>
      </c>
      <c r="Q821" s="9">
        <v>19.688099999999999</v>
      </c>
      <c r="R821" s="9"/>
      <c r="S821" s="11"/>
    </row>
    <row r="822" spans="1:19" ht="15.75">
      <c r="A822" s="13">
        <v>66900</v>
      </c>
      <c r="B822" s="8">
        <f>29.4057 * CHOOSE(CONTROL!$C$15, $D$11, 100%, $F$11)</f>
        <v>29.4057</v>
      </c>
      <c r="C822" s="8">
        <f>29.4161 * CHOOSE(CONTROL!$C$15, $D$11, 100%, $F$11)</f>
        <v>29.4161</v>
      </c>
      <c r="D822" s="8">
        <f>29.4169 * CHOOSE( CONTROL!$C$15, $D$11, 100%, $F$11)</f>
        <v>29.416899999999998</v>
      </c>
      <c r="E822" s="12">
        <f>29.4155 * CHOOSE( CONTROL!$C$15, $D$11, 100%, $F$11)</f>
        <v>29.415500000000002</v>
      </c>
      <c r="F822" s="4">
        <f>30.4208 * CHOOSE(CONTROL!$C$15, $D$11, 100%, $F$11)</f>
        <v>30.4208</v>
      </c>
      <c r="G822" s="8">
        <f>28.692 * CHOOSE( CONTROL!$C$15, $D$11, 100%, $F$11)</f>
        <v>28.692</v>
      </c>
      <c r="H822" s="4">
        <f>29.5771 * CHOOSE(CONTROL!$C$15, $D$11, 100%, $F$11)</f>
        <v>29.577100000000002</v>
      </c>
      <c r="I822" s="8">
        <f>28.2835 * CHOOSE(CONTROL!$C$15, $D$11, 100%, $F$11)</f>
        <v>28.2835</v>
      </c>
      <c r="J822" s="4">
        <f>28.1718 * CHOOSE(CONTROL!$C$15, $D$11, 100%, $F$11)</f>
        <v>28.171800000000001</v>
      </c>
      <c r="K822" s="4"/>
      <c r="L822" s="9">
        <v>24.747800000000002</v>
      </c>
      <c r="M822" s="9">
        <v>10.8962</v>
      </c>
      <c r="N822" s="9">
        <v>4.4660000000000002</v>
      </c>
      <c r="O822" s="9">
        <v>0.33829999999999999</v>
      </c>
      <c r="P822" s="9">
        <v>1.1687000000000001</v>
      </c>
      <c r="Q822" s="9">
        <v>17.782800000000002</v>
      </c>
      <c r="R822" s="9"/>
      <c r="S822" s="11"/>
    </row>
    <row r="823" spans="1:19" ht="15.75">
      <c r="A823" s="13">
        <v>66931</v>
      </c>
      <c r="B823" s="8">
        <f>28.7798 * CHOOSE(CONTROL!$C$15, $D$11, 100%, $F$11)</f>
        <v>28.779800000000002</v>
      </c>
      <c r="C823" s="8">
        <f>28.7903 * CHOOSE(CONTROL!$C$15, $D$11, 100%, $F$11)</f>
        <v>28.790299999999998</v>
      </c>
      <c r="D823" s="8">
        <f>28.7707 * CHOOSE( CONTROL!$C$15, $D$11, 100%, $F$11)</f>
        <v>28.770700000000001</v>
      </c>
      <c r="E823" s="12">
        <f>28.7767 * CHOOSE( CONTROL!$C$15, $D$11, 100%, $F$11)</f>
        <v>28.776700000000002</v>
      </c>
      <c r="F823" s="4">
        <f>29.7787 * CHOOSE(CONTROL!$C$15, $D$11, 100%, $F$11)</f>
        <v>29.778700000000001</v>
      </c>
      <c r="G823" s="8">
        <f>28.0612 * CHOOSE( CONTROL!$C$15, $D$11, 100%, $F$11)</f>
        <v>28.061199999999999</v>
      </c>
      <c r="H823" s="4">
        <f>28.9512 * CHOOSE(CONTROL!$C$15, $D$11, 100%, $F$11)</f>
        <v>28.9512</v>
      </c>
      <c r="I823" s="8">
        <f>27.644 * CHOOSE(CONTROL!$C$15, $D$11, 100%, $F$11)</f>
        <v>27.643999999999998</v>
      </c>
      <c r="J823" s="4">
        <f>27.5721 * CHOOSE(CONTROL!$C$15, $D$11, 100%, $F$11)</f>
        <v>27.572099999999999</v>
      </c>
      <c r="K823" s="4"/>
      <c r="L823" s="9">
        <v>27.3993</v>
      </c>
      <c r="M823" s="9">
        <v>12.063700000000001</v>
      </c>
      <c r="N823" s="9">
        <v>4.9444999999999997</v>
      </c>
      <c r="O823" s="9">
        <v>0.37459999999999999</v>
      </c>
      <c r="P823" s="9">
        <v>1.2939000000000001</v>
      </c>
      <c r="Q823" s="9">
        <v>19.688099999999999</v>
      </c>
      <c r="R823" s="9"/>
      <c r="S823" s="11"/>
    </row>
    <row r="824" spans="1:19" ht="15.75">
      <c r="A824" s="13">
        <v>66961</v>
      </c>
      <c r="B824" s="8">
        <f>29.2172 * CHOOSE(CONTROL!$C$15, $D$11, 100%, $F$11)</f>
        <v>29.217199999999998</v>
      </c>
      <c r="C824" s="8">
        <f>29.2276 * CHOOSE(CONTROL!$C$15, $D$11, 100%, $F$11)</f>
        <v>29.227599999999999</v>
      </c>
      <c r="D824" s="8">
        <f>29.2314 * CHOOSE( CONTROL!$C$15, $D$11, 100%, $F$11)</f>
        <v>29.231400000000001</v>
      </c>
      <c r="E824" s="12">
        <f>29.229 * CHOOSE( CONTROL!$C$15, $D$11, 100%, $F$11)</f>
        <v>29.228999999999999</v>
      </c>
      <c r="F824" s="4">
        <f>30.2244 * CHOOSE(CONTROL!$C$15, $D$11, 100%, $F$11)</f>
        <v>30.224399999999999</v>
      </c>
      <c r="G824" s="8">
        <f>28.4755 * CHOOSE( CONTROL!$C$15, $D$11, 100%, $F$11)</f>
        <v>28.4755</v>
      </c>
      <c r="H824" s="4">
        <f>29.3857 * CHOOSE(CONTROL!$C$15, $D$11, 100%, $F$11)</f>
        <v>29.3857</v>
      </c>
      <c r="I824" s="8">
        <f>28.0534 * CHOOSE(CONTROL!$C$15, $D$11, 100%, $F$11)</f>
        <v>28.0534</v>
      </c>
      <c r="J824" s="4">
        <f>27.9911 * CHOOSE(CONTROL!$C$15, $D$11, 100%, $F$11)</f>
        <v>27.991099999999999</v>
      </c>
      <c r="K824" s="4"/>
      <c r="L824" s="9">
        <v>27.988800000000001</v>
      </c>
      <c r="M824" s="9">
        <v>11.6745</v>
      </c>
      <c r="N824" s="9">
        <v>4.7850000000000001</v>
      </c>
      <c r="O824" s="9">
        <v>0.36249999999999999</v>
      </c>
      <c r="P824" s="9">
        <v>1.1798</v>
      </c>
      <c r="Q824" s="9">
        <v>19.053000000000001</v>
      </c>
      <c r="R824" s="9"/>
      <c r="S824" s="11"/>
    </row>
    <row r="825" spans="1:19" ht="15.75">
      <c r="A825" s="13">
        <v>66992</v>
      </c>
      <c r="B825" s="8">
        <f>CHOOSE( CONTROL!$C$32, 30.0005, 29.9955) * CHOOSE(CONTROL!$C$15, $D$11, 100%, $F$11)</f>
        <v>30.000499999999999</v>
      </c>
      <c r="C825" s="8">
        <f>CHOOSE( CONTROL!$C$32, 30.0109, 30.006) * CHOOSE(CONTROL!$C$15, $D$11, 100%, $F$11)</f>
        <v>30.010899999999999</v>
      </c>
      <c r="D825" s="8">
        <f>CHOOSE( CONTROL!$C$32, 29.9896, 29.9846) * CHOOSE( CONTROL!$C$15, $D$11, 100%, $F$11)</f>
        <v>29.989599999999999</v>
      </c>
      <c r="E825" s="12">
        <f>CHOOSE( CONTROL!$C$32, 29.9957, 29.9908) * CHOOSE( CONTROL!$C$15, $D$11, 100%, $F$11)</f>
        <v>29.995699999999999</v>
      </c>
      <c r="F825" s="4">
        <f>CHOOSE( CONTROL!$C$32, 30.9754, 30.9704) * CHOOSE(CONTROL!$C$15, $D$11, 100%, $F$11)</f>
        <v>30.9754</v>
      </c>
      <c r="G825" s="8">
        <f>CHOOSE( CONTROL!$C$32, 29.2204, 29.2156) * CHOOSE( CONTROL!$C$15, $D$11, 100%, $F$11)</f>
        <v>29.220400000000001</v>
      </c>
      <c r="H825" s="4">
        <f>CHOOSE( CONTROL!$C$32, 30.1177, 30.1129) * CHOOSE(CONTROL!$C$15, $D$11, 100%, $F$11)</f>
        <v>30.117699999999999</v>
      </c>
      <c r="I825" s="8">
        <f>CHOOSE( CONTROL!$C$32, 28.7828, 28.778) * CHOOSE(CONTROL!$C$15, $D$11, 100%, $F$11)</f>
        <v>28.782800000000002</v>
      </c>
      <c r="J825" s="4">
        <f>CHOOSE( CONTROL!$C$32, 28.7417, 28.737) * CHOOSE(CONTROL!$C$15, $D$11, 100%, $F$11)</f>
        <v>28.741700000000002</v>
      </c>
      <c r="K825" s="4"/>
      <c r="L825" s="9">
        <v>29.520499999999998</v>
      </c>
      <c r="M825" s="9">
        <v>12.063700000000001</v>
      </c>
      <c r="N825" s="9">
        <v>4.9444999999999997</v>
      </c>
      <c r="O825" s="9">
        <v>0.37459999999999999</v>
      </c>
      <c r="P825" s="9">
        <v>1.2192000000000001</v>
      </c>
      <c r="Q825" s="9">
        <v>19.688099999999999</v>
      </c>
      <c r="R825" s="9"/>
      <c r="S825" s="11"/>
    </row>
    <row r="826" spans="1:19" ht="15.75">
      <c r="A826" s="13">
        <v>67022</v>
      </c>
      <c r="B826" s="8">
        <f>CHOOSE( CONTROL!$C$32, 29.5183, 29.5134) * CHOOSE(CONTROL!$C$15, $D$11, 100%, $F$11)</f>
        <v>29.5183</v>
      </c>
      <c r="C826" s="8">
        <f>CHOOSE( CONTROL!$C$32, 29.5287, 29.5238) * CHOOSE(CONTROL!$C$15, $D$11, 100%, $F$11)</f>
        <v>29.528700000000001</v>
      </c>
      <c r="D826" s="8">
        <f>CHOOSE( CONTROL!$C$32, 29.5208, 29.5159) * CHOOSE( CONTROL!$C$15, $D$11, 100%, $F$11)</f>
        <v>29.520800000000001</v>
      </c>
      <c r="E826" s="12">
        <f>CHOOSE( CONTROL!$C$32, 29.5221, 29.5172) * CHOOSE( CONTROL!$C$15, $D$11, 100%, $F$11)</f>
        <v>29.522099999999998</v>
      </c>
      <c r="F826" s="4">
        <f>CHOOSE( CONTROL!$C$32, 30.5125, 30.5076) * CHOOSE(CONTROL!$C$15, $D$11, 100%, $F$11)</f>
        <v>30.512499999999999</v>
      </c>
      <c r="G826" s="8">
        <f>CHOOSE( CONTROL!$C$32, 28.7608, 28.756) * CHOOSE( CONTROL!$C$15, $D$11, 100%, $F$11)</f>
        <v>28.7608</v>
      </c>
      <c r="H826" s="4">
        <f>CHOOSE( CONTROL!$C$32, 29.6665, 29.6617) * CHOOSE(CONTROL!$C$15, $D$11, 100%, $F$11)</f>
        <v>29.666499999999999</v>
      </c>
      <c r="I826" s="8">
        <f>CHOOSE( CONTROL!$C$32, 28.3383, 28.3336) * CHOOSE(CONTROL!$C$15, $D$11, 100%, $F$11)</f>
        <v>28.3383</v>
      </c>
      <c r="J826" s="4">
        <f>CHOOSE( CONTROL!$C$32, 28.2797, 28.275) * CHOOSE(CONTROL!$C$15, $D$11, 100%, $F$11)</f>
        <v>28.279699999999998</v>
      </c>
      <c r="K826" s="4"/>
      <c r="L826" s="9">
        <v>28.568200000000001</v>
      </c>
      <c r="M826" s="9">
        <v>11.6745</v>
      </c>
      <c r="N826" s="9">
        <v>4.7850000000000001</v>
      </c>
      <c r="O826" s="9">
        <v>0.36249999999999999</v>
      </c>
      <c r="P826" s="9">
        <v>1.1798</v>
      </c>
      <c r="Q826" s="9">
        <v>19.053000000000001</v>
      </c>
      <c r="R826" s="9"/>
      <c r="S826" s="11"/>
    </row>
    <row r="827" spans="1:19" ht="15.75">
      <c r="A827" s="13">
        <v>67053</v>
      </c>
      <c r="B827" s="8">
        <f>CHOOSE( CONTROL!$C$32, 30.7881, 30.7831) * CHOOSE(CONTROL!$C$15, $D$11, 100%, $F$11)</f>
        <v>30.7881</v>
      </c>
      <c r="C827" s="8">
        <f>CHOOSE( CONTROL!$C$32, 30.7985, 30.7936) * CHOOSE(CONTROL!$C$15, $D$11, 100%, $F$11)</f>
        <v>30.798500000000001</v>
      </c>
      <c r="D827" s="8">
        <f>CHOOSE( CONTROL!$C$32, 30.7975, 30.7926) * CHOOSE( CONTROL!$C$15, $D$11, 100%, $F$11)</f>
        <v>30.797499999999999</v>
      </c>
      <c r="E827" s="12">
        <f>CHOOSE( CONTROL!$C$32, 30.7963, 30.7914) * CHOOSE( CONTROL!$C$15, $D$11, 100%, $F$11)</f>
        <v>30.796299999999999</v>
      </c>
      <c r="F827" s="4">
        <f>CHOOSE( CONTROL!$C$32, 31.7927, 31.7878) * CHOOSE(CONTROL!$C$15, $D$11, 100%, $F$11)</f>
        <v>31.7927</v>
      </c>
      <c r="G827" s="8">
        <f>CHOOSE( CONTROL!$C$32, 30.0027, 29.9979) * CHOOSE( CONTROL!$C$15, $D$11, 100%, $F$11)</f>
        <v>30.002700000000001</v>
      </c>
      <c r="H827" s="4">
        <f>CHOOSE( CONTROL!$C$32, 30.9144, 30.9096) * CHOOSE(CONTROL!$C$15, $D$11, 100%, $F$11)</f>
        <v>30.914400000000001</v>
      </c>
      <c r="I827" s="8">
        <f>CHOOSE( CONTROL!$C$32, 29.5633, 29.5586) * CHOOSE(CONTROL!$C$15, $D$11, 100%, $F$11)</f>
        <v>29.563300000000002</v>
      </c>
      <c r="J827" s="4">
        <f>CHOOSE( CONTROL!$C$32, 29.4964, 29.4916) * CHOOSE(CONTROL!$C$15, $D$11, 100%, $F$11)</f>
        <v>29.496400000000001</v>
      </c>
      <c r="K827" s="4"/>
      <c r="L827" s="9">
        <v>29.520499999999998</v>
      </c>
      <c r="M827" s="9">
        <v>12.063700000000001</v>
      </c>
      <c r="N827" s="9">
        <v>4.9444999999999997</v>
      </c>
      <c r="O827" s="9">
        <v>0.37459999999999999</v>
      </c>
      <c r="P827" s="9">
        <v>1.2192000000000001</v>
      </c>
      <c r="Q827" s="9">
        <v>19.688099999999999</v>
      </c>
      <c r="R827" s="9"/>
      <c r="S827" s="11"/>
    </row>
    <row r="828" spans="1:19" ht="15.75">
      <c r="A828" s="13">
        <v>67084</v>
      </c>
      <c r="B828" s="8">
        <f>CHOOSE( CONTROL!$C$32, 28.4122, 28.4073) * CHOOSE(CONTROL!$C$15, $D$11, 100%, $F$11)</f>
        <v>28.412199999999999</v>
      </c>
      <c r="C828" s="8">
        <f>CHOOSE( CONTROL!$C$32, 28.4226, 28.4177) * CHOOSE(CONTROL!$C$15, $D$11, 100%, $F$11)</f>
        <v>28.422599999999999</v>
      </c>
      <c r="D828" s="8">
        <f>CHOOSE( CONTROL!$C$32, 28.4228, 28.4179) * CHOOSE( CONTROL!$C$15, $D$11, 100%, $F$11)</f>
        <v>28.422799999999999</v>
      </c>
      <c r="E828" s="12">
        <f>CHOOSE( CONTROL!$C$32, 28.4211, 28.4162) * CHOOSE( CONTROL!$C$15, $D$11, 100%, $F$11)</f>
        <v>28.421099999999999</v>
      </c>
      <c r="F828" s="4">
        <f>CHOOSE( CONTROL!$C$32, 29.4247, 29.4197) * CHOOSE(CONTROL!$C$15, $D$11, 100%, $F$11)</f>
        <v>29.424700000000001</v>
      </c>
      <c r="G828" s="8">
        <f>CHOOSE( CONTROL!$C$32, 27.6819, 27.6771) * CHOOSE( CONTROL!$C$15, $D$11, 100%, $F$11)</f>
        <v>27.681899999999999</v>
      </c>
      <c r="H828" s="4">
        <f>CHOOSE( CONTROL!$C$32, 28.6061, 28.6013) * CHOOSE(CONTROL!$C$15, $D$11, 100%, $F$11)</f>
        <v>28.606100000000001</v>
      </c>
      <c r="I828" s="8">
        <f>CHOOSE( CONTROL!$C$32, 27.2766, 27.2718) * CHOOSE(CONTROL!$C$15, $D$11, 100%, $F$11)</f>
        <v>27.276599999999998</v>
      </c>
      <c r="J828" s="4">
        <f>CHOOSE( CONTROL!$C$32, 27.2198, 27.2151) * CHOOSE(CONTROL!$C$15, $D$11, 100%, $F$11)</f>
        <v>27.219799999999999</v>
      </c>
      <c r="K828" s="4"/>
      <c r="L828" s="9">
        <v>29.520499999999998</v>
      </c>
      <c r="M828" s="9">
        <v>12.063700000000001</v>
      </c>
      <c r="N828" s="9">
        <v>4.9444999999999997</v>
      </c>
      <c r="O828" s="9">
        <v>0.37459999999999999</v>
      </c>
      <c r="P828" s="9">
        <v>1.2192000000000001</v>
      </c>
      <c r="Q828" s="9">
        <v>19.688099999999999</v>
      </c>
      <c r="R828" s="9"/>
      <c r="S828" s="11"/>
    </row>
    <row r="829" spans="1:19" ht="15.75">
      <c r="A829" s="13">
        <v>67114</v>
      </c>
      <c r="B829" s="8">
        <f>CHOOSE( CONTROL!$C$32, 27.8173, 27.8123) * CHOOSE(CONTROL!$C$15, $D$11, 100%, $F$11)</f>
        <v>27.817299999999999</v>
      </c>
      <c r="C829" s="8">
        <f>CHOOSE( CONTROL!$C$32, 27.8277, 27.8228) * CHOOSE(CONTROL!$C$15, $D$11, 100%, $F$11)</f>
        <v>27.8277</v>
      </c>
      <c r="D829" s="8">
        <f>CHOOSE( CONTROL!$C$32, 27.8282, 27.8232) * CHOOSE( CONTROL!$C$15, $D$11, 100%, $F$11)</f>
        <v>27.828199999999999</v>
      </c>
      <c r="E829" s="12">
        <f>CHOOSE( CONTROL!$C$32, 27.8264, 27.8215) * CHOOSE( CONTROL!$C$15, $D$11, 100%, $F$11)</f>
        <v>27.8264</v>
      </c>
      <c r="F829" s="4">
        <f>CHOOSE( CONTROL!$C$32, 28.8297, 28.8248) * CHOOSE(CONTROL!$C$15, $D$11, 100%, $F$11)</f>
        <v>28.829699999999999</v>
      </c>
      <c r="G829" s="8">
        <f>CHOOSE( CONTROL!$C$32, 27.1024, 27.0976) * CHOOSE( CONTROL!$C$15, $D$11, 100%, $F$11)</f>
        <v>27.102399999999999</v>
      </c>
      <c r="H829" s="4">
        <f>CHOOSE( CONTROL!$C$32, 28.0262, 28.0213) * CHOOSE(CONTROL!$C$15, $D$11, 100%, $F$11)</f>
        <v>28.026199999999999</v>
      </c>
      <c r="I829" s="8">
        <f>CHOOSE( CONTROL!$C$32, 26.7076, 26.7029) * CHOOSE(CONTROL!$C$15, $D$11, 100%, $F$11)</f>
        <v>26.707599999999999</v>
      </c>
      <c r="J829" s="4">
        <f>CHOOSE( CONTROL!$C$32, 26.6497, 26.645) * CHOOSE(CONTROL!$C$15, $D$11, 100%, $F$11)</f>
        <v>26.649699999999999</v>
      </c>
      <c r="K829" s="4"/>
      <c r="L829" s="9">
        <v>28.568200000000001</v>
      </c>
      <c r="M829" s="9">
        <v>11.6745</v>
      </c>
      <c r="N829" s="9">
        <v>4.7850000000000001</v>
      </c>
      <c r="O829" s="9">
        <v>0.36249999999999999</v>
      </c>
      <c r="P829" s="9">
        <v>1.1798</v>
      </c>
      <c r="Q829" s="9">
        <v>19.053000000000001</v>
      </c>
      <c r="R829" s="9"/>
      <c r="S829" s="11"/>
    </row>
    <row r="830" spans="1:19" ht="15.75">
      <c r="A830" s="13">
        <v>67145</v>
      </c>
      <c r="B830" s="8">
        <f>29.0476 * CHOOSE(CONTROL!$C$15, $D$11, 100%, $F$11)</f>
        <v>29.047599999999999</v>
      </c>
      <c r="C830" s="8">
        <f>29.0581 * CHOOSE(CONTROL!$C$15, $D$11, 100%, $F$11)</f>
        <v>29.0581</v>
      </c>
      <c r="D830" s="8">
        <f>29.0597 * CHOOSE( CONTROL!$C$15, $D$11, 100%, $F$11)</f>
        <v>29.059699999999999</v>
      </c>
      <c r="E830" s="12">
        <f>29.0581 * CHOOSE( CONTROL!$C$15, $D$11, 100%, $F$11)</f>
        <v>29.0581</v>
      </c>
      <c r="F830" s="4">
        <f>30.0601 * CHOOSE(CONTROL!$C$15, $D$11, 100%, $F$11)</f>
        <v>30.060099999999998</v>
      </c>
      <c r="G830" s="8">
        <f>28.3014 * CHOOSE( CONTROL!$C$15, $D$11, 100%, $F$11)</f>
        <v>28.301400000000001</v>
      </c>
      <c r="H830" s="4">
        <f>29.2255 * CHOOSE(CONTROL!$C$15, $D$11, 100%, $F$11)</f>
        <v>29.2255</v>
      </c>
      <c r="I830" s="8">
        <f>27.8894 * CHOOSE(CONTROL!$C$15, $D$11, 100%, $F$11)</f>
        <v>27.889399999999998</v>
      </c>
      <c r="J830" s="4">
        <f>27.8287 * CHOOSE(CONTROL!$C$15, $D$11, 100%, $F$11)</f>
        <v>27.828700000000001</v>
      </c>
      <c r="K830" s="4"/>
      <c r="L830" s="9">
        <v>28.921800000000001</v>
      </c>
      <c r="M830" s="9">
        <v>12.063700000000001</v>
      </c>
      <c r="N830" s="9">
        <v>4.9444999999999997</v>
      </c>
      <c r="O830" s="9">
        <v>0.37459999999999999</v>
      </c>
      <c r="P830" s="9">
        <v>1.2192000000000001</v>
      </c>
      <c r="Q830" s="9">
        <v>19.688099999999999</v>
      </c>
      <c r="R830" s="9"/>
      <c r="S830" s="11"/>
    </row>
    <row r="831" spans="1:19" ht="15.75">
      <c r="A831" s="13">
        <v>67175</v>
      </c>
      <c r="B831" s="8">
        <f>31.3278 * CHOOSE(CONTROL!$C$15, $D$11, 100%, $F$11)</f>
        <v>31.3278</v>
      </c>
      <c r="C831" s="8">
        <f>31.3382 * CHOOSE(CONTROL!$C$15, $D$11, 100%, $F$11)</f>
        <v>31.338200000000001</v>
      </c>
      <c r="D831" s="8">
        <f>31.3192 * CHOOSE( CONTROL!$C$15, $D$11, 100%, $F$11)</f>
        <v>31.319199999999999</v>
      </c>
      <c r="E831" s="12">
        <f>31.325 * CHOOSE( CONTROL!$C$15, $D$11, 100%, $F$11)</f>
        <v>31.324999999999999</v>
      </c>
      <c r="F831" s="4">
        <f>32.3246 * CHOOSE(CONTROL!$C$15, $D$11, 100%, $F$11)</f>
        <v>32.324599999999997</v>
      </c>
      <c r="G831" s="8">
        <f>30.5469 * CHOOSE( CONTROL!$C$15, $D$11, 100%, $F$11)</f>
        <v>30.546900000000001</v>
      </c>
      <c r="H831" s="4">
        <f>31.4328 * CHOOSE(CONTROL!$C$15, $D$11, 100%, $F$11)</f>
        <v>31.4328</v>
      </c>
      <c r="I831" s="8">
        <f>30.1218 * CHOOSE(CONTROL!$C$15, $D$11, 100%, $F$11)</f>
        <v>30.1218</v>
      </c>
      <c r="J831" s="4">
        <f>30.0135 * CHOOSE(CONTROL!$C$15, $D$11, 100%, $F$11)</f>
        <v>30.013500000000001</v>
      </c>
      <c r="K831" s="4"/>
      <c r="L831" s="9">
        <v>26.515499999999999</v>
      </c>
      <c r="M831" s="9">
        <v>11.6745</v>
      </c>
      <c r="N831" s="9">
        <v>4.7850000000000001</v>
      </c>
      <c r="O831" s="9">
        <v>0.36249999999999999</v>
      </c>
      <c r="P831" s="9">
        <v>1.2522</v>
      </c>
      <c r="Q831" s="9">
        <v>19.053000000000001</v>
      </c>
      <c r="R831" s="9"/>
      <c r="S831" s="11"/>
    </row>
    <row r="832" spans="1:19" ht="15.75">
      <c r="A832" s="13">
        <v>67206</v>
      </c>
      <c r="B832" s="8">
        <f>31.2708 * CHOOSE(CONTROL!$C$15, $D$11, 100%, $F$11)</f>
        <v>31.270800000000001</v>
      </c>
      <c r="C832" s="8">
        <f>31.2812 * CHOOSE(CONTROL!$C$15, $D$11, 100%, $F$11)</f>
        <v>31.281199999999998</v>
      </c>
      <c r="D832" s="8">
        <f>31.2648 * CHOOSE( CONTROL!$C$15, $D$11, 100%, $F$11)</f>
        <v>31.264800000000001</v>
      </c>
      <c r="E832" s="12">
        <f>31.2697 * CHOOSE( CONTROL!$C$15, $D$11, 100%, $F$11)</f>
        <v>31.2697</v>
      </c>
      <c r="F832" s="4">
        <f>32.2676 * CHOOSE(CONTROL!$C$15, $D$11, 100%, $F$11)</f>
        <v>32.267600000000002</v>
      </c>
      <c r="G832" s="8">
        <f>30.4934 * CHOOSE( CONTROL!$C$15, $D$11, 100%, $F$11)</f>
        <v>30.493400000000001</v>
      </c>
      <c r="H832" s="4">
        <f>31.3773 * CHOOSE(CONTROL!$C$15, $D$11, 100%, $F$11)</f>
        <v>31.377300000000002</v>
      </c>
      <c r="I832" s="8">
        <f>30.076 * CHOOSE(CONTROL!$C$15, $D$11, 100%, $F$11)</f>
        <v>30.076000000000001</v>
      </c>
      <c r="J832" s="4">
        <f>29.9589 * CHOOSE(CONTROL!$C$15, $D$11, 100%, $F$11)</f>
        <v>29.9589</v>
      </c>
      <c r="K832" s="4"/>
      <c r="L832" s="9">
        <v>27.3993</v>
      </c>
      <c r="M832" s="9">
        <v>12.063700000000001</v>
      </c>
      <c r="N832" s="9">
        <v>4.9444999999999997</v>
      </c>
      <c r="O832" s="9">
        <v>0.37459999999999999</v>
      </c>
      <c r="P832" s="9">
        <v>1.2939000000000001</v>
      </c>
      <c r="Q832" s="9">
        <v>19.688099999999999</v>
      </c>
      <c r="R832" s="9"/>
      <c r="S832" s="11"/>
    </row>
    <row r="833" spans="1:19" ht="15.75">
      <c r="A833" s="13">
        <v>67237</v>
      </c>
      <c r="B833" s="8">
        <f>32.4657 * CHOOSE(CONTROL!$C$15, $D$11, 100%, $F$11)</f>
        <v>32.465699999999998</v>
      </c>
      <c r="C833" s="8">
        <f>32.4762 * CHOOSE(CONTROL!$C$15, $D$11, 100%, $F$11)</f>
        <v>32.476199999999999</v>
      </c>
      <c r="D833" s="8">
        <f>32.4747 * CHOOSE( CONTROL!$C$15, $D$11, 100%, $F$11)</f>
        <v>32.474699999999999</v>
      </c>
      <c r="E833" s="12">
        <f>32.4741 * CHOOSE( CONTROL!$C$15, $D$11, 100%, $F$11)</f>
        <v>32.4741</v>
      </c>
      <c r="F833" s="4">
        <f>33.4887 * CHOOSE(CONTROL!$C$15, $D$11, 100%, $F$11)</f>
        <v>33.488700000000001</v>
      </c>
      <c r="G833" s="8">
        <f>31.675 * CHOOSE( CONTROL!$C$15, $D$11, 100%, $F$11)</f>
        <v>31.675000000000001</v>
      </c>
      <c r="H833" s="4">
        <f>32.5675 * CHOOSE(CONTROL!$C$15, $D$11, 100%, $F$11)</f>
        <v>32.567500000000003</v>
      </c>
      <c r="I833" s="8">
        <f>31.2281 * CHOOSE(CONTROL!$C$15, $D$11, 100%, $F$11)</f>
        <v>31.228100000000001</v>
      </c>
      <c r="J833" s="4">
        <f>31.1039 * CHOOSE(CONTROL!$C$15, $D$11, 100%, $F$11)</f>
        <v>31.103899999999999</v>
      </c>
      <c r="K833" s="4"/>
      <c r="L833" s="9">
        <v>27.3993</v>
      </c>
      <c r="M833" s="9">
        <v>12.063700000000001</v>
      </c>
      <c r="N833" s="9">
        <v>4.9444999999999997</v>
      </c>
      <c r="O833" s="9">
        <v>0.37459999999999999</v>
      </c>
      <c r="P833" s="9">
        <v>1.2939000000000001</v>
      </c>
      <c r="Q833" s="9">
        <v>19.688099999999999</v>
      </c>
      <c r="R833" s="9"/>
      <c r="S833" s="11"/>
    </row>
    <row r="834" spans="1:19" ht="15.75">
      <c r="A834" s="13">
        <v>67266</v>
      </c>
      <c r="B834" s="8">
        <f>30.3672 * CHOOSE(CONTROL!$C$15, $D$11, 100%, $F$11)</f>
        <v>30.3672</v>
      </c>
      <c r="C834" s="8">
        <f>30.3776 * CHOOSE(CONTROL!$C$15, $D$11, 100%, $F$11)</f>
        <v>30.377600000000001</v>
      </c>
      <c r="D834" s="8">
        <f>30.3784 * CHOOSE( CONTROL!$C$15, $D$11, 100%, $F$11)</f>
        <v>30.378399999999999</v>
      </c>
      <c r="E834" s="12">
        <f>30.377 * CHOOSE( CONTROL!$C$15, $D$11, 100%, $F$11)</f>
        <v>30.376999999999999</v>
      </c>
      <c r="F834" s="4">
        <f>31.3823 * CHOOSE(CONTROL!$C$15, $D$11, 100%, $F$11)</f>
        <v>31.382300000000001</v>
      </c>
      <c r="G834" s="8">
        <f>29.6292 * CHOOSE( CONTROL!$C$15, $D$11, 100%, $F$11)</f>
        <v>29.629200000000001</v>
      </c>
      <c r="H834" s="4">
        <f>30.5143 * CHOOSE(CONTROL!$C$15, $D$11, 100%, $F$11)</f>
        <v>30.514299999999999</v>
      </c>
      <c r="I834" s="8">
        <f>29.2053 * CHOOSE(CONTROL!$C$15, $D$11, 100%, $F$11)</f>
        <v>29.205300000000001</v>
      </c>
      <c r="J834" s="4">
        <f>29.0931 * CHOOSE(CONTROL!$C$15, $D$11, 100%, $F$11)</f>
        <v>29.0931</v>
      </c>
      <c r="K834" s="4"/>
      <c r="L834" s="9">
        <v>25.631599999999999</v>
      </c>
      <c r="M834" s="9">
        <v>11.285299999999999</v>
      </c>
      <c r="N834" s="9">
        <v>4.6254999999999997</v>
      </c>
      <c r="O834" s="9">
        <v>0.35039999999999999</v>
      </c>
      <c r="P834" s="9">
        <v>1.2104999999999999</v>
      </c>
      <c r="Q834" s="9">
        <v>18.417899999999999</v>
      </c>
      <c r="R834" s="9"/>
      <c r="S834" s="11"/>
    </row>
    <row r="835" spans="1:19" ht="15.75">
      <c r="A835" s="13">
        <v>67297</v>
      </c>
      <c r="B835" s="8">
        <f>29.7209 * CHOOSE(CONTROL!$C$15, $D$11, 100%, $F$11)</f>
        <v>29.7209</v>
      </c>
      <c r="C835" s="8">
        <f>29.7313 * CHOOSE(CONTROL!$C$15, $D$11, 100%, $F$11)</f>
        <v>29.731300000000001</v>
      </c>
      <c r="D835" s="8">
        <f>29.7118 * CHOOSE( CONTROL!$C$15, $D$11, 100%, $F$11)</f>
        <v>29.7118</v>
      </c>
      <c r="E835" s="12">
        <f>29.7178 * CHOOSE( CONTROL!$C$15, $D$11, 100%, $F$11)</f>
        <v>29.7178</v>
      </c>
      <c r="F835" s="4">
        <f>30.7198 * CHOOSE(CONTROL!$C$15, $D$11, 100%, $F$11)</f>
        <v>30.719799999999999</v>
      </c>
      <c r="G835" s="8">
        <f>28.9785 * CHOOSE( CONTROL!$C$15, $D$11, 100%, $F$11)</f>
        <v>28.9785</v>
      </c>
      <c r="H835" s="4">
        <f>29.8685 * CHOOSE(CONTROL!$C$15, $D$11, 100%, $F$11)</f>
        <v>29.868500000000001</v>
      </c>
      <c r="I835" s="8">
        <f>28.5462 * CHOOSE(CONTROL!$C$15, $D$11, 100%, $F$11)</f>
        <v>28.546199999999999</v>
      </c>
      <c r="J835" s="4">
        <f>28.4738 * CHOOSE(CONTROL!$C$15, $D$11, 100%, $F$11)</f>
        <v>28.473800000000001</v>
      </c>
      <c r="K835" s="4"/>
      <c r="L835" s="9">
        <v>27.3993</v>
      </c>
      <c r="M835" s="9">
        <v>12.063700000000001</v>
      </c>
      <c r="N835" s="9">
        <v>4.9444999999999997</v>
      </c>
      <c r="O835" s="9">
        <v>0.37459999999999999</v>
      </c>
      <c r="P835" s="9">
        <v>1.2939000000000001</v>
      </c>
      <c r="Q835" s="9">
        <v>19.688099999999999</v>
      </c>
      <c r="R835" s="9"/>
      <c r="S835" s="11"/>
    </row>
    <row r="836" spans="1:19" ht="15.75">
      <c r="A836" s="13">
        <v>67327</v>
      </c>
      <c r="B836" s="8">
        <f>30.1725 * CHOOSE(CONTROL!$C$15, $D$11, 100%, $F$11)</f>
        <v>30.172499999999999</v>
      </c>
      <c r="C836" s="8">
        <f>30.183 * CHOOSE(CONTROL!$C$15, $D$11, 100%, $F$11)</f>
        <v>30.183</v>
      </c>
      <c r="D836" s="8">
        <f>30.1868 * CHOOSE( CONTROL!$C$15, $D$11, 100%, $F$11)</f>
        <v>30.186800000000002</v>
      </c>
      <c r="E836" s="12">
        <f>30.1843 * CHOOSE( CONTROL!$C$15, $D$11, 100%, $F$11)</f>
        <v>30.1843</v>
      </c>
      <c r="F836" s="4">
        <f>31.1798 * CHOOSE(CONTROL!$C$15, $D$11, 100%, $F$11)</f>
        <v>31.1798</v>
      </c>
      <c r="G836" s="8">
        <f>29.4067 * CHOOSE( CONTROL!$C$15, $D$11, 100%, $F$11)</f>
        <v>29.406700000000001</v>
      </c>
      <c r="H836" s="4">
        <f>30.3169 * CHOOSE(CONTROL!$C$15, $D$11, 100%, $F$11)</f>
        <v>30.3169</v>
      </c>
      <c r="I836" s="8">
        <f>28.9692 * CHOOSE(CONTROL!$C$15, $D$11, 100%, $F$11)</f>
        <v>28.969200000000001</v>
      </c>
      <c r="J836" s="4">
        <f>28.9065 * CHOOSE(CONTROL!$C$15, $D$11, 100%, $F$11)</f>
        <v>28.906500000000001</v>
      </c>
      <c r="K836" s="4"/>
      <c r="L836" s="9">
        <v>27.988800000000001</v>
      </c>
      <c r="M836" s="9">
        <v>11.6745</v>
      </c>
      <c r="N836" s="9">
        <v>4.7850000000000001</v>
      </c>
      <c r="O836" s="9">
        <v>0.36249999999999999</v>
      </c>
      <c r="P836" s="9">
        <v>1.1798</v>
      </c>
      <c r="Q836" s="9">
        <v>19.053000000000001</v>
      </c>
      <c r="R836" s="9"/>
      <c r="S836" s="11"/>
    </row>
    <row r="837" spans="1:19" ht="15.75">
      <c r="A837" s="13">
        <v>67358</v>
      </c>
      <c r="B837" s="8">
        <f>CHOOSE( CONTROL!$C$32, 30.9813, 30.9763) * CHOOSE(CONTROL!$C$15, $D$11, 100%, $F$11)</f>
        <v>30.981300000000001</v>
      </c>
      <c r="C837" s="8">
        <f>CHOOSE( CONTROL!$C$32, 30.9917, 30.9868) * CHOOSE(CONTROL!$C$15, $D$11, 100%, $F$11)</f>
        <v>30.991700000000002</v>
      </c>
      <c r="D837" s="8">
        <f>CHOOSE( CONTROL!$C$32, 30.9704, 30.9654) * CHOOSE( CONTROL!$C$15, $D$11, 100%, $F$11)</f>
        <v>30.970400000000001</v>
      </c>
      <c r="E837" s="12">
        <f>CHOOSE( CONTROL!$C$32, 30.9765, 30.9716) * CHOOSE( CONTROL!$C$15, $D$11, 100%, $F$11)</f>
        <v>30.976500000000001</v>
      </c>
      <c r="F837" s="4">
        <f>CHOOSE( CONTROL!$C$32, 31.9562, 31.9512) * CHOOSE(CONTROL!$C$15, $D$11, 100%, $F$11)</f>
        <v>31.956199999999999</v>
      </c>
      <c r="G837" s="8">
        <f>CHOOSE( CONTROL!$C$32, 30.1765, 30.1717) * CHOOSE( CONTROL!$C$15, $D$11, 100%, $F$11)</f>
        <v>30.176500000000001</v>
      </c>
      <c r="H837" s="4">
        <f>CHOOSE( CONTROL!$C$32, 31.0737, 31.0689) * CHOOSE(CONTROL!$C$15, $D$11, 100%, $F$11)</f>
        <v>31.073699999999999</v>
      </c>
      <c r="I837" s="8">
        <f>CHOOSE( CONTROL!$C$32, 29.7231, 29.7183) * CHOOSE(CONTROL!$C$15, $D$11, 100%, $F$11)</f>
        <v>29.723099999999999</v>
      </c>
      <c r="J837" s="4">
        <f>CHOOSE( CONTROL!$C$32, 29.6815, 29.6768) * CHOOSE(CONTROL!$C$15, $D$11, 100%, $F$11)</f>
        <v>29.6815</v>
      </c>
      <c r="K837" s="4"/>
      <c r="L837" s="9">
        <v>29.520499999999998</v>
      </c>
      <c r="M837" s="9">
        <v>12.063700000000001</v>
      </c>
      <c r="N837" s="9">
        <v>4.9444999999999997</v>
      </c>
      <c r="O837" s="9">
        <v>0.37459999999999999</v>
      </c>
      <c r="P837" s="9">
        <v>1.2192000000000001</v>
      </c>
      <c r="Q837" s="9">
        <v>19.688099999999999</v>
      </c>
      <c r="R837" s="9"/>
      <c r="S837" s="11"/>
    </row>
    <row r="838" spans="1:19" ht="15.75">
      <c r="A838" s="13">
        <v>67388</v>
      </c>
      <c r="B838" s="8">
        <f>CHOOSE( CONTROL!$C$32, 30.4833, 30.4784) * CHOOSE(CONTROL!$C$15, $D$11, 100%, $F$11)</f>
        <v>30.4833</v>
      </c>
      <c r="C838" s="8">
        <f>CHOOSE( CONTROL!$C$32, 30.4938, 30.4888) * CHOOSE(CONTROL!$C$15, $D$11, 100%, $F$11)</f>
        <v>30.4938</v>
      </c>
      <c r="D838" s="8">
        <f>CHOOSE( CONTROL!$C$32, 30.4859, 30.4809) * CHOOSE( CONTROL!$C$15, $D$11, 100%, $F$11)</f>
        <v>30.485900000000001</v>
      </c>
      <c r="E838" s="12">
        <f>CHOOSE( CONTROL!$C$32, 30.4872, 30.4822) * CHOOSE( CONTROL!$C$15, $D$11, 100%, $F$11)</f>
        <v>30.487200000000001</v>
      </c>
      <c r="F838" s="4">
        <f>CHOOSE( CONTROL!$C$32, 31.4775, 31.4726) * CHOOSE(CONTROL!$C$15, $D$11, 100%, $F$11)</f>
        <v>31.477499999999999</v>
      </c>
      <c r="G838" s="8">
        <f>CHOOSE( CONTROL!$C$32, 29.7015, 29.6967) * CHOOSE( CONTROL!$C$15, $D$11, 100%, $F$11)</f>
        <v>29.701499999999999</v>
      </c>
      <c r="H838" s="4">
        <f>CHOOSE( CONTROL!$C$32, 30.6072, 30.6023) * CHOOSE(CONTROL!$C$15, $D$11, 100%, $F$11)</f>
        <v>30.607199999999999</v>
      </c>
      <c r="I838" s="8">
        <f>CHOOSE( CONTROL!$C$32, 29.2635, 29.2588) * CHOOSE(CONTROL!$C$15, $D$11, 100%, $F$11)</f>
        <v>29.263500000000001</v>
      </c>
      <c r="J838" s="4">
        <f>CHOOSE( CONTROL!$C$32, 29.2044, 29.1996) * CHOOSE(CONTROL!$C$15, $D$11, 100%, $F$11)</f>
        <v>29.2044</v>
      </c>
      <c r="K838" s="4"/>
      <c r="L838" s="9">
        <v>28.568200000000001</v>
      </c>
      <c r="M838" s="9">
        <v>11.6745</v>
      </c>
      <c r="N838" s="9">
        <v>4.7850000000000001</v>
      </c>
      <c r="O838" s="9">
        <v>0.36249999999999999</v>
      </c>
      <c r="P838" s="9">
        <v>1.1798</v>
      </c>
      <c r="Q838" s="9">
        <v>19.053000000000001</v>
      </c>
      <c r="R838" s="9"/>
      <c r="S838" s="11"/>
    </row>
    <row r="839" spans="1:19" ht="15.75">
      <c r="A839" s="13">
        <v>67419</v>
      </c>
      <c r="B839" s="8">
        <f>CHOOSE( CONTROL!$C$32, 31.7946, 31.7897) * CHOOSE(CONTROL!$C$15, $D$11, 100%, $F$11)</f>
        <v>31.794599999999999</v>
      </c>
      <c r="C839" s="8">
        <f>CHOOSE( CONTROL!$C$32, 31.8051, 31.8001) * CHOOSE(CONTROL!$C$15, $D$11, 100%, $F$11)</f>
        <v>31.805099999999999</v>
      </c>
      <c r="D839" s="8">
        <f>CHOOSE( CONTROL!$C$32, 31.8041, 31.7991) * CHOOSE( CONTROL!$C$15, $D$11, 100%, $F$11)</f>
        <v>31.804099999999998</v>
      </c>
      <c r="E839" s="12">
        <f>CHOOSE( CONTROL!$C$32, 31.8029, 31.7979) * CHOOSE( CONTROL!$C$15, $D$11, 100%, $F$11)</f>
        <v>31.802900000000001</v>
      </c>
      <c r="F839" s="4">
        <f>CHOOSE( CONTROL!$C$32, 32.7993, 32.7943) * CHOOSE(CONTROL!$C$15, $D$11, 100%, $F$11)</f>
        <v>32.799300000000002</v>
      </c>
      <c r="G839" s="8">
        <f>CHOOSE( CONTROL!$C$32, 30.9838, 30.979) * CHOOSE( CONTROL!$C$15, $D$11, 100%, $F$11)</f>
        <v>30.983799999999999</v>
      </c>
      <c r="H839" s="4">
        <f>CHOOSE( CONTROL!$C$32, 31.8955, 31.8907) * CHOOSE(CONTROL!$C$15, $D$11, 100%, $F$11)</f>
        <v>31.895499999999998</v>
      </c>
      <c r="I839" s="8">
        <f>CHOOSE( CONTROL!$C$32, 30.5282, 30.5235) * CHOOSE(CONTROL!$C$15, $D$11, 100%, $F$11)</f>
        <v>30.528199999999998</v>
      </c>
      <c r="J839" s="4">
        <f>CHOOSE( CONTROL!$C$32, 30.4608, 30.4561) * CHOOSE(CONTROL!$C$15, $D$11, 100%, $F$11)</f>
        <v>30.460799999999999</v>
      </c>
      <c r="K839" s="4"/>
      <c r="L839" s="9">
        <v>29.520499999999998</v>
      </c>
      <c r="M839" s="9">
        <v>12.063700000000001</v>
      </c>
      <c r="N839" s="9">
        <v>4.9444999999999997</v>
      </c>
      <c r="O839" s="9">
        <v>0.37459999999999999</v>
      </c>
      <c r="P839" s="9">
        <v>1.2192000000000001</v>
      </c>
      <c r="Q839" s="9">
        <v>19.688099999999999</v>
      </c>
      <c r="R839" s="9"/>
      <c r="S839" s="11"/>
    </row>
    <row r="840" spans="1:19" ht="15.75">
      <c r="A840" s="13">
        <v>67450</v>
      </c>
      <c r="B840" s="8">
        <f>CHOOSE( CONTROL!$C$32, 29.3411, 29.3361) * CHOOSE(CONTROL!$C$15, $D$11, 100%, $F$11)</f>
        <v>29.341100000000001</v>
      </c>
      <c r="C840" s="8">
        <f>CHOOSE( CONTROL!$C$32, 29.3515, 29.3466) * CHOOSE(CONTROL!$C$15, $D$11, 100%, $F$11)</f>
        <v>29.351500000000001</v>
      </c>
      <c r="D840" s="8">
        <f>CHOOSE( CONTROL!$C$32, 29.3517, 29.3467) * CHOOSE( CONTROL!$C$15, $D$11, 100%, $F$11)</f>
        <v>29.351700000000001</v>
      </c>
      <c r="E840" s="12">
        <f>CHOOSE( CONTROL!$C$32, 29.35, 29.3451) * CHOOSE( CONTROL!$C$15, $D$11, 100%, $F$11)</f>
        <v>29.35</v>
      </c>
      <c r="F840" s="4">
        <f>CHOOSE( CONTROL!$C$32, 30.3535, 30.3486) * CHOOSE(CONTROL!$C$15, $D$11, 100%, $F$11)</f>
        <v>30.3535</v>
      </c>
      <c r="G840" s="8">
        <f>CHOOSE( CONTROL!$C$32, 28.5873, 28.5825) * CHOOSE( CONTROL!$C$15, $D$11, 100%, $F$11)</f>
        <v>28.587299999999999</v>
      </c>
      <c r="H840" s="4">
        <f>CHOOSE( CONTROL!$C$32, 29.5115, 29.5067) * CHOOSE(CONTROL!$C$15, $D$11, 100%, $F$11)</f>
        <v>29.511500000000002</v>
      </c>
      <c r="I840" s="8">
        <f>CHOOSE( CONTROL!$C$32, 28.167, 28.1623) * CHOOSE(CONTROL!$C$15, $D$11, 100%, $F$11)</f>
        <v>28.167000000000002</v>
      </c>
      <c r="J840" s="4">
        <f>CHOOSE( CONTROL!$C$32, 28.1099, 28.1051) * CHOOSE(CONTROL!$C$15, $D$11, 100%, $F$11)</f>
        <v>28.1099</v>
      </c>
      <c r="K840" s="4"/>
      <c r="L840" s="9">
        <v>29.520499999999998</v>
      </c>
      <c r="M840" s="9">
        <v>12.063700000000001</v>
      </c>
      <c r="N840" s="9">
        <v>4.9444999999999997</v>
      </c>
      <c r="O840" s="9">
        <v>0.37459999999999999</v>
      </c>
      <c r="P840" s="9">
        <v>1.2192000000000001</v>
      </c>
      <c r="Q840" s="9">
        <v>19.688099999999999</v>
      </c>
      <c r="R840" s="9"/>
      <c r="S840" s="11"/>
    </row>
    <row r="841" spans="1:19" ht="15.75">
      <c r="A841" s="13">
        <v>67480</v>
      </c>
      <c r="B841" s="8">
        <f>CHOOSE( CONTROL!$C$32, 28.7267, 28.7217) * CHOOSE(CONTROL!$C$15, $D$11, 100%, $F$11)</f>
        <v>28.726700000000001</v>
      </c>
      <c r="C841" s="8">
        <f>CHOOSE( CONTROL!$C$32, 28.7371, 28.7322) * CHOOSE(CONTROL!$C$15, $D$11, 100%, $F$11)</f>
        <v>28.737100000000002</v>
      </c>
      <c r="D841" s="8">
        <f>CHOOSE( CONTROL!$C$32, 28.7376, 28.7326) * CHOOSE( CONTROL!$C$15, $D$11, 100%, $F$11)</f>
        <v>28.7376</v>
      </c>
      <c r="E841" s="12">
        <f>CHOOSE( CONTROL!$C$32, 28.7358, 28.7309) * CHOOSE( CONTROL!$C$15, $D$11, 100%, $F$11)</f>
        <v>28.735800000000001</v>
      </c>
      <c r="F841" s="4">
        <f>CHOOSE( CONTROL!$C$32, 29.7391, 29.7342) * CHOOSE(CONTROL!$C$15, $D$11, 100%, $F$11)</f>
        <v>29.739100000000001</v>
      </c>
      <c r="G841" s="8">
        <f>CHOOSE( CONTROL!$C$32, 27.9889, 27.9841) * CHOOSE( CONTROL!$C$15, $D$11, 100%, $F$11)</f>
        <v>27.988900000000001</v>
      </c>
      <c r="H841" s="4">
        <f>CHOOSE( CONTROL!$C$32, 28.9126, 28.9078) * CHOOSE(CONTROL!$C$15, $D$11, 100%, $F$11)</f>
        <v>28.912600000000001</v>
      </c>
      <c r="I841" s="8">
        <f>CHOOSE( CONTROL!$C$32, 27.5794, 27.5747) * CHOOSE(CONTROL!$C$15, $D$11, 100%, $F$11)</f>
        <v>27.5794</v>
      </c>
      <c r="J841" s="4">
        <f>CHOOSE( CONTROL!$C$32, 27.5211, 27.5164) * CHOOSE(CONTROL!$C$15, $D$11, 100%, $F$11)</f>
        <v>27.521100000000001</v>
      </c>
      <c r="K841" s="4"/>
      <c r="L841" s="9">
        <v>28.568200000000001</v>
      </c>
      <c r="M841" s="9">
        <v>11.6745</v>
      </c>
      <c r="N841" s="9">
        <v>4.7850000000000001</v>
      </c>
      <c r="O841" s="9">
        <v>0.36249999999999999</v>
      </c>
      <c r="P841" s="9">
        <v>1.1798</v>
      </c>
      <c r="Q841" s="9">
        <v>19.053000000000001</v>
      </c>
      <c r="R841" s="9"/>
      <c r="S841" s="11"/>
    </row>
    <row r="842" spans="1:19" ht="15.75">
      <c r="A842" s="13">
        <v>67511</v>
      </c>
      <c r="B842" s="8">
        <f>29.9974 * CHOOSE(CONTROL!$C$15, $D$11, 100%, $F$11)</f>
        <v>29.997399999999999</v>
      </c>
      <c r="C842" s="8">
        <f>30.0079 * CHOOSE(CONTROL!$C$15, $D$11, 100%, $F$11)</f>
        <v>30.007899999999999</v>
      </c>
      <c r="D842" s="8">
        <f>30.0095 * CHOOSE( CONTROL!$C$15, $D$11, 100%, $F$11)</f>
        <v>30.009499999999999</v>
      </c>
      <c r="E842" s="12">
        <f>30.0079 * CHOOSE( CONTROL!$C$15, $D$11, 100%, $F$11)</f>
        <v>30.007899999999999</v>
      </c>
      <c r="F842" s="4">
        <f>31.0099 * CHOOSE(CONTROL!$C$15, $D$11, 100%, $F$11)</f>
        <v>31.009899999999998</v>
      </c>
      <c r="G842" s="8">
        <f>29.2272 * CHOOSE( CONTROL!$C$15, $D$11, 100%, $F$11)</f>
        <v>29.2272</v>
      </c>
      <c r="H842" s="4">
        <f>30.1513 * CHOOSE(CONTROL!$C$15, $D$11, 100%, $F$11)</f>
        <v>30.151299999999999</v>
      </c>
      <c r="I842" s="8">
        <f>28.8 * CHOOSE(CONTROL!$C$15, $D$11, 100%, $F$11)</f>
        <v>28.8</v>
      </c>
      <c r="J842" s="4">
        <f>28.7388 * CHOOSE(CONTROL!$C$15, $D$11, 100%, $F$11)</f>
        <v>28.738800000000001</v>
      </c>
      <c r="K842" s="4"/>
      <c r="L842" s="9">
        <v>28.921800000000001</v>
      </c>
      <c r="M842" s="9">
        <v>12.063700000000001</v>
      </c>
      <c r="N842" s="9">
        <v>4.9444999999999997</v>
      </c>
      <c r="O842" s="9">
        <v>0.37459999999999999</v>
      </c>
      <c r="P842" s="9">
        <v>1.2192000000000001</v>
      </c>
      <c r="Q842" s="9">
        <v>19.688099999999999</v>
      </c>
      <c r="R842" s="9"/>
      <c r="S842" s="11"/>
    </row>
    <row r="843" spans="1:19" ht="15.75">
      <c r="A843" s="13">
        <v>67541</v>
      </c>
      <c r="B843" s="8">
        <f>32.3521 * CHOOSE(CONTROL!$C$15, $D$11, 100%, $F$11)</f>
        <v>32.3521</v>
      </c>
      <c r="C843" s="8">
        <f>32.3626 * CHOOSE(CONTROL!$C$15, $D$11, 100%, $F$11)</f>
        <v>32.3626</v>
      </c>
      <c r="D843" s="8">
        <f>32.3436 * CHOOSE( CONTROL!$C$15, $D$11, 100%, $F$11)</f>
        <v>32.343600000000002</v>
      </c>
      <c r="E843" s="12">
        <f>32.3494 * CHOOSE( CONTROL!$C$15, $D$11, 100%, $F$11)</f>
        <v>32.349400000000003</v>
      </c>
      <c r="F843" s="4">
        <f>33.3489 * CHOOSE(CONTROL!$C$15, $D$11, 100%, $F$11)</f>
        <v>33.3489</v>
      </c>
      <c r="G843" s="8">
        <f>31.5454 * CHOOSE( CONTROL!$C$15, $D$11, 100%, $F$11)</f>
        <v>31.545400000000001</v>
      </c>
      <c r="H843" s="4">
        <f>32.4313 * CHOOSE(CONTROL!$C$15, $D$11, 100%, $F$11)</f>
        <v>32.4313</v>
      </c>
      <c r="I843" s="8">
        <f>31.1039 * CHOOSE(CONTROL!$C$15, $D$11, 100%, $F$11)</f>
        <v>31.103899999999999</v>
      </c>
      <c r="J843" s="4">
        <f>30.995 * CHOOSE(CONTROL!$C$15, $D$11, 100%, $F$11)</f>
        <v>30.995000000000001</v>
      </c>
      <c r="K843" s="4"/>
      <c r="L843" s="9">
        <v>26.515499999999999</v>
      </c>
      <c r="M843" s="9">
        <v>11.6745</v>
      </c>
      <c r="N843" s="9">
        <v>4.7850000000000001</v>
      </c>
      <c r="O843" s="9">
        <v>0.36249999999999999</v>
      </c>
      <c r="P843" s="9">
        <v>1.2522</v>
      </c>
      <c r="Q843" s="9">
        <v>19.053000000000001</v>
      </c>
      <c r="R843" s="9"/>
      <c r="S843" s="11"/>
    </row>
    <row r="844" spans="1:19" ht="15.75">
      <c r="A844" s="13">
        <v>67572</v>
      </c>
      <c r="B844" s="8">
        <f>32.2933 * CHOOSE(CONTROL!$C$15, $D$11, 100%, $F$11)</f>
        <v>32.293300000000002</v>
      </c>
      <c r="C844" s="8">
        <f>32.3037 * CHOOSE(CONTROL!$C$15, $D$11, 100%, $F$11)</f>
        <v>32.303699999999999</v>
      </c>
      <c r="D844" s="8">
        <f>32.2873 * CHOOSE( CONTROL!$C$15, $D$11, 100%, $F$11)</f>
        <v>32.287300000000002</v>
      </c>
      <c r="E844" s="12">
        <f>32.2922 * CHOOSE( CONTROL!$C$15, $D$11, 100%, $F$11)</f>
        <v>32.292200000000001</v>
      </c>
      <c r="F844" s="4">
        <f>33.2901 * CHOOSE(CONTROL!$C$15, $D$11, 100%, $F$11)</f>
        <v>33.290100000000002</v>
      </c>
      <c r="G844" s="8">
        <f>31.4901 * CHOOSE( CONTROL!$C$15, $D$11, 100%, $F$11)</f>
        <v>31.490100000000002</v>
      </c>
      <c r="H844" s="4">
        <f>32.374 * CHOOSE(CONTROL!$C$15, $D$11, 100%, $F$11)</f>
        <v>32.374000000000002</v>
      </c>
      <c r="I844" s="8">
        <f>31.0563 * CHOOSE(CONTROL!$C$15, $D$11, 100%, $F$11)</f>
        <v>31.0563</v>
      </c>
      <c r="J844" s="4">
        <f>30.9387 * CHOOSE(CONTROL!$C$15, $D$11, 100%, $F$11)</f>
        <v>30.938700000000001</v>
      </c>
      <c r="K844" s="4"/>
      <c r="L844" s="9">
        <v>27.3993</v>
      </c>
      <c r="M844" s="9">
        <v>12.063700000000001</v>
      </c>
      <c r="N844" s="9">
        <v>4.9444999999999997</v>
      </c>
      <c r="O844" s="9">
        <v>0.37459999999999999</v>
      </c>
      <c r="P844" s="9">
        <v>1.2939000000000001</v>
      </c>
      <c r="Q844" s="9">
        <v>19.688099999999999</v>
      </c>
      <c r="R844" s="9"/>
      <c r="S844" s="11"/>
    </row>
    <row r="845" spans="1:19" ht="15.75">
      <c r="A845" s="13">
        <v>67603</v>
      </c>
      <c r="B845" s="8">
        <f>33.5273 * CHOOSE(CONTROL!$C$15, $D$11, 100%, $F$11)</f>
        <v>33.527299999999997</v>
      </c>
      <c r="C845" s="8">
        <f>33.5378 * CHOOSE(CONTROL!$C$15, $D$11, 100%, $F$11)</f>
        <v>33.537799999999997</v>
      </c>
      <c r="D845" s="8">
        <f>33.5363 * CHOOSE( CONTROL!$C$15, $D$11, 100%, $F$11)</f>
        <v>33.536299999999997</v>
      </c>
      <c r="E845" s="12">
        <f>33.5357 * CHOOSE( CONTROL!$C$15, $D$11, 100%, $F$11)</f>
        <v>33.535699999999999</v>
      </c>
      <c r="F845" s="4">
        <f>34.5502 * CHOOSE(CONTROL!$C$15, $D$11, 100%, $F$11)</f>
        <v>34.550199999999997</v>
      </c>
      <c r="G845" s="8">
        <f>32.7098 * CHOOSE( CONTROL!$C$15, $D$11, 100%, $F$11)</f>
        <v>32.709800000000001</v>
      </c>
      <c r="H845" s="4">
        <f>33.6023 * CHOOSE(CONTROL!$C$15, $D$11, 100%, $F$11)</f>
        <v>33.6023</v>
      </c>
      <c r="I845" s="8">
        <f>32.2458 * CHOOSE(CONTROL!$C$15, $D$11, 100%, $F$11)</f>
        <v>32.245800000000003</v>
      </c>
      <c r="J845" s="4">
        <f>32.1211 * CHOOSE(CONTROL!$C$15, $D$11, 100%, $F$11)</f>
        <v>32.121099999999998</v>
      </c>
      <c r="K845" s="4"/>
      <c r="L845" s="9">
        <v>27.3993</v>
      </c>
      <c r="M845" s="9">
        <v>12.063700000000001</v>
      </c>
      <c r="N845" s="9">
        <v>4.9444999999999997</v>
      </c>
      <c r="O845" s="9">
        <v>0.37459999999999999</v>
      </c>
      <c r="P845" s="9">
        <v>1.2939000000000001</v>
      </c>
      <c r="Q845" s="9">
        <v>19.688099999999999</v>
      </c>
      <c r="R845" s="9"/>
      <c r="S845" s="11"/>
    </row>
    <row r="846" spans="1:19" ht="15.75">
      <c r="A846" s="13">
        <v>67631</v>
      </c>
      <c r="B846" s="8">
        <f>31.3602 * CHOOSE(CONTROL!$C$15, $D$11, 100%, $F$11)</f>
        <v>31.360199999999999</v>
      </c>
      <c r="C846" s="8">
        <f>31.3706 * CHOOSE(CONTROL!$C$15, $D$11, 100%, $F$11)</f>
        <v>31.3706</v>
      </c>
      <c r="D846" s="8">
        <f>31.3714 * CHOOSE( CONTROL!$C$15, $D$11, 100%, $F$11)</f>
        <v>31.371400000000001</v>
      </c>
      <c r="E846" s="12">
        <f>31.37 * CHOOSE( CONTROL!$C$15, $D$11, 100%, $F$11)</f>
        <v>31.37</v>
      </c>
      <c r="F846" s="4">
        <f>32.3752 * CHOOSE(CONTROL!$C$15, $D$11, 100%, $F$11)</f>
        <v>32.3752</v>
      </c>
      <c r="G846" s="8">
        <f>30.5971 * CHOOSE( CONTROL!$C$15, $D$11, 100%, $F$11)</f>
        <v>30.597100000000001</v>
      </c>
      <c r="H846" s="4">
        <f>31.4822 * CHOOSE(CONTROL!$C$15, $D$11, 100%, $F$11)</f>
        <v>31.482199999999999</v>
      </c>
      <c r="I846" s="8">
        <f>30.1572 * CHOOSE(CONTROL!$C$15, $D$11, 100%, $F$11)</f>
        <v>30.1572</v>
      </c>
      <c r="J846" s="4">
        <f>30.0446 * CHOOSE(CONTROL!$C$15, $D$11, 100%, $F$11)</f>
        <v>30.044599999999999</v>
      </c>
      <c r="K846" s="4"/>
      <c r="L846" s="9">
        <v>24.747800000000002</v>
      </c>
      <c r="M846" s="9">
        <v>10.8962</v>
      </c>
      <c r="N846" s="9">
        <v>4.4660000000000002</v>
      </c>
      <c r="O846" s="9">
        <v>0.33829999999999999</v>
      </c>
      <c r="P846" s="9">
        <v>1.1687000000000001</v>
      </c>
      <c r="Q846" s="9">
        <v>17.782800000000002</v>
      </c>
      <c r="R846" s="9"/>
      <c r="S846" s="11"/>
    </row>
    <row r="847" spans="1:19" ht="15.75">
      <c r="A847" s="13">
        <v>67662</v>
      </c>
      <c r="B847" s="8">
        <f>30.6927 * CHOOSE(CONTROL!$C$15, $D$11, 100%, $F$11)</f>
        <v>30.692699999999999</v>
      </c>
      <c r="C847" s="8">
        <f>30.7031 * CHOOSE(CONTROL!$C$15, $D$11, 100%, $F$11)</f>
        <v>30.703099999999999</v>
      </c>
      <c r="D847" s="8">
        <f>30.6836 * CHOOSE( CONTROL!$C$15, $D$11, 100%, $F$11)</f>
        <v>30.683599999999998</v>
      </c>
      <c r="E847" s="12">
        <f>30.6896 * CHOOSE( CONTROL!$C$15, $D$11, 100%, $F$11)</f>
        <v>30.689599999999999</v>
      </c>
      <c r="F847" s="4">
        <f>31.6916 * CHOOSE(CONTROL!$C$15, $D$11, 100%, $F$11)</f>
        <v>31.691600000000001</v>
      </c>
      <c r="G847" s="8">
        <f>29.9258 * CHOOSE( CONTROL!$C$15, $D$11, 100%, $F$11)</f>
        <v>29.925799999999999</v>
      </c>
      <c r="H847" s="4">
        <f>30.8158 * CHOOSE(CONTROL!$C$15, $D$11, 100%, $F$11)</f>
        <v>30.815799999999999</v>
      </c>
      <c r="I847" s="8">
        <f>29.4778 * CHOOSE(CONTROL!$C$15, $D$11, 100%, $F$11)</f>
        <v>29.477799999999998</v>
      </c>
      <c r="J847" s="4">
        <f>29.405 * CHOOSE(CONTROL!$C$15, $D$11, 100%, $F$11)</f>
        <v>29.405000000000001</v>
      </c>
      <c r="K847" s="4"/>
      <c r="L847" s="9">
        <v>27.3993</v>
      </c>
      <c r="M847" s="9">
        <v>12.063700000000001</v>
      </c>
      <c r="N847" s="9">
        <v>4.9444999999999997</v>
      </c>
      <c r="O847" s="9">
        <v>0.37459999999999999</v>
      </c>
      <c r="P847" s="9">
        <v>1.2939000000000001</v>
      </c>
      <c r="Q847" s="9">
        <v>19.688099999999999</v>
      </c>
      <c r="R847" s="9"/>
      <c r="S847" s="11"/>
    </row>
    <row r="848" spans="1:19" ht="15.75">
      <c r="A848" s="13">
        <v>67692</v>
      </c>
      <c r="B848" s="8">
        <f>31.1591 * CHOOSE(CONTROL!$C$15, $D$11, 100%, $F$11)</f>
        <v>31.159099999999999</v>
      </c>
      <c r="C848" s="8">
        <f>31.1695 * CHOOSE(CONTROL!$C$15, $D$11, 100%, $F$11)</f>
        <v>31.169499999999999</v>
      </c>
      <c r="D848" s="8">
        <f>31.1734 * CHOOSE( CONTROL!$C$15, $D$11, 100%, $F$11)</f>
        <v>31.173400000000001</v>
      </c>
      <c r="E848" s="12">
        <f>31.1709 * CHOOSE( CONTROL!$C$15, $D$11, 100%, $F$11)</f>
        <v>31.1709</v>
      </c>
      <c r="F848" s="4">
        <f>32.1664 * CHOOSE(CONTROL!$C$15, $D$11, 100%, $F$11)</f>
        <v>32.166400000000003</v>
      </c>
      <c r="G848" s="8">
        <f>30.3684 * CHOOSE( CONTROL!$C$15, $D$11, 100%, $F$11)</f>
        <v>30.368400000000001</v>
      </c>
      <c r="H848" s="4">
        <f>31.2786 * CHOOSE(CONTROL!$C$15, $D$11, 100%, $F$11)</f>
        <v>31.278600000000001</v>
      </c>
      <c r="I848" s="8">
        <f>29.9151 * CHOOSE(CONTROL!$C$15, $D$11, 100%, $F$11)</f>
        <v>29.915099999999999</v>
      </c>
      <c r="J848" s="4">
        <f>29.8519 * CHOOSE(CONTROL!$C$15, $D$11, 100%, $F$11)</f>
        <v>29.851900000000001</v>
      </c>
      <c r="K848" s="4"/>
      <c r="L848" s="9">
        <v>27.988800000000001</v>
      </c>
      <c r="M848" s="9">
        <v>11.6745</v>
      </c>
      <c r="N848" s="9">
        <v>4.7850000000000001</v>
      </c>
      <c r="O848" s="9">
        <v>0.36249999999999999</v>
      </c>
      <c r="P848" s="9">
        <v>1.1798</v>
      </c>
      <c r="Q848" s="9">
        <v>19.053000000000001</v>
      </c>
      <c r="R848" s="9"/>
      <c r="S848" s="11"/>
    </row>
    <row r="849" spans="1:19" ht="15.75">
      <c r="A849" s="13">
        <v>67723</v>
      </c>
      <c r="B849" s="8">
        <f>CHOOSE( CONTROL!$C$32, 31.9942, 31.9892) * CHOOSE(CONTROL!$C$15, $D$11, 100%, $F$11)</f>
        <v>31.994199999999999</v>
      </c>
      <c r="C849" s="8">
        <f>CHOOSE( CONTROL!$C$32, 32.0046, 31.9997) * CHOOSE(CONTROL!$C$15, $D$11, 100%, $F$11)</f>
        <v>32.004600000000003</v>
      </c>
      <c r="D849" s="8">
        <f>CHOOSE( CONTROL!$C$32, 31.9832, 31.9783) * CHOOSE( CONTROL!$C$15, $D$11, 100%, $F$11)</f>
        <v>31.9832</v>
      </c>
      <c r="E849" s="12">
        <f>CHOOSE( CONTROL!$C$32, 31.9894, 31.9845) * CHOOSE( CONTROL!$C$15, $D$11, 100%, $F$11)</f>
        <v>31.9894</v>
      </c>
      <c r="F849" s="4">
        <f>CHOOSE( CONTROL!$C$32, 32.9691, 32.9641) * CHOOSE(CONTROL!$C$15, $D$11, 100%, $F$11)</f>
        <v>32.969099999999997</v>
      </c>
      <c r="G849" s="8">
        <f>CHOOSE( CONTROL!$C$32, 31.1638, 31.159) * CHOOSE( CONTROL!$C$15, $D$11, 100%, $F$11)</f>
        <v>31.163799999999998</v>
      </c>
      <c r="H849" s="4">
        <f>CHOOSE( CONTROL!$C$32, 32.061, 32.0562) * CHOOSE(CONTROL!$C$15, $D$11, 100%, $F$11)</f>
        <v>32.061</v>
      </c>
      <c r="I849" s="8">
        <f>CHOOSE( CONTROL!$C$32, 30.6941, 30.6893) * CHOOSE(CONTROL!$C$15, $D$11, 100%, $F$11)</f>
        <v>30.694099999999999</v>
      </c>
      <c r="J849" s="4">
        <f>CHOOSE( CONTROL!$C$32, 30.652, 30.6473) * CHOOSE(CONTROL!$C$15, $D$11, 100%, $F$11)</f>
        <v>30.652000000000001</v>
      </c>
      <c r="K849" s="4"/>
      <c r="L849" s="9">
        <v>29.520499999999998</v>
      </c>
      <c r="M849" s="9">
        <v>12.063700000000001</v>
      </c>
      <c r="N849" s="9">
        <v>4.9444999999999997</v>
      </c>
      <c r="O849" s="9">
        <v>0.37459999999999999</v>
      </c>
      <c r="P849" s="9">
        <v>1.2192000000000001</v>
      </c>
      <c r="Q849" s="9">
        <v>19.688099999999999</v>
      </c>
      <c r="R849" s="9"/>
      <c r="S849" s="11"/>
    </row>
    <row r="850" spans="1:19" ht="15.75">
      <c r="A850" s="13">
        <v>67753</v>
      </c>
      <c r="B850" s="8">
        <f>CHOOSE( CONTROL!$C$32, 31.4799, 31.475) * CHOOSE(CONTROL!$C$15, $D$11, 100%, $F$11)</f>
        <v>31.479900000000001</v>
      </c>
      <c r="C850" s="8">
        <f>CHOOSE( CONTROL!$C$32, 31.4904, 31.4854) * CHOOSE(CONTROL!$C$15, $D$11, 100%, $F$11)</f>
        <v>31.490400000000001</v>
      </c>
      <c r="D850" s="8">
        <f>CHOOSE( CONTROL!$C$32, 31.4825, 31.4775) * CHOOSE( CONTROL!$C$15, $D$11, 100%, $F$11)</f>
        <v>31.482500000000002</v>
      </c>
      <c r="E850" s="12">
        <f>CHOOSE( CONTROL!$C$32, 31.4838, 31.4788) * CHOOSE( CONTROL!$C$15, $D$11, 100%, $F$11)</f>
        <v>31.483799999999999</v>
      </c>
      <c r="F850" s="4">
        <f>CHOOSE( CONTROL!$C$32, 32.4741, 32.4692) * CHOOSE(CONTROL!$C$15, $D$11, 100%, $F$11)</f>
        <v>32.4741</v>
      </c>
      <c r="G850" s="8">
        <f>CHOOSE( CONTROL!$C$32, 30.673, 30.6682) * CHOOSE( CONTROL!$C$15, $D$11, 100%, $F$11)</f>
        <v>30.672999999999998</v>
      </c>
      <c r="H850" s="4">
        <f>CHOOSE( CONTROL!$C$32, 31.5786, 31.5738) * CHOOSE(CONTROL!$C$15, $D$11, 100%, $F$11)</f>
        <v>31.578600000000002</v>
      </c>
      <c r="I850" s="8">
        <f>CHOOSE( CONTROL!$C$32, 30.2189, 30.2142) * CHOOSE(CONTROL!$C$15, $D$11, 100%, $F$11)</f>
        <v>30.218900000000001</v>
      </c>
      <c r="J850" s="4">
        <f>CHOOSE( CONTROL!$C$32, 30.1593, 30.1546) * CHOOSE(CONTROL!$C$15, $D$11, 100%, $F$11)</f>
        <v>30.159300000000002</v>
      </c>
      <c r="K850" s="4"/>
      <c r="L850" s="9">
        <v>28.568200000000001</v>
      </c>
      <c r="M850" s="9">
        <v>11.6745</v>
      </c>
      <c r="N850" s="9">
        <v>4.7850000000000001</v>
      </c>
      <c r="O850" s="9">
        <v>0.36249999999999999</v>
      </c>
      <c r="P850" s="9">
        <v>1.1798</v>
      </c>
      <c r="Q850" s="9">
        <v>19.053000000000001</v>
      </c>
      <c r="R850" s="9"/>
      <c r="S850" s="11"/>
    </row>
    <row r="851" spans="1:19" ht="15.75">
      <c r="A851" s="13">
        <v>67784</v>
      </c>
      <c r="B851" s="8">
        <f>CHOOSE( CONTROL!$C$32, 32.8341, 32.8292) * CHOOSE(CONTROL!$C$15, $D$11, 100%, $F$11)</f>
        <v>32.834099999999999</v>
      </c>
      <c r="C851" s="8">
        <f>CHOOSE( CONTROL!$C$32, 32.8445, 32.8396) * CHOOSE(CONTROL!$C$15, $D$11, 100%, $F$11)</f>
        <v>32.844499999999996</v>
      </c>
      <c r="D851" s="8">
        <f>CHOOSE( CONTROL!$C$32, 32.8435, 32.8386) * CHOOSE( CONTROL!$C$15, $D$11, 100%, $F$11)</f>
        <v>32.843499999999999</v>
      </c>
      <c r="E851" s="12">
        <f>CHOOSE( CONTROL!$C$32, 32.8423, 32.8374) * CHOOSE( CONTROL!$C$15, $D$11, 100%, $F$11)</f>
        <v>32.842300000000002</v>
      </c>
      <c r="F851" s="4">
        <f>CHOOSE( CONTROL!$C$32, 33.8387, 33.8338) * CHOOSE(CONTROL!$C$15, $D$11, 100%, $F$11)</f>
        <v>33.838700000000003</v>
      </c>
      <c r="G851" s="8">
        <f>CHOOSE( CONTROL!$C$32, 31.9971, 31.9923) * CHOOSE( CONTROL!$C$15, $D$11, 100%, $F$11)</f>
        <v>31.9971</v>
      </c>
      <c r="H851" s="4">
        <f>CHOOSE( CONTROL!$C$32, 32.9088, 32.904) * CHOOSE(CONTROL!$C$15, $D$11, 100%, $F$11)</f>
        <v>32.908799999999999</v>
      </c>
      <c r="I851" s="8">
        <f>CHOOSE( CONTROL!$C$32, 31.5248, 31.52) * CHOOSE(CONTROL!$C$15, $D$11, 100%, $F$11)</f>
        <v>31.524799999999999</v>
      </c>
      <c r="J851" s="4">
        <f>CHOOSE( CONTROL!$C$32, 31.4569, 31.4521) * CHOOSE(CONTROL!$C$15, $D$11, 100%, $F$11)</f>
        <v>31.456900000000001</v>
      </c>
      <c r="K851" s="4"/>
      <c r="L851" s="9">
        <v>29.520499999999998</v>
      </c>
      <c r="M851" s="9">
        <v>12.063700000000001</v>
      </c>
      <c r="N851" s="9">
        <v>4.9444999999999997</v>
      </c>
      <c r="O851" s="9">
        <v>0.37459999999999999</v>
      </c>
      <c r="P851" s="9">
        <v>1.2192000000000001</v>
      </c>
      <c r="Q851" s="9">
        <v>19.688099999999999</v>
      </c>
      <c r="R851" s="9"/>
      <c r="S851" s="11"/>
    </row>
    <row r="852" spans="1:19" ht="15.75">
      <c r="A852" s="13">
        <v>67815</v>
      </c>
      <c r="B852" s="8">
        <f>CHOOSE( CONTROL!$C$32, 30.3003, 30.2954) * CHOOSE(CONTROL!$C$15, $D$11, 100%, $F$11)</f>
        <v>30.3003</v>
      </c>
      <c r="C852" s="8">
        <f>CHOOSE( CONTROL!$C$32, 30.3107, 30.3058) * CHOOSE(CONTROL!$C$15, $D$11, 100%, $F$11)</f>
        <v>30.310700000000001</v>
      </c>
      <c r="D852" s="8">
        <f>CHOOSE( CONTROL!$C$32, 30.3109, 30.306) * CHOOSE( CONTROL!$C$15, $D$11, 100%, $F$11)</f>
        <v>30.3109</v>
      </c>
      <c r="E852" s="12">
        <f>CHOOSE( CONTROL!$C$32, 30.3092, 30.3043) * CHOOSE( CONTROL!$C$15, $D$11, 100%, $F$11)</f>
        <v>30.309200000000001</v>
      </c>
      <c r="F852" s="4">
        <f>CHOOSE( CONTROL!$C$32, 31.3128, 31.3078) * CHOOSE(CONTROL!$C$15, $D$11, 100%, $F$11)</f>
        <v>31.312799999999999</v>
      </c>
      <c r="G852" s="8">
        <f>CHOOSE( CONTROL!$C$32, 29.5224, 29.5176) * CHOOSE( CONTROL!$C$15, $D$11, 100%, $F$11)</f>
        <v>29.522400000000001</v>
      </c>
      <c r="H852" s="4">
        <f>CHOOSE( CONTROL!$C$32, 30.4466, 30.4417) * CHOOSE(CONTROL!$C$15, $D$11, 100%, $F$11)</f>
        <v>30.4466</v>
      </c>
      <c r="I852" s="8">
        <f>CHOOSE( CONTROL!$C$32, 29.0866, 29.0819) * CHOOSE(CONTROL!$C$15, $D$11, 100%, $F$11)</f>
        <v>29.086600000000001</v>
      </c>
      <c r="J852" s="4">
        <f>CHOOSE( CONTROL!$C$32, 29.029, 29.0243) * CHOOSE(CONTROL!$C$15, $D$11, 100%, $F$11)</f>
        <v>29.029</v>
      </c>
      <c r="K852" s="4"/>
      <c r="L852" s="9">
        <v>29.520499999999998</v>
      </c>
      <c r="M852" s="9">
        <v>12.063700000000001</v>
      </c>
      <c r="N852" s="9">
        <v>4.9444999999999997</v>
      </c>
      <c r="O852" s="9">
        <v>0.37459999999999999</v>
      </c>
      <c r="P852" s="9">
        <v>1.2192000000000001</v>
      </c>
      <c r="Q852" s="9">
        <v>19.688099999999999</v>
      </c>
      <c r="R852" s="9"/>
      <c r="S852" s="11"/>
    </row>
    <row r="853" spans="1:19" ht="15.75">
      <c r="A853" s="13">
        <v>67845</v>
      </c>
      <c r="B853" s="8">
        <f>CHOOSE( CONTROL!$C$32, 29.6658, 29.6609) * CHOOSE(CONTROL!$C$15, $D$11, 100%, $F$11)</f>
        <v>29.665800000000001</v>
      </c>
      <c r="C853" s="8">
        <f>CHOOSE( CONTROL!$C$32, 29.6763, 29.6713) * CHOOSE(CONTROL!$C$15, $D$11, 100%, $F$11)</f>
        <v>29.676300000000001</v>
      </c>
      <c r="D853" s="8">
        <f>CHOOSE( CONTROL!$C$32, 29.6767, 29.6718) * CHOOSE( CONTROL!$C$15, $D$11, 100%, $F$11)</f>
        <v>29.6767</v>
      </c>
      <c r="E853" s="12">
        <f>CHOOSE( CONTROL!$C$32, 29.675, 29.67) * CHOOSE( CONTROL!$C$15, $D$11, 100%, $F$11)</f>
        <v>29.675000000000001</v>
      </c>
      <c r="F853" s="4">
        <f>CHOOSE( CONTROL!$C$32, 30.6783, 30.6734) * CHOOSE(CONTROL!$C$15, $D$11, 100%, $F$11)</f>
        <v>30.6783</v>
      </c>
      <c r="G853" s="8">
        <f>CHOOSE( CONTROL!$C$32, 28.9043, 28.8995) * CHOOSE( CONTROL!$C$15, $D$11, 100%, $F$11)</f>
        <v>28.904299999999999</v>
      </c>
      <c r="H853" s="4">
        <f>CHOOSE( CONTROL!$C$32, 29.8281, 29.8233) * CHOOSE(CONTROL!$C$15, $D$11, 100%, $F$11)</f>
        <v>29.828099999999999</v>
      </c>
      <c r="I853" s="8">
        <f>CHOOSE( CONTROL!$C$32, 28.4798, 28.4751) * CHOOSE(CONTROL!$C$15, $D$11, 100%, $F$11)</f>
        <v>28.479800000000001</v>
      </c>
      <c r="J853" s="4">
        <f>CHOOSE( CONTROL!$C$32, 28.421, 28.4163) * CHOOSE(CONTROL!$C$15, $D$11, 100%, $F$11)</f>
        <v>28.420999999999999</v>
      </c>
      <c r="K853" s="4"/>
      <c r="L853" s="9">
        <v>28.568200000000001</v>
      </c>
      <c r="M853" s="9">
        <v>11.6745</v>
      </c>
      <c r="N853" s="9">
        <v>4.7850000000000001</v>
      </c>
      <c r="O853" s="9">
        <v>0.36249999999999999</v>
      </c>
      <c r="P853" s="9">
        <v>1.1798</v>
      </c>
      <c r="Q853" s="9">
        <v>19.053000000000001</v>
      </c>
      <c r="R853" s="9"/>
      <c r="S853" s="11"/>
    </row>
    <row r="854" spans="1:19" ht="15.75">
      <c r="A854" s="13">
        <v>67876</v>
      </c>
      <c r="B854" s="8">
        <f>30.9783 * CHOOSE(CONTROL!$C$15, $D$11, 100%, $F$11)</f>
        <v>30.978300000000001</v>
      </c>
      <c r="C854" s="8">
        <f>30.9887 * CHOOSE(CONTROL!$C$15, $D$11, 100%, $F$11)</f>
        <v>30.988700000000001</v>
      </c>
      <c r="D854" s="8">
        <f>30.9904 * CHOOSE( CONTROL!$C$15, $D$11, 100%, $F$11)</f>
        <v>30.990400000000001</v>
      </c>
      <c r="E854" s="12">
        <f>30.9887 * CHOOSE( CONTROL!$C$15, $D$11, 100%, $F$11)</f>
        <v>30.988700000000001</v>
      </c>
      <c r="F854" s="4">
        <f>31.9908 * CHOOSE(CONTROL!$C$15, $D$11, 100%, $F$11)</f>
        <v>31.9908</v>
      </c>
      <c r="G854" s="8">
        <f>30.1834 * CHOOSE( CONTROL!$C$15, $D$11, 100%, $F$11)</f>
        <v>30.183399999999999</v>
      </c>
      <c r="H854" s="4">
        <f>31.1074 * CHOOSE(CONTROL!$C$15, $D$11, 100%, $F$11)</f>
        <v>31.107399999999998</v>
      </c>
      <c r="I854" s="8">
        <f>29.7403 * CHOOSE(CONTROL!$C$15, $D$11, 100%, $F$11)</f>
        <v>29.740300000000001</v>
      </c>
      <c r="J854" s="4">
        <f>29.6787 * CHOOSE(CONTROL!$C$15, $D$11, 100%, $F$11)</f>
        <v>29.678699999999999</v>
      </c>
      <c r="K854" s="4"/>
      <c r="L854" s="9">
        <v>28.921800000000001</v>
      </c>
      <c r="M854" s="9">
        <v>12.063700000000001</v>
      </c>
      <c r="N854" s="9">
        <v>4.9444999999999997</v>
      </c>
      <c r="O854" s="9">
        <v>0.37459999999999999</v>
      </c>
      <c r="P854" s="9">
        <v>1.2192000000000001</v>
      </c>
      <c r="Q854" s="9">
        <v>19.688099999999999</v>
      </c>
      <c r="R854" s="9"/>
      <c r="S854" s="11"/>
    </row>
    <row r="855" spans="1:19" ht="15.75">
      <c r="A855" s="13">
        <v>67906</v>
      </c>
      <c r="B855" s="8">
        <f>33.41 * CHOOSE(CONTROL!$C$15, $D$11, 100%, $F$11)</f>
        <v>33.409999999999997</v>
      </c>
      <c r="C855" s="8">
        <f>33.4204 * CHOOSE(CONTROL!$C$15, $D$11, 100%, $F$11)</f>
        <v>33.420400000000001</v>
      </c>
      <c r="D855" s="8">
        <f>33.4015 * CHOOSE( CONTROL!$C$15, $D$11, 100%, $F$11)</f>
        <v>33.401499999999999</v>
      </c>
      <c r="E855" s="12">
        <f>33.4073 * CHOOSE( CONTROL!$C$15, $D$11, 100%, $F$11)</f>
        <v>33.407299999999999</v>
      </c>
      <c r="F855" s="4">
        <f>34.4068 * CHOOSE(CONTROL!$C$15, $D$11, 100%, $F$11)</f>
        <v>34.406799999999997</v>
      </c>
      <c r="G855" s="8">
        <f>32.5766 * CHOOSE( CONTROL!$C$15, $D$11, 100%, $F$11)</f>
        <v>32.576599999999999</v>
      </c>
      <c r="H855" s="4">
        <f>33.4625 * CHOOSE(CONTROL!$C$15, $D$11, 100%, $F$11)</f>
        <v>33.462499999999999</v>
      </c>
      <c r="I855" s="8">
        <f>32.118 * CHOOSE(CONTROL!$C$15, $D$11, 100%, $F$11)</f>
        <v>32.118000000000002</v>
      </c>
      <c r="J855" s="4">
        <f>32.0087 * CHOOSE(CONTROL!$C$15, $D$11, 100%, $F$11)</f>
        <v>32.008699999999997</v>
      </c>
      <c r="K855" s="4"/>
      <c r="L855" s="9">
        <v>26.515499999999999</v>
      </c>
      <c r="M855" s="9">
        <v>11.6745</v>
      </c>
      <c r="N855" s="9">
        <v>4.7850000000000001</v>
      </c>
      <c r="O855" s="9">
        <v>0.36249999999999999</v>
      </c>
      <c r="P855" s="9">
        <v>1.2522</v>
      </c>
      <c r="Q855" s="9">
        <v>19.053000000000001</v>
      </c>
      <c r="R855" s="9"/>
      <c r="S855" s="11"/>
    </row>
    <row r="856" spans="1:19" ht="15.75">
      <c r="A856" s="13">
        <v>67937</v>
      </c>
      <c r="B856" s="8">
        <f>33.3492 * CHOOSE(CONTROL!$C$15, $D$11, 100%, $F$11)</f>
        <v>33.349200000000003</v>
      </c>
      <c r="C856" s="8">
        <f>33.3597 * CHOOSE(CONTROL!$C$15, $D$11, 100%, $F$11)</f>
        <v>33.359699999999997</v>
      </c>
      <c r="D856" s="8">
        <f>33.3433 * CHOOSE( CONTROL!$C$15, $D$11, 100%, $F$11)</f>
        <v>33.343299999999999</v>
      </c>
      <c r="E856" s="12">
        <f>33.3482 * CHOOSE( CONTROL!$C$15, $D$11, 100%, $F$11)</f>
        <v>33.348199999999999</v>
      </c>
      <c r="F856" s="4">
        <f>34.3461 * CHOOSE(CONTROL!$C$15, $D$11, 100%, $F$11)</f>
        <v>34.3461</v>
      </c>
      <c r="G856" s="8">
        <f>32.5194 * CHOOSE( CONTROL!$C$15, $D$11, 100%, $F$11)</f>
        <v>32.519399999999997</v>
      </c>
      <c r="H856" s="4">
        <f>33.4033 * CHOOSE(CONTROL!$C$15, $D$11, 100%, $F$11)</f>
        <v>33.403300000000002</v>
      </c>
      <c r="I856" s="8">
        <f>32.0686 * CHOOSE(CONTROL!$C$15, $D$11, 100%, $F$11)</f>
        <v>32.068600000000004</v>
      </c>
      <c r="J856" s="4">
        <f>31.9505 * CHOOSE(CONTROL!$C$15, $D$11, 100%, $F$11)</f>
        <v>31.950500000000002</v>
      </c>
      <c r="K856" s="4"/>
      <c r="L856" s="9">
        <v>27.3993</v>
      </c>
      <c r="M856" s="9">
        <v>12.063700000000001</v>
      </c>
      <c r="N856" s="9">
        <v>4.9444999999999997</v>
      </c>
      <c r="O856" s="9">
        <v>0.37459999999999999</v>
      </c>
      <c r="P856" s="9">
        <v>1.2939000000000001</v>
      </c>
      <c r="Q856" s="9">
        <v>19.688099999999999</v>
      </c>
      <c r="R856" s="9"/>
      <c r="S856" s="11"/>
    </row>
    <row r="857" spans="1:19" ht="15.75">
      <c r="A857" s="13">
        <v>67968</v>
      </c>
      <c r="B857" s="8">
        <f>34.6236 * CHOOSE(CONTROL!$C$15, $D$11, 100%, $F$11)</f>
        <v>34.623600000000003</v>
      </c>
      <c r="C857" s="8">
        <f>34.6341 * CHOOSE(CONTROL!$C$15, $D$11, 100%, $F$11)</f>
        <v>34.634099999999997</v>
      </c>
      <c r="D857" s="8">
        <f>34.6326 * CHOOSE( CONTROL!$C$15, $D$11, 100%, $F$11)</f>
        <v>34.632599999999996</v>
      </c>
      <c r="E857" s="12">
        <f>34.632 * CHOOSE( CONTROL!$C$15, $D$11, 100%, $F$11)</f>
        <v>34.631999999999998</v>
      </c>
      <c r="F857" s="4">
        <f>35.6465 * CHOOSE(CONTROL!$C$15, $D$11, 100%, $F$11)</f>
        <v>35.646500000000003</v>
      </c>
      <c r="G857" s="8">
        <f>33.7785 * CHOOSE( CONTROL!$C$15, $D$11, 100%, $F$11)</f>
        <v>33.778500000000001</v>
      </c>
      <c r="H857" s="4">
        <f>34.671 * CHOOSE(CONTROL!$C$15, $D$11, 100%, $F$11)</f>
        <v>34.670999999999999</v>
      </c>
      <c r="I857" s="8">
        <f>33.2968 * CHOOSE(CONTROL!$C$15, $D$11, 100%, $F$11)</f>
        <v>33.296799999999998</v>
      </c>
      <c r="J857" s="4">
        <f>33.1716 * CHOOSE(CONTROL!$C$15, $D$11, 100%, $F$11)</f>
        <v>33.171599999999998</v>
      </c>
      <c r="K857" s="4"/>
      <c r="L857" s="9">
        <v>27.3993</v>
      </c>
      <c r="M857" s="9">
        <v>12.063700000000001</v>
      </c>
      <c r="N857" s="9">
        <v>4.9444999999999997</v>
      </c>
      <c r="O857" s="9">
        <v>0.37459999999999999</v>
      </c>
      <c r="P857" s="9">
        <v>1.2939000000000001</v>
      </c>
      <c r="Q857" s="9">
        <v>19.688099999999999</v>
      </c>
      <c r="R857" s="9"/>
      <c r="S857" s="11"/>
    </row>
    <row r="858" spans="1:19" ht="15.75">
      <c r="A858" s="13">
        <v>67996</v>
      </c>
      <c r="B858" s="8">
        <f>32.3856 * CHOOSE(CONTROL!$C$15, $D$11, 100%, $F$11)</f>
        <v>32.385599999999997</v>
      </c>
      <c r="C858" s="8">
        <f>32.396 * CHOOSE(CONTROL!$C$15, $D$11, 100%, $F$11)</f>
        <v>32.396000000000001</v>
      </c>
      <c r="D858" s="8">
        <f>32.3968 * CHOOSE( CONTROL!$C$15, $D$11, 100%, $F$11)</f>
        <v>32.396799999999999</v>
      </c>
      <c r="E858" s="12">
        <f>32.3954 * CHOOSE( CONTROL!$C$15, $D$11, 100%, $F$11)</f>
        <v>32.395400000000002</v>
      </c>
      <c r="F858" s="4">
        <f>33.4007 * CHOOSE(CONTROL!$C$15, $D$11, 100%, $F$11)</f>
        <v>33.400700000000001</v>
      </c>
      <c r="G858" s="8">
        <f>31.5967 * CHOOSE( CONTROL!$C$15, $D$11, 100%, $F$11)</f>
        <v>31.596699999999998</v>
      </c>
      <c r="H858" s="4">
        <f>32.4818 * CHOOSE(CONTROL!$C$15, $D$11, 100%, $F$11)</f>
        <v>32.4818</v>
      </c>
      <c r="I858" s="8">
        <f>31.1403 * CHOOSE(CONTROL!$C$15, $D$11, 100%, $F$11)</f>
        <v>31.1403</v>
      </c>
      <c r="J858" s="4">
        <f>31.0271 * CHOOSE(CONTROL!$C$15, $D$11, 100%, $F$11)</f>
        <v>31.027100000000001</v>
      </c>
      <c r="K858" s="4"/>
      <c r="L858" s="9">
        <v>24.747800000000002</v>
      </c>
      <c r="M858" s="9">
        <v>10.8962</v>
      </c>
      <c r="N858" s="9">
        <v>4.4660000000000002</v>
      </c>
      <c r="O858" s="9">
        <v>0.33829999999999999</v>
      </c>
      <c r="P858" s="9">
        <v>1.1687000000000001</v>
      </c>
      <c r="Q858" s="9">
        <v>17.782800000000002</v>
      </c>
      <c r="R858" s="9"/>
      <c r="S858" s="11"/>
    </row>
    <row r="859" spans="1:19" ht="15.75">
      <c r="A859" s="13">
        <v>68027</v>
      </c>
      <c r="B859" s="8">
        <f>31.6963 * CHOOSE(CONTROL!$C$15, $D$11, 100%, $F$11)</f>
        <v>31.696300000000001</v>
      </c>
      <c r="C859" s="8">
        <f>31.7067 * CHOOSE(CONTROL!$C$15, $D$11, 100%, $F$11)</f>
        <v>31.706700000000001</v>
      </c>
      <c r="D859" s="8">
        <f>31.6872 * CHOOSE( CONTROL!$C$15, $D$11, 100%, $F$11)</f>
        <v>31.687200000000001</v>
      </c>
      <c r="E859" s="12">
        <f>31.6932 * CHOOSE( CONTROL!$C$15, $D$11, 100%, $F$11)</f>
        <v>31.693200000000001</v>
      </c>
      <c r="F859" s="4">
        <f>32.6952 * CHOOSE(CONTROL!$C$15, $D$11, 100%, $F$11)</f>
        <v>32.6952</v>
      </c>
      <c r="G859" s="8">
        <f>30.9041 * CHOOSE( CONTROL!$C$15, $D$11, 100%, $F$11)</f>
        <v>30.9041</v>
      </c>
      <c r="H859" s="4">
        <f>31.7941 * CHOOSE(CONTROL!$C$15, $D$11, 100%, $F$11)</f>
        <v>31.7941</v>
      </c>
      <c r="I859" s="8">
        <f>30.44 * CHOOSE(CONTROL!$C$15, $D$11, 100%, $F$11)</f>
        <v>30.44</v>
      </c>
      <c r="J859" s="4">
        <f>30.3666 * CHOOSE(CONTROL!$C$15, $D$11, 100%, $F$11)</f>
        <v>30.366599999999998</v>
      </c>
      <c r="K859" s="4"/>
      <c r="L859" s="9">
        <v>27.3993</v>
      </c>
      <c r="M859" s="9">
        <v>12.063700000000001</v>
      </c>
      <c r="N859" s="9">
        <v>4.9444999999999997</v>
      </c>
      <c r="O859" s="9">
        <v>0.37459999999999999</v>
      </c>
      <c r="P859" s="9">
        <v>1.2939000000000001</v>
      </c>
      <c r="Q859" s="9">
        <v>19.688099999999999</v>
      </c>
      <c r="R859" s="9"/>
      <c r="S859" s="11"/>
    </row>
    <row r="860" spans="1:19" ht="15.75">
      <c r="A860" s="13">
        <v>68057</v>
      </c>
      <c r="B860" s="8">
        <f>32.178 * CHOOSE(CONTROL!$C$15, $D$11, 100%, $F$11)</f>
        <v>32.177999999999997</v>
      </c>
      <c r="C860" s="8">
        <f>32.1884 * CHOOSE(CONTROL!$C$15, $D$11, 100%, $F$11)</f>
        <v>32.188400000000001</v>
      </c>
      <c r="D860" s="8">
        <f>32.1922 * CHOOSE( CONTROL!$C$15, $D$11, 100%, $F$11)</f>
        <v>32.1922</v>
      </c>
      <c r="E860" s="12">
        <f>32.1898 * CHOOSE( CONTROL!$C$15, $D$11, 100%, $F$11)</f>
        <v>32.189799999999998</v>
      </c>
      <c r="F860" s="4">
        <f>33.1852 * CHOOSE(CONTROL!$C$15, $D$11, 100%, $F$11)</f>
        <v>33.185200000000002</v>
      </c>
      <c r="G860" s="8">
        <f>31.3616 * CHOOSE( CONTROL!$C$15, $D$11, 100%, $F$11)</f>
        <v>31.361599999999999</v>
      </c>
      <c r="H860" s="4">
        <f>32.2717 * CHOOSE(CONTROL!$C$15, $D$11, 100%, $F$11)</f>
        <v>32.271700000000003</v>
      </c>
      <c r="I860" s="8">
        <f>30.8918 * CHOOSE(CONTROL!$C$15, $D$11, 100%, $F$11)</f>
        <v>30.8918</v>
      </c>
      <c r="J860" s="4">
        <f>30.8282 * CHOOSE(CONTROL!$C$15, $D$11, 100%, $F$11)</f>
        <v>30.828199999999999</v>
      </c>
      <c r="K860" s="4"/>
      <c r="L860" s="9">
        <v>27.988800000000001</v>
      </c>
      <c r="M860" s="9">
        <v>11.6745</v>
      </c>
      <c r="N860" s="9">
        <v>4.7850000000000001</v>
      </c>
      <c r="O860" s="9">
        <v>0.36249999999999999</v>
      </c>
      <c r="P860" s="9">
        <v>1.1798</v>
      </c>
      <c r="Q860" s="9">
        <v>19.053000000000001</v>
      </c>
      <c r="R860" s="9"/>
      <c r="S860" s="11"/>
    </row>
    <row r="861" spans="1:19" ht="15.75">
      <c r="A861" s="13">
        <v>68088</v>
      </c>
      <c r="B861" s="8">
        <f>CHOOSE( CONTROL!$C$32, 33.0402, 33.0352) * CHOOSE(CONTROL!$C$15, $D$11, 100%, $F$11)</f>
        <v>33.040199999999999</v>
      </c>
      <c r="C861" s="8">
        <f>CHOOSE( CONTROL!$C$32, 33.0506, 33.0457) * CHOOSE(CONTROL!$C$15, $D$11, 100%, $F$11)</f>
        <v>33.050600000000003</v>
      </c>
      <c r="D861" s="8">
        <f>CHOOSE( CONTROL!$C$32, 33.0292, 33.0243) * CHOOSE( CONTROL!$C$15, $D$11, 100%, $F$11)</f>
        <v>33.029200000000003</v>
      </c>
      <c r="E861" s="12">
        <f>CHOOSE( CONTROL!$C$32, 33.0354, 33.0305) * CHOOSE( CONTROL!$C$15, $D$11, 100%, $F$11)</f>
        <v>33.035400000000003</v>
      </c>
      <c r="F861" s="4">
        <f>CHOOSE( CONTROL!$C$32, 34.0151, 34.0101) * CHOOSE(CONTROL!$C$15, $D$11, 100%, $F$11)</f>
        <v>34.015099999999997</v>
      </c>
      <c r="G861" s="8">
        <f>CHOOSE( CONTROL!$C$32, 32.1834, 32.1786) * CHOOSE( CONTROL!$C$15, $D$11, 100%, $F$11)</f>
        <v>32.183399999999999</v>
      </c>
      <c r="H861" s="4">
        <f>CHOOSE( CONTROL!$C$32, 33.0807, 33.0759) * CHOOSE(CONTROL!$C$15, $D$11, 100%, $F$11)</f>
        <v>33.0807</v>
      </c>
      <c r="I861" s="8">
        <f>CHOOSE( CONTROL!$C$32, 31.6969, 31.6921) * CHOOSE(CONTROL!$C$15, $D$11, 100%, $F$11)</f>
        <v>31.696899999999999</v>
      </c>
      <c r="J861" s="4">
        <f>CHOOSE( CONTROL!$C$32, 31.6543, 31.6496) * CHOOSE(CONTROL!$C$15, $D$11, 100%, $F$11)</f>
        <v>31.654299999999999</v>
      </c>
      <c r="K861" s="4"/>
      <c r="L861" s="9">
        <v>29.520499999999998</v>
      </c>
      <c r="M861" s="9">
        <v>12.063700000000001</v>
      </c>
      <c r="N861" s="9">
        <v>4.9444999999999997</v>
      </c>
      <c r="O861" s="9">
        <v>0.37459999999999999</v>
      </c>
      <c r="P861" s="9">
        <v>1.2192000000000001</v>
      </c>
      <c r="Q861" s="9">
        <v>19.688099999999999</v>
      </c>
      <c r="R861" s="9"/>
      <c r="S861" s="11"/>
    </row>
    <row r="862" spans="1:19" ht="15.75">
      <c r="A862" s="13">
        <v>68118</v>
      </c>
      <c r="B862" s="8">
        <f>CHOOSE( CONTROL!$C$32, 32.5091, 32.5042) * CHOOSE(CONTROL!$C$15, $D$11, 100%, $F$11)</f>
        <v>32.509099999999997</v>
      </c>
      <c r="C862" s="8">
        <f>CHOOSE( CONTROL!$C$32, 32.5196, 32.5146) * CHOOSE(CONTROL!$C$15, $D$11, 100%, $F$11)</f>
        <v>32.519599999999997</v>
      </c>
      <c r="D862" s="8">
        <f>CHOOSE( CONTROL!$C$32, 32.5117, 32.5067) * CHOOSE( CONTROL!$C$15, $D$11, 100%, $F$11)</f>
        <v>32.511699999999998</v>
      </c>
      <c r="E862" s="12">
        <f>CHOOSE( CONTROL!$C$32, 32.513, 32.508) * CHOOSE( CONTROL!$C$15, $D$11, 100%, $F$11)</f>
        <v>32.512999999999998</v>
      </c>
      <c r="F862" s="4">
        <f>CHOOSE( CONTROL!$C$32, 33.5033, 33.4984) * CHOOSE(CONTROL!$C$15, $D$11, 100%, $F$11)</f>
        <v>33.503300000000003</v>
      </c>
      <c r="G862" s="8">
        <f>CHOOSE( CONTROL!$C$32, 31.6762, 31.6714) * CHOOSE( CONTROL!$C$15, $D$11, 100%, $F$11)</f>
        <v>31.676200000000001</v>
      </c>
      <c r="H862" s="4">
        <f>CHOOSE( CONTROL!$C$32, 32.5818, 32.577) * CHOOSE(CONTROL!$C$15, $D$11, 100%, $F$11)</f>
        <v>32.581800000000001</v>
      </c>
      <c r="I862" s="8">
        <f>CHOOSE( CONTROL!$C$32, 31.2056, 31.2009) * CHOOSE(CONTROL!$C$15, $D$11, 100%, $F$11)</f>
        <v>31.2056</v>
      </c>
      <c r="J862" s="4">
        <f>CHOOSE( CONTROL!$C$32, 31.1455, 31.1408) * CHOOSE(CONTROL!$C$15, $D$11, 100%, $F$11)</f>
        <v>31.145499999999998</v>
      </c>
      <c r="K862" s="4"/>
      <c r="L862" s="9">
        <v>28.568200000000001</v>
      </c>
      <c r="M862" s="9">
        <v>11.6745</v>
      </c>
      <c r="N862" s="9">
        <v>4.7850000000000001</v>
      </c>
      <c r="O862" s="9">
        <v>0.36249999999999999</v>
      </c>
      <c r="P862" s="9">
        <v>1.1798</v>
      </c>
      <c r="Q862" s="9">
        <v>19.053000000000001</v>
      </c>
      <c r="R862" s="9"/>
      <c r="S862" s="11"/>
    </row>
    <row r="863" spans="1:19" ht="15.75">
      <c r="A863" s="13">
        <v>68149</v>
      </c>
      <c r="B863" s="8">
        <f>CHOOSE( CONTROL!$C$32, 33.9076, 33.9026) * CHOOSE(CONTROL!$C$15, $D$11, 100%, $F$11)</f>
        <v>33.907600000000002</v>
      </c>
      <c r="C863" s="8">
        <f>CHOOSE( CONTROL!$C$32, 33.918, 33.9131) * CHOOSE(CONTROL!$C$15, $D$11, 100%, $F$11)</f>
        <v>33.917999999999999</v>
      </c>
      <c r="D863" s="8">
        <f>CHOOSE( CONTROL!$C$32, 33.917, 33.9121) * CHOOSE( CONTROL!$C$15, $D$11, 100%, $F$11)</f>
        <v>33.917000000000002</v>
      </c>
      <c r="E863" s="12">
        <f>CHOOSE( CONTROL!$C$32, 33.9158, 33.9109) * CHOOSE( CONTROL!$C$15, $D$11, 100%, $F$11)</f>
        <v>33.915799999999997</v>
      </c>
      <c r="F863" s="4">
        <f>CHOOSE( CONTROL!$C$32, 34.9122, 34.9073) * CHOOSE(CONTROL!$C$15, $D$11, 100%, $F$11)</f>
        <v>34.912199999999999</v>
      </c>
      <c r="G863" s="8">
        <f>CHOOSE( CONTROL!$C$32, 33.0435, 33.0387) * CHOOSE( CONTROL!$C$15, $D$11, 100%, $F$11)</f>
        <v>33.043500000000002</v>
      </c>
      <c r="H863" s="4">
        <f>CHOOSE( CONTROL!$C$32, 33.9552, 33.9504) * CHOOSE(CONTROL!$C$15, $D$11, 100%, $F$11)</f>
        <v>33.955199999999998</v>
      </c>
      <c r="I863" s="8">
        <f>CHOOSE( CONTROL!$C$32, 32.5539, 32.5492) * CHOOSE(CONTROL!$C$15, $D$11, 100%, $F$11)</f>
        <v>32.553899999999999</v>
      </c>
      <c r="J863" s="4">
        <f>CHOOSE( CONTROL!$C$32, 32.4855, 32.4807) * CHOOSE(CONTROL!$C$15, $D$11, 100%, $F$11)</f>
        <v>32.485500000000002</v>
      </c>
      <c r="K863" s="4"/>
      <c r="L863" s="9">
        <v>29.520499999999998</v>
      </c>
      <c r="M863" s="9">
        <v>12.063700000000001</v>
      </c>
      <c r="N863" s="9">
        <v>4.9444999999999997</v>
      </c>
      <c r="O863" s="9">
        <v>0.37459999999999999</v>
      </c>
      <c r="P863" s="9">
        <v>1.2192000000000001</v>
      </c>
      <c r="Q863" s="9">
        <v>19.688099999999999</v>
      </c>
      <c r="R863" s="9"/>
      <c r="S863" s="11"/>
    </row>
    <row r="864" spans="1:19" ht="15.75">
      <c r="A864" s="13">
        <v>68180</v>
      </c>
      <c r="B864" s="8">
        <f>CHOOSE( CONTROL!$C$32, 31.2909, 31.286) * CHOOSE(CONTROL!$C$15, $D$11, 100%, $F$11)</f>
        <v>31.290900000000001</v>
      </c>
      <c r="C864" s="8">
        <f>CHOOSE( CONTROL!$C$32, 31.3014, 31.2964) * CHOOSE(CONTROL!$C$15, $D$11, 100%, $F$11)</f>
        <v>31.301400000000001</v>
      </c>
      <c r="D864" s="8">
        <f>CHOOSE( CONTROL!$C$32, 31.3015, 31.2966) * CHOOSE( CONTROL!$C$15, $D$11, 100%, $F$11)</f>
        <v>31.301500000000001</v>
      </c>
      <c r="E864" s="12">
        <f>CHOOSE( CONTROL!$C$32, 31.2999, 31.2949) * CHOOSE( CONTROL!$C$15, $D$11, 100%, $F$11)</f>
        <v>31.299900000000001</v>
      </c>
      <c r="F864" s="4">
        <f>CHOOSE( CONTROL!$C$32, 32.3034, 32.2985) * CHOOSE(CONTROL!$C$15, $D$11, 100%, $F$11)</f>
        <v>32.303400000000003</v>
      </c>
      <c r="G864" s="8">
        <f>CHOOSE( CONTROL!$C$32, 30.488, 30.4832) * CHOOSE( CONTROL!$C$15, $D$11, 100%, $F$11)</f>
        <v>30.488</v>
      </c>
      <c r="H864" s="4">
        <f>CHOOSE( CONTROL!$C$32, 31.4122, 31.4074) * CHOOSE(CONTROL!$C$15, $D$11, 100%, $F$11)</f>
        <v>31.412199999999999</v>
      </c>
      <c r="I864" s="8">
        <f>CHOOSE( CONTROL!$C$32, 30.0363, 30.0316) * CHOOSE(CONTROL!$C$15, $D$11, 100%, $F$11)</f>
        <v>30.036300000000001</v>
      </c>
      <c r="J864" s="4">
        <f>CHOOSE( CONTROL!$C$32, 29.9782, 29.9735) * CHOOSE(CONTROL!$C$15, $D$11, 100%, $F$11)</f>
        <v>29.978200000000001</v>
      </c>
      <c r="K864" s="4"/>
      <c r="L864" s="9">
        <v>29.520499999999998</v>
      </c>
      <c r="M864" s="9">
        <v>12.063700000000001</v>
      </c>
      <c r="N864" s="9">
        <v>4.9444999999999997</v>
      </c>
      <c r="O864" s="9">
        <v>0.37459999999999999</v>
      </c>
      <c r="P864" s="9">
        <v>1.2192000000000001</v>
      </c>
      <c r="Q864" s="9">
        <v>19.688099999999999</v>
      </c>
      <c r="R864" s="9"/>
      <c r="S864" s="11"/>
    </row>
    <row r="865" spans="1:19" ht="15.75">
      <c r="A865" s="13">
        <v>68210</v>
      </c>
      <c r="B865" s="8">
        <f>CHOOSE( CONTROL!$C$32, 30.6357, 30.6307) * CHOOSE(CONTROL!$C$15, $D$11, 100%, $F$11)</f>
        <v>30.6357</v>
      </c>
      <c r="C865" s="8">
        <f>CHOOSE( CONTROL!$C$32, 30.6461, 30.6412) * CHOOSE(CONTROL!$C$15, $D$11, 100%, $F$11)</f>
        <v>30.646100000000001</v>
      </c>
      <c r="D865" s="8">
        <f>CHOOSE( CONTROL!$C$32, 30.6466, 30.6416) * CHOOSE( CONTROL!$C$15, $D$11, 100%, $F$11)</f>
        <v>30.646599999999999</v>
      </c>
      <c r="E865" s="12">
        <f>CHOOSE( CONTROL!$C$32, 30.6448, 30.6399) * CHOOSE( CONTROL!$C$15, $D$11, 100%, $F$11)</f>
        <v>30.6448</v>
      </c>
      <c r="F865" s="4">
        <f>CHOOSE( CONTROL!$C$32, 31.6481, 31.6432) * CHOOSE(CONTROL!$C$15, $D$11, 100%, $F$11)</f>
        <v>31.648099999999999</v>
      </c>
      <c r="G865" s="8">
        <f>CHOOSE( CONTROL!$C$32, 29.8497, 29.8449) * CHOOSE( CONTROL!$C$15, $D$11, 100%, $F$11)</f>
        <v>29.849699999999999</v>
      </c>
      <c r="H865" s="4">
        <f>CHOOSE( CONTROL!$C$32, 30.7735, 30.7686) * CHOOSE(CONTROL!$C$15, $D$11, 100%, $F$11)</f>
        <v>30.773499999999999</v>
      </c>
      <c r="I865" s="8">
        <f>CHOOSE( CONTROL!$C$32, 29.4096, 29.4048) * CHOOSE(CONTROL!$C$15, $D$11, 100%, $F$11)</f>
        <v>29.409600000000001</v>
      </c>
      <c r="J865" s="4">
        <f>CHOOSE( CONTROL!$C$32, 29.3503, 29.3456) * CHOOSE(CONTROL!$C$15, $D$11, 100%, $F$11)</f>
        <v>29.350300000000001</v>
      </c>
      <c r="K865" s="4"/>
      <c r="L865" s="9">
        <v>28.568200000000001</v>
      </c>
      <c r="M865" s="9">
        <v>11.6745</v>
      </c>
      <c r="N865" s="9">
        <v>4.7850000000000001</v>
      </c>
      <c r="O865" s="9">
        <v>0.36249999999999999</v>
      </c>
      <c r="P865" s="9">
        <v>1.1798</v>
      </c>
      <c r="Q865" s="9">
        <v>19.053000000000001</v>
      </c>
      <c r="R865" s="9"/>
      <c r="S865" s="11"/>
    </row>
    <row r="866" spans="1:19" ht="15.75">
      <c r="A866" s="13">
        <v>68241</v>
      </c>
      <c r="B866" s="8">
        <f>31.9912 * CHOOSE(CONTROL!$C$15, $D$11, 100%, $F$11)</f>
        <v>31.991199999999999</v>
      </c>
      <c r="C866" s="8">
        <f>32.0017 * CHOOSE(CONTROL!$C$15, $D$11, 100%, $F$11)</f>
        <v>32.0017</v>
      </c>
      <c r="D866" s="8">
        <f>32.0034 * CHOOSE( CONTROL!$C$15, $D$11, 100%, $F$11)</f>
        <v>32.003399999999999</v>
      </c>
      <c r="E866" s="12">
        <f>32.0017 * CHOOSE( CONTROL!$C$15, $D$11, 100%, $F$11)</f>
        <v>32.0017</v>
      </c>
      <c r="F866" s="4">
        <f>33.0037 * CHOOSE(CONTROL!$C$15, $D$11, 100%, $F$11)</f>
        <v>33.003700000000002</v>
      </c>
      <c r="G866" s="8">
        <f>31.1707 * CHOOSE( CONTROL!$C$15, $D$11, 100%, $F$11)</f>
        <v>31.1707</v>
      </c>
      <c r="H866" s="4">
        <f>32.0948 * CHOOSE(CONTROL!$C$15, $D$11, 100%, $F$11)</f>
        <v>32.094799999999999</v>
      </c>
      <c r="I866" s="8">
        <f>30.7114 * CHOOSE(CONTROL!$C$15, $D$11, 100%, $F$11)</f>
        <v>30.711400000000001</v>
      </c>
      <c r="J866" s="4">
        <f>30.6493 * CHOOSE(CONTROL!$C$15, $D$11, 100%, $F$11)</f>
        <v>30.6493</v>
      </c>
      <c r="K866" s="4"/>
      <c r="L866" s="9">
        <v>28.921800000000001</v>
      </c>
      <c r="M866" s="9">
        <v>12.063700000000001</v>
      </c>
      <c r="N866" s="9">
        <v>4.9444999999999997</v>
      </c>
      <c r="O866" s="9">
        <v>0.37459999999999999</v>
      </c>
      <c r="P866" s="9">
        <v>1.2192000000000001</v>
      </c>
      <c r="Q866" s="9">
        <v>19.688099999999999</v>
      </c>
      <c r="R866" s="9"/>
      <c r="S866" s="11"/>
    </row>
    <row r="867" spans="1:19" ht="15.75">
      <c r="A867" s="13">
        <v>68271</v>
      </c>
      <c r="B867" s="8">
        <f>34.5025 * CHOOSE(CONTROL!$C$15, $D$11, 100%, $F$11)</f>
        <v>34.502499999999998</v>
      </c>
      <c r="C867" s="8">
        <f>34.5129 * CHOOSE(CONTROL!$C$15, $D$11, 100%, $F$11)</f>
        <v>34.512900000000002</v>
      </c>
      <c r="D867" s="8">
        <f>34.494 * CHOOSE( CONTROL!$C$15, $D$11, 100%, $F$11)</f>
        <v>34.494</v>
      </c>
      <c r="E867" s="12">
        <f>34.4998 * CHOOSE( CONTROL!$C$15, $D$11, 100%, $F$11)</f>
        <v>34.4998</v>
      </c>
      <c r="F867" s="4">
        <f>35.4993 * CHOOSE(CONTROL!$C$15, $D$11, 100%, $F$11)</f>
        <v>35.499299999999998</v>
      </c>
      <c r="G867" s="8">
        <f>33.6415 * CHOOSE( CONTROL!$C$15, $D$11, 100%, $F$11)</f>
        <v>33.641500000000001</v>
      </c>
      <c r="H867" s="4">
        <f>34.5274 * CHOOSE(CONTROL!$C$15, $D$11, 100%, $F$11)</f>
        <v>34.5274</v>
      </c>
      <c r="I867" s="8">
        <f>33.1654 * CHOOSE(CONTROL!$C$15, $D$11, 100%, $F$11)</f>
        <v>33.165399999999998</v>
      </c>
      <c r="J867" s="4">
        <f>33.0555 * CHOOSE(CONTROL!$C$15, $D$11, 100%, $F$11)</f>
        <v>33.055500000000002</v>
      </c>
      <c r="K867" s="4"/>
      <c r="L867" s="9">
        <v>26.515499999999999</v>
      </c>
      <c r="M867" s="9">
        <v>11.6745</v>
      </c>
      <c r="N867" s="9">
        <v>4.7850000000000001</v>
      </c>
      <c r="O867" s="9">
        <v>0.36249999999999999</v>
      </c>
      <c r="P867" s="9">
        <v>1.2522</v>
      </c>
      <c r="Q867" s="9">
        <v>19.053000000000001</v>
      </c>
      <c r="R867" s="9"/>
      <c r="S867" s="11"/>
    </row>
    <row r="868" spans="1:19" ht="15.75">
      <c r="A868" s="13">
        <v>68302</v>
      </c>
      <c r="B868" s="8">
        <f>34.4397 * CHOOSE(CONTROL!$C$15, $D$11, 100%, $F$11)</f>
        <v>34.439700000000002</v>
      </c>
      <c r="C868" s="8">
        <f>34.4502 * CHOOSE(CONTROL!$C$15, $D$11, 100%, $F$11)</f>
        <v>34.450200000000002</v>
      </c>
      <c r="D868" s="8">
        <f>34.4338 * CHOOSE( CONTROL!$C$15, $D$11, 100%, $F$11)</f>
        <v>34.433799999999998</v>
      </c>
      <c r="E868" s="12">
        <f>34.4387 * CHOOSE( CONTROL!$C$15, $D$11, 100%, $F$11)</f>
        <v>34.438699999999997</v>
      </c>
      <c r="F868" s="4">
        <f>35.4365 * CHOOSE(CONTROL!$C$15, $D$11, 100%, $F$11)</f>
        <v>35.436500000000002</v>
      </c>
      <c r="G868" s="8">
        <f>33.5824 * CHOOSE( CONTROL!$C$15, $D$11, 100%, $F$11)</f>
        <v>33.5824</v>
      </c>
      <c r="H868" s="4">
        <f>34.4663 * CHOOSE(CONTROL!$C$15, $D$11, 100%, $F$11)</f>
        <v>34.466299999999997</v>
      </c>
      <c r="I868" s="8">
        <f>33.114 * CHOOSE(CONTROL!$C$15, $D$11, 100%, $F$11)</f>
        <v>33.113999999999997</v>
      </c>
      <c r="J868" s="4">
        <f>32.9954 * CHOOSE(CONTROL!$C$15, $D$11, 100%, $F$11)</f>
        <v>32.995399999999997</v>
      </c>
      <c r="K868" s="4"/>
      <c r="L868" s="9">
        <v>27.3993</v>
      </c>
      <c r="M868" s="9">
        <v>12.063700000000001</v>
      </c>
      <c r="N868" s="9">
        <v>4.9444999999999997</v>
      </c>
      <c r="O868" s="9">
        <v>0.37459999999999999</v>
      </c>
      <c r="P868" s="9">
        <v>1.2939000000000001</v>
      </c>
      <c r="Q868" s="9">
        <v>19.688099999999999</v>
      </c>
      <c r="R868" s="9"/>
      <c r="S868" s="11"/>
    </row>
    <row r="869" spans="1:19" ht="15.75">
      <c r="A869" s="13">
        <v>68333</v>
      </c>
      <c r="B869" s="8">
        <f>35.7558 * CHOOSE(CONTROL!$C$15, $D$11, 100%, $F$11)</f>
        <v>35.755800000000001</v>
      </c>
      <c r="C869" s="8">
        <f>35.7662 * CHOOSE(CONTROL!$C$15, $D$11, 100%, $F$11)</f>
        <v>35.766199999999998</v>
      </c>
      <c r="D869" s="8">
        <f>35.7648 * CHOOSE( CONTROL!$C$15, $D$11, 100%, $F$11)</f>
        <v>35.764800000000001</v>
      </c>
      <c r="E869" s="12">
        <f>35.7642 * CHOOSE( CONTROL!$C$15, $D$11, 100%, $F$11)</f>
        <v>35.764200000000002</v>
      </c>
      <c r="F869" s="4">
        <f>36.7787 * CHOOSE(CONTROL!$C$15, $D$11, 100%, $F$11)</f>
        <v>36.778700000000001</v>
      </c>
      <c r="G869" s="8">
        <f>34.8821 * CHOOSE( CONTROL!$C$15, $D$11, 100%, $F$11)</f>
        <v>34.882100000000001</v>
      </c>
      <c r="H869" s="4">
        <f>35.7746 * CHOOSE(CONTROL!$C$15, $D$11, 100%, $F$11)</f>
        <v>35.7746</v>
      </c>
      <c r="I869" s="8">
        <f>34.3822 * CHOOSE(CONTROL!$C$15, $D$11, 100%, $F$11)</f>
        <v>34.382199999999997</v>
      </c>
      <c r="J869" s="4">
        <f>34.2564 * CHOOSE(CONTROL!$C$15, $D$11, 100%, $F$11)</f>
        <v>34.256399999999999</v>
      </c>
      <c r="K869" s="4"/>
      <c r="L869" s="9">
        <v>27.3993</v>
      </c>
      <c r="M869" s="9">
        <v>12.063700000000001</v>
      </c>
      <c r="N869" s="9">
        <v>4.9444999999999997</v>
      </c>
      <c r="O869" s="9">
        <v>0.37459999999999999</v>
      </c>
      <c r="P869" s="9">
        <v>1.2939000000000001</v>
      </c>
      <c r="Q869" s="9">
        <v>19.688099999999999</v>
      </c>
      <c r="R869" s="9"/>
      <c r="S869" s="11"/>
    </row>
    <row r="870" spans="1:19" ht="15.75">
      <c r="A870" s="13">
        <v>68361</v>
      </c>
      <c r="B870" s="8">
        <f>33.4446 * CHOOSE(CONTROL!$C$15, $D$11, 100%, $F$11)</f>
        <v>33.444600000000001</v>
      </c>
      <c r="C870" s="8">
        <f>33.455 * CHOOSE(CONTROL!$C$15, $D$11, 100%, $F$11)</f>
        <v>33.454999999999998</v>
      </c>
      <c r="D870" s="8">
        <f>33.4558 * CHOOSE( CONTROL!$C$15, $D$11, 100%, $F$11)</f>
        <v>33.455800000000004</v>
      </c>
      <c r="E870" s="12">
        <f>33.4544 * CHOOSE( CONTROL!$C$15, $D$11, 100%, $F$11)</f>
        <v>33.4544</v>
      </c>
      <c r="F870" s="4">
        <f>34.4596 * CHOOSE(CONTROL!$C$15, $D$11, 100%, $F$11)</f>
        <v>34.459600000000002</v>
      </c>
      <c r="G870" s="8">
        <f>32.6289 * CHOOSE( CONTROL!$C$15, $D$11, 100%, $F$11)</f>
        <v>32.628900000000002</v>
      </c>
      <c r="H870" s="4">
        <f>33.514 * CHOOSE(CONTROL!$C$15, $D$11, 100%, $F$11)</f>
        <v>33.514000000000003</v>
      </c>
      <c r="I870" s="8">
        <f>32.1555 * CHOOSE(CONTROL!$C$15, $D$11, 100%, $F$11)</f>
        <v>32.155500000000004</v>
      </c>
      <c r="J870" s="4">
        <f>32.0418 * CHOOSE(CONTROL!$C$15, $D$11, 100%, $F$11)</f>
        <v>32.041800000000002</v>
      </c>
      <c r="K870" s="4"/>
      <c r="L870" s="9">
        <v>24.747800000000002</v>
      </c>
      <c r="M870" s="9">
        <v>10.8962</v>
      </c>
      <c r="N870" s="9">
        <v>4.4660000000000002</v>
      </c>
      <c r="O870" s="9">
        <v>0.33829999999999999</v>
      </c>
      <c r="P870" s="9">
        <v>1.1687000000000001</v>
      </c>
      <c r="Q870" s="9">
        <v>17.782800000000002</v>
      </c>
      <c r="R870" s="9"/>
      <c r="S870" s="11"/>
    </row>
    <row r="871" spans="1:19" ht="15.75">
      <c r="A871" s="13">
        <v>68392</v>
      </c>
      <c r="B871" s="8">
        <f>32.7327 * CHOOSE(CONTROL!$C$15, $D$11, 100%, $F$11)</f>
        <v>32.732700000000001</v>
      </c>
      <c r="C871" s="8">
        <f>32.7431 * CHOOSE(CONTROL!$C$15, $D$11, 100%, $F$11)</f>
        <v>32.743099999999998</v>
      </c>
      <c r="D871" s="8">
        <f>32.7236 * CHOOSE( CONTROL!$C$15, $D$11, 100%, $F$11)</f>
        <v>32.723599999999998</v>
      </c>
      <c r="E871" s="12">
        <f>32.7296 * CHOOSE( CONTROL!$C$15, $D$11, 100%, $F$11)</f>
        <v>32.729599999999998</v>
      </c>
      <c r="F871" s="4">
        <f>33.7316 * CHOOSE(CONTROL!$C$15, $D$11, 100%, $F$11)</f>
        <v>33.7316</v>
      </c>
      <c r="G871" s="8">
        <f>31.9144 * CHOOSE( CONTROL!$C$15, $D$11, 100%, $F$11)</f>
        <v>31.914400000000001</v>
      </c>
      <c r="H871" s="4">
        <f>32.8044 * CHOOSE(CONTROL!$C$15, $D$11, 100%, $F$11)</f>
        <v>32.804400000000001</v>
      </c>
      <c r="I871" s="8">
        <f>31.4336 * CHOOSE(CONTROL!$C$15, $D$11, 100%, $F$11)</f>
        <v>31.433599999999998</v>
      </c>
      <c r="J871" s="4">
        <f>31.3597 * CHOOSE(CONTROL!$C$15, $D$11, 100%, $F$11)</f>
        <v>31.3597</v>
      </c>
      <c r="K871" s="4"/>
      <c r="L871" s="9">
        <v>27.3993</v>
      </c>
      <c r="M871" s="9">
        <v>12.063700000000001</v>
      </c>
      <c r="N871" s="9">
        <v>4.9444999999999997</v>
      </c>
      <c r="O871" s="9">
        <v>0.37459999999999999</v>
      </c>
      <c r="P871" s="9">
        <v>1.2939000000000001</v>
      </c>
      <c r="Q871" s="9">
        <v>19.688099999999999</v>
      </c>
      <c r="R871" s="9"/>
      <c r="S871" s="11"/>
    </row>
    <row r="872" spans="1:19" ht="15.75">
      <c r="A872" s="13">
        <v>68422</v>
      </c>
      <c r="B872" s="8">
        <f>33.2301 * CHOOSE(CONTROL!$C$15, $D$11, 100%, $F$11)</f>
        <v>33.2301</v>
      </c>
      <c r="C872" s="8">
        <f>33.2406 * CHOOSE(CONTROL!$C$15, $D$11, 100%, $F$11)</f>
        <v>33.240600000000001</v>
      </c>
      <c r="D872" s="8">
        <f>33.2444 * CHOOSE( CONTROL!$C$15, $D$11, 100%, $F$11)</f>
        <v>33.244399999999999</v>
      </c>
      <c r="E872" s="12">
        <f>33.2419 * CHOOSE( CONTROL!$C$15, $D$11, 100%, $F$11)</f>
        <v>33.241900000000001</v>
      </c>
      <c r="F872" s="4">
        <f>34.2374 * CHOOSE(CONTROL!$C$15, $D$11, 100%, $F$11)</f>
        <v>34.237400000000001</v>
      </c>
      <c r="G872" s="8">
        <f>32.3872 * CHOOSE( CONTROL!$C$15, $D$11, 100%, $F$11)</f>
        <v>32.3872</v>
      </c>
      <c r="H872" s="4">
        <f>33.2974 * CHOOSE(CONTROL!$C$15, $D$11, 100%, $F$11)</f>
        <v>33.297400000000003</v>
      </c>
      <c r="I872" s="8">
        <f>31.9005 * CHOOSE(CONTROL!$C$15, $D$11, 100%, $F$11)</f>
        <v>31.900500000000001</v>
      </c>
      <c r="J872" s="4">
        <f>31.8364 * CHOOSE(CONTROL!$C$15, $D$11, 100%, $F$11)</f>
        <v>31.836400000000001</v>
      </c>
      <c r="K872" s="4"/>
      <c r="L872" s="9">
        <v>27.988800000000001</v>
      </c>
      <c r="M872" s="9">
        <v>11.6745</v>
      </c>
      <c r="N872" s="9">
        <v>4.7850000000000001</v>
      </c>
      <c r="O872" s="9">
        <v>0.36249999999999999</v>
      </c>
      <c r="P872" s="9">
        <v>1.1798</v>
      </c>
      <c r="Q872" s="9">
        <v>19.053000000000001</v>
      </c>
      <c r="R872" s="9"/>
      <c r="S872" s="11"/>
    </row>
    <row r="873" spans="1:19" ht="15.75">
      <c r="A873" s="13">
        <v>68453</v>
      </c>
      <c r="B873" s="8">
        <f>CHOOSE( CONTROL!$C$32, 34.1204, 34.1154) * CHOOSE(CONTROL!$C$15, $D$11, 100%, $F$11)</f>
        <v>34.120399999999997</v>
      </c>
      <c r="C873" s="8">
        <f>CHOOSE( CONTROL!$C$32, 34.1308, 34.1259) * CHOOSE(CONTROL!$C$15, $D$11, 100%, $F$11)</f>
        <v>34.130800000000001</v>
      </c>
      <c r="D873" s="8">
        <f>CHOOSE( CONTROL!$C$32, 34.1095, 34.1045) * CHOOSE( CONTROL!$C$15, $D$11, 100%, $F$11)</f>
        <v>34.109499999999997</v>
      </c>
      <c r="E873" s="12">
        <f>CHOOSE( CONTROL!$C$32, 34.1156, 34.1107) * CHOOSE( CONTROL!$C$15, $D$11, 100%, $F$11)</f>
        <v>34.115600000000001</v>
      </c>
      <c r="F873" s="4">
        <f>CHOOSE( CONTROL!$C$32, 35.0953, 35.0903) * CHOOSE(CONTROL!$C$15, $D$11, 100%, $F$11)</f>
        <v>35.095300000000002</v>
      </c>
      <c r="G873" s="8">
        <f>CHOOSE( CONTROL!$C$32, 33.2364, 33.2316) * CHOOSE( CONTROL!$C$15, $D$11, 100%, $F$11)</f>
        <v>33.236400000000003</v>
      </c>
      <c r="H873" s="4">
        <f>CHOOSE( CONTROL!$C$32, 34.1336, 34.1288) * CHOOSE(CONTROL!$C$15, $D$11, 100%, $F$11)</f>
        <v>34.133600000000001</v>
      </c>
      <c r="I873" s="8">
        <f>CHOOSE( CONTROL!$C$32, 32.7324, 32.7277) * CHOOSE(CONTROL!$C$15, $D$11, 100%, $F$11)</f>
        <v>32.732399999999998</v>
      </c>
      <c r="J873" s="4">
        <f>CHOOSE( CONTROL!$C$32, 32.6894, 32.6847) * CHOOSE(CONTROL!$C$15, $D$11, 100%, $F$11)</f>
        <v>32.689399999999999</v>
      </c>
      <c r="K873" s="4"/>
      <c r="L873" s="9">
        <v>29.520499999999998</v>
      </c>
      <c r="M873" s="9">
        <v>12.063700000000001</v>
      </c>
      <c r="N873" s="9">
        <v>4.9444999999999997</v>
      </c>
      <c r="O873" s="9">
        <v>0.37459999999999999</v>
      </c>
      <c r="P873" s="9">
        <v>1.2192000000000001</v>
      </c>
      <c r="Q873" s="9">
        <v>19.688099999999999</v>
      </c>
      <c r="R873" s="9"/>
      <c r="S873" s="11"/>
    </row>
    <row r="874" spans="1:19" ht="15.75">
      <c r="A874" s="13">
        <v>68483</v>
      </c>
      <c r="B874" s="8">
        <f>CHOOSE( CONTROL!$C$32, 33.572, 33.567) * CHOOSE(CONTROL!$C$15, $D$11, 100%, $F$11)</f>
        <v>33.572000000000003</v>
      </c>
      <c r="C874" s="8">
        <f>CHOOSE( CONTROL!$C$32, 33.5824, 33.5775) * CHOOSE(CONTROL!$C$15, $D$11, 100%, $F$11)</f>
        <v>33.5824</v>
      </c>
      <c r="D874" s="8">
        <f>CHOOSE( CONTROL!$C$32, 33.5745, 33.5696) * CHOOSE( CONTROL!$C$15, $D$11, 100%, $F$11)</f>
        <v>33.5745</v>
      </c>
      <c r="E874" s="12">
        <f>CHOOSE( CONTROL!$C$32, 33.5758, 33.5709) * CHOOSE( CONTROL!$C$15, $D$11, 100%, $F$11)</f>
        <v>33.575800000000001</v>
      </c>
      <c r="F874" s="4">
        <f>CHOOSE( CONTROL!$C$32, 34.5662, 34.5612) * CHOOSE(CONTROL!$C$15, $D$11, 100%, $F$11)</f>
        <v>34.566200000000002</v>
      </c>
      <c r="G874" s="8">
        <f>CHOOSE( CONTROL!$C$32, 32.7122, 32.7074) * CHOOSE( CONTROL!$C$15, $D$11, 100%, $F$11)</f>
        <v>32.712200000000003</v>
      </c>
      <c r="H874" s="4">
        <f>CHOOSE( CONTROL!$C$32, 33.6179, 33.6131) * CHOOSE(CONTROL!$C$15, $D$11, 100%, $F$11)</f>
        <v>33.617899999999999</v>
      </c>
      <c r="I874" s="8">
        <f>CHOOSE( CONTROL!$C$32, 32.2245, 32.2198) * CHOOSE(CONTROL!$C$15, $D$11, 100%, $F$11)</f>
        <v>32.224499999999999</v>
      </c>
      <c r="J874" s="4">
        <f>CHOOSE( CONTROL!$C$32, 32.1639, 32.1592) * CHOOSE(CONTROL!$C$15, $D$11, 100%, $F$11)</f>
        <v>32.163899999999998</v>
      </c>
      <c r="K874" s="4"/>
      <c r="L874" s="9">
        <v>28.568200000000001</v>
      </c>
      <c r="M874" s="9">
        <v>11.6745</v>
      </c>
      <c r="N874" s="9">
        <v>4.7850000000000001</v>
      </c>
      <c r="O874" s="9">
        <v>0.36249999999999999</v>
      </c>
      <c r="P874" s="9">
        <v>1.1798</v>
      </c>
      <c r="Q874" s="9">
        <v>19.053000000000001</v>
      </c>
      <c r="R874" s="9"/>
      <c r="S874" s="11"/>
    </row>
    <row r="875" spans="1:19" ht="15.75">
      <c r="A875" s="13">
        <v>68514</v>
      </c>
      <c r="B875" s="8">
        <f>CHOOSE( CONTROL!$C$32, 35.0161, 35.0112) * CHOOSE(CONTROL!$C$15, $D$11, 100%, $F$11)</f>
        <v>35.016100000000002</v>
      </c>
      <c r="C875" s="8">
        <f>CHOOSE( CONTROL!$C$32, 35.0266, 35.0217) * CHOOSE(CONTROL!$C$15, $D$11, 100%, $F$11)</f>
        <v>35.026600000000002</v>
      </c>
      <c r="D875" s="8">
        <f>CHOOSE( CONTROL!$C$32, 35.0256, 35.0207) * CHOOSE( CONTROL!$C$15, $D$11, 100%, $F$11)</f>
        <v>35.025599999999997</v>
      </c>
      <c r="E875" s="12">
        <f>CHOOSE( CONTROL!$C$32, 35.0244, 35.0195) * CHOOSE( CONTROL!$C$15, $D$11, 100%, $F$11)</f>
        <v>35.0244</v>
      </c>
      <c r="F875" s="4">
        <f>CHOOSE( CONTROL!$C$32, 36.0208, 36.0159) * CHOOSE(CONTROL!$C$15, $D$11, 100%, $F$11)</f>
        <v>36.020800000000001</v>
      </c>
      <c r="G875" s="8">
        <f>CHOOSE( CONTROL!$C$32, 34.1241, 34.1193) * CHOOSE( CONTROL!$C$15, $D$11, 100%, $F$11)</f>
        <v>34.124099999999999</v>
      </c>
      <c r="H875" s="4">
        <f>CHOOSE( CONTROL!$C$32, 35.0358, 35.031) * CHOOSE(CONTROL!$C$15, $D$11, 100%, $F$11)</f>
        <v>35.035800000000002</v>
      </c>
      <c r="I875" s="8">
        <f>CHOOSE( CONTROL!$C$32, 33.6167, 33.6119) * CHOOSE(CONTROL!$C$15, $D$11, 100%, $F$11)</f>
        <v>33.616700000000002</v>
      </c>
      <c r="J875" s="4">
        <f>CHOOSE( CONTROL!$C$32, 33.5477, 33.543) * CHOOSE(CONTROL!$C$15, $D$11, 100%, $F$11)</f>
        <v>33.547699999999999</v>
      </c>
      <c r="K875" s="4"/>
      <c r="L875" s="9">
        <v>29.520499999999998</v>
      </c>
      <c r="M875" s="9">
        <v>12.063700000000001</v>
      </c>
      <c r="N875" s="9">
        <v>4.9444999999999997</v>
      </c>
      <c r="O875" s="9">
        <v>0.37459999999999999</v>
      </c>
      <c r="P875" s="9">
        <v>1.2192000000000001</v>
      </c>
      <c r="Q875" s="9">
        <v>19.688099999999999</v>
      </c>
      <c r="R875" s="9"/>
      <c r="S875" s="11"/>
    </row>
    <row r="876" spans="1:19" ht="15.75">
      <c r="A876" s="13">
        <v>68545</v>
      </c>
      <c r="B876" s="8">
        <f>CHOOSE( CONTROL!$C$32, 32.3139, 32.309) * CHOOSE(CONTROL!$C$15, $D$11, 100%, $F$11)</f>
        <v>32.313899999999997</v>
      </c>
      <c r="C876" s="8">
        <f>CHOOSE( CONTROL!$C$32, 32.3244, 32.3194) * CHOOSE(CONTROL!$C$15, $D$11, 100%, $F$11)</f>
        <v>32.324399999999997</v>
      </c>
      <c r="D876" s="8">
        <f>CHOOSE( CONTROL!$C$32, 32.3245, 32.3196) * CHOOSE( CONTROL!$C$15, $D$11, 100%, $F$11)</f>
        <v>32.3245</v>
      </c>
      <c r="E876" s="12">
        <f>CHOOSE( CONTROL!$C$32, 32.3229, 32.3179) * CHOOSE( CONTROL!$C$15, $D$11, 100%, $F$11)</f>
        <v>32.322899999999997</v>
      </c>
      <c r="F876" s="4">
        <f>CHOOSE( CONTROL!$C$32, 33.3264, 33.3215) * CHOOSE(CONTROL!$C$15, $D$11, 100%, $F$11)</f>
        <v>33.3264</v>
      </c>
      <c r="G876" s="8">
        <f>CHOOSE( CONTROL!$C$32, 31.4852, 31.4804) * CHOOSE( CONTROL!$C$15, $D$11, 100%, $F$11)</f>
        <v>31.485199999999999</v>
      </c>
      <c r="H876" s="4">
        <f>CHOOSE( CONTROL!$C$32, 32.4094, 32.4046) * CHOOSE(CONTROL!$C$15, $D$11, 100%, $F$11)</f>
        <v>32.409399999999998</v>
      </c>
      <c r="I876" s="8">
        <f>CHOOSE( CONTROL!$C$32, 31.0171, 31.0123) * CHOOSE(CONTROL!$C$15, $D$11, 100%, $F$11)</f>
        <v>31.017099999999999</v>
      </c>
      <c r="J876" s="4">
        <f>CHOOSE( CONTROL!$C$32, 30.9584, 30.9537) * CHOOSE(CONTROL!$C$15, $D$11, 100%, $F$11)</f>
        <v>30.958400000000001</v>
      </c>
      <c r="K876" s="4"/>
      <c r="L876" s="9">
        <v>29.520499999999998</v>
      </c>
      <c r="M876" s="9">
        <v>12.063700000000001</v>
      </c>
      <c r="N876" s="9">
        <v>4.9444999999999997</v>
      </c>
      <c r="O876" s="9">
        <v>0.37459999999999999</v>
      </c>
      <c r="P876" s="9">
        <v>1.2192000000000001</v>
      </c>
      <c r="Q876" s="9">
        <v>19.688099999999999</v>
      </c>
      <c r="R876" s="9"/>
      <c r="S876" s="11"/>
    </row>
    <row r="877" spans="1:19" ht="15.75">
      <c r="A877" s="13">
        <v>68575</v>
      </c>
      <c r="B877" s="8">
        <f>CHOOSE( CONTROL!$C$32, 31.6373, 31.6323) * CHOOSE(CONTROL!$C$15, $D$11, 100%, $F$11)</f>
        <v>31.6373</v>
      </c>
      <c r="C877" s="8">
        <f>CHOOSE( CONTROL!$C$32, 31.6477, 31.6428) * CHOOSE(CONTROL!$C$15, $D$11, 100%, $F$11)</f>
        <v>31.6477</v>
      </c>
      <c r="D877" s="8">
        <f>CHOOSE( CONTROL!$C$32, 31.6481, 31.6432) * CHOOSE( CONTROL!$C$15, $D$11, 100%, $F$11)</f>
        <v>31.648099999999999</v>
      </c>
      <c r="E877" s="12">
        <f>CHOOSE( CONTROL!$C$32, 31.6464, 31.6415) * CHOOSE( CONTROL!$C$15, $D$11, 100%, $F$11)</f>
        <v>31.6464</v>
      </c>
      <c r="F877" s="4">
        <f>CHOOSE( CONTROL!$C$32, 32.6497, 32.6448) * CHOOSE(CONTROL!$C$15, $D$11, 100%, $F$11)</f>
        <v>32.649700000000003</v>
      </c>
      <c r="G877" s="8">
        <f>CHOOSE( CONTROL!$C$32, 30.826, 30.8212) * CHOOSE( CONTROL!$C$15, $D$11, 100%, $F$11)</f>
        <v>30.826000000000001</v>
      </c>
      <c r="H877" s="4">
        <f>CHOOSE( CONTROL!$C$32, 31.7498, 31.745) * CHOOSE(CONTROL!$C$15, $D$11, 100%, $F$11)</f>
        <v>31.7498</v>
      </c>
      <c r="I877" s="8">
        <f>CHOOSE( CONTROL!$C$32, 30.3698, 30.365) * CHOOSE(CONTROL!$C$15, $D$11, 100%, $F$11)</f>
        <v>30.369800000000001</v>
      </c>
      <c r="J877" s="4">
        <f>CHOOSE( CONTROL!$C$32, 30.3101, 30.3053) * CHOOSE(CONTROL!$C$15, $D$11, 100%, $F$11)</f>
        <v>30.310099999999998</v>
      </c>
      <c r="K877" s="4"/>
      <c r="L877" s="9">
        <v>28.568200000000001</v>
      </c>
      <c r="M877" s="9">
        <v>11.6745</v>
      </c>
      <c r="N877" s="9">
        <v>4.7850000000000001</v>
      </c>
      <c r="O877" s="9">
        <v>0.36249999999999999</v>
      </c>
      <c r="P877" s="9">
        <v>1.1798</v>
      </c>
      <c r="Q877" s="9">
        <v>19.053000000000001</v>
      </c>
      <c r="R877" s="9"/>
      <c r="S877" s="11"/>
    </row>
    <row r="878" spans="1:19" ht="15.75">
      <c r="A878" s="13">
        <v>68606</v>
      </c>
      <c r="B878" s="8">
        <f>33.0373 * CHOOSE(CONTROL!$C$15, $D$11, 100%, $F$11)</f>
        <v>33.037300000000002</v>
      </c>
      <c r="C878" s="8">
        <f>33.0478 * CHOOSE(CONTROL!$C$15, $D$11, 100%, $F$11)</f>
        <v>33.047800000000002</v>
      </c>
      <c r="D878" s="8">
        <f>33.0494 * CHOOSE( CONTROL!$C$15, $D$11, 100%, $F$11)</f>
        <v>33.049399999999999</v>
      </c>
      <c r="E878" s="12">
        <f>33.0478 * CHOOSE( CONTROL!$C$15, $D$11, 100%, $F$11)</f>
        <v>33.047800000000002</v>
      </c>
      <c r="F878" s="4">
        <f>34.0498 * CHOOSE(CONTROL!$C$15, $D$11, 100%, $F$11)</f>
        <v>34.049799999999998</v>
      </c>
      <c r="G878" s="8">
        <f>32.1904 * CHOOSE( CONTROL!$C$15, $D$11, 100%, $F$11)</f>
        <v>32.190399999999997</v>
      </c>
      <c r="H878" s="4">
        <f>33.1145 * CHOOSE(CONTROL!$C$15, $D$11, 100%, $F$11)</f>
        <v>33.1145</v>
      </c>
      <c r="I878" s="8">
        <f>31.7142 * CHOOSE(CONTROL!$C$15, $D$11, 100%, $F$11)</f>
        <v>31.714200000000002</v>
      </c>
      <c r="J878" s="4">
        <f>31.6516 * CHOOSE(CONTROL!$C$15, $D$11, 100%, $F$11)</f>
        <v>31.651599999999998</v>
      </c>
      <c r="K878" s="4"/>
      <c r="L878" s="9">
        <v>28.921800000000001</v>
      </c>
      <c r="M878" s="9">
        <v>12.063700000000001</v>
      </c>
      <c r="N878" s="9">
        <v>4.9444999999999997</v>
      </c>
      <c r="O878" s="9">
        <v>0.37459999999999999</v>
      </c>
      <c r="P878" s="9">
        <v>1.2192000000000001</v>
      </c>
      <c r="Q878" s="9">
        <v>19.688099999999999</v>
      </c>
      <c r="R878" s="9"/>
      <c r="S878" s="11"/>
    </row>
    <row r="879" spans="1:19" ht="15.75">
      <c r="A879" s="13">
        <v>68636</v>
      </c>
      <c r="B879" s="8">
        <f>35.6307 * CHOOSE(CONTROL!$C$15, $D$11, 100%, $F$11)</f>
        <v>35.630699999999997</v>
      </c>
      <c r="C879" s="8">
        <f>35.6411 * CHOOSE(CONTROL!$C$15, $D$11, 100%, $F$11)</f>
        <v>35.641100000000002</v>
      </c>
      <c r="D879" s="8">
        <f>35.6221 * CHOOSE( CONTROL!$C$15, $D$11, 100%, $F$11)</f>
        <v>35.622100000000003</v>
      </c>
      <c r="E879" s="12">
        <f>35.6279 * CHOOSE( CONTROL!$C$15, $D$11, 100%, $F$11)</f>
        <v>35.627899999999997</v>
      </c>
      <c r="F879" s="4">
        <f>36.6275 * CHOOSE(CONTROL!$C$15, $D$11, 100%, $F$11)</f>
        <v>36.627499999999998</v>
      </c>
      <c r="G879" s="8">
        <f>34.7413 * CHOOSE( CONTROL!$C$15, $D$11, 100%, $F$11)</f>
        <v>34.741300000000003</v>
      </c>
      <c r="H879" s="4">
        <f>35.6272 * CHOOSE(CONTROL!$C$15, $D$11, 100%, $F$11)</f>
        <v>35.627200000000002</v>
      </c>
      <c r="I879" s="8">
        <f>34.2469 * CHOOSE(CONTROL!$C$15, $D$11, 100%, $F$11)</f>
        <v>34.246899999999997</v>
      </c>
      <c r="J879" s="4">
        <f>34.1365 * CHOOSE(CONTROL!$C$15, $D$11, 100%, $F$11)</f>
        <v>34.136499999999998</v>
      </c>
      <c r="K879" s="4"/>
      <c r="L879" s="9">
        <v>26.515499999999999</v>
      </c>
      <c r="M879" s="9">
        <v>11.6745</v>
      </c>
      <c r="N879" s="9">
        <v>4.7850000000000001</v>
      </c>
      <c r="O879" s="9">
        <v>0.36249999999999999</v>
      </c>
      <c r="P879" s="9">
        <v>1.2522</v>
      </c>
      <c r="Q879" s="9">
        <v>19.053000000000001</v>
      </c>
      <c r="R879" s="9"/>
      <c r="S879" s="11"/>
    </row>
    <row r="880" spans="1:19" ht="15.75">
      <c r="A880" s="13">
        <v>68667</v>
      </c>
      <c r="B880" s="8">
        <f>35.5659 * CHOOSE(CONTROL!$C$15, $D$11, 100%, $F$11)</f>
        <v>35.565899999999999</v>
      </c>
      <c r="C880" s="8">
        <f>35.5763 * CHOOSE(CONTROL!$C$15, $D$11, 100%, $F$11)</f>
        <v>35.576300000000003</v>
      </c>
      <c r="D880" s="8">
        <f>35.5599 * CHOOSE( CONTROL!$C$15, $D$11, 100%, $F$11)</f>
        <v>35.559899999999999</v>
      </c>
      <c r="E880" s="12">
        <f>35.5648 * CHOOSE( CONTROL!$C$15, $D$11, 100%, $F$11)</f>
        <v>35.564799999999998</v>
      </c>
      <c r="F880" s="4">
        <f>36.5627 * CHOOSE(CONTROL!$C$15, $D$11, 100%, $F$11)</f>
        <v>36.5627</v>
      </c>
      <c r="G880" s="8">
        <f>34.6801 * CHOOSE( CONTROL!$C$15, $D$11, 100%, $F$11)</f>
        <v>34.680100000000003</v>
      </c>
      <c r="H880" s="4">
        <f>35.564 * CHOOSE(CONTROL!$C$15, $D$11, 100%, $F$11)</f>
        <v>35.564</v>
      </c>
      <c r="I880" s="8">
        <f>34.1936 * CHOOSE(CONTROL!$C$15, $D$11, 100%, $F$11)</f>
        <v>34.193600000000004</v>
      </c>
      <c r="J880" s="4">
        <f>34.0745 * CHOOSE(CONTROL!$C$15, $D$11, 100%, $F$11)</f>
        <v>34.0745</v>
      </c>
      <c r="K880" s="4"/>
      <c r="L880" s="9">
        <v>27.3993</v>
      </c>
      <c r="M880" s="9">
        <v>12.063700000000001</v>
      </c>
      <c r="N880" s="9">
        <v>4.9444999999999997</v>
      </c>
      <c r="O880" s="9">
        <v>0.37459999999999999</v>
      </c>
      <c r="P880" s="9">
        <v>1.2939000000000001</v>
      </c>
      <c r="Q880" s="9">
        <v>19.688099999999999</v>
      </c>
      <c r="R880" s="9"/>
      <c r="S880" s="11"/>
    </row>
    <row r="881" spans="1:19" ht="15.75">
      <c r="A881" s="13">
        <v>68698</v>
      </c>
      <c r="B881" s="8">
        <f>36.925 * CHOOSE(CONTROL!$C$15, $D$11, 100%, $F$11)</f>
        <v>36.924999999999997</v>
      </c>
      <c r="C881" s="8">
        <f>36.9354 * CHOOSE(CONTROL!$C$15, $D$11, 100%, $F$11)</f>
        <v>36.935400000000001</v>
      </c>
      <c r="D881" s="8">
        <f>36.934 * CHOOSE( CONTROL!$C$15, $D$11, 100%, $F$11)</f>
        <v>36.933999999999997</v>
      </c>
      <c r="E881" s="12">
        <f>36.9334 * CHOOSE( CONTROL!$C$15, $D$11, 100%, $F$11)</f>
        <v>36.933399999999999</v>
      </c>
      <c r="F881" s="4">
        <f>37.9479 * CHOOSE(CONTROL!$C$15, $D$11, 100%, $F$11)</f>
        <v>37.947899999999997</v>
      </c>
      <c r="G881" s="8">
        <f>36.0218 * CHOOSE( CONTROL!$C$15, $D$11, 100%, $F$11)</f>
        <v>36.021799999999999</v>
      </c>
      <c r="H881" s="4">
        <f>36.9143 * CHOOSE(CONTROL!$C$15, $D$11, 100%, $F$11)</f>
        <v>36.914299999999997</v>
      </c>
      <c r="I881" s="8">
        <f>35.503 * CHOOSE(CONTROL!$C$15, $D$11, 100%, $F$11)</f>
        <v>35.503</v>
      </c>
      <c r="J881" s="4">
        <f>35.3768 * CHOOSE(CONTROL!$C$15, $D$11, 100%, $F$11)</f>
        <v>35.376800000000003</v>
      </c>
      <c r="K881" s="4"/>
      <c r="L881" s="9">
        <v>27.3993</v>
      </c>
      <c r="M881" s="9">
        <v>12.063700000000001</v>
      </c>
      <c r="N881" s="9">
        <v>4.9444999999999997</v>
      </c>
      <c r="O881" s="9">
        <v>0.37459999999999999</v>
      </c>
      <c r="P881" s="9">
        <v>1.2939000000000001</v>
      </c>
      <c r="Q881" s="9">
        <v>19.688099999999999</v>
      </c>
      <c r="R881" s="9"/>
      <c r="S881" s="11"/>
    </row>
    <row r="882" spans="1:19" ht="15.75">
      <c r="A882" s="13">
        <v>68727</v>
      </c>
      <c r="B882" s="8">
        <f>34.5382 * CHOOSE(CONTROL!$C$15, $D$11, 100%, $F$11)</f>
        <v>34.538200000000003</v>
      </c>
      <c r="C882" s="8">
        <f>34.5486 * CHOOSE(CONTROL!$C$15, $D$11, 100%, $F$11)</f>
        <v>34.5486</v>
      </c>
      <c r="D882" s="8">
        <f>34.5494 * CHOOSE( CONTROL!$C$15, $D$11, 100%, $F$11)</f>
        <v>34.549399999999999</v>
      </c>
      <c r="E882" s="12">
        <f>34.548 * CHOOSE( CONTROL!$C$15, $D$11, 100%, $F$11)</f>
        <v>34.548000000000002</v>
      </c>
      <c r="F882" s="4">
        <f>35.5532 * CHOOSE(CONTROL!$C$15, $D$11, 100%, $F$11)</f>
        <v>35.553199999999997</v>
      </c>
      <c r="G882" s="8">
        <f>33.695 * CHOOSE( CONTROL!$C$15, $D$11, 100%, $F$11)</f>
        <v>33.695</v>
      </c>
      <c r="H882" s="4">
        <f>34.58 * CHOOSE(CONTROL!$C$15, $D$11, 100%, $F$11)</f>
        <v>34.58</v>
      </c>
      <c r="I882" s="8">
        <f>33.2039 * CHOOSE(CONTROL!$C$15, $D$11, 100%, $F$11)</f>
        <v>33.203899999999997</v>
      </c>
      <c r="J882" s="4">
        <f>33.0897 * CHOOSE(CONTROL!$C$15, $D$11, 100%, $F$11)</f>
        <v>33.089700000000001</v>
      </c>
      <c r="K882" s="4"/>
      <c r="L882" s="9">
        <v>25.631599999999999</v>
      </c>
      <c r="M882" s="9">
        <v>11.285299999999999</v>
      </c>
      <c r="N882" s="9">
        <v>4.6254999999999997</v>
      </c>
      <c r="O882" s="9">
        <v>0.35039999999999999</v>
      </c>
      <c r="P882" s="9">
        <v>1.2104999999999999</v>
      </c>
      <c r="Q882" s="9">
        <v>18.417899999999999</v>
      </c>
      <c r="R882" s="9"/>
      <c r="S882" s="11"/>
    </row>
    <row r="883" spans="1:19" ht="15.75">
      <c r="A883" s="13">
        <v>68758</v>
      </c>
      <c r="B883" s="8">
        <f>33.803 * CHOOSE(CONTROL!$C$15, $D$11, 100%, $F$11)</f>
        <v>33.802999999999997</v>
      </c>
      <c r="C883" s="8">
        <f>33.8135 * CHOOSE(CONTROL!$C$15, $D$11, 100%, $F$11)</f>
        <v>33.813499999999998</v>
      </c>
      <c r="D883" s="8">
        <f>33.794 * CHOOSE( CONTROL!$C$15, $D$11, 100%, $F$11)</f>
        <v>33.793999999999997</v>
      </c>
      <c r="E883" s="12">
        <f>33.8 * CHOOSE( CONTROL!$C$15, $D$11, 100%, $F$11)</f>
        <v>33.799999999999997</v>
      </c>
      <c r="F883" s="4">
        <f>34.8019 * CHOOSE(CONTROL!$C$15, $D$11, 100%, $F$11)</f>
        <v>34.801900000000003</v>
      </c>
      <c r="G883" s="8">
        <f>32.9577 * CHOOSE( CONTROL!$C$15, $D$11, 100%, $F$11)</f>
        <v>32.957700000000003</v>
      </c>
      <c r="H883" s="4">
        <f>33.8477 * CHOOSE(CONTROL!$C$15, $D$11, 100%, $F$11)</f>
        <v>33.847700000000003</v>
      </c>
      <c r="I883" s="8">
        <f>32.4597 * CHOOSE(CONTROL!$C$15, $D$11, 100%, $F$11)</f>
        <v>32.459699999999998</v>
      </c>
      <c r="J883" s="4">
        <f>32.3853 * CHOOSE(CONTROL!$C$15, $D$11, 100%, $F$11)</f>
        <v>32.385300000000001</v>
      </c>
      <c r="K883" s="4"/>
      <c r="L883" s="9">
        <v>27.3993</v>
      </c>
      <c r="M883" s="9">
        <v>12.063700000000001</v>
      </c>
      <c r="N883" s="9">
        <v>4.9444999999999997</v>
      </c>
      <c r="O883" s="9">
        <v>0.37459999999999999</v>
      </c>
      <c r="P883" s="9">
        <v>1.2939000000000001</v>
      </c>
      <c r="Q883" s="9">
        <v>19.688099999999999</v>
      </c>
      <c r="R883" s="9"/>
      <c r="S883" s="11"/>
    </row>
    <row r="884" spans="1:19" ht="15.75">
      <c r="A884" s="13">
        <v>68788</v>
      </c>
      <c r="B884" s="8">
        <f>34.3167 * CHOOSE(CONTROL!$C$15, $D$11, 100%, $F$11)</f>
        <v>34.316699999999997</v>
      </c>
      <c r="C884" s="8">
        <f>34.3272 * CHOOSE(CONTROL!$C$15, $D$11, 100%, $F$11)</f>
        <v>34.327199999999998</v>
      </c>
      <c r="D884" s="8">
        <f>34.331 * CHOOSE( CONTROL!$C$15, $D$11, 100%, $F$11)</f>
        <v>34.331000000000003</v>
      </c>
      <c r="E884" s="12">
        <f>34.3285 * CHOOSE( CONTROL!$C$15, $D$11, 100%, $F$11)</f>
        <v>34.328499999999998</v>
      </c>
      <c r="F884" s="4">
        <f>35.324 * CHOOSE(CONTROL!$C$15, $D$11, 100%, $F$11)</f>
        <v>35.323999999999998</v>
      </c>
      <c r="G884" s="8">
        <f>33.4464 * CHOOSE( CONTROL!$C$15, $D$11, 100%, $F$11)</f>
        <v>33.446399999999997</v>
      </c>
      <c r="H884" s="4">
        <f>34.3566 * CHOOSE(CONTROL!$C$15, $D$11, 100%, $F$11)</f>
        <v>34.3566</v>
      </c>
      <c r="I884" s="8">
        <f>32.9422 * CHOOSE(CONTROL!$C$15, $D$11, 100%, $F$11)</f>
        <v>32.9422</v>
      </c>
      <c r="J884" s="4">
        <f>32.8775 * CHOOSE(CONTROL!$C$15, $D$11, 100%, $F$11)</f>
        <v>32.877499999999998</v>
      </c>
      <c r="K884" s="4"/>
      <c r="L884" s="9">
        <v>27.988800000000001</v>
      </c>
      <c r="M884" s="9">
        <v>11.6745</v>
      </c>
      <c r="N884" s="9">
        <v>4.7850000000000001</v>
      </c>
      <c r="O884" s="9">
        <v>0.36249999999999999</v>
      </c>
      <c r="P884" s="9">
        <v>1.1798</v>
      </c>
      <c r="Q884" s="9">
        <v>19.053000000000001</v>
      </c>
      <c r="R884" s="9"/>
      <c r="S884" s="11"/>
    </row>
    <row r="885" spans="1:19" ht="15.75">
      <c r="A885" s="13">
        <v>68819</v>
      </c>
      <c r="B885" s="8">
        <f>CHOOSE( CONTROL!$C$32, 35.2359, 35.231) * CHOOSE(CONTROL!$C$15, $D$11, 100%, $F$11)</f>
        <v>35.235900000000001</v>
      </c>
      <c r="C885" s="8">
        <f>CHOOSE( CONTROL!$C$32, 35.2464, 35.2414) * CHOOSE(CONTROL!$C$15, $D$11, 100%, $F$11)</f>
        <v>35.246400000000001</v>
      </c>
      <c r="D885" s="8">
        <f>CHOOSE( CONTROL!$C$32, 35.225, 35.2201) * CHOOSE( CONTROL!$C$15, $D$11, 100%, $F$11)</f>
        <v>35.225000000000001</v>
      </c>
      <c r="E885" s="12">
        <f>CHOOSE( CONTROL!$C$32, 35.2312, 35.2262) * CHOOSE( CONTROL!$C$15, $D$11, 100%, $F$11)</f>
        <v>35.231200000000001</v>
      </c>
      <c r="F885" s="4">
        <f>CHOOSE( CONTROL!$C$32, 36.2108, 36.2059) * CHOOSE(CONTROL!$C$15, $D$11, 100%, $F$11)</f>
        <v>36.210799999999999</v>
      </c>
      <c r="G885" s="8">
        <f>CHOOSE( CONTROL!$C$32, 34.3238, 34.319) * CHOOSE( CONTROL!$C$15, $D$11, 100%, $F$11)</f>
        <v>34.323799999999999</v>
      </c>
      <c r="H885" s="4">
        <f>CHOOSE( CONTROL!$C$32, 35.221, 35.2162) * CHOOSE(CONTROL!$C$15, $D$11, 100%, $F$11)</f>
        <v>35.220999999999997</v>
      </c>
      <c r="I885" s="8">
        <f>CHOOSE( CONTROL!$C$32, 33.8019, 33.7972) * CHOOSE(CONTROL!$C$15, $D$11, 100%, $F$11)</f>
        <v>33.801900000000003</v>
      </c>
      <c r="J885" s="4">
        <f>CHOOSE( CONTROL!$C$32, 33.7583, 33.7536) * CHOOSE(CONTROL!$C$15, $D$11, 100%, $F$11)</f>
        <v>33.758299999999998</v>
      </c>
      <c r="K885" s="4"/>
      <c r="L885" s="9">
        <v>29.520499999999998</v>
      </c>
      <c r="M885" s="9">
        <v>12.063700000000001</v>
      </c>
      <c r="N885" s="9">
        <v>4.9444999999999997</v>
      </c>
      <c r="O885" s="9">
        <v>0.37459999999999999</v>
      </c>
      <c r="P885" s="9">
        <v>1.2192000000000001</v>
      </c>
      <c r="Q885" s="9">
        <v>19.688099999999999</v>
      </c>
      <c r="R885" s="9"/>
      <c r="S885" s="11"/>
    </row>
    <row r="886" spans="1:19" ht="15.75">
      <c r="A886" s="13">
        <v>68849</v>
      </c>
      <c r="B886" s="8">
        <f>CHOOSE( CONTROL!$C$32, 34.6696, 34.6646) * CHOOSE(CONTROL!$C$15, $D$11, 100%, $F$11)</f>
        <v>34.669600000000003</v>
      </c>
      <c r="C886" s="8">
        <f>CHOOSE( CONTROL!$C$32, 34.68, 34.6751) * CHOOSE(CONTROL!$C$15, $D$11, 100%, $F$11)</f>
        <v>34.68</v>
      </c>
      <c r="D886" s="8">
        <f>CHOOSE( CONTROL!$C$32, 34.6721, 34.6672) * CHOOSE( CONTROL!$C$15, $D$11, 100%, $F$11)</f>
        <v>34.6721</v>
      </c>
      <c r="E886" s="12">
        <f>CHOOSE( CONTROL!$C$32, 34.6734, 34.6685) * CHOOSE( CONTROL!$C$15, $D$11, 100%, $F$11)</f>
        <v>34.673400000000001</v>
      </c>
      <c r="F886" s="4">
        <f>CHOOSE( CONTROL!$C$32, 35.6638, 35.6588) * CHOOSE(CONTROL!$C$15, $D$11, 100%, $F$11)</f>
        <v>35.663800000000002</v>
      </c>
      <c r="G886" s="8">
        <f>CHOOSE( CONTROL!$C$32, 33.7821, 33.7773) * CHOOSE( CONTROL!$C$15, $D$11, 100%, $F$11)</f>
        <v>33.7821</v>
      </c>
      <c r="H886" s="4">
        <f>CHOOSE( CONTROL!$C$32, 34.6878, 34.683) * CHOOSE(CONTROL!$C$15, $D$11, 100%, $F$11)</f>
        <v>34.687800000000003</v>
      </c>
      <c r="I886" s="8">
        <f>CHOOSE( CONTROL!$C$32, 33.2768, 33.272) * CHOOSE(CONTROL!$C$15, $D$11, 100%, $F$11)</f>
        <v>33.276800000000001</v>
      </c>
      <c r="J886" s="4">
        <f>CHOOSE( CONTROL!$C$32, 33.2156, 33.2109) * CHOOSE(CONTROL!$C$15, $D$11, 100%, $F$11)</f>
        <v>33.215600000000002</v>
      </c>
      <c r="K886" s="4"/>
      <c r="L886" s="9">
        <v>28.568200000000001</v>
      </c>
      <c r="M886" s="9">
        <v>11.6745</v>
      </c>
      <c r="N886" s="9">
        <v>4.7850000000000001</v>
      </c>
      <c r="O886" s="9">
        <v>0.36249999999999999</v>
      </c>
      <c r="P886" s="9">
        <v>1.1798</v>
      </c>
      <c r="Q886" s="9">
        <v>19.053000000000001</v>
      </c>
      <c r="R886" s="9"/>
      <c r="S886" s="11"/>
    </row>
    <row r="887" spans="1:19" ht="15.75">
      <c r="A887" s="13">
        <v>68880</v>
      </c>
      <c r="B887" s="8">
        <f>CHOOSE( CONTROL!$C$32, 36.161, 36.156) * CHOOSE(CONTROL!$C$15, $D$11, 100%, $F$11)</f>
        <v>36.161000000000001</v>
      </c>
      <c r="C887" s="8">
        <f>CHOOSE( CONTROL!$C$32, 36.1714, 36.1665) * CHOOSE(CONTROL!$C$15, $D$11, 100%, $F$11)</f>
        <v>36.171399999999998</v>
      </c>
      <c r="D887" s="8">
        <f>CHOOSE( CONTROL!$C$32, 36.1704, 36.1655) * CHOOSE( CONTROL!$C$15, $D$11, 100%, $F$11)</f>
        <v>36.170400000000001</v>
      </c>
      <c r="E887" s="12">
        <f>CHOOSE( CONTROL!$C$32, 36.1692, 36.1643) * CHOOSE( CONTROL!$C$15, $D$11, 100%, $F$11)</f>
        <v>36.169199999999996</v>
      </c>
      <c r="F887" s="4">
        <f>CHOOSE( CONTROL!$C$32, 37.1656, 37.1607) * CHOOSE(CONTROL!$C$15, $D$11, 100%, $F$11)</f>
        <v>37.165599999999998</v>
      </c>
      <c r="G887" s="8">
        <f>CHOOSE( CONTROL!$C$32, 35.24, 35.2352) * CHOOSE( CONTROL!$C$15, $D$11, 100%, $F$11)</f>
        <v>35.24</v>
      </c>
      <c r="H887" s="4">
        <f>CHOOSE( CONTROL!$C$32, 36.1517, 36.1469) * CHOOSE(CONTROL!$C$15, $D$11, 100%, $F$11)</f>
        <v>36.151699999999998</v>
      </c>
      <c r="I887" s="8">
        <f>CHOOSE( CONTROL!$C$32, 34.7142, 34.7095) * CHOOSE(CONTROL!$C$15, $D$11, 100%, $F$11)</f>
        <v>34.714199999999998</v>
      </c>
      <c r="J887" s="4">
        <f>CHOOSE( CONTROL!$C$32, 34.6447, 34.64) * CHOOSE(CONTROL!$C$15, $D$11, 100%, $F$11)</f>
        <v>34.6447</v>
      </c>
      <c r="K887" s="4"/>
      <c r="L887" s="9">
        <v>29.520499999999998</v>
      </c>
      <c r="M887" s="9">
        <v>12.063700000000001</v>
      </c>
      <c r="N887" s="9">
        <v>4.9444999999999997</v>
      </c>
      <c r="O887" s="9">
        <v>0.37459999999999999</v>
      </c>
      <c r="P887" s="9">
        <v>1.2192000000000001</v>
      </c>
      <c r="Q887" s="9">
        <v>19.688099999999999</v>
      </c>
      <c r="R887" s="9"/>
      <c r="S887" s="11"/>
    </row>
    <row r="888" spans="1:19" ht="15.75">
      <c r="A888" s="13">
        <v>68911</v>
      </c>
      <c r="B888" s="8">
        <f>CHOOSE( CONTROL!$C$32, 33.3704, 33.3654) * CHOOSE(CONTROL!$C$15, $D$11, 100%, $F$11)</f>
        <v>33.370399999999997</v>
      </c>
      <c r="C888" s="8">
        <f>CHOOSE( CONTROL!$C$32, 33.3808, 33.3759) * CHOOSE(CONTROL!$C$15, $D$11, 100%, $F$11)</f>
        <v>33.380800000000001</v>
      </c>
      <c r="D888" s="8">
        <f>CHOOSE( CONTROL!$C$32, 33.381, 33.376) * CHOOSE( CONTROL!$C$15, $D$11, 100%, $F$11)</f>
        <v>33.381</v>
      </c>
      <c r="E888" s="12">
        <f>CHOOSE( CONTROL!$C$32, 33.3793, 33.3744) * CHOOSE( CONTROL!$C$15, $D$11, 100%, $F$11)</f>
        <v>33.379300000000001</v>
      </c>
      <c r="F888" s="4">
        <f>CHOOSE( CONTROL!$C$32, 34.3829, 34.3779) * CHOOSE(CONTROL!$C$15, $D$11, 100%, $F$11)</f>
        <v>34.382899999999999</v>
      </c>
      <c r="G888" s="8">
        <f>CHOOSE( CONTROL!$C$32, 32.515, 32.5102) * CHOOSE( CONTROL!$C$15, $D$11, 100%, $F$11)</f>
        <v>32.515000000000001</v>
      </c>
      <c r="H888" s="4">
        <f>CHOOSE( CONTROL!$C$32, 33.4392, 33.4344) * CHOOSE(CONTROL!$C$15, $D$11, 100%, $F$11)</f>
        <v>33.4392</v>
      </c>
      <c r="I888" s="8">
        <f>CHOOSE( CONTROL!$C$32, 32.0299, 32.0251) * CHOOSE(CONTROL!$C$15, $D$11, 100%, $F$11)</f>
        <v>32.029899999999998</v>
      </c>
      <c r="J888" s="4">
        <f>CHOOSE( CONTROL!$C$32, 31.9707, 31.966) * CHOOSE(CONTROL!$C$15, $D$11, 100%, $F$11)</f>
        <v>31.970700000000001</v>
      </c>
      <c r="K888" s="4"/>
      <c r="L888" s="9">
        <v>29.520499999999998</v>
      </c>
      <c r="M888" s="9">
        <v>12.063700000000001</v>
      </c>
      <c r="N888" s="9">
        <v>4.9444999999999997</v>
      </c>
      <c r="O888" s="9">
        <v>0.37459999999999999</v>
      </c>
      <c r="P888" s="9">
        <v>1.2192000000000001</v>
      </c>
      <c r="Q888" s="9">
        <v>19.688099999999999</v>
      </c>
      <c r="R888" s="9"/>
      <c r="S888" s="11"/>
    </row>
    <row r="889" spans="1:19" ht="15.75">
      <c r="A889" s="13">
        <v>68941</v>
      </c>
      <c r="B889" s="8">
        <f>CHOOSE( CONTROL!$C$32, 32.6716, 32.6667) * CHOOSE(CONTROL!$C$15, $D$11, 100%, $F$11)</f>
        <v>32.671599999999998</v>
      </c>
      <c r="C889" s="8">
        <f>CHOOSE( CONTROL!$C$32, 32.682, 32.6771) * CHOOSE(CONTROL!$C$15, $D$11, 100%, $F$11)</f>
        <v>32.682000000000002</v>
      </c>
      <c r="D889" s="8">
        <f>CHOOSE( CONTROL!$C$32, 32.6825, 32.6775) * CHOOSE( CONTROL!$C$15, $D$11, 100%, $F$11)</f>
        <v>32.682499999999997</v>
      </c>
      <c r="E889" s="12">
        <f>CHOOSE( CONTROL!$C$32, 32.6807, 32.6758) * CHOOSE( CONTROL!$C$15, $D$11, 100%, $F$11)</f>
        <v>32.680700000000002</v>
      </c>
      <c r="F889" s="4">
        <f>CHOOSE( CONTROL!$C$32, 33.6841, 33.6791) * CHOOSE(CONTROL!$C$15, $D$11, 100%, $F$11)</f>
        <v>33.684100000000001</v>
      </c>
      <c r="G889" s="8">
        <f>CHOOSE( CONTROL!$C$32, 31.8343, 31.8294) * CHOOSE( CONTROL!$C$15, $D$11, 100%, $F$11)</f>
        <v>31.834299999999999</v>
      </c>
      <c r="H889" s="4">
        <f>CHOOSE( CONTROL!$C$32, 32.758, 32.7532) * CHOOSE(CONTROL!$C$15, $D$11, 100%, $F$11)</f>
        <v>32.758000000000003</v>
      </c>
      <c r="I889" s="8">
        <f>CHOOSE( CONTROL!$C$32, 31.3614, 31.3566) * CHOOSE(CONTROL!$C$15, $D$11, 100%, $F$11)</f>
        <v>31.3614</v>
      </c>
      <c r="J889" s="4">
        <f>CHOOSE( CONTROL!$C$32, 31.3012, 31.2964) * CHOOSE(CONTROL!$C$15, $D$11, 100%, $F$11)</f>
        <v>31.301200000000001</v>
      </c>
      <c r="K889" s="4"/>
      <c r="L889" s="9">
        <v>28.568200000000001</v>
      </c>
      <c r="M889" s="9">
        <v>11.6745</v>
      </c>
      <c r="N889" s="9">
        <v>4.7850000000000001</v>
      </c>
      <c r="O889" s="9">
        <v>0.36249999999999999</v>
      </c>
      <c r="P889" s="9">
        <v>1.1798</v>
      </c>
      <c r="Q889" s="9">
        <v>19.053000000000001</v>
      </c>
      <c r="R889" s="9"/>
      <c r="S889" s="11"/>
    </row>
    <row r="890" spans="1:19" ht="15.75">
      <c r="A890" s="13">
        <v>68972</v>
      </c>
      <c r="B890" s="8">
        <f>34.1176 * CHOOSE(CONTROL!$C$15, $D$11, 100%, $F$11)</f>
        <v>34.117600000000003</v>
      </c>
      <c r="C890" s="8">
        <f>34.128 * CHOOSE(CONTROL!$C$15, $D$11, 100%, $F$11)</f>
        <v>34.128</v>
      </c>
      <c r="D890" s="8">
        <f>34.1297 * CHOOSE( CONTROL!$C$15, $D$11, 100%, $F$11)</f>
        <v>34.1297</v>
      </c>
      <c r="E890" s="12">
        <f>34.128 * CHOOSE( CONTROL!$C$15, $D$11, 100%, $F$11)</f>
        <v>34.128</v>
      </c>
      <c r="F890" s="4">
        <f>35.1301 * CHOOSE(CONTROL!$C$15, $D$11, 100%, $F$11)</f>
        <v>35.130099999999999</v>
      </c>
      <c r="G890" s="8">
        <f>33.2434 * CHOOSE( CONTROL!$C$15, $D$11, 100%, $F$11)</f>
        <v>33.243400000000001</v>
      </c>
      <c r="H890" s="4">
        <f>34.1675 * CHOOSE(CONTROL!$C$15, $D$11, 100%, $F$11)</f>
        <v>34.167499999999997</v>
      </c>
      <c r="I890" s="8">
        <f>32.7499 * CHOOSE(CONTROL!$C$15, $D$11, 100%, $F$11)</f>
        <v>32.749899999999997</v>
      </c>
      <c r="J890" s="4">
        <f>32.6867 * CHOOSE(CONTROL!$C$15, $D$11, 100%, $F$11)</f>
        <v>32.686700000000002</v>
      </c>
      <c r="K890" s="4"/>
      <c r="L890" s="9">
        <v>28.921800000000001</v>
      </c>
      <c r="M890" s="9">
        <v>12.063700000000001</v>
      </c>
      <c r="N890" s="9">
        <v>4.9444999999999997</v>
      </c>
      <c r="O890" s="9">
        <v>0.37459999999999999</v>
      </c>
      <c r="P890" s="9">
        <v>1.2192000000000001</v>
      </c>
      <c r="Q890" s="9">
        <v>19.688099999999999</v>
      </c>
      <c r="R890" s="9"/>
      <c r="S890" s="11"/>
    </row>
    <row r="891" spans="1:19" ht="15.75">
      <c r="A891" s="13">
        <v>69002</v>
      </c>
      <c r="B891" s="8">
        <f>36.7958 * CHOOSE(CONTROL!$C$15, $D$11, 100%, $F$11)</f>
        <v>36.7958</v>
      </c>
      <c r="C891" s="8">
        <f>36.8062 * CHOOSE(CONTROL!$C$15, $D$11, 100%, $F$11)</f>
        <v>36.806199999999997</v>
      </c>
      <c r="D891" s="8">
        <f>36.7872 * CHOOSE( CONTROL!$C$15, $D$11, 100%, $F$11)</f>
        <v>36.787199999999999</v>
      </c>
      <c r="E891" s="12">
        <f>36.793 * CHOOSE( CONTROL!$C$15, $D$11, 100%, $F$11)</f>
        <v>36.792999999999999</v>
      </c>
      <c r="F891" s="4">
        <f>37.7926 * CHOOSE(CONTROL!$C$15, $D$11, 100%, $F$11)</f>
        <v>37.7926</v>
      </c>
      <c r="G891" s="8">
        <f>35.877 * CHOOSE( CONTROL!$C$15, $D$11, 100%, $F$11)</f>
        <v>35.877000000000002</v>
      </c>
      <c r="H891" s="4">
        <f>36.7629 * CHOOSE(CONTROL!$C$15, $D$11, 100%, $F$11)</f>
        <v>36.762900000000002</v>
      </c>
      <c r="I891" s="8">
        <f>35.3639 * CHOOSE(CONTROL!$C$15, $D$11, 100%, $F$11)</f>
        <v>35.363900000000001</v>
      </c>
      <c r="J891" s="4">
        <f>35.2529 * CHOOSE(CONTROL!$C$15, $D$11, 100%, $F$11)</f>
        <v>35.252899999999997</v>
      </c>
      <c r="K891" s="4"/>
      <c r="L891" s="9">
        <v>26.515499999999999</v>
      </c>
      <c r="M891" s="9">
        <v>11.6745</v>
      </c>
      <c r="N891" s="9">
        <v>4.7850000000000001</v>
      </c>
      <c r="O891" s="9">
        <v>0.36249999999999999</v>
      </c>
      <c r="P891" s="9">
        <v>1.2522</v>
      </c>
      <c r="Q891" s="9">
        <v>19.053000000000001</v>
      </c>
      <c r="R891" s="9"/>
      <c r="S891" s="11"/>
    </row>
    <row r="892" spans="1:19" ht="15.75">
      <c r="A892" s="13">
        <v>69033</v>
      </c>
      <c r="B892" s="8">
        <f>36.7288 * CHOOSE(CONTROL!$C$15, $D$11, 100%, $F$11)</f>
        <v>36.7288</v>
      </c>
      <c r="C892" s="8">
        <f>36.7393 * CHOOSE(CONTROL!$C$15, $D$11, 100%, $F$11)</f>
        <v>36.7393</v>
      </c>
      <c r="D892" s="8">
        <f>36.7229 * CHOOSE( CONTROL!$C$15, $D$11, 100%, $F$11)</f>
        <v>36.722900000000003</v>
      </c>
      <c r="E892" s="12">
        <f>36.7278 * CHOOSE( CONTROL!$C$15, $D$11, 100%, $F$11)</f>
        <v>36.727800000000002</v>
      </c>
      <c r="F892" s="4">
        <f>37.7257 * CHOOSE(CONTROL!$C$15, $D$11, 100%, $F$11)</f>
        <v>37.725700000000003</v>
      </c>
      <c r="G892" s="8">
        <f>35.8137 * CHOOSE( CONTROL!$C$15, $D$11, 100%, $F$11)</f>
        <v>35.813699999999997</v>
      </c>
      <c r="H892" s="4">
        <f>36.6976 * CHOOSE(CONTROL!$C$15, $D$11, 100%, $F$11)</f>
        <v>36.697600000000001</v>
      </c>
      <c r="I892" s="8">
        <f>35.3085 * CHOOSE(CONTROL!$C$15, $D$11, 100%, $F$11)</f>
        <v>35.308500000000002</v>
      </c>
      <c r="J892" s="4">
        <f>35.1888 * CHOOSE(CONTROL!$C$15, $D$11, 100%, $F$11)</f>
        <v>35.188800000000001</v>
      </c>
      <c r="K892" s="4"/>
      <c r="L892" s="9">
        <v>27.3993</v>
      </c>
      <c r="M892" s="9">
        <v>12.063700000000001</v>
      </c>
      <c r="N892" s="9">
        <v>4.9444999999999997</v>
      </c>
      <c r="O892" s="9">
        <v>0.37459999999999999</v>
      </c>
      <c r="P892" s="9">
        <v>1.2939000000000001</v>
      </c>
      <c r="Q892" s="9">
        <v>19.688099999999999</v>
      </c>
      <c r="R892" s="9"/>
      <c r="S892" s="11"/>
    </row>
    <row r="893" spans="1:19" ht="15.75">
      <c r="A893" s="13">
        <v>69064</v>
      </c>
      <c r="B893" s="8">
        <f>38.1324 * CHOOSE(CONTROL!$C$15, $D$11, 100%, $F$11)</f>
        <v>38.132399999999997</v>
      </c>
      <c r="C893" s="8">
        <f>38.1428 * CHOOSE(CONTROL!$C$15, $D$11, 100%, $F$11)</f>
        <v>38.142800000000001</v>
      </c>
      <c r="D893" s="8">
        <f>38.1414 * CHOOSE( CONTROL!$C$15, $D$11, 100%, $F$11)</f>
        <v>38.141399999999997</v>
      </c>
      <c r="E893" s="12">
        <f>38.1408 * CHOOSE( CONTROL!$C$15, $D$11, 100%, $F$11)</f>
        <v>38.140799999999999</v>
      </c>
      <c r="F893" s="4">
        <f>39.1553 * CHOOSE(CONTROL!$C$15, $D$11, 100%, $F$11)</f>
        <v>39.155299999999997</v>
      </c>
      <c r="G893" s="8">
        <f>37.1987 * CHOOSE( CONTROL!$C$15, $D$11, 100%, $F$11)</f>
        <v>37.198700000000002</v>
      </c>
      <c r="H893" s="4">
        <f>38.0912 * CHOOSE(CONTROL!$C$15, $D$11, 100%, $F$11)</f>
        <v>38.091200000000001</v>
      </c>
      <c r="I893" s="8">
        <f>36.6606 * CHOOSE(CONTROL!$C$15, $D$11, 100%, $F$11)</f>
        <v>36.660600000000002</v>
      </c>
      <c r="J893" s="4">
        <f>36.5337 * CHOOSE(CONTROL!$C$15, $D$11, 100%, $F$11)</f>
        <v>36.533700000000003</v>
      </c>
      <c r="K893" s="4"/>
      <c r="L893" s="9">
        <v>27.3993</v>
      </c>
      <c r="M893" s="9">
        <v>12.063700000000001</v>
      </c>
      <c r="N893" s="9">
        <v>4.9444999999999997</v>
      </c>
      <c r="O893" s="9">
        <v>0.37459999999999999</v>
      </c>
      <c r="P893" s="9">
        <v>1.2939000000000001</v>
      </c>
      <c r="Q893" s="9">
        <v>19.688099999999999</v>
      </c>
      <c r="R893" s="9"/>
      <c r="S893" s="11"/>
    </row>
    <row r="894" spans="1:19" ht="15.75">
      <c r="A894" s="13">
        <v>69092</v>
      </c>
      <c r="B894" s="8">
        <f>35.6675 * CHOOSE(CONTROL!$C$15, $D$11, 100%, $F$11)</f>
        <v>35.667499999999997</v>
      </c>
      <c r="C894" s="8">
        <f>35.678 * CHOOSE(CONTROL!$C$15, $D$11, 100%, $F$11)</f>
        <v>35.677999999999997</v>
      </c>
      <c r="D894" s="8">
        <f>35.6788 * CHOOSE( CONTROL!$C$15, $D$11, 100%, $F$11)</f>
        <v>35.678800000000003</v>
      </c>
      <c r="E894" s="12">
        <f>35.6774 * CHOOSE( CONTROL!$C$15, $D$11, 100%, $F$11)</f>
        <v>35.677399999999999</v>
      </c>
      <c r="F894" s="4">
        <f>36.6826 * CHOOSE(CONTROL!$C$15, $D$11, 100%, $F$11)</f>
        <v>36.682600000000001</v>
      </c>
      <c r="G894" s="8">
        <f>34.7958 * CHOOSE( CONTROL!$C$15, $D$11, 100%, $F$11)</f>
        <v>34.7958</v>
      </c>
      <c r="H894" s="4">
        <f>35.6809 * CHOOSE(CONTROL!$C$15, $D$11, 100%, $F$11)</f>
        <v>35.680900000000001</v>
      </c>
      <c r="I894" s="8">
        <f>34.2866 * CHOOSE(CONTROL!$C$15, $D$11, 100%, $F$11)</f>
        <v>34.2866</v>
      </c>
      <c r="J894" s="4">
        <f>34.1719 * CHOOSE(CONTROL!$C$15, $D$11, 100%, $F$11)</f>
        <v>34.171900000000001</v>
      </c>
      <c r="K894" s="4"/>
      <c r="L894" s="9">
        <v>24.747800000000002</v>
      </c>
      <c r="M894" s="9">
        <v>10.8962</v>
      </c>
      <c r="N894" s="9">
        <v>4.4660000000000002</v>
      </c>
      <c r="O894" s="9">
        <v>0.33829999999999999</v>
      </c>
      <c r="P894" s="9">
        <v>1.1687000000000001</v>
      </c>
      <c r="Q894" s="9">
        <v>17.782800000000002</v>
      </c>
      <c r="R894" s="9"/>
      <c r="S894" s="11"/>
    </row>
    <row r="895" spans="1:19" ht="15.75">
      <c r="A895" s="13">
        <v>69123</v>
      </c>
      <c r="B895" s="8">
        <f>34.9084 * CHOOSE(CONTROL!$C$15, $D$11, 100%, $F$11)</f>
        <v>34.9084</v>
      </c>
      <c r="C895" s="8">
        <f>34.9188 * CHOOSE(CONTROL!$C$15, $D$11, 100%, $F$11)</f>
        <v>34.918799999999997</v>
      </c>
      <c r="D895" s="8">
        <f>34.8993 * CHOOSE( CONTROL!$C$15, $D$11, 100%, $F$11)</f>
        <v>34.899299999999997</v>
      </c>
      <c r="E895" s="12">
        <f>34.9053 * CHOOSE( CONTROL!$C$15, $D$11, 100%, $F$11)</f>
        <v>34.905299999999997</v>
      </c>
      <c r="F895" s="4">
        <f>35.9073 * CHOOSE(CONTROL!$C$15, $D$11, 100%, $F$11)</f>
        <v>35.907299999999999</v>
      </c>
      <c r="G895" s="8">
        <f>34.0351 * CHOOSE( CONTROL!$C$15, $D$11, 100%, $F$11)</f>
        <v>34.0351</v>
      </c>
      <c r="H895" s="4">
        <f>34.9251 * CHOOSE(CONTROL!$C$15, $D$11, 100%, $F$11)</f>
        <v>34.9251</v>
      </c>
      <c r="I895" s="8">
        <f>33.5193 * CHOOSE(CONTROL!$C$15, $D$11, 100%, $F$11)</f>
        <v>33.519300000000001</v>
      </c>
      <c r="J895" s="4">
        <f>33.4444 * CHOOSE(CONTROL!$C$15, $D$11, 100%, $F$11)</f>
        <v>33.444400000000002</v>
      </c>
      <c r="K895" s="4"/>
      <c r="L895" s="9">
        <v>27.3993</v>
      </c>
      <c r="M895" s="9">
        <v>12.063700000000001</v>
      </c>
      <c r="N895" s="9">
        <v>4.9444999999999997</v>
      </c>
      <c r="O895" s="9">
        <v>0.37459999999999999</v>
      </c>
      <c r="P895" s="9">
        <v>1.2939000000000001</v>
      </c>
      <c r="Q895" s="9">
        <v>19.688099999999999</v>
      </c>
      <c r="R895" s="9"/>
      <c r="S895" s="11"/>
    </row>
    <row r="896" spans="1:19" ht="15.75">
      <c r="A896" s="13">
        <v>69153</v>
      </c>
      <c r="B896" s="8">
        <f>35.4388 * CHOOSE(CONTROL!$C$15, $D$11, 100%, $F$11)</f>
        <v>35.438800000000001</v>
      </c>
      <c r="C896" s="8">
        <f>35.4493 * CHOOSE(CONTROL!$C$15, $D$11, 100%, $F$11)</f>
        <v>35.449300000000001</v>
      </c>
      <c r="D896" s="8">
        <f>35.4531 * CHOOSE( CONTROL!$C$15, $D$11, 100%, $F$11)</f>
        <v>35.453099999999999</v>
      </c>
      <c r="E896" s="12">
        <f>35.4506 * CHOOSE( CONTROL!$C$15, $D$11, 100%, $F$11)</f>
        <v>35.450600000000001</v>
      </c>
      <c r="F896" s="4">
        <f>36.4461 * CHOOSE(CONTROL!$C$15, $D$11, 100%, $F$11)</f>
        <v>36.446100000000001</v>
      </c>
      <c r="G896" s="8">
        <f>34.5402 * CHOOSE( CONTROL!$C$15, $D$11, 100%, $F$11)</f>
        <v>34.540199999999999</v>
      </c>
      <c r="H896" s="4">
        <f>35.4504 * CHOOSE(CONTROL!$C$15, $D$11, 100%, $F$11)</f>
        <v>35.450400000000002</v>
      </c>
      <c r="I896" s="8">
        <f>34.018 * CHOOSE(CONTROL!$C$15, $D$11, 100%, $F$11)</f>
        <v>34.018000000000001</v>
      </c>
      <c r="J896" s="4">
        <f>33.9527 * CHOOSE(CONTROL!$C$15, $D$11, 100%, $F$11)</f>
        <v>33.9527</v>
      </c>
      <c r="K896" s="4"/>
      <c r="L896" s="9">
        <v>27.988800000000001</v>
      </c>
      <c r="M896" s="9">
        <v>11.6745</v>
      </c>
      <c r="N896" s="9">
        <v>4.7850000000000001</v>
      </c>
      <c r="O896" s="9">
        <v>0.36249999999999999</v>
      </c>
      <c r="P896" s="9">
        <v>1.1798</v>
      </c>
      <c r="Q896" s="9">
        <v>19.053000000000001</v>
      </c>
      <c r="R896" s="9"/>
      <c r="S896" s="11"/>
    </row>
    <row r="897" spans="1:19" ht="15.75">
      <c r="A897" s="13">
        <v>69184</v>
      </c>
      <c r="B897" s="8">
        <f>CHOOSE( CONTROL!$C$32, 36.3879, 36.383) * CHOOSE(CONTROL!$C$15, $D$11, 100%, $F$11)</f>
        <v>36.387900000000002</v>
      </c>
      <c r="C897" s="8">
        <f>CHOOSE( CONTROL!$C$32, 36.3984, 36.3934) * CHOOSE(CONTROL!$C$15, $D$11, 100%, $F$11)</f>
        <v>36.398400000000002</v>
      </c>
      <c r="D897" s="8">
        <f>CHOOSE( CONTROL!$C$32, 36.377, 36.3721) * CHOOSE( CONTROL!$C$15, $D$11, 100%, $F$11)</f>
        <v>36.377000000000002</v>
      </c>
      <c r="E897" s="12">
        <f>CHOOSE( CONTROL!$C$32, 36.3832, 36.3782) * CHOOSE( CONTROL!$C$15, $D$11, 100%, $F$11)</f>
        <v>36.383200000000002</v>
      </c>
      <c r="F897" s="4">
        <f>CHOOSE( CONTROL!$C$32, 37.3628, 37.3579) * CHOOSE(CONTROL!$C$15, $D$11, 100%, $F$11)</f>
        <v>37.3628</v>
      </c>
      <c r="G897" s="8">
        <f>CHOOSE( CONTROL!$C$32, 35.4467, 35.4419) * CHOOSE( CONTROL!$C$15, $D$11, 100%, $F$11)</f>
        <v>35.4467</v>
      </c>
      <c r="H897" s="4">
        <f>CHOOSE( CONTROL!$C$32, 36.344, 36.3392) * CHOOSE(CONTROL!$C$15, $D$11, 100%, $F$11)</f>
        <v>36.344000000000001</v>
      </c>
      <c r="I897" s="8">
        <f>CHOOSE( CONTROL!$C$32, 34.9063, 34.9016) * CHOOSE(CONTROL!$C$15, $D$11, 100%, $F$11)</f>
        <v>34.906300000000002</v>
      </c>
      <c r="J897" s="4">
        <f>CHOOSE( CONTROL!$C$32, 34.8622, 34.8574) * CHOOSE(CONTROL!$C$15, $D$11, 100%, $F$11)</f>
        <v>34.862200000000001</v>
      </c>
      <c r="K897" s="4"/>
      <c r="L897" s="9">
        <v>29.520499999999998</v>
      </c>
      <c r="M897" s="9">
        <v>12.063700000000001</v>
      </c>
      <c r="N897" s="9">
        <v>4.9444999999999997</v>
      </c>
      <c r="O897" s="9">
        <v>0.37459999999999999</v>
      </c>
      <c r="P897" s="9">
        <v>1.2192000000000001</v>
      </c>
      <c r="Q897" s="9">
        <v>19.688099999999999</v>
      </c>
      <c r="R897" s="9"/>
      <c r="S897" s="11"/>
    </row>
    <row r="898" spans="1:19" ht="15.75">
      <c r="A898" s="13">
        <v>69214</v>
      </c>
      <c r="B898" s="8">
        <f>CHOOSE( CONTROL!$C$32, 35.8031, 35.7981) * CHOOSE(CONTROL!$C$15, $D$11, 100%, $F$11)</f>
        <v>35.803100000000001</v>
      </c>
      <c r="C898" s="8">
        <f>CHOOSE( CONTROL!$C$32, 35.8135, 35.8086) * CHOOSE(CONTROL!$C$15, $D$11, 100%, $F$11)</f>
        <v>35.813499999999998</v>
      </c>
      <c r="D898" s="8">
        <f>CHOOSE( CONTROL!$C$32, 35.8056, 35.8007) * CHOOSE( CONTROL!$C$15, $D$11, 100%, $F$11)</f>
        <v>35.805599999999998</v>
      </c>
      <c r="E898" s="12">
        <f>CHOOSE( CONTROL!$C$32, 35.8069, 35.802) * CHOOSE( CONTROL!$C$15, $D$11, 100%, $F$11)</f>
        <v>35.806899999999999</v>
      </c>
      <c r="F898" s="4">
        <f>CHOOSE( CONTROL!$C$32, 36.7973, 36.7923) * CHOOSE(CONTROL!$C$15, $D$11, 100%, $F$11)</f>
        <v>36.7973</v>
      </c>
      <c r="G898" s="8">
        <f>CHOOSE( CONTROL!$C$32, 34.887, 34.8822) * CHOOSE( CONTROL!$C$15, $D$11, 100%, $F$11)</f>
        <v>34.887</v>
      </c>
      <c r="H898" s="4">
        <f>CHOOSE( CONTROL!$C$32, 35.7927, 35.7879) * CHOOSE(CONTROL!$C$15, $D$11, 100%, $F$11)</f>
        <v>35.792700000000004</v>
      </c>
      <c r="I898" s="8">
        <f>CHOOSE( CONTROL!$C$32, 34.3634, 34.3587) * CHOOSE(CONTROL!$C$15, $D$11, 100%, $F$11)</f>
        <v>34.363399999999999</v>
      </c>
      <c r="J898" s="4">
        <f>CHOOSE( CONTROL!$C$32, 34.3017, 34.297) * CHOOSE(CONTROL!$C$15, $D$11, 100%, $F$11)</f>
        <v>34.301699999999997</v>
      </c>
      <c r="K898" s="4"/>
      <c r="L898" s="9">
        <v>28.568200000000001</v>
      </c>
      <c r="M898" s="9">
        <v>11.6745</v>
      </c>
      <c r="N898" s="9">
        <v>4.7850000000000001</v>
      </c>
      <c r="O898" s="9">
        <v>0.36249999999999999</v>
      </c>
      <c r="P898" s="9">
        <v>1.1798</v>
      </c>
      <c r="Q898" s="9">
        <v>19.053000000000001</v>
      </c>
      <c r="R898" s="9"/>
      <c r="S898" s="11"/>
    </row>
    <row r="899" spans="1:19" ht="15.75">
      <c r="A899" s="13">
        <v>69245</v>
      </c>
      <c r="B899" s="8">
        <f>CHOOSE( CONTROL!$C$32, 37.3433, 37.3383) * CHOOSE(CONTROL!$C$15, $D$11, 100%, $F$11)</f>
        <v>37.343299999999999</v>
      </c>
      <c r="C899" s="8">
        <f>CHOOSE( CONTROL!$C$32, 37.3537, 37.3488) * CHOOSE(CONTROL!$C$15, $D$11, 100%, $F$11)</f>
        <v>37.353700000000003</v>
      </c>
      <c r="D899" s="8">
        <f>CHOOSE( CONTROL!$C$32, 37.3527, 37.3478) * CHOOSE( CONTROL!$C$15, $D$11, 100%, $F$11)</f>
        <v>37.352699999999999</v>
      </c>
      <c r="E899" s="12">
        <f>CHOOSE( CONTROL!$C$32, 37.3515, 37.3466) * CHOOSE( CONTROL!$C$15, $D$11, 100%, $F$11)</f>
        <v>37.351500000000001</v>
      </c>
      <c r="F899" s="4">
        <f>CHOOSE( CONTROL!$C$32, 38.3479, 38.343) * CHOOSE(CONTROL!$C$15, $D$11, 100%, $F$11)</f>
        <v>38.347900000000003</v>
      </c>
      <c r="G899" s="8">
        <f>CHOOSE( CONTROL!$C$32, 36.3925, 36.3877) * CHOOSE( CONTROL!$C$15, $D$11, 100%, $F$11)</f>
        <v>36.392499999999998</v>
      </c>
      <c r="H899" s="4">
        <f>CHOOSE( CONTROL!$C$32, 37.3042, 37.2994) * CHOOSE(CONTROL!$C$15, $D$11, 100%, $F$11)</f>
        <v>37.304200000000002</v>
      </c>
      <c r="I899" s="8">
        <f>CHOOSE( CONTROL!$C$32, 35.8476, 35.8429) * CHOOSE(CONTROL!$C$15, $D$11, 100%, $F$11)</f>
        <v>35.8476</v>
      </c>
      <c r="J899" s="4">
        <f>CHOOSE( CONTROL!$C$32, 35.7776, 35.7728) * CHOOSE(CONTROL!$C$15, $D$11, 100%, $F$11)</f>
        <v>35.7776</v>
      </c>
      <c r="K899" s="4"/>
      <c r="L899" s="9">
        <v>29.520499999999998</v>
      </c>
      <c r="M899" s="9">
        <v>12.063700000000001</v>
      </c>
      <c r="N899" s="9">
        <v>4.9444999999999997</v>
      </c>
      <c r="O899" s="9">
        <v>0.37459999999999999</v>
      </c>
      <c r="P899" s="9">
        <v>1.2192000000000001</v>
      </c>
      <c r="Q899" s="9">
        <v>19.688099999999999</v>
      </c>
      <c r="R899" s="9"/>
      <c r="S899" s="11"/>
    </row>
    <row r="900" spans="1:19" ht="15.75">
      <c r="A900" s="13">
        <v>69276</v>
      </c>
      <c r="B900" s="8">
        <f>CHOOSE( CONTROL!$C$32, 34.4614, 34.4565) * CHOOSE(CONTROL!$C$15, $D$11, 100%, $F$11)</f>
        <v>34.461399999999998</v>
      </c>
      <c r="C900" s="8">
        <f>CHOOSE( CONTROL!$C$32, 34.4718, 34.4669) * CHOOSE(CONTROL!$C$15, $D$11, 100%, $F$11)</f>
        <v>34.471800000000002</v>
      </c>
      <c r="D900" s="8">
        <f>CHOOSE( CONTROL!$C$32, 34.472, 34.4671) * CHOOSE( CONTROL!$C$15, $D$11, 100%, $F$11)</f>
        <v>34.472000000000001</v>
      </c>
      <c r="E900" s="12">
        <f>CHOOSE( CONTROL!$C$32, 34.4703, 34.4654) * CHOOSE( CONTROL!$C$15, $D$11, 100%, $F$11)</f>
        <v>34.470300000000002</v>
      </c>
      <c r="F900" s="4">
        <f>CHOOSE( CONTROL!$C$32, 35.4739, 35.4689) * CHOOSE(CONTROL!$C$15, $D$11, 100%, $F$11)</f>
        <v>35.4739</v>
      </c>
      <c r="G900" s="8">
        <f>CHOOSE( CONTROL!$C$32, 33.5785, 33.5737) * CHOOSE( CONTROL!$C$15, $D$11, 100%, $F$11)</f>
        <v>33.578499999999998</v>
      </c>
      <c r="H900" s="4">
        <f>CHOOSE( CONTROL!$C$32, 34.5027, 34.4978) * CHOOSE(CONTROL!$C$15, $D$11, 100%, $F$11)</f>
        <v>34.502699999999997</v>
      </c>
      <c r="I900" s="8">
        <f>CHOOSE( CONTROL!$C$32, 33.0758, 33.0711) * CHOOSE(CONTROL!$C$15, $D$11, 100%, $F$11)</f>
        <v>33.075800000000001</v>
      </c>
      <c r="J900" s="4">
        <f>CHOOSE( CONTROL!$C$32, 33.0162, 33.0114) * CHOOSE(CONTROL!$C$15, $D$11, 100%, $F$11)</f>
        <v>33.016199999999998</v>
      </c>
      <c r="K900" s="4"/>
      <c r="L900" s="9">
        <v>29.520499999999998</v>
      </c>
      <c r="M900" s="9">
        <v>12.063700000000001</v>
      </c>
      <c r="N900" s="9">
        <v>4.9444999999999997</v>
      </c>
      <c r="O900" s="9">
        <v>0.37459999999999999</v>
      </c>
      <c r="P900" s="9">
        <v>1.2192000000000001</v>
      </c>
      <c r="Q900" s="9">
        <v>19.688099999999999</v>
      </c>
      <c r="R900" s="9"/>
      <c r="S900" s="11"/>
    </row>
    <row r="901" spans="1:19" ht="15.75">
      <c r="A901" s="13">
        <v>69306</v>
      </c>
      <c r="B901" s="8">
        <f>CHOOSE( CONTROL!$C$32, 33.7397, 33.7348) * CHOOSE(CONTROL!$C$15, $D$11, 100%, $F$11)</f>
        <v>33.739699999999999</v>
      </c>
      <c r="C901" s="8">
        <f>CHOOSE( CONTROL!$C$32, 33.7502, 33.7452) * CHOOSE(CONTROL!$C$15, $D$11, 100%, $F$11)</f>
        <v>33.7502</v>
      </c>
      <c r="D901" s="8">
        <f>CHOOSE( CONTROL!$C$32, 33.7506, 33.7457) * CHOOSE( CONTROL!$C$15, $D$11, 100%, $F$11)</f>
        <v>33.750599999999999</v>
      </c>
      <c r="E901" s="12">
        <f>CHOOSE( CONTROL!$C$32, 33.7489, 33.7439) * CHOOSE( CONTROL!$C$15, $D$11, 100%, $F$11)</f>
        <v>33.748899999999999</v>
      </c>
      <c r="F901" s="4">
        <f>CHOOSE( CONTROL!$C$32, 34.7522, 34.7473) * CHOOSE(CONTROL!$C$15, $D$11, 100%, $F$11)</f>
        <v>34.752200000000002</v>
      </c>
      <c r="G901" s="8">
        <f>CHOOSE( CONTROL!$C$32, 32.8755, 32.8707) * CHOOSE( CONTROL!$C$15, $D$11, 100%, $F$11)</f>
        <v>32.875500000000002</v>
      </c>
      <c r="H901" s="4">
        <f>CHOOSE( CONTROL!$C$32, 33.7992, 33.7944) * CHOOSE(CONTROL!$C$15, $D$11, 100%, $F$11)</f>
        <v>33.799199999999999</v>
      </c>
      <c r="I901" s="8">
        <f>CHOOSE( CONTROL!$C$32, 32.3854, 32.3806) * CHOOSE(CONTROL!$C$15, $D$11, 100%, $F$11)</f>
        <v>32.385399999999997</v>
      </c>
      <c r="J901" s="4">
        <f>CHOOSE( CONTROL!$C$32, 32.3247, 32.3199) * CHOOSE(CONTROL!$C$15, $D$11, 100%, $F$11)</f>
        <v>32.3247</v>
      </c>
      <c r="K901" s="4"/>
      <c r="L901" s="9">
        <v>28.568200000000001</v>
      </c>
      <c r="M901" s="9">
        <v>11.6745</v>
      </c>
      <c r="N901" s="9">
        <v>4.7850000000000001</v>
      </c>
      <c r="O901" s="9">
        <v>0.36249999999999999</v>
      </c>
      <c r="P901" s="9">
        <v>1.1798</v>
      </c>
      <c r="Q901" s="9">
        <v>19.053000000000001</v>
      </c>
      <c r="R901" s="9"/>
      <c r="S901" s="11"/>
    </row>
    <row r="902" spans="1:19" ht="15.75">
      <c r="A902" s="13">
        <v>69337</v>
      </c>
      <c r="B902" s="8">
        <f>35.2332 * CHOOSE(CONTROL!$C$15, $D$11, 100%, $F$11)</f>
        <v>35.233199999999997</v>
      </c>
      <c r="C902" s="8">
        <f>35.2436 * CHOOSE(CONTROL!$C$15, $D$11, 100%, $F$11)</f>
        <v>35.243600000000001</v>
      </c>
      <c r="D902" s="8">
        <f>35.2453 * CHOOSE( CONTROL!$C$15, $D$11, 100%, $F$11)</f>
        <v>35.2453</v>
      </c>
      <c r="E902" s="12">
        <f>35.2436 * CHOOSE( CONTROL!$C$15, $D$11, 100%, $F$11)</f>
        <v>35.243600000000001</v>
      </c>
      <c r="F902" s="4">
        <f>36.2457 * CHOOSE(CONTROL!$C$15, $D$11, 100%, $F$11)</f>
        <v>36.245699999999999</v>
      </c>
      <c r="G902" s="8">
        <f>34.3309 * CHOOSE( CONTROL!$C$15, $D$11, 100%, $F$11)</f>
        <v>34.3309</v>
      </c>
      <c r="H902" s="4">
        <f>35.255 * CHOOSE(CONTROL!$C$15, $D$11, 100%, $F$11)</f>
        <v>35.255000000000003</v>
      </c>
      <c r="I902" s="8">
        <f>33.8194 * CHOOSE(CONTROL!$C$15, $D$11, 100%, $F$11)</f>
        <v>33.819400000000002</v>
      </c>
      <c r="J902" s="4">
        <f>33.7557 * CHOOSE(CONTROL!$C$15, $D$11, 100%, $F$11)</f>
        <v>33.755699999999997</v>
      </c>
      <c r="K902" s="4"/>
      <c r="L902" s="9">
        <v>28.921800000000001</v>
      </c>
      <c r="M902" s="9">
        <v>12.063700000000001</v>
      </c>
      <c r="N902" s="9">
        <v>4.9444999999999997</v>
      </c>
      <c r="O902" s="9">
        <v>0.37459999999999999</v>
      </c>
      <c r="P902" s="9">
        <v>1.2192000000000001</v>
      </c>
      <c r="Q902" s="9">
        <v>19.688099999999999</v>
      </c>
      <c r="R902" s="9"/>
      <c r="S902" s="11"/>
    </row>
    <row r="903" spans="1:19" ht="15.75">
      <c r="A903" s="13">
        <v>69367</v>
      </c>
      <c r="B903" s="8">
        <f>37.9989 * CHOOSE(CONTROL!$C$15, $D$11, 100%, $F$11)</f>
        <v>37.998899999999999</v>
      </c>
      <c r="C903" s="8">
        <f>38.0094 * CHOOSE(CONTROL!$C$15, $D$11, 100%, $F$11)</f>
        <v>38.009399999999999</v>
      </c>
      <c r="D903" s="8">
        <f>37.9904 * CHOOSE( CONTROL!$C$15, $D$11, 100%, $F$11)</f>
        <v>37.990400000000001</v>
      </c>
      <c r="E903" s="12">
        <f>37.9962 * CHOOSE( CONTROL!$C$15, $D$11, 100%, $F$11)</f>
        <v>37.996200000000002</v>
      </c>
      <c r="F903" s="4">
        <f>38.9958 * CHOOSE(CONTROL!$C$15, $D$11, 100%, $F$11)</f>
        <v>38.995800000000003</v>
      </c>
      <c r="G903" s="8">
        <f>37.0498 * CHOOSE( CONTROL!$C$15, $D$11, 100%, $F$11)</f>
        <v>37.049799999999998</v>
      </c>
      <c r="H903" s="4">
        <f>37.9357 * CHOOSE(CONTROL!$C$15, $D$11, 100%, $F$11)</f>
        <v>37.935699999999997</v>
      </c>
      <c r="I903" s="8">
        <f>36.5174 * CHOOSE(CONTROL!$C$15, $D$11, 100%, $F$11)</f>
        <v>36.517400000000002</v>
      </c>
      <c r="J903" s="4">
        <f>36.4058 * CHOOSE(CONTROL!$C$15, $D$11, 100%, $F$11)</f>
        <v>36.405799999999999</v>
      </c>
      <c r="K903" s="4"/>
      <c r="L903" s="9">
        <v>26.515499999999999</v>
      </c>
      <c r="M903" s="9">
        <v>11.6745</v>
      </c>
      <c r="N903" s="9">
        <v>4.7850000000000001</v>
      </c>
      <c r="O903" s="9">
        <v>0.36249999999999999</v>
      </c>
      <c r="P903" s="9">
        <v>1.2522</v>
      </c>
      <c r="Q903" s="9">
        <v>19.053000000000001</v>
      </c>
      <c r="R903" s="9"/>
      <c r="S903" s="11"/>
    </row>
    <row r="904" spans="1:19" ht="15.75">
      <c r="A904" s="13">
        <v>69398</v>
      </c>
      <c r="B904" s="8">
        <f>37.9298 * CHOOSE(CONTROL!$C$15, $D$11, 100%, $F$11)</f>
        <v>37.9298</v>
      </c>
      <c r="C904" s="8">
        <f>37.9403 * CHOOSE(CONTROL!$C$15, $D$11, 100%, $F$11)</f>
        <v>37.940300000000001</v>
      </c>
      <c r="D904" s="8">
        <f>37.9239 * CHOOSE( CONTROL!$C$15, $D$11, 100%, $F$11)</f>
        <v>37.923900000000003</v>
      </c>
      <c r="E904" s="12">
        <f>37.9288 * CHOOSE( CONTROL!$C$15, $D$11, 100%, $F$11)</f>
        <v>37.928800000000003</v>
      </c>
      <c r="F904" s="4">
        <f>38.9267 * CHOOSE(CONTROL!$C$15, $D$11, 100%, $F$11)</f>
        <v>38.926699999999997</v>
      </c>
      <c r="G904" s="8">
        <f>36.9844 * CHOOSE( CONTROL!$C$15, $D$11, 100%, $F$11)</f>
        <v>36.984400000000001</v>
      </c>
      <c r="H904" s="4">
        <f>37.8683 * CHOOSE(CONTROL!$C$15, $D$11, 100%, $F$11)</f>
        <v>37.868299999999998</v>
      </c>
      <c r="I904" s="8">
        <f>36.4599 * CHOOSE(CONTROL!$C$15, $D$11, 100%, $F$11)</f>
        <v>36.459899999999998</v>
      </c>
      <c r="J904" s="4">
        <f>36.3396 * CHOOSE(CONTROL!$C$15, $D$11, 100%, $F$11)</f>
        <v>36.339599999999997</v>
      </c>
      <c r="K904" s="4"/>
      <c r="L904" s="9">
        <v>27.3993</v>
      </c>
      <c r="M904" s="9">
        <v>12.063700000000001</v>
      </c>
      <c r="N904" s="9">
        <v>4.9444999999999997</v>
      </c>
      <c r="O904" s="9">
        <v>0.37459999999999999</v>
      </c>
      <c r="P904" s="9">
        <v>1.2939000000000001</v>
      </c>
      <c r="Q904" s="9">
        <v>19.688099999999999</v>
      </c>
      <c r="R904" s="9"/>
      <c r="S904" s="11"/>
    </row>
    <row r="905" spans="1:19" ht="15.75">
      <c r="A905" s="13">
        <v>69429</v>
      </c>
      <c r="B905" s="8">
        <f>39.3793 * CHOOSE(CONTROL!$C$15, $D$11, 100%, $F$11)</f>
        <v>39.379300000000001</v>
      </c>
      <c r="C905" s="8">
        <f>39.3897 * CHOOSE(CONTROL!$C$15, $D$11, 100%, $F$11)</f>
        <v>39.389699999999998</v>
      </c>
      <c r="D905" s="8">
        <f>39.3883 * CHOOSE( CONTROL!$C$15, $D$11, 100%, $F$11)</f>
        <v>39.388300000000001</v>
      </c>
      <c r="E905" s="12">
        <f>39.3877 * CHOOSE( CONTROL!$C$15, $D$11, 100%, $F$11)</f>
        <v>39.387700000000002</v>
      </c>
      <c r="F905" s="4">
        <f>40.4022 * CHOOSE(CONTROL!$C$15, $D$11, 100%, $F$11)</f>
        <v>40.402200000000001</v>
      </c>
      <c r="G905" s="8">
        <f>38.4142 * CHOOSE( CONTROL!$C$15, $D$11, 100%, $F$11)</f>
        <v>38.414200000000001</v>
      </c>
      <c r="H905" s="4">
        <f>39.3067 * CHOOSE(CONTROL!$C$15, $D$11, 100%, $F$11)</f>
        <v>39.306699999999999</v>
      </c>
      <c r="I905" s="8">
        <f>37.856 * CHOOSE(CONTROL!$C$15, $D$11, 100%, $F$11)</f>
        <v>37.856000000000002</v>
      </c>
      <c r="J905" s="4">
        <f>37.7285 * CHOOSE(CONTROL!$C$15, $D$11, 100%, $F$11)</f>
        <v>37.728499999999997</v>
      </c>
      <c r="K905" s="4"/>
      <c r="L905" s="9">
        <v>27.3993</v>
      </c>
      <c r="M905" s="9">
        <v>12.063700000000001</v>
      </c>
      <c r="N905" s="9">
        <v>4.9444999999999997</v>
      </c>
      <c r="O905" s="9">
        <v>0.37459999999999999</v>
      </c>
      <c r="P905" s="9">
        <v>1.2939000000000001</v>
      </c>
      <c r="Q905" s="9">
        <v>19.688099999999999</v>
      </c>
      <c r="R905" s="9"/>
      <c r="S905" s="11"/>
    </row>
    <row r="906" spans="1:19" ht="15.75">
      <c r="A906" s="13">
        <v>69457</v>
      </c>
      <c r="B906" s="8">
        <f>36.8338 * CHOOSE(CONTROL!$C$15, $D$11, 100%, $F$11)</f>
        <v>36.833799999999997</v>
      </c>
      <c r="C906" s="8">
        <f>36.8443 * CHOOSE(CONTROL!$C$15, $D$11, 100%, $F$11)</f>
        <v>36.844299999999997</v>
      </c>
      <c r="D906" s="8">
        <f>36.8451 * CHOOSE( CONTROL!$C$15, $D$11, 100%, $F$11)</f>
        <v>36.845100000000002</v>
      </c>
      <c r="E906" s="12">
        <f>36.8437 * CHOOSE( CONTROL!$C$15, $D$11, 100%, $F$11)</f>
        <v>36.843699999999998</v>
      </c>
      <c r="F906" s="4">
        <f>37.8489 * CHOOSE(CONTROL!$C$15, $D$11, 100%, $F$11)</f>
        <v>37.8489</v>
      </c>
      <c r="G906" s="8">
        <f>35.9327 * CHOOSE( CONTROL!$C$15, $D$11, 100%, $F$11)</f>
        <v>35.932699999999997</v>
      </c>
      <c r="H906" s="4">
        <f>36.8178 * CHOOSE(CONTROL!$C$15, $D$11, 100%, $F$11)</f>
        <v>36.817799999999998</v>
      </c>
      <c r="I906" s="8">
        <f>35.4047 * CHOOSE(CONTROL!$C$15, $D$11, 100%, $F$11)</f>
        <v>35.404699999999998</v>
      </c>
      <c r="J906" s="4">
        <f>35.2894 * CHOOSE(CONTROL!$C$15, $D$11, 100%, $F$11)</f>
        <v>35.289400000000001</v>
      </c>
      <c r="K906" s="4"/>
      <c r="L906" s="9">
        <v>24.747800000000002</v>
      </c>
      <c r="M906" s="9">
        <v>10.8962</v>
      </c>
      <c r="N906" s="9">
        <v>4.4660000000000002</v>
      </c>
      <c r="O906" s="9">
        <v>0.33829999999999999</v>
      </c>
      <c r="P906" s="9">
        <v>1.1687000000000001</v>
      </c>
      <c r="Q906" s="9">
        <v>17.782800000000002</v>
      </c>
      <c r="R906" s="9"/>
      <c r="S906" s="11"/>
    </row>
    <row r="907" spans="1:19" ht="15.75">
      <c r="A907" s="13">
        <v>69488</v>
      </c>
      <c r="B907" s="8">
        <f>36.0498 * CHOOSE(CONTROL!$C$15, $D$11, 100%, $F$11)</f>
        <v>36.049799999999998</v>
      </c>
      <c r="C907" s="8">
        <f>36.0603 * CHOOSE(CONTROL!$C$15, $D$11, 100%, $F$11)</f>
        <v>36.060299999999998</v>
      </c>
      <c r="D907" s="8">
        <f>36.0407 * CHOOSE( CONTROL!$C$15, $D$11, 100%, $F$11)</f>
        <v>36.040700000000001</v>
      </c>
      <c r="E907" s="12">
        <f>36.0467 * CHOOSE( CONTROL!$C$15, $D$11, 100%, $F$11)</f>
        <v>36.046700000000001</v>
      </c>
      <c r="F907" s="4">
        <f>37.0487 * CHOOSE(CONTROL!$C$15, $D$11, 100%, $F$11)</f>
        <v>37.048699999999997</v>
      </c>
      <c r="G907" s="8">
        <f>35.1478 * CHOOSE( CONTROL!$C$15, $D$11, 100%, $F$11)</f>
        <v>35.147799999999997</v>
      </c>
      <c r="H907" s="4">
        <f>36.0378 * CHOOSE(CONTROL!$C$15, $D$11, 100%, $F$11)</f>
        <v>36.037799999999997</v>
      </c>
      <c r="I907" s="8">
        <f>34.6136 * CHOOSE(CONTROL!$C$15, $D$11, 100%, $F$11)</f>
        <v>34.613599999999998</v>
      </c>
      <c r="J907" s="4">
        <f>34.5382 * CHOOSE(CONTROL!$C$15, $D$11, 100%, $F$11)</f>
        <v>34.538200000000003</v>
      </c>
      <c r="K907" s="4"/>
      <c r="L907" s="9">
        <v>27.3993</v>
      </c>
      <c r="M907" s="9">
        <v>12.063700000000001</v>
      </c>
      <c r="N907" s="9">
        <v>4.9444999999999997</v>
      </c>
      <c r="O907" s="9">
        <v>0.37459999999999999</v>
      </c>
      <c r="P907" s="9">
        <v>1.2939000000000001</v>
      </c>
      <c r="Q907" s="9">
        <v>19.688099999999999</v>
      </c>
      <c r="R907" s="9"/>
      <c r="S907" s="11"/>
    </row>
    <row r="908" spans="1:19" ht="15.75">
      <c r="A908" s="13">
        <v>69518</v>
      </c>
      <c r="B908" s="8">
        <f>36.5977 * CHOOSE(CONTROL!$C$15, $D$11, 100%, $F$11)</f>
        <v>36.597700000000003</v>
      </c>
      <c r="C908" s="8">
        <f>36.6081 * CHOOSE(CONTROL!$C$15, $D$11, 100%, $F$11)</f>
        <v>36.6081</v>
      </c>
      <c r="D908" s="8">
        <f>36.6119 * CHOOSE( CONTROL!$C$15, $D$11, 100%, $F$11)</f>
        <v>36.611899999999999</v>
      </c>
      <c r="E908" s="12">
        <f>36.6095 * CHOOSE( CONTROL!$C$15, $D$11, 100%, $F$11)</f>
        <v>36.609499999999997</v>
      </c>
      <c r="F908" s="4">
        <f>37.6049 * CHOOSE(CONTROL!$C$15, $D$11, 100%, $F$11)</f>
        <v>37.604900000000001</v>
      </c>
      <c r="G908" s="8">
        <f>35.6698 * CHOOSE( CONTROL!$C$15, $D$11, 100%, $F$11)</f>
        <v>35.669800000000002</v>
      </c>
      <c r="H908" s="4">
        <f>36.5799 * CHOOSE(CONTROL!$C$15, $D$11, 100%, $F$11)</f>
        <v>36.579900000000002</v>
      </c>
      <c r="I908" s="8">
        <f>35.1289 * CHOOSE(CONTROL!$C$15, $D$11, 100%, $F$11)</f>
        <v>35.128900000000002</v>
      </c>
      <c r="J908" s="4">
        <f>35.0631 * CHOOSE(CONTROL!$C$15, $D$11, 100%, $F$11)</f>
        <v>35.063099999999999</v>
      </c>
      <c r="K908" s="4"/>
      <c r="L908" s="9">
        <v>27.988800000000001</v>
      </c>
      <c r="M908" s="9">
        <v>11.6745</v>
      </c>
      <c r="N908" s="9">
        <v>4.7850000000000001</v>
      </c>
      <c r="O908" s="9">
        <v>0.36249999999999999</v>
      </c>
      <c r="P908" s="9">
        <v>1.1798</v>
      </c>
      <c r="Q908" s="9">
        <v>19.053000000000001</v>
      </c>
      <c r="R908" s="9"/>
      <c r="S908" s="11"/>
    </row>
    <row r="909" spans="1:19" ht="15.75">
      <c r="A909" s="13">
        <v>69549</v>
      </c>
      <c r="B909" s="8">
        <f>CHOOSE( CONTROL!$C$32, 37.5776, 37.5727) * CHOOSE(CONTROL!$C$15, $D$11, 100%, $F$11)</f>
        <v>37.577599999999997</v>
      </c>
      <c r="C909" s="8">
        <f>CHOOSE( CONTROL!$C$32, 37.5881, 37.5831) * CHOOSE(CONTROL!$C$15, $D$11, 100%, $F$11)</f>
        <v>37.588099999999997</v>
      </c>
      <c r="D909" s="8">
        <f>CHOOSE( CONTROL!$C$32, 37.5667, 37.5618) * CHOOSE( CONTROL!$C$15, $D$11, 100%, $F$11)</f>
        <v>37.566699999999997</v>
      </c>
      <c r="E909" s="12">
        <f>CHOOSE( CONTROL!$C$32, 37.5729, 37.5679) * CHOOSE( CONTROL!$C$15, $D$11, 100%, $F$11)</f>
        <v>37.572899999999997</v>
      </c>
      <c r="F909" s="4">
        <f>CHOOSE( CONTROL!$C$32, 38.5525, 38.5476) * CHOOSE(CONTROL!$C$15, $D$11, 100%, $F$11)</f>
        <v>38.552500000000002</v>
      </c>
      <c r="G909" s="8">
        <f>CHOOSE( CONTROL!$C$32, 36.6064, 36.6016) * CHOOSE( CONTROL!$C$15, $D$11, 100%, $F$11)</f>
        <v>36.606400000000001</v>
      </c>
      <c r="H909" s="4">
        <f>CHOOSE( CONTROL!$C$32, 37.5037, 37.4988) * CHOOSE(CONTROL!$C$15, $D$11, 100%, $F$11)</f>
        <v>37.503700000000002</v>
      </c>
      <c r="I909" s="8">
        <f>CHOOSE( CONTROL!$C$32, 36.0468, 36.0421) * CHOOSE(CONTROL!$C$15, $D$11, 100%, $F$11)</f>
        <v>36.046799999999998</v>
      </c>
      <c r="J909" s="4">
        <f>CHOOSE( CONTROL!$C$32, 36.0021, 35.9974) * CHOOSE(CONTROL!$C$15, $D$11, 100%, $F$11)</f>
        <v>36.002099999999999</v>
      </c>
      <c r="K909" s="4"/>
      <c r="L909" s="9">
        <v>29.520499999999998</v>
      </c>
      <c r="M909" s="9">
        <v>12.063700000000001</v>
      </c>
      <c r="N909" s="9">
        <v>4.9444999999999997</v>
      </c>
      <c r="O909" s="9">
        <v>0.37459999999999999</v>
      </c>
      <c r="P909" s="9">
        <v>1.2192000000000001</v>
      </c>
      <c r="Q909" s="9">
        <v>19.688099999999999</v>
      </c>
      <c r="R909" s="9"/>
      <c r="S909" s="11"/>
    </row>
    <row r="910" spans="1:19" ht="15.75">
      <c r="A910" s="13">
        <v>69579</v>
      </c>
      <c r="B910" s="8">
        <f>CHOOSE( CONTROL!$C$32, 36.9736, 36.9687) * CHOOSE(CONTROL!$C$15, $D$11, 100%, $F$11)</f>
        <v>36.973599999999998</v>
      </c>
      <c r="C910" s="8">
        <f>CHOOSE( CONTROL!$C$32, 36.9841, 36.9791) * CHOOSE(CONTROL!$C$15, $D$11, 100%, $F$11)</f>
        <v>36.984099999999998</v>
      </c>
      <c r="D910" s="8">
        <f>CHOOSE( CONTROL!$C$32, 36.9762, 36.9712) * CHOOSE( CONTROL!$C$15, $D$11, 100%, $F$11)</f>
        <v>36.976199999999999</v>
      </c>
      <c r="E910" s="12">
        <f>CHOOSE( CONTROL!$C$32, 36.9775, 36.9725) * CHOOSE( CONTROL!$C$15, $D$11, 100%, $F$11)</f>
        <v>36.977499999999999</v>
      </c>
      <c r="F910" s="4">
        <f>CHOOSE( CONTROL!$C$32, 37.9678, 37.9629) * CHOOSE(CONTROL!$C$15, $D$11, 100%, $F$11)</f>
        <v>37.967799999999997</v>
      </c>
      <c r="G910" s="8">
        <f>CHOOSE( CONTROL!$C$32, 36.0281, 36.0233) * CHOOSE( CONTROL!$C$15, $D$11, 100%, $F$11)</f>
        <v>36.028100000000002</v>
      </c>
      <c r="H910" s="4">
        <f>CHOOSE( CONTROL!$C$32, 36.9337, 36.9289) * CHOOSE(CONTROL!$C$15, $D$11, 100%, $F$11)</f>
        <v>36.933700000000002</v>
      </c>
      <c r="I910" s="8">
        <f>CHOOSE( CONTROL!$C$32, 35.4856, 35.4809) * CHOOSE(CONTROL!$C$15, $D$11, 100%, $F$11)</f>
        <v>35.485599999999998</v>
      </c>
      <c r="J910" s="4">
        <f>CHOOSE( CONTROL!$C$32, 35.4234, 35.4187) * CHOOSE(CONTROL!$C$15, $D$11, 100%, $F$11)</f>
        <v>35.423400000000001</v>
      </c>
      <c r="K910" s="4"/>
      <c r="L910" s="9">
        <v>28.568200000000001</v>
      </c>
      <c r="M910" s="9">
        <v>11.6745</v>
      </c>
      <c r="N910" s="9">
        <v>4.7850000000000001</v>
      </c>
      <c r="O910" s="9">
        <v>0.36249999999999999</v>
      </c>
      <c r="P910" s="9">
        <v>1.1798</v>
      </c>
      <c r="Q910" s="9">
        <v>19.053000000000001</v>
      </c>
      <c r="R910" s="9"/>
      <c r="S910" s="11"/>
    </row>
    <row r="911" spans="1:19" ht="15.75">
      <c r="A911" s="13">
        <v>69610</v>
      </c>
      <c r="B911" s="8">
        <f>CHOOSE( CONTROL!$C$32, 38.5642, 38.5593) * CHOOSE(CONTROL!$C$15, $D$11, 100%, $F$11)</f>
        <v>38.5642</v>
      </c>
      <c r="C911" s="8">
        <f>CHOOSE( CONTROL!$C$32, 38.5746, 38.5697) * CHOOSE(CONTROL!$C$15, $D$11, 100%, $F$11)</f>
        <v>38.574599999999997</v>
      </c>
      <c r="D911" s="8">
        <f>CHOOSE( CONTROL!$C$32, 38.5736, 38.5687) * CHOOSE( CONTROL!$C$15, $D$11, 100%, $F$11)</f>
        <v>38.573599999999999</v>
      </c>
      <c r="E911" s="12">
        <f>CHOOSE( CONTROL!$C$32, 38.5724, 38.5675) * CHOOSE( CONTROL!$C$15, $D$11, 100%, $F$11)</f>
        <v>38.572400000000002</v>
      </c>
      <c r="F911" s="4">
        <f>CHOOSE( CONTROL!$C$32, 39.5688, 39.5639) * CHOOSE(CONTROL!$C$15, $D$11, 100%, $F$11)</f>
        <v>39.568800000000003</v>
      </c>
      <c r="G911" s="8">
        <f>CHOOSE( CONTROL!$C$32, 37.5826, 37.5778) * CHOOSE( CONTROL!$C$15, $D$11, 100%, $F$11)</f>
        <v>37.582599999999999</v>
      </c>
      <c r="H911" s="4">
        <f>CHOOSE( CONTROL!$C$32, 38.4943, 38.4895) * CHOOSE(CONTROL!$C$15, $D$11, 100%, $F$11)</f>
        <v>38.494300000000003</v>
      </c>
      <c r="I911" s="8">
        <f>CHOOSE( CONTROL!$C$32, 37.0181, 37.0134) * CHOOSE(CONTROL!$C$15, $D$11, 100%, $F$11)</f>
        <v>37.018099999999997</v>
      </c>
      <c r="J911" s="4">
        <f>CHOOSE( CONTROL!$C$32, 36.9475, 36.9427) * CHOOSE(CONTROL!$C$15, $D$11, 100%, $F$11)</f>
        <v>36.947499999999998</v>
      </c>
      <c r="K911" s="4"/>
      <c r="L911" s="9">
        <v>29.520499999999998</v>
      </c>
      <c r="M911" s="9">
        <v>12.063700000000001</v>
      </c>
      <c r="N911" s="9">
        <v>4.9444999999999997</v>
      </c>
      <c r="O911" s="9">
        <v>0.37459999999999999</v>
      </c>
      <c r="P911" s="9">
        <v>1.2192000000000001</v>
      </c>
      <c r="Q911" s="9">
        <v>19.688099999999999</v>
      </c>
      <c r="R911" s="9"/>
      <c r="S911" s="11"/>
    </row>
    <row r="912" spans="1:19" ht="15.75">
      <c r="A912" s="13">
        <v>69641</v>
      </c>
      <c r="B912" s="8">
        <f>CHOOSE( CONTROL!$C$32, 35.5881, 35.5832) * CHOOSE(CONTROL!$C$15, $D$11, 100%, $F$11)</f>
        <v>35.588099999999997</v>
      </c>
      <c r="C912" s="8">
        <f>CHOOSE( CONTROL!$C$32, 35.5985, 35.5936) * CHOOSE(CONTROL!$C$15, $D$11, 100%, $F$11)</f>
        <v>35.598500000000001</v>
      </c>
      <c r="D912" s="8">
        <f>CHOOSE( CONTROL!$C$32, 35.5987, 35.5938) * CHOOSE( CONTROL!$C$15, $D$11, 100%, $F$11)</f>
        <v>35.598700000000001</v>
      </c>
      <c r="E912" s="12">
        <f>CHOOSE( CONTROL!$C$32, 35.597, 35.5921) * CHOOSE( CONTROL!$C$15, $D$11, 100%, $F$11)</f>
        <v>35.597000000000001</v>
      </c>
      <c r="F912" s="4">
        <f>CHOOSE( CONTROL!$C$32, 36.6006, 36.5956) * CHOOSE(CONTROL!$C$15, $D$11, 100%, $F$11)</f>
        <v>36.6006</v>
      </c>
      <c r="G912" s="8">
        <f>CHOOSE( CONTROL!$C$32, 34.6768, 34.672) * CHOOSE( CONTROL!$C$15, $D$11, 100%, $F$11)</f>
        <v>34.6768</v>
      </c>
      <c r="H912" s="4">
        <f>CHOOSE( CONTROL!$C$32, 35.6009, 35.5961) * CHOOSE(CONTROL!$C$15, $D$11, 100%, $F$11)</f>
        <v>35.600900000000003</v>
      </c>
      <c r="I912" s="8">
        <f>CHOOSE( CONTROL!$C$32, 34.1559, 34.1512) * CHOOSE(CONTROL!$C$15, $D$11, 100%, $F$11)</f>
        <v>34.155900000000003</v>
      </c>
      <c r="J912" s="4">
        <f>CHOOSE( CONTROL!$C$32, 34.0957, 34.091) * CHOOSE(CONTROL!$C$15, $D$11, 100%, $F$11)</f>
        <v>34.095700000000001</v>
      </c>
      <c r="K912" s="4"/>
      <c r="L912" s="9">
        <v>29.520499999999998</v>
      </c>
      <c r="M912" s="9">
        <v>12.063700000000001</v>
      </c>
      <c r="N912" s="9">
        <v>4.9444999999999997</v>
      </c>
      <c r="O912" s="9">
        <v>0.37459999999999999</v>
      </c>
      <c r="P912" s="9">
        <v>1.2192000000000001</v>
      </c>
      <c r="Q912" s="9">
        <v>19.688099999999999</v>
      </c>
      <c r="R912" s="9"/>
      <c r="S912" s="11"/>
    </row>
    <row r="913" spans="1:19" ht="15.75">
      <c r="A913" s="13">
        <v>69671</v>
      </c>
      <c r="B913" s="8">
        <f>CHOOSE( CONTROL!$C$32, 34.8428, 34.8379) * CHOOSE(CONTROL!$C$15, $D$11, 100%, $F$11)</f>
        <v>34.842799999999997</v>
      </c>
      <c r="C913" s="8">
        <f>CHOOSE( CONTROL!$C$32, 34.8533, 34.8483) * CHOOSE(CONTROL!$C$15, $D$11, 100%, $F$11)</f>
        <v>34.853299999999997</v>
      </c>
      <c r="D913" s="8">
        <f>CHOOSE( CONTROL!$C$32, 34.8537, 34.8488) * CHOOSE( CONTROL!$C$15, $D$11, 100%, $F$11)</f>
        <v>34.853700000000003</v>
      </c>
      <c r="E913" s="12">
        <f>CHOOSE( CONTROL!$C$32, 34.852, 34.847) * CHOOSE( CONTROL!$C$15, $D$11, 100%, $F$11)</f>
        <v>34.851999999999997</v>
      </c>
      <c r="F913" s="4">
        <f>CHOOSE( CONTROL!$C$32, 35.8553, 35.8504) * CHOOSE(CONTROL!$C$15, $D$11, 100%, $F$11)</f>
        <v>35.8553</v>
      </c>
      <c r="G913" s="8">
        <f>CHOOSE( CONTROL!$C$32, 33.9507, 33.9459) * CHOOSE( CONTROL!$C$15, $D$11, 100%, $F$11)</f>
        <v>33.950699999999998</v>
      </c>
      <c r="H913" s="4">
        <f>CHOOSE( CONTROL!$C$32, 34.8745, 34.8697) * CHOOSE(CONTROL!$C$15, $D$11, 100%, $F$11)</f>
        <v>34.874499999999998</v>
      </c>
      <c r="I913" s="8">
        <f>CHOOSE( CONTROL!$C$32, 33.4429, 33.4382) * CHOOSE(CONTROL!$C$15, $D$11, 100%, $F$11)</f>
        <v>33.442900000000002</v>
      </c>
      <c r="J913" s="4">
        <f>CHOOSE( CONTROL!$C$32, 33.3816, 33.3769) * CHOOSE(CONTROL!$C$15, $D$11, 100%, $F$11)</f>
        <v>33.381599999999999</v>
      </c>
      <c r="K913" s="4"/>
      <c r="L913" s="9">
        <v>28.568200000000001</v>
      </c>
      <c r="M913" s="9">
        <v>11.6745</v>
      </c>
      <c r="N913" s="9">
        <v>4.7850000000000001</v>
      </c>
      <c r="O913" s="9">
        <v>0.36249999999999999</v>
      </c>
      <c r="P913" s="9">
        <v>1.1798</v>
      </c>
      <c r="Q913" s="9">
        <v>19.053000000000001</v>
      </c>
      <c r="R913" s="9"/>
      <c r="S913" s="11"/>
    </row>
    <row r="914" spans="1:19" ht="15.75">
      <c r="A914" s="13">
        <v>69702</v>
      </c>
      <c r="B914" s="8">
        <f>36.3853 * CHOOSE(CONTROL!$C$15, $D$11, 100%, $F$11)</f>
        <v>36.385300000000001</v>
      </c>
      <c r="C914" s="8">
        <f>36.3957 * CHOOSE(CONTROL!$C$15, $D$11, 100%, $F$11)</f>
        <v>36.395699999999998</v>
      </c>
      <c r="D914" s="8">
        <f>36.3974 * CHOOSE( CONTROL!$C$15, $D$11, 100%, $F$11)</f>
        <v>36.397399999999998</v>
      </c>
      <c r="E914" s="12">
        <f>36.3957 * CHOOSE( CONTROL!$C$15, $D$11, 100%, $F$11)</f>
        <v>36.395699999999998</v>
      </c>
      <c r="F914" s="4">
        <f>37.3978 * CHOOSE(CONTROL!$C$15, $D$11, 100%, $F$11)</f>
        <v>37.397799999999997</v>
      </c>
      <c r="G914" s="8">
        <f>35.4539 * CHOOSE( CONTROL!$C$15, $D$11, 100%, $F$11)</f>
        <v>35.453899999999997</v>
      </c>
      <c r="H914" s="4">
        <f>36.378 * CHOOSE(CONTROL!$C$15, $D$11, 100%, $F$11)</f>
        <v>36.378</v>
      </c>
      <c r="I914" s="8">
        <f>34.9239 * CHOOSE(CONTROL!$C$15, $D$11, 100%, $F$11)</f>
        <v>34.923900000000003</v>
      </c>
      <c r="J914" s="4">
        <f>34.8596 * CHOOSE(CONTROL!$C$15, $D$11, 100%, $F$11)</f>
        <v>34.8596</v>
      </c>
      <c r="K914" s="4"/>
      <c r="L914" s="9">
        <v>28.921800000000001</v>
      </c>
      <c r="M914" s="9">
        <v>12.063700000000001</v>
      </c>
      <c r="N914" s="9">
        <v>4.9444999999999997</v>
      </c>
      <c r="O914" s="9">
        <v>0.37459999999999999</v>
      </c>
      <c r="P914" s="9">
        <v>1.2192000000000001</v>
      </c>
      <c r="Q914" s="9">
        <v>19.688099999999999</v>
      </c>
      <c r="R914" s="9"/>
      <c r="S914" s="11"/>
    </row>
    <row r="915" spans="1:19" ht="15.75">
      <c r="A915" s="13">
        <v>69732</v>
      </c>
      <c r="B915" s="8">
        <f>39.2415 * CHOOSE(CONTROL!$C$15, $D$11, 100%, $F$11)</f>
        <v>39.241500000000002</v>
      </c>
      <c r="C915" s="8">
        <f>39.2519 * CHOOSE(CONTROL!$C$15, $D$11, 100%, $F$11)</f>
        <v>39.251899999999999</v>
      </c>
      <c r="D915" s="8">
        <f>39.233 * CHOOSE( CONTROL!$C$15, $D$11, 100%, $F$11)</f>
        <v>39.232999999999997</v>
      </c>
      <c r="E915" s="12">
        <f>39.2388 * CHOOSE( CONTROL!$C$15, $D$11, 100%, $F$11)</f>
        <v>39.238799999999998</v>
      </c>
      <c r="F915" s="4">
        <f>40.2383 * CHOOSE(CONTROL!$C$15, $D$11, 100%, $F$11)</f>
        <v>40.238300000000002</v>
      </c>
      <c r="G915" s="8">
        <f>38.261 * CHOOSE( CONTROL!$C$15, $D$11, 100%, $F$11)</f>
        <v>38.261000000000003</v>
      </c>
      <c r="H915" s="4">
        <f>39.1469 * CHOOSE(CONTROL!$C$15, $D$11, 100%, $F$11)</f>
        <v>39.146900000000002</v>
      </c>
      <c r="I915" s="8">
        <f>37.7086 * CHOOSE(CONTROL!$C$15, $D$11, 100%, $F$11)</f>
        <v>37.708599999999997</v>
      </c>
      <c r="J915" s="4">
        <f>37.5964 * CHOOSE(CONTROL!$C$15, $D$11, 100%, $F$11)</f>
        <v>37.596400000000003</v>
      </c>
      <c r="K915" s="4"/>
      <c r="L915" s="9">
        <v>26.515499999999999</v>
      </c>
      <c r="M915" s="9">
        <v>11.6745</v>
      </c>
      <c r="N915" s="9">
        <v>4.7850000000000001</v>
      </c>
      <c r="O915" s="9">
        <v>0.36249999999999999</v>
      </c>
      <c r="P915" s="9">
        <v>1.2522</v>
      </c>
      <c r="Q915" s="9">
        <v>19.053000000000001</v>
      </c>
      <c r="R915" s="9"/>
      <c r="S915" s="11"/>
    </row>
    <row r="916" spans="1:19" ht="15.75">
      <c r="A916" s="13">
        <v>69763</v>
      </c>
      <c r="B916" s="8">
        <f>39.1701 * CHOOSE(CONTROL!$C$15, $D$11, 100%, $F$11)</f>
        <v>39.170099999999998</v>
      </c>
      <c r="C916" s="8">
        <f>39.1806 * CHOOSE(CONTROL!$C$15, $D$11, 100%, $F$11)</f>
        <v>39.180599999999998</v>
      </c>
      <c r="D916" s="8">
        <f>39.1642 * CHOOSE( CONTROL!$C$15, $D$11, 100%, $F$11)</f>
        <v>39.164200000000001</v>
      </c>
      <c r="E916" s="12">
        <f>39.1691 * CHOOSE( CONTROL!$C$15, $D$11, 100%, $F$11)</f>
        <v>39.1691</v>
      </c>
      <c r="F916" s="4">
        <f>40.1669 * CHOOSE(CONTROL!$C$15, $D$11, 100%, $F$11)</f>
        <v>40.166899999999998</v>
      </c>
      <c r="G916" s="8">
        <f>38.1934 * CHOOSE( CONTROL!$C$15, $D$11, 100%, $F$11)</f>
        <v>38.193399999999997</v>
      </c>
      <c r="H916" s="4">
        <f>39.0773 * CHOOSE(CONTROL!$C$15, $D$11, 100%, $F$11)</f>
        <v>39.077300000000001</v>
      </c>
      <c r="I916" s="8">
        <f>37.649 * CHOOSE(CONTROL!$C$15, $D$11, 100%, $F$11)</f>
        <v>37.649000000000001</v>
      </c>
      <c r="J916" s="4">
        <f>37.5281 * CHOOSE(CONTROL!$C$15, $D$11, 100%, $F$11)</f>
        <v>37.528100000000002</v>
      </c>
      <c r="K916" s="4"/>
      <c r="L916" s="9">
        <v>27.3993</v>
      </c>
      <c r="M916" s="9">
        <v>12.063700000000001</v>
      </c>
      <c r="N916" s="9">
        <v>4.9444999999999997</v>
      </c>
      <c r="O916" s="9">
        <v>0.37459999999999999</v>
      </c>
      <c r="P916" s="9">
        <v>1.2939000000000001</v>
      </c>
      <c r="Q916" s="9">
        <v>19.688099999999999</v>
      </c>
      <c r="R916" s="9"/>
      <c r="S916" s="11"/>
    </row>
    <row r="917" spans="1:19" ht="15.75">
      <c r="A917" s="13">
        <v>69794</v>
      </c>
      <c r="B917" s="8">
        <f>40.667 * CHOOSE(CONTROL!$C$15, $D$11, 100%, $F$11)</f>
        <v>40.667000000000002</v>
      </c>
      <c r="C917" s="8">
        <f>40.6774 * CHOOSE(CONTROL!$C$15, $D$11, 100%, $F$11)</f>
        <v>40.677399999999999</v>
      </c>
      <c r="D917" s="8">
        <f>40.676 * CHOOSE( CONTROL!$C$15, $D$11, 100%, $F$11)</f>
        <v>40.676000000000002</v>
      </c>
      <c r="E917" s="12">
        <f>40.6754 * CHOOSE( CONTROL!$C$15, $D$11, 100%, $F$11)</f>
        <v>40.675400000000003</v>
      </c>
      <c r="F917" s="4">
        <f>41.6899 * CHOOSE(CONTROL!$C$15, $D$11, 100%, $F$11)</f>
        <v>41.689900000000002</v>
      </c>
      <c r="G917" s="8">
        <f>39.6694 * CHOOSE( CONTROL!$C$15, $D$11, 100%, $F$11)</f>
        <v>39.669400000000003</v>
      </c>
      <c r="H917" s="4">
        <f>40.5619 * CHOOSE(CONTROL!$C$15, $D$11, 100%, $F$11)</f>
        <v>40.561900000000001</v>
      </c>
      <c r="I917" s="8">
        <f>39.0904 * CHOOSE(CONTROL!$C$15, $D$11, 100%, $F$11)</f>
        <v>39.090400000000002</v>
      </c>
      <c r="J917" s="4">
        <f>38.9624 * CHOOSE(CONTROL!$C$15, $D$11, 100%, $F$11)</f>
        <v>38.962400000000002</v>
      </c>
      <c r="K917" s="4"/>
      <c r="L917" s="9">
        <v>27.3993</v>
      </c>
      <c r="M917" s="9">
        <v>12.063700000000001</v>
      </c>
      <c r="N917" s="9">
        <v>4.9444999999999997</v>
      </c>
      <c r="O917" s="9">
        <v>0.37459999999999999</v>
      </c>
      <c r="P917" s="9">
        <v>1.2939000000000001</v>
      </c>
      <c r="Q917" s="9">
        <v>19.688099999999999</v>
      </c>
      <c r="R917" s="9"/>
      <c r="S917" s="11"/>
    </row>
    <row r="918" spans="1:19" ht="15.75">
      <c r="A918" s="13">
        <v>69822</v>
      </c>
      <c r="B918" s="8">
        <f>38.0383 * CHOOSE(CONTROL!$C$15, $D$11, 100%, $F$11)</f>
        <v>38.0383</v>
      </c>
      <c r="C918" s="8">
        <f>38.0487 * CHOOSE(CONTROL!$C$15, $D$11, 100%, $F$11)</f>
        <v>38.048699999999997</v>
      </c>
      <c r="D918" s="8">
        <f>38.0495 * CHOOSE( CONTROL!$C$15, $D$11, 100%, $F$11)</f>
        <v>38.049500000000002</v>
      </c>
      <c r="E918" s="12">
        <f>38.0481 * CHOOSE( CONTROL!$C$15, $D$11, 100%, $F$11)</f>
        <v>38.048099999999998</v>
      </c>
      <c r="F918" s="4">
        <f>39.0533 * CHOOSE(CONTROL!$C$15, $D$11, 100%, $F$11)</f>
        <v>39.0533</v>
      </c>
      <c r="G918" s="8">
        <f>37.1068 * CHOOSE( CONTROL!$C$15, $D$11, 100%, $F$11)</f>
        <v>37.1068</v>
      </c>
      <c r="H918" s="4">
        <f>37.9918 * CHOOSE(CONTROL!$C$15, $D$11, 100%, $F$11)</f>
        <v>37.991799999999998</v>
      </c>
      <c r="I918" s="8">
        <f>36.5594 * CHOOSE(CONTROL!$C$15, $D$11, 100%, $F$11)</f>
        <v>36.559399999999997</v>
      </c>
      <c r="J918" s="4">
        <f>36.4435 * CHOOSE(CONTROL!$C$15, $D$11, 100%, $F$11)</f>
        <v>36.4435</v>
      </c>
      <c r="K918" s="4"/>
      <c r="L918" s="9">
        <v>24.747800000000002</v>
      </c>
      <c r="M918" s="9">
        <v>10.8962</v>
      </c>
      <c r="N918" s="9">
        <v>4.4660000000000002</v>
      </c>
      <c r="O918" s="9">
        <v>0.33829999999999999</v>
      </c>
      <c r="P918" s="9">
        <v>1.1687000000000001</v>
      </c>
      <c r="Q918" s="9">
        <v>17.782800000000002</v>
      </c>
      <c r="R918" s="9"/>
      <c r="S918" s="11"/>
    </row>
    <row r="919" spans="1:19" ht="15.75">
      <c r="A919" s="13">
        <v>69853</v>
      </c>
      <c r="B919" s="8">
        <f>37.2286 * CHOOSE(CONTROL!$C$15, $D$11, 100%, $F$11)</f>
        <v>37.2286</v>
      </c>
      <c r="C919" s="8">
        <f>37.2391 * CHOOSE(CONTROL!$C$15, $D$11, 100%, $F$11)</f>
        <v>37.239100000000001</v>
      </c>
      <c r="D919" s="8">
        <f>37.2195 * CHOOSE( CONTROL!$C$15, $D$11, 100%, $F$11)</f>
        <v>37.219499999999996</v>
      </c>
      <c r="E919" s="12">
        <f>37.2255 * CHOOSE( CONTROL!$C$15, $D$11, 100%, $F$11)</f>
        <v>37.225499999999997</v>
      </c>
      <c r="F919" s="4">
        <f>38.2275 * CHOOSE(CONTROL!$C$15, $D$11, 100%, $F$11)</f>
        <v>38.227499999999999</v>
      </c>
      <c r="G919" s="8">
        <f>36.2969 * CHOOSE( CONTROL!$C$15, $D$11, 100%, $F$11)</f>
        <v>36.296900000000001</v>
      </c>
      <c r="H919" s="4">
        <f>37.1869 * CHOOSE(CONTROL!$C$15, $D$11, 100%, $F$11)</f>
        <v>37.186900000000001</v>
      </c>
      <c r="I919" s="8">
        <f>35.7437 * CHOOSE(CONTROL!$C$15, $D$11, 100%, $F$11)</f>
        <v>35.743699999999997</v>
      </c>
      <c r="J919" s="4">
        <f>35.6677 * CHOOSE(CONTROL!$C$15, $D$11, 100%, $F$11)</f>
        <v>35.667700000000004</v>
      </c>
      <c r="K919" s="4"/>
      <c r="L919" s="9">
        <v>27.3993</v>
      </c>
      <c r="M919" s="9">
        <v>12.063700000000001</v>
      </c>
      <c r="N919" s="9">
        <v>4.9444999999999997</v>
      </c>
      <c r="O919" s="9">
        <v>0.37459999999999999</v>
      </c>
      <c r="P919" s="9">
        <v>1.2939000000000001</v>
      </c>
      <c r="Q919" s="9">
        <v>19.688099999999999</v>
      </c>
      <c r="R919" s="9"/>
      <c r="S919" s="11"/>
    </row>
    <row r="920" spans="1:19" ht="15.75">
      <c r="A920" s="13">
        <v>69883</v>
      </c>
      <c r="B920" s="8">
        <f>37.7944 * CHOOSE(CONTROL!$C$15, $D$11, 100%, $F$11)</f>
        <v>37.794400000000003</v>
      </c>
      <c r="C920" s="8">
        <f>37.8048 * CHOOSE(CONTROL!$C$15, $D$11, 100%, $F$11)</f>
        <v>37.8048</v>
      </c>
      <c r="D920" s="8">
        <f>37.8087 * CHOOSE( CONTROL!$C$15, $D$11, 100%, $F$11)</f>
        <v>37.808700000000002</v>
      </c>
      <c r="E920" s="12">
        <f>37.8062 * CHOOSE( CONTROL!$C$15, $D$11, 100%, $F$11)</f>
        <v>37.806199999999997</v>
      </c>
      <c r="F920" s="4">
        <f>38.8016 * CHOOSE(CONTROL!$C$15, $D$11, 100%, $F$11)</f>
        <v>38.801600000000001</v>
      </c>
      <c r="G920" s="8">
        <f>36.8363 * CHOOSE( CONTROL!$C$15, $D$11, 100%, $F$11)</f>
        <v>36.836300000000001</v>
      </c>
      <c r="H920" s="4">
        <f>37.7465 * CHOOSE(CONTROL!$C$15, $D$11, 100%, $F$11)</f>
        <v>37.746499999999997</v>
      </c>
      <c r="I920" s="8">
        <f>36.2762 * CHOOSE(CONTROL!$C$15, $D$11, 100%, $F$11)</f>
        <v>36.276200000000003</v>
      </c>
      <c r="J920" s="4">
        <f>36.2098 * CHOOSE(CONTROL!$C$15, $D$11, 100%, $F$11)</f>
        <v>36.209800000000001</v>
      </c>
      <c r="K920" s="4"/>
      <c r="L920" s="9">
        <v>27.988800000000001</v>
      </c>
      <c r="M920" s="9">
        <v>11.6745</v>
      </c>
      <c r="N920" s="9">
        <v>4.7850000000000001</v>
      </c>
      <c r="O920" s="9">
        <v>0.36249999999999999</v>
      </c>
      <c r="P920" s="9">
        <v>1.1798</v>
      </c>
      <c r="Q920" s="9">
        <v>19.053000000000001</v>
      </c>
      <c r="R920" s="9"/>
      <c r="S920" s="11"/>
    </row>
    <row r="921" spans="1:19" ht="15.75">
      <c r="A921" s="13">
        <v>69914</v>
      </c>
      <c r="B921" s="8">
        <f>CHOOSE( CONTROL!$C$32, 38.8062, 38.8013) * CHOOSE(CONTROL!$C$15, $D$11, 100%, $F$11)</f>
        <v>38.806199999999997</v>
      </c>
      <c r="C921" s="8">
        <f>CHOOSE( CONTROL!$C$32, 38.8167, 38.8117) * CHOOSE(CONTROL!$C$15, $D$11, 100%, $F$11)</f>
        <v>38.816699999999997</v>
      </c>
      <c r="D921" s="8">
        <f>CHOOSE( CONTROL!$C$32, 38.7953, 38.7904) * CHOOSE( CONTROL!$C$15, $D$11, 100%, $F$11)</f>
        <v>38.795299999999997</v>
      </c>
      <c r="E921" s="12">
        <f>CHOOSE( CONTROL!$C$32, 38.8015, 38.7965) * CHOOSE( CONTROL!$C$15, $D$11, 100%, $F$11)</f>
        <v>38.801499999999997</v>
      </c>
      <c r="F921" s="4">
        <f>CHOOSE( CONTROL!$C$32, 39.7811, 39.7762) * CHOOSE(CONTROL!$C$15, $D$11, 100%, $F$11)</f>
        <v>39.781100000000002</v>
      </c>
      <c r="G921" s="8">
        <f>CHOOSE( CONTROL!$C$32, 37.804, 37.7992) * CHOOSE( CONTROL!$C$15, $D$11, 100%, $F$11)</f>
        <v>37.804000000000002</v>
      </c>
      <c r="H921" s="4">
        <f>CHOOSE( CONTROL!$C$32, 38.7013, 38.6965) * CHOOSE(CONTROL!$C$15, $D$11, 100%, $F$11)</f>
        <v>38.701300000000003</v>
      </c>
      <c r="I921" s="8">
        <f>CHOOSE( CONTROL!$C$32, 37.2247, 37.2199) * CHOOSE(CONTROL!$C$15, $D$11, 100%, $F$11)</f>
        <v>37.224699999999999</v>
      </c>
      <c r="J921" s="4">
        <f>CHOOSE( CONTROL!$C$32, 37.1794, 37.1747) * CHOOSE(CONTROL!$C$15, $D$11, 100%, $F$11)</f>
        <v>37.179400000000001</v>
      </c>
      <c r="K921" s="4"/>
      <c r="L921" s="9">
        <v>29.520499999999998</v>
      </c>
      <c r="M921" s="9">
        <v>12.063700000000001</v>
      </c>
      <c r="N921" s="9">
        <v>4.9444999999999997</v>
      </c>
      <c r="O921" s="9">
        <v>0.37459999999999999</v>
      </c>
      <c r="P921" s="9">
        <v>1.2192000000000001</v>
      </c>
      <c r="Q921" s="9">
        <v>19.688099999999999</v>
      </c>
      <c r="R921" s="9"/>
      <c r="S921" s="11"/>
    </row>
    <row r="922" spans="1:19" ht="15.75">
      <c r="A922" s="13">
        <v>69944</v>
      </c>
      <c r="B922" s="8">
        <f>CHOOSE( CONTROL!$C$32, 38.1825, 38.1776) * CHOOSE(CONTROL!$C$15, $D$11, 100%, $F$11)</f>
        <v>38.182499999999997</v>
      </c>
      <c r="C922" s="8">
        <f>CHOOSE( CONTROL!$C$32, 38.1929, 38.188) * CHOOSE(CONTROL!$C$15, $D$11, 100%, $F$11)</f>
        <v>38.192900000000002</v>
      </c>
      <c r="D922" s="8">
        <f>CHOOSE( CONTROL!$C$32, 38.185, 38.1801) * CHOOSE( CONTROL!$C$15, $D$11, 100%, $F$11)</f>
        <v>38.185000000000002</v>
      </c>
      <c r="E922" s="12">
        <f>CHOOSE( CONTROL!$C$32, 38.1863, 38.1814) * CHOOSE( CONTROL!$C$15, $D$11, 100%, $F$11)</f>
        <v>38.186300000000003</v>
      </c>
      <c r="F922" s="4">
        <f>CHOOSE( CONTROL!$C$32, 39.1767, 39.1718) * CHOOSE(CONTROL!$C$15, $D$11, 100%, $F$11)</f>
        <v>39.176699999999997</v>
      </c>
      <c r="G922" s="8">
        <f>CHOOSE( CONTROL!$C$32, 37.2064, 37.2016) * CHOOSE( CONTROL!$C$15, $D$11, 100%, $F$11)</f>
        <v>37.206400000000002</v>
      </c>
      <c r="H922" s="4">
        <f>CHOOSE( CONTROL!$C$32, 38.1121, 38.1073) * CHOOSE(CONTROL!$C$15, $D$11, 100%, $F$11)</f>
        <v>38.112099999999998</v>
      </c>
      <c r="I922" s="8">
        <f>CHOOSE( CONTROL!$C$32, 36.6445, 36.6398) * CHOOSE(CONTROL!$C$15, $D$11, 100%, $F$11)</f>
        <v>36.644500000000001</v>
      </c>
      <c r="J922" s="4">
        <f>CHOOSE( CONTROL!$C$32, 36.5817, 36.577) * CHOOSE(CONTROL!$C$15, $D$11, 100%, $F$11)</f>
        <v>36.581699999999998</v>
      </c>
      <c r="K922" s="4"/>
      <c r="L922" s="9">
        <v>28.568200000000001</v>
      </c>
      <c r="M922" s="9">
        <v>11.6745</v>
      </c>
      <c r="N922" s="9">
        <v>4.7850000000000001</v>
      </c>
      <c r="O922" s="9">
        <v>0.36249999999999999</v>
      </c>
      <c r="P922" s="9">
        <v>1.1798</v>
      </c>
      <c r="Q922" s="9">
        <v>19.053000000000001</v>
      </c>
      <c r="R922" s="9"/>
      <c r="S922" s="11"/>
    </row>
    <row r="923" spans="1:19" ht="15.75">
      <c r="A923" s="13">
        <v>69975</v>
      </c>
      <c r="B923" s="8">
        <f>CHOOSE( CONTROL!$C$32, 39.8251, 39.8201) * CHOOSE(CONTROL!$C$15, $D$11, 100%, $F$11)</f>
        <v>39.825099999999999</v>
      </c>
      <c r="C923" s="8">
        <f>CHOOSE( CONTROL!$C$32, 39.8355, 39.8306) * CHOOSE(CONTROL!$C$15, $D$11, 100%, $F$11)</f>
        <v>39.835500000000003</v>
      </c>
      <c r="D923" s="8">
        <f>CHOOSE( CONTROL!$C$32, 39.8345, 39.8296) * CHOOSE( CONTROL!$C$15, $D$11, 100%, $F$11)</f>
        <v>39.834499999999998</v>
      </c>
      <c r="E923" s="12">
        <f>CHOOSE( CONTROL!$C$32, 39.8333, 39.8284) * CHOOSE( CONTROL!$C$15, $D$11, 100%, $F$11)</f>
        <v>39.833300000000001</v>
      </c>
      <c r="F923" s="4">
        <f>CHOOSE( CONTROL!$C$32, 40.8297, 40.8248) * CHOOSE(CONTROL!$C$15, $D$11, 100%, $F$11)</f>
        <v>40.829700000000003</v>
      </c>
      <c r="G923" s="8">
        <f>CHOOSE( CONTROL!$C$32, 38.8117, 38.8069) * CHOOSE( CONTROL!$C$15, $D$11, 100%, $F$11)</f>
        <v>38.811700000000002</v>
      </c>
      <c r="H923" s="4">
        <f>CHOOSE( CONTROL!$C$32, 39.7234, 39.7186) * CHOOSE(CONTROL!$C$15, $D$11, 100%, $F$11)</f>
        <v>39.723399999999998</v>
      </c>
      <c r="I923" s="8">
        <f>CHOOSE( CONTROL!$C$32, 38.2269, 38.2221) * CHOOSE(CONTROL!$C$15, $D$11, 100%, $F$11)</f>
        <v>38.226900000000001</v>
      </c>
      <c r="J923" s="4">
        <f>CHOOSE( CONTROL!$C$32, 38.1556, 38.1509) * CHOOSE(CONTROL!$C$15, $D$11, 100%, $F$11)</f>
        <v>38.1556</v>
      </c>
      <c r="K923" s="4"/>
      <c r="L923" s="9">
        <v>29.520499999999998</v>
      </c>
      <c r="M923" s="9">
        <v>12.063700000000001</v>
      </c>
      <c r="N923" s="9">
        <v>4.9444999999999997</v>
      </c>
      <c r="O923" s="9">
        <v>0.37459999999999999</v>
      </c>
      <c r="P923" s="9">
        <v>1.2192000000000001</v>
      </c>
      <c r="Q923" s="9">
        <v>19.688099999999999</v>
      </c>
      <c r="R923" s="9"/>
      <c r="S923" s="11"/>
    </row>
    <row r="924" spans="1:19" ht="15.75">
      <c r="A924" s="13">
        <v>70006</v>
      </c>
      <c r="B924" s="8">
        <f>CHOOSE( CONTROL!$C$32, 36.7516, 36.7467) * CHOOSE(CONTROL!$C$15, $D$11, 100%, $F$11)</f>
        <v>36.751600000000003</v>
      </c>
      <c r="C924" s="8">
        <f>CHOOSE( CONTROL!$C$32, 36.7621, 36.7571) * CHOOSE(CONTROL!$C$15, $D$11, 100%, $F$11)</f>
        <v>36.762099999999997</v>
      </c>
      <c r="D924" s="8">
        <f>CHOOSE( CONTROL!$C$32, 36.7622, 36.7573) * CHOOSE( CONTROL!$C$15, $D$11, 100%, $F$11)</f>
        <v>36.7622</v>
      </c>
      <c r="E924" s="12">
        <f>CHOOSE( CONTROL!$C$32, 36.7606, 36.7556) * CHOOSE( CONTROL!$C$15, $D$11, 100%, $F$11)</f>
        <v>36.760599999999997</v>
      </c>
      <c r="F924" s="4">
        <f>CHOOSE( CONTROL!$C$32, 37.7641, 37.7592) * CHOOSE(CONTROL!$C$15, $D$11, 100%, $F$11)</f>
        <v>37.764099999999999</v>
      </c>
      <c r="G924" s="8">
        <f>CHOOSE( CONTROL!$C$32, 35.8109, 35.8061) * CHOOSE( CONTROL!$C$15, $D$11, 100%, $F$11)</f>
        <v>35.810899999999997</v>
      </c>
      <c r="H924" s="4">
        <f>CHOOSE( CONTROL!$C$32, 36.7351, 36.7303) * CHOOSE(CONTROL!$C$15, $D$11, 100%, $F$11)</f>
        <v>36.735100000000003</v>
      </c>
      <c r="I924" s="8">
        <f>CHOOSE( CONTROL!$C$32, 35.2714, 35.2667) * CHOOSE(CONTROL!$C$15, $D$11, 100%, $F$11)</f>
        <v>35.2714</v>
      </c>
      <c r="J924" s="4">
        <f>CHOOSE( CONTROL!$C$32, 35.2107, 35.2059) * CHOOSE(CONTROL!$C$15, $D$11, 100%, $F$11)</f>
        <v>35.210700000000003</v>
      </c>
      <c r="K924" s="4"/>
      <c r="L924" s="9">
        <v>29.520499999999998</v>
      </c>
      <c r="M924" s="9">
        <v>12.063700000000001</v>
      </c>
      <c r="N924" s="9">
        <v>4.9444999999999997</v>
      </c>
      <c r="O924" s="9">
        <v>0.37459999999999999</v>
      </c>
      <c r="P924" s="9">
        <v>1.2192000000000001</v>
      </c>
      <c r="Q924" s="9">
        <v>19.688099999999999</v>
      </c>
      <c r="R924" s="9"/>
      <c r="S924" s="11"/>
    </row>
    <row r="925" spans="1:19" ht="15.75">
      <c r="A925" s="13">
        <v>70036</v>
      </c>
      <c r="B925" s="8">
        <f>CHOOSE( CONTROL!$C$32, 35.982, 35.9771) * CHOOSE(CONTROL!$C$15, $D$11, 100%, $F$11)</f>
        <v>35.981999999999999</v>
      </c>
      <c r="C925" s="8">
        <f>CHOOSE( CONTROL!$C$32, 35.9924, 35.9875) * CHOOSE(CONTROL!$C$15, $D$11, 100%, $F$11)</f>
        <v>35.992400000000004</v>
      </c>
      <c r="D925" s="8">
        <f>CHOOSE( CONTROL!$C$32, 35.9929, 35.988) * CHOOSE( CONTROL!$C$15, $D$11, 100%, $F$11)</f>
        <v>35.992899999999999</v>
      </c>
      <c r="E925" s="12">
        <f>CHOOSE( CONTROL!$C$32, 35.9911, 35.9862) * CHOOSE( CONTROL!$C$15, $D$11, 100%, $F$11)</f>
        <v>35.991100000000003</v>
      </c>
      <c r="F925" s="4">
        <f>CHOOSE( CONTROL!$C$32, 36.9945, 36.9895) * CHOOSE(CONTROL!$C$15, $D$11, 100%, $F$11)</f>
        <v>36.994500000000002</v>
      </c>
      <c r="G925" s="8">
        <f>CHOOSE( CONTROL!$C$32, 35.0611, 35.0563) * CHOOSE( CONTROL!$C$15, $D$11, 100%, $F$11)</f>
        <v>35.061100000000003</v>
      </c>
      <c r="H925" s="4">
        <f>CHOOSE( CONTROL!$C$32, 35.9849, 35.9801) * CHOOSE(CONTROL!$C$15, $D$11, 100%, $F$11)</f>
        <v>35.984900000000003</v>
      </c>
      <c r="I925" s="8">
        <f>CHOOSE( CONTROL!$C$32, 34.535, 34.5302) * CHOOSE(CONTROL!$C$15, $D$11, 100%, $F$11)</f>
        <v>34.534999999999997</v>
      </c>
      <c r="J925" s="4">
        <f>CHOOSE( CONTROL!$C$32, 34.4732, 34.4685) * CHOOSE(CONTROL!$C$15, $D$11, 100%, $F$11)</f>
        <v>34.473199999999999</v>
      </c>
      <c r="K925" s="4"/>
      <c r="L925" s="9">
        <v>28.568200000000001</v>
      </c>
      <c r="M925" s="9">
        <v>11.6745</v>
      </c>
      <c r="N925" s="9">
        <v>4.7850000000000001</v>
      </c>
      <c r="O925" s="9">
        <v>0.36249999999999999</v>
      </c>
      <c r="P925" s="9">
        <v>1.1798</v>
      </c>
      <c r="Q925" s="9">
        <v>19.053000000000001</v>
      </c>
      <c r="R925" s="9"/>
      <c r="S925" s="11"/>
    </row>
    <row r="926" spans="1:19" ht="15.75">
      <c r="A926" s="13">
        <v>70067</v>
      </c>
      <c r="B926" s="8">
        <f>37.5751 * CHOOSE(CONTROL!$C$15, $D$11, 100%, $F$11)</f>
        <v>37.575099999999999</v>
      </c>
      <c r="C926" s="8">
        <f>37.5855 * CHOOSE(CONTROL!$C$15, $D$11, 100%, $F$11)</f>
        <v>37.585500000000003</v>
      </c>
      <c r="D926" s="8">
        <f>37.5872 * CHOOSE( CONTROL!$C$15, $D$11, 100%, $F$11)</f>
        <v>37.587200000000003</v>
      </c>
      <c r="E926" s="12">
        <f>37.5855 * CHOOSE( CONTROL!$C$15, $D$11, 100%, $F$11)</f>
        <v>37.585500000000003</v>
      </c>
      <c r="F926" s="4">
        <f>38.5875 * CHOOSE(CONTROL!$C$15, $D$11, 100%, $F$11)</f>
        <v>38.587499999999999</v>
      </c>
      <c r="G926" s="8">
        <f>36.6137 * CHOOSE( CONTROL!$C$15, $D$11, 100%, $F$11)</f>
        <v>36.613700000000001</v>
      </c>
      <c r="H926" s="4">
        <f>37.5378 * CHOOSE(CONTROL!$C$15, $D$11, 100%, $F$11)</f>
        <v>37.537799999999997</v>
      </c>
      <c r="I926" s="8">
        <f>36.0645 * CHOOSE(CONTROL!$C$15, $D$11, 100%, $F$11)</f>
        <v>36.064500000000002</v>
      </c>
      <c r="J926" s="4">
        <f>35.9997 * CHOOSE(CONTROL!$C$15, $D$11, 100%, $F$11)</f>
        <v>35.999699999999997</v>
      </c>
      <c r="K926" s="4"/>
      <c r="L926" s="9">
        <v>28.921800000000001</v>
      </c>
      <c r="M926" s="9">
        <v>12.063700000000001</v>
      </c>
      <c r="N926" s="9">
        <v>4.9444999999999997</v>
      </c>
      <c r="O926" s="9">
        <v>0.37459999999999999</v>
      </c>
      <c r="P926" s="9">
        <v>1.2192000000000001</v>
      </c>
      <c r="Q926" s="9">
        <v>19.688099999999999</v>
      </c>
      <c r="R926" s="9"/>
      <c r="S926" s="11"/>
    </row>
    <row r="927" spans="1:19" ht="15.75">
      <c r="A927" s="13">
        <v>70097</v>
      </c>
      <c r="B927" s="8">
        <f>40.5247 * CHOOSE(CONTROL!$C$15, $D$11, 100%, $F$11)</f>
        <v>40.524700000000003</v>
      </c>
      <c r="C927" s="8">
        <f>40.5351 * CHOOSE(CONTROL!$C$15, $D$11, 100%, $F$11)</f>
        <v>40.5351</v>
      </c>
      <c r="D927" s="8">
        <f>40.5162 * CHOOSE( CONTROL!$C$15, $D$11, 100%, $F$11)</f>
        <v>40.516199999999998</v>
      </c>
      <c r="E927" s="12">
        <f>40.522 * CHOOSE( CONTROL!$C$15, $D$11, 100%, $F$11)</f>
        <v>40.521999999999998</v>
      </c>
      <c r="F927" s="4">
        <f>41.5215 * CHOOSE(CONTROL!$C$15, $D$11, 100%, $F$11)</f>
        <v>41.521500000000003</v>
      </c>
      <c r="G927" s="8">
        <f>39.5118 * CHOOSE( CONTROL!$C$15, $D$11, 100%, $F$11)</f>
        <v>39.511800000000001</v>
      </c>
      <c r="H927" s="4">
        <f>40.3977 * CHOOSE(CONTROL!$C$15, $D$11, 100%, $F$11)</f>
        <v>40.3977</v>
      </c>
      <c r="I927" s="8">
        <f>38.9387 * CHOOSE(CONTROL!$C$15, $D$11, 100%, $F$11)</f>
        <v>38.938699999999997</v>
      </c>
      <c r="J927" s="4">
        <f>38.826 * CHOOSE(CONTROL!$C$15, $D$11, 100%, $F$11)</f>
        <v>38.826000000000001</v>
      </c>
      <c r="K927" s="4"/>
      <c r="L927" s="9">
        <v>26.515499999999999</v>
      </c>
      <c r="M927" s="9">
        <v>11.6745</v>
      </c>
      <c r="N927" s="9">
        <v>4.7850000000000001</v>
      </c>
      <c r="O927" s="9">
        <v>0.36249999999999999</v>
      </c>
      <c r="P927" s="9">
        <v>1.2522</v>
      </c>
      <c r="Q927" s="9">
        <v>19.053000000000001</v>
      </c>
      <c r="R927" s="9"/>
      <c r="S927" s="11"/>
    </row>
    <row r="928" spans="1:19" ht="15.75">
      <c r="A928" s="13">
        <v>70128</v>
      </c>
      <c r="B928" s="8">
        <f>40.451 * CHOOSE(CONTROL!$C$15, $D$11, 100%, $F$11)</f>
        <v>40.451000000000001</v>
      </c>
      <c r="C928" s="8">
        <f>40.4614 * CHOOSE(CONTROL!$C$15, $D$11, 100%, $F$11)</f>
        <v>40.461399999999998</v>
      </c>
      <c r="D928" s="8">
        <f>40.445 * CHOOSE( CONTROL!$C$15, $D$11, 100%, $F$11)</f>
        <v>40.445</v>
      </c>
      <c r="E928" s="12">
        <f>40.4499 * CHOOSE( CONTROL!$C$15, $D$11, 100%, $F$11)</f>
        <v>40.4499</v>
      </c>
      <c r="F928" s="4">
        <f>41.4478 * CHOOSE(CONTROL!$C$15, $D$11, 100%, $F$11)</f>
        <v>41.447800000000001</v>
      </c>
      <c r="G928" s="8">
        <f>39.442 * CHOOSE( CONTROL!$C$15, $D$11, 100%, $F$11)</f>
        <v>39.442</v>
      </c>
      <c r="H928" s="4">
        <f>40.3259 * CHOOSE(CONTROL!$C$15, $D$11, 100%, $F$11)</f>
        <v>40.325899999999997</v>
      </c>
      <c r="I928" s="8">
        <f>38.8769 * CHOOSE(CONTROL!$C$15, $D$11, 100%, $F$11)</f>
        <v>38.876899999999999</v>
      </c>
      <c r="J928" s="4">
        <f>38.7554 * CHOOSE(CONTROL!$C$15, $D$11, 100%, $F$11)</f>
        <v>38.755400000000002</v>
      </c>
      <c r="K928" s="4"/>
      <c r="L928" s="9">
        <v>27.3993</v>
      </c>
      <c r="M928" s="9">
        <v>12.063700000000001</v>
      </c>
      <c r="N928" s="9">
        <v>4.9444999999999997</v>
      </c>
      <c r="O928" s="9">
        <v>0.37459999999999999</v>
      </c>
      <c r="P928" s="9">
        <v>1.2939000000000001</v>
      </c>
      <c r="Q928" s="9">
        <v>19.688099999999999</v>
      </c>
      <c r="R928" s="9"/>
      <c r="S928" s="11"/>
    </row>
    <row r="929" spans="1:19" ht="15.75">
      <c r="A929" s="13">
        <v>70159</v>
      </c>
      <c r="B929" s="8">
        <f>41.9968 * CHOOSE(CONTROL!$C$15, $D$11, 100%, $F$11)</f>
        <v>41.9968</v>
      </c>
      <c r="C929" s="8">
        <f>42.0072 * CHOOSE(CONTROL!$C$15, $D$11, 100%, $F$11)</f>
        <v>42.007199999999997</v>
      </c>
      <c r="D929" s="8">
        <f>42.0058 * CHOOSE( CONTROL!$C$15, $D$11, 100%, $F$11)</f>
        <v>42.005800000000001</v>
      </c>
      <c r="E929" s="12">
        <f>42.0052 * CHOOSE( CONTROL!$C$15, $D$11, 100%, $F$11)</f>
        <v>42.005200000000002</v>
      </c>
      <c r="F929" s="4">
        <f>43.0197 * CHOOSE(CONTROL!$C$15, $D$11, 100%, $F$11)</f>
        <v>43.0197</v>
      </c>
      <c r="G929" s="8">
        <f>40.9656 * CHOOSE( CONTROL!$C$15, $D$11, 100%, $F$11)</f>
        <v>40.965600000000002</v>
      </c>
      <c r="H929" s="4">
        <f>41.8581 * CHOOSE(CONTROL!$C$15, $D$11, 100%, $F$11)</f>
        <v>41.8581</v>
      </c>
      <c r="I929" s="8">
        <f>40.3653 * CHOOSE(CONTROL!$C$15, $D$11, 100%, $F$11)</f>
        <v>40.365299999999998</v>
      </c>
      <c r="J929" s="4">
        <f>40.2366 * CHOOSE(CONTROL!$C$15, $D$11, 100%, $F$11)</f>
        <v>40.236600000000003</v>
      </c>
      <c r="K929" s="4"/>
      <c r="L929" s="9">
        <v>27.3993</v>
      </c>
      <c r="M929" s="9">
        <v>12.063700000000001</v>
      </c>
      <c r="N929" s="9">
        <v>4.9444999999999997</v>
      </c>
      <c r="O929" s="9">
        <v>0.37459999999999999</v>
      </c>
      <c r="P929" s="9">
        <v>1.2939000000000001</v>
      </c>
      <c r="Q929" s="9">
        <v>19.688099999999999</v>
      </c>
      <c r="R929" s="9"/>
      <c r="S929" s="11"/>
    </row>
    <row r="930" spans="1:19" ht="15.75">
      <c r="A930" s="13">
        <v>70188</v>
      </c>
      <c r="B930" s="8">
        <f>39.2821 * CHOOSE(CONTROL!$C$15, $D$11, 100%, $F$11)</f>
        <v>39.2821</v>
      </c>
      <c r="C930" s="8">
        <f>39.2925 * CHOOSE(CONTROL!$C$15, $D$11, 100%, $F$11)</f>
        <v>39.292499999999997</v>
      </c>
      <c r="D930" s="8">
        <f>39.2933 * CHOOSE( CONTROL!$C$15, $D$11, 100%, $F$11)</f>
        <v>39.293300000000002</v>
      </c>
      <c r="E930" s="12">
        <f>39.2919 * CHOOSE( CONTROL!$C$15, $D$11, 100%, $F$11)</f>
        <v>39.291899999999998</v>
      </c>
      <c r="F930" s="4">
        <f>40.2972 * CHOOSE(CONTROL!$C$15, $D$11, 100%, $F$11)</f>
        <v>40.297199999999997</v>
      </c>
      <c r="G930" s="8">
        <f>38.3192 * CHOOSE( CONTROL!$C$15, $D$11, 100%, $F$11)</f>
        <v>38.319200000000002</v>
      </c>
      <c r="H930" s="4">
        <f>39.2043 * CHOOSE(CONTROL!$C$15, $D$11, 100%, $F$11)</f>
        <v>39.204300000000003</v>
      </c>
      <c r="I930" s="8">
        <f>37.7518 * CHOOSE(CONTROL!$C$15, $D$11, 100%, $F$11)</f>
        <v>37.751800000000003</v>
      </c>
      <c r="J930" s="4">
        <f>37.6353 * CHOOSE(CONTROL!$C$15, $D$11, 100%, $F$11)</f>
        <v>37.635300000000001</v>
      </c>
      <c r="K930" s="4"/>
      <c r="L930" s="9">
        <v>25.631599999999999</v>
      </c>
      <c r="M930" s="9">
        <v>11.285299999999999</v>
      </c>
      <c r="N930" s="9">
        <v>4.6254999999999997</v>
      </c>
      <c r="O930" s="9">
        <v>0.35039999999999999</v>
      </c>
      <c r="P930" s="9">
        <v>1.2104999999999999</v>
      </c>
      <c r="Q930" s="9">
        <v>18.417899999999999</v>
      </c>
      <c r="R930" s="9"/>
      <c r="S930" s="11"/>
    </row>
    <row r="931" spans="1:19" ht="15.75">
      <c r="A931" s="13">
        <v>70219</v>
      </c>
      <c r="B931" s="8">
        <f>38.446 * CHOOSE(CONTROL!$C$15, $D$11, 100%, $F$11)</f>
        <v>38.445999999999998</v>
      </c>
      <c r="C931" s="8">
        <f>38.4564 * CHOOSE(CONTROL!$C$15, $D$11, 100%, $F$11)</f>
        <v>38.456400000000002</v>
      </c>
      <c r="D931" s="8">
        <f>38.4369 * CHOOSE( CONTROL!$C$15, $D$11, 100%, $F$11)</f>
        <v>38.436900000000001</v>
      </c>
      <c r="E931" s="12">
        <f>38.4429 * CHOOSE( CONTROL!$C$15, $D$11, 100%, $F$11)</f>
        <v>38.442900000000002</v>
      </c>
      <c r="F931" s="4">
        <f>39.4449 * CHOOSE(CONTROL!$C$15, $D$11, 100%, $F$11)</f>
        <v>39.444899999999997</v>
      </c>
      <c r="G931" s="8">
        <f>37.4835 * CHOOSE( CONTROL!$C$15, $D$11, 100%, $F$11)</f>
        <v>37.483499999999999</v>
      </c>
      <c r="H931" s="4">
        <f>38.3735 * CHOOSE(CONTROL!$C$15, $D$11, 100%, $F$11)</f>
        <v>38.3735</v>
      </c>
      <c r="I931" s="8">
        <f>36.9107 * CHOOSE(CONTROL!$C$15, $D$11, 100%, $F$11)</f>
        <v>36.910699999999999</v>
      </c>
      <c r="J931" s="4">
        <f>36.8342 * CHOOSE(CONTROL!$C$15, $D$11, 100%, $F$11)</f>
        <v>36.834200000000003</v>
      </c>
      <c r="K931" s="4"/>
      <c r="L931" s="9">
        <v>27.3993</v>
      </c>
      <c r="M931" s="9">
        <v>12.063700000000001</v>
      </c>
      <c r="N931" s="9">
        <v>4.9444999999999997</v>
      </c>
      <c r="O931" s="9">
        <v>0.37459999999999999</v>
      </c>
      <c r="P931" s="9">
        <v>1.2939000000000001</v>
      </c>
      <c r="Q931" s="9">
        <v>19.688099999999999</v>
      </c>
      <c r="R931" s="9"/>
      <c r="S931" s="11"/>
    </row>
    <row r="932" spans="1:19" ht="15.75">
      <c r="A932" s="13">
        <v>70249</v>
      </c>
      <c r="B932" s="8">
        <f>39.0302 * CHOOSE(CONTROL!$C$15, $D$11, 100%, $F$11)</f>
        <v>39.030200000000001</v>
      </c>
      <c r="C932" s="8">
        <f>39.0407 * CHOOSE(CONTROL!$C$15, $D$11, 100%, $F$11)</f>
        <v>39.040700000000001</v>
      </c>
      <c r="D932" s="8">
        <f>39.0445 * CHOOSE( CONTROL!$C$15, $D$11, 100%, $F$11)</f>
        <v>39.044499999999999</v>
      </c>
      <c r="E932" s="12">
        <f>39.042 * CHOOSE( CONTROL!$C$15, $D$11, 100%, $F$11)</f>
        <v>39.042000000000002</v>
      </c>
      <c r="F932" s="4">
        <f>40.0375 * CHOOSE(CONTROL!$C$15, $D$11, 100%, $F$11)</f>
        <v>40.037500000000001</v>
      </c>
      <c r="G932" s="8">
        <f>38.041 * CHOOSE( CONTROL!$C$15, $D$11, 100%, $F$11)</f>
        <v>38.040999999999997</v>
      </c>
      <c r="H932" s="4">
        <f>38.9512 * CHOOSE(CONTROL!$C$15, $D$11, 100%, $F$11)</f>
        <v>38.9512</v>
      </c>
      <c r="I932" s="8">
        <f>37.461 * CHOOSE(CONTROL!$C$15, $D$11, 100%, $F$11)</f>
        <v>37.460999999999999</v>
      </c>
      <c r="J932" s="4">
        <f>37.394 * CHOOSE(CONTROL!$C$15, $D$11, 100%, $F$11)</f>
        <v>37.393999999999998</v>
      </c>
      <c r="K932" s="4"/>
      <c r="L932" s="9">
        <v>27.988800000000001</v>
      </c>
      <c r="M932" s="9">
        <v>11.6745</v>
      </c>
      <c r="N932" s="9">
        <v>4.7850000000000001</v>
      </c>
      <c r="O932" s="9">
        <v>0.36249999999999999</v>
      </c>
      <c r="P932" s="9">
        <v>1.1798</v>
      </c>
      <c r="Q932" s="9">
        <v>19.053000000000001</v>
      </c>
      <c r="R932" s="9"/>
      <c r="S932" s="11"/>
    </row>
    <row r="933" spans="1:19" ht="15.75">
      <c r="A933" s="13">
        <v>70280</v>
      </c>
      <c r="B933" s="8">
        <f>CHOOSE( CONTROL!$C$32, 40.075, 40.0701) * CHOOSE(CONTROL!$C$15, $D$11, 100%, $F$11)</f>
        <v>40.075000000000003</v>
      </c>
      <c r="C933" s="8">
        <f>CHOOSE( CONTROL!$C$32, 40.0855, 40.0805) * CHOOSE(CONTROL!$C$15, $D$11, 100%, $F$11)</f>
        <v>40.085500000000003</v>
      </c>
      <c r="D933" s="8">
        <f>CHOOSE( CONTROL!$C$32, 40.0641, 40.0592) * CHOOSE( CONTROL!$C$15, $D$11, 100%, $F$11)</f>
        <v>40.064100000000003</v>
      </c>
      <c r="E933" s="12">
        <f>CHOOSE( CONTROL!$C$32, 40.0703, 40.0653) * CHOOSE( CONTROL!$C$15, $D$11, 100%, $F$11)</f>
        <v>40.070300000000003</v>
      </c>
      <c r="F933" s="4">
        <f>CHOOSE( CONTROL!$C$32, 41.0499, 41.045) * CHOOSE(CONTROL!$C$15, $D$11, 100%, $F$11)</f>
        <v>41.049900000000001</v>
      </c>
      <c r="G933" s="8">
        <f>CHOOSE( CONTROL!$C$32, 39.0408, 39.036) * CHOOSE( CONTROL!$C$15, $D$11, 100%, $F$11)</f>
        <v>39.040799999999997</v>
      </c>
      <c r="H933" s="4">
        <f>CHOOSE( CONTROL!$C$32, 39.938, 39.9332) * CHOOSE(CONTROL!$C$15, $D$11, 100%, $F$11)</f>
        <v>39.938000000000002</v>
      </c>
      <c r="I933" s="8">
        <f>CHOOSE( CONTROL!$C$32, 38.441, 38.4363) * CHOOSE(CONTROL!$C$15, $D$11, 100%, $F$11)</f>
        <v>38.441000000000003</v>
      </c>
      <c r="J933" s="4">
        <f>CHOOSE( CONTROL!$C$32, 38.3951, 38.3904) * CHOOSE(CONTROL!$C$15, $D$11, 100%, $F$11)</f>
        <v>38.395099999999999</v>
      </c>
      <c r="K933" s="4"/>
      <c r="L933" s="9">
        <v>29.520499999999998</v>
      </c>
      <c r="M933" s="9">
        <v>12.063700000000001</v>
      </c>
      <c r="N933" s="9">
        <v>4.9444999999999997</v>
      </c>
      <c r="O933" s="9">
        <v>0.37459999999999999</v>
      </c>
      <c r="P933" s="9">
        <v>1.2192000000000001</v>
      </c>
      <c r="Q933" s="9">
        <v>19.688099999999999</v>
      </c>
      <c r="R933" s="9"/>
      <c r="S933" s="11"/>
    </row>
    <row r="934" spans="1:19" ht="15.75">
      <c r="A934" s="13">
        <v>70310</v>
      </c>
      <c r="B934" s="8">
        <f>CHOOSE( CONTROL!$C$32, 39.4309, 39.4259) * CHOOSE(CONTROL!$C$15, $D$11, 100%, $F$11)</f>
        <v>39.430900000000001</v>
      </c>
      <c r="C934" s="8">
        <f>CHOOSE( CONTROL!$C$32, 39.4413, 39.4364) * CHOOSE(CONTROL!$C$15, $D$11, 100%, $F$11)</f>
        <v>39.441299999999998</v>
      </c>
      <c r="D934" s="8">
        <f>CHOOSE( CONTROL!$C$32, 39.4334, 39.4285) * CHOOSE( CONTROL!$C$15, $D$11, 100%, $F$11)</f>
        <v>39.433399999999999</v>
      </c>
      <c r="E934" s="12">
        <f>CHOOSE( CONTROL!$C$32, 39.4347, 39.4298) * CHOOSE( CONTROL!$C$15, $D$11, 100%, $F$11)</f>
        <v>39.434699999999999</v>
      </c>
      <c r="F934" s="4">
        <f>CHOOSE( CONTROL!$C$32, 40.4251, 40.4201) * CHOOSE(CONTROL!$C$15, $D$11, 100%, $F$11)</f>
        <v>40.4251</v>
      </c>
      <c r="G934" s="8">
        <f>CHOOSE( CONTROL!$C$32, 38.4233, 38.4185) * CHOOSE( CONTROL!$C$15, $D$11, 100%, $F$11)</f>
        <v>38.423299999999998</v>
      </c>
      <c r="H934" s="4">
        <f>CHOOSE( CONTROL!$C$32, 39.329, 39.3241) * CHOOSE(CONTROL!$C$15, $D$11, 100%, $F$11)</f>
        <v>39.329000000000001</v>
      </c>
      <c r="I934" s="8">
        <f>CHOOSE( CONTROL!$C$32, 37.8413, 37.8366) * CHOOSE(CONTROL!$C$15, $D$11, 100%, $F$11)</f>
        <v>37.841299999999997</v>
      </c>
      <c r="J934" s="4">
        <f>CHOOSE( CONTROL!$C$32, 37.7779, 37.7732) * CHOOSE(CONTROL!$C$15, $D$11, 100%, $F$11)</f>
        <v>37.777900000000002</v>
      </c>
      <c r="K934" s="4"/>
      <c r="L934" s="9">
        <v>28.568200000000001</v>
      </c>
      <c r="M934" s="9">
        <v>11.6745</v>
      </c>
      <c r="N934" s="9">
        <v>4.7850000000000001</v>
      </c>
      <c r="O934" s="9">
        <v>0.36249999999999999</v>
      </c>
      <c r="P934" s="9">
        <v>1.1798</v>
      </c>
      <c r="Q934" s="9">
        <v>19.053000000000001</v>
      </c>
      <c r="R934" s="9"/>
      <c r="S934" s="11"/>
    </row>
    <row r="935" spans="1:19" ht="15.75">
      <c r="A935" s="13">
        <v>70341</v>
      </c>
      <c r="B935" s="8">
        <f>CHOOSE( CONTROL!$C$32, 41.1272, 41.1222) * CHOOSE(CONTROL!$C$15, $D$11, 100%, $F$11)</f>
        <v>41.127200000000002</v>
      </c>
      <c r="C935" s="8">
        <f>CHOOSE( CONTROL!$C$32, 41.1376, 41.1327) * CHOOSE(CONTROL!$C$15, $D$11, 100%, $F$11)</f>
        <v>41.137599999999999</v>
      </c>
      <c r="D935" s="8">
        <f>CHOOSE( CONTROL!$C$32, 41.1366, 41.1317) * CHOOSE( CONTROL!$C$15, $D$11, 100%, $F$11)</f>
        <v>41.136600000000001</v>
      </c>
      <c r="E935" s="12">
        <f>CHOOSE( CONTROL!$C$32, 41.1354, 41.1305) * CHOOSE( CONTROL!$C$15, $D$11, 100%, $F$11)</f>
        <v>41.135399999999997</v>
      </c>
      <c r="F935" s="4">
        <f>CHOOSE( CONTROL!$C$32, 42.1318, 42.1269) * CHOOSE(CONTROL!$C$15, $D$11, 100%, $F$11)</f>
        <v>42.131799999999998</v>
      </c>
      <c r="G935" s="8">
        <f>CHOOSE( CONTROL!$C$32, 40.0809, 40.0761) * CHOOSE( CONTROL!$C$15, $D$11, 100%, $F$11)</f>
        <v>40.0809</v>
      </c>
      <c r="H935" s="4">
        <f>CHOOSE( CONTROL!$C$32, 40.9926, 40.9878) * CHOOSE(CONTROL!$C$15, $D$11, 100%, $F$11)</f>
        <v>40.992600000000003</v>
      </c>
      <c r="I935" s="8">
        <f>CHOOSE( CONTROL!$C$32, 39.4752, 39.4704) * CHOOSE(CONTROL!$C$15, $D$11, 100%, $F$11)</f>
        <v>39.475200000000001</v>
      </c>
      <c r="J935" s="4">
        <f>CHOOSE( CONTROL!$C$32, 39.4033, 39.3986) * CHOOSE(CONTROL!$C$15, $D$11, 100%, $F$11)</f>
        <v>39.403300000000002</v>
      </c>
      <c r="K935" s="4"/>
      <c r="L935" s="9">
        <v>29.520499999999998</v>
      </c>
      <c r="M935" s="9">
        <v>12.063700000000001</v>
      </c>
      <c r="N935" s="9">
        <v>4.9444999999999997</v>
      </c>
      <c r="O935" s="9">
        <v>0.37459999999999999</v>
      </c>
      <c r="P935" s="9">
        <v>1.2192000000000001</v>
      </c>
      <c r="Q935" s="9">
        <v>19.688099999999999</v>
      </c>
      <c r="R935" s="9"/>
      <c r="S935" s="11"/>
    </row>
    <row r="936" spans="1:19" ht="15.75">
      <c r="A936" s="13">
        <v>70372</v>
      </c>
      <c r="B936" s="8">
        <f>CHOOSE( CONTROL!$C$32, 37.9532, 37.9483) * CHOOSE(CONTROL!$C$15, $D$11, 100%, $F$11)</f>
        <v>37.953200000000002</v>
      </c>
      <c r="C936" s="8">
        <f>CHOOSE( CONTROL!$C$32, 37.9637, 37.9587) * CHOOSE(CONTROL!$C$15, $D$11, 100%, $F$11)</f>
        <v>37.963700000000003</v>
      </c>
      <c r="D936" s="8">
        <f>CHOOSE( CONTROL!$C$32, 37.9638, 37.9589) * CHOOSE( CONTROL!$C$15, $D$11, 100%, $F$11)</f>
        <v>37.963799999999999</v>
      </c>
      <c r="E936" s="12">
        <f>CHOOSE( CONTROL!$C$32, 37.9622, 37.9572) * CHOOSE( CONTROL!$C$15, $D$11, 100%, $F$11)</f>
        <v>37.962200000000003</v>
      </c>
      <c r="F936" s="4">
        <f>CHOOSE( CONTROL!$C$32, 38.9657, 38.9608) * CHOOSE(CONTROL!$C$15, $D$11, 100%, $F$11)</f>
        <v>38.965699999999998</v>
      </c>
      <c r="G936" s="8">
        <f>CHOOSE( CONTROL!$C$32, 36.9822, 36.9774) * CHOOSE( CONTROL!$C$15, $D$11, 100%, $F$11)</f>
        <v>36.982199999999999</v>
      </c>
      <c r="H936" s="4">
        <f>CHOOSE( CONTROL!$C$32, 37.9064, 37.9016) * CHOOSE(CONTROL!$C$15, $D$11, 100%, $F$11)</f>
        <v>37.906399999999998</v>
      </c>
      <c r="I936" s="8">
        <f>CHOOSE( CONTROL!$C$32, 36.4233, 36.4186) * CHOOSE(CONTROL!$C$15, $D$11, 100%, $F$11)</f>
        <v>36.423299999999998</v>
      </c>
      <c r="J936" s="4">
        <f>CHOOSE( CONTROL!$C$32, 36.362, 36.3573) * CHOOSE(CONTROL!$C$15, $D$11, 100%, $F$11)</f>
        <v>36.362000000000002</v>
      </c>
      <c r="K936" s="4"/>
      <c r="L936" s="9">
        <v>29.520499999999998</v>
      </c>
      <c r="M936" s="9">
        <v>12.063700000000001</v>
      </c>
      <c r="N936" s="9">
        <v>4.9444999999999997</v>
      </c>
      <c r="O936" s="9">
        <v>0.37459999999999999</v>
      </c>
      <c r="P936" s="9">
        <v>1.2192000000000001</v>
      </c>
      <c r="Q936" s="9">
        <v>19.688099999999999</v>
      </c>
      <c r="R936" s="9"/>
      <c r="S936" s="11"/>
    </row>
    <row r="937" spans="1:19" ht="15.75">
      <c r="A937" s="13">
        <v>70402</v>
      </c>
      <c r="B937" s="8">
        <f>CHOOSE( CONTROL!$C$32, 37.1584, 37.1535) * CHOOSE(CONTROL!$C$15, $D$11, 100%, $F$11)</f>
        <v>37.1584</v>
      </c>
      <c r="C937" s="8">
        <f>CHOOSE( CONTROL!$C$32, 37.1689, 37.1639) * CHOOSE(CONTROL!$C$15, $D$11, 100%, $F$11)</f>
        <v>37.168900000000001</v>
      </c>
      <c r="D937" s="8">
        <f>CHOOSE( CONTROL!$C$32, 37.1693, 37.1644) * CHOOSE( CONTROL!$C$15, $D$11, 100%, $F$11)</f>
        <v>37.1693</v>
      </c>
      <c r="E937" s="12">
        <f>CHOOSE( CONTROL!$C$32, 37.1676, 37.1626) * CHOOSE( CONTROL!$C$15, $D$11, 100%, $F$11)</f>
        <v>37.1676</v>
      </c>
      <c r="F937" s="4">
        <f>CHOOSE( CONTROL!$C$32, 38.1709, 38.166) * CHOOSE(CONTROL!$C$15, $D$11, 100%, $F$11)</f>
        <v>38.170900000000003</v>
      </c>
      <c r="G937" s="8">
        <f>CHOOSE( CONTROL!$C$32, 36.2079, 36.2031) * CHOOSE( CONTROL!$C$15, $D$11, 100%, $F$11)</f>
        <v>36.207900000000002</v>
      </c>
      <c r="H937" s="4">
        <f>CHOOSE( CONTROL!$C$32, 37.1316, 37.1268) * CHOOSE(CONTROL!$C$15, $D$11, 100%, $F$11)</f>
        <v>37.131599999999999</v>
      </c>
      <c r="I937" s="8">
        <f>CHOOSE( CONTROL!$C$32, 35.6628, 35.6581) * CHOOSE(CONTROL!$C$15, $D$11, 100%, $F$11)</f>
        <v>35.662799999999997</v>
      </c>
      <c r="J937" s="4">
        <f>CHOOSE( CONTROL!$C$32, 35.6004, 35.5957) * CHOOSE(CONTROL!$C$15, $D$11, 100%, $F$11)</f>
        <v>35.6004</v>
      </c>
      <c r="K937" s="4"/>
      <c r="L937" s="9">
        <v>28.568200000000001</v>
      </c>
      <c r="M937" s="9">
        <v>11.6745</v>
      </c>
      <c r="N937" s="9">
        <v>4.7850000000000001</v>
      </c>
      <c r="O937" s="9">
        <v>0.36249999999999999</v>
      </c>
      <c r="P937" s="9">
        <v>1.1798</v>
      </c>
      <c r="Q937" s="9">
        <v>19.053000000000001</v>
      </c>
      <c r="R937" s="9"/>
      <c r="S937" s="11"/>
    </row>
    <row r="938" spans="1:19" ht="15.75">
      <c r="A938" s="13">
        <v>70433</v>
      </c>
      <c r="B938" s="8">
        <f>38.8038 * CHOOSE(CONTROL!$C$15, $D$11, 100%, $F$11)</f>
        <v>38.803800000000003</v>
      </c>
      <c r="C938" s="8">
        <f>38.8142 * CHOOSE(CONTROL!$C$15, $D$11, 100%, $F$11)</f>
        <v>38.8142</v>
      </c>
      <c r="D938" s="8">
        <f>38.8159 * CHOOSE( CONTROL!$C$15, $D$11, 100%, $F$11)</f>
        <v>38.815899999999999</v>
      </c>
      <c r="E938" s="12">
        <f>38.8142 * CHOOSE( CONTROL!$C$15, $D$11, 100%, $F$11)</f>
        <v>38.8142</v>
      </c>
      <c r="F938" s="4">
        <f>39.8162 * CHOOSE(CONTROL!$C$15, $D$11, 100%, $F$11)</f>
        <v>39.816200000000002</v>
      </c>
      <c r="G938" s="8">
        <f>37.8114 * CHOOSE( CONTROL!$C$15, $D$11, 100%, $F$11)</f>
        <v>37.811399999999999</v>
      </c>
      <c r="H938" s="4">
        <f>38.7355 * CHOOSE(CONTROL!$C$15, $D$11, 100%, $F$11)</f>
        <v>38.735500000000002</v>
      </c>
      <c r="I938" s="8">
        <f>37.2424 * CHOOSE(CONTROL!$C$15, $D$11, 100%, $F$11)</f>
        <v>37.242400000000004</v>
      </c>
      <c r="J938" s="4">
        <f>37.177 * CHOOSE(CONTROL!$C$15, $D$11, 100%, $F$11)</f>
        <v>37.177</v>
      </c>
      <c r="K938" s="4"/>
      <c r="L938" s="9">
        <v>28.921800000000001</v>
      </c>
      <c r="M938" s="9">
        <v>12.063700000000001</v>
      </c>
      <c r="N938" s="9">
        <v>4.9444999999999997</v>
      </c>
      <c r="O938" s="9">
        <v>0.37459999999999999</v>
      </c>
      <c r="P938" s="9">
        <v>1.2192000000000001</v>
      </c>
      <c r="Q938" s="9">
        <v>19.688099999999999</v>
      </c>
      <c r="R938" s="9"/>
      <c r="S938" s="11"/>
    </row>
    <row r="939" spans="1:19" ht="15.75">
      <c r="A939" s="13">
        <v>70463</v>
      </c>
      <c r="B939" s="8">
        <f>41.8498 * CHOOSE(CONTROL!$C$15, $D$11, 100%, $F$11)</f>
        <v>41.849800000000002</v>
      </c>
      <c r="C939" s="8">
        <f>41.8603 * CHOOSE(CONTROL!$C$15, $D$11, 100%, $F$11)</f>
        <v>41.860300000000002</v>
      </c>
      <c r="D939" s="8">
        <f>41.8413 * CHOOSE( CONTROL!$C$15, $D$11, 100%, $F$11)</f>
        <v>41.841299999999997</v>
      </c>
      <c r="E939" s="12">
        <f>41.8471 * CHOOSE( CONTROL!$C$15, $D$11, 100%, $F$11)</f>
        <v>41.847099999999998</v>
      </c>
      <c r="F939" s="4">
        <f>42.8466 * CHOOSE(CONTROL!$C$15, $D$11, 100%, $F$11)</f>
        <v>42.846600000000002</v>
      </c>
      <c r="G939" s="8">
        <f>40.8035 * CHOOSE( CONTROL!$C$15, $D$11, 100%, $F$11)</f>
        <v>40.8035</v>
      </c>
      <c r="H939" s="4">
        <f>41.6894 * CHOOSE(CONTROL!$C$15, $D$11, 100%, $F$11)</f>
        <v>41.689399999999999</v>
      </c>
      <c r="I939" s="8">
        <f>40.2091 * CHOOSE(CONTROL!$C$15, $D$11, 100%, $F$11)</f>
        <v>40.209099999999999</v>
      </c>
      <c r="J939" s="4">
        <f>40.0957 * CHOOSE(CONTROL!$C$15, $D$11, 100%, $F$11)</f>
        <v>40.095700000000001</v>
      </c>
      <c r="K939" s="4"/>
      <c r="L939" s="9">
        <v>26.515499999999999</v>
      </c>
      <c r="M939" s="9">
        <v>11.6745</v>
      </c>
      <c r="N939" s="9">
        <v>4.7850000000000001</v>
      </c>
      <c r="O939" s="9">
        <v>0.36249999999999999</v>
      </c>
      <c r="P939" s="9">
        <v>1.2522</v>
      </c>
      <c r="Q939" s="9">
        <v>19.053000000000001</v>
      </c>
      <c r="R939" s="9"/>
      <c r="S939" s="11"/>
    </row>
    <row r="940" spans="1:19" ht="15.75">
      <c r="A940" s="13">
        <v>70494</v>
      </c>
      <c r="B940" s="8">
        <f>41.7737 * CHOOSE(CONTROL!$C$15, $D$11, 100%, $F$11)</f>
        <v>41.773699999999998</v>
      </c>
      <c r="C940" s="8">
        <f>41.7841 * CHOOSE(CONTROL!$C$15, $D$11, 100%, $F$11)</f>
        <v>41.784100000000002</v>
      </c>
      <c r="D940" s="8">
        <f>41.7678 * CHOOSE( CONTROL!$C$15, $D$11, 100%, $F$11)</f>
        <v>41.767800000000001</v>
      </c>
      <c r="E940" s="12">
        <f>41.7727 * CHOOSE( CONTROL!$C$15, $D$11, 100%, $F$11)</f>
        <v>41.7727</v>
      </c>
      <c r="F940" s="4">
        <f>42.7705 * CHOOSE(CONTROL!$C$15, $D$11, 100%, $F$11)</f>
        <v>42.770499999999998</v>
      </c>
      <c r="G940" s="8">
        <f>40.7313 * CHOOSE( CONTROL!$C$15, $D$11, 100%, $F$11)</f>
        <v>40.731299999999997</v>
      </c>
      <c r="H940" s="4">
        <f>41.6152 * CHOOSE(CONTROL!$C$15, $D$11, 100%, $F$11)</f>
        <v>41.615200000000002</v>
      </c>
      <c r="I940" s="8">
        <f>40.145 * CHOOSE(CONTROL!$C$15, $D$11, 100%, $F$11)</f>
        <v>40.145000000000003</v>
      </c>
      <c r="J940" s="4">
        <f>40.0228 * CHOOSE(CONTROL!$C$15, $D$11, 100%, $F$11)</f>
        <v>40.022799999999997</v>
      </c>
      <c r="K940" s="4"/>
      <c r="L940" s="9">
        <v>27.3993</v>
      </c>
      <c r="M940" s="9">
        <v>12.063700000000001</v>
      </c>
      <c r="N940" s="9">
        <v>4.9444999999999997</v>
      </c>
      <c r="O940" s="9">
        <v>0.37459999999999999</v>
      </c>
      <c r="P940" s="9">
        <v>1.2939000000000001</v>
      </c>
      <c r="Q940" s="9">
        <v>19.688099999999999</v>
      </c>
      <c r="R940" s="9"/>
      <c r="S940" s="11"/>
    </row>
    <row r="941" spans="1:19" ht="15.75">
      <c r="A941" s="13">
        <v>70525</v>
      </c>
      <c r="B941" s="8">
        <f>43.3701 * CHOOSE(CONTROL!$C$15, $D$11, 100%, $F$11)</f>
        <v>43.370100000000001</v>
      </c>
      <c r="C941" s="8">
        <f>43.3805 * CHOOSE(CONTROL!$C$15, $D$11, 100%, $F$11)</f>
        <v>43.380499999999998</v>
      </c>
      <c r="D941" s="8">
        <f>43.3791 * CHOOSE( CONTROL!$C$15, $D$11, 100%, $F$11)</f>
        <v>43.379100000000001</v>
      </c>
      <c r="E941" s="12">
        <f>43.3785 * CHOOSE( CONTROL!$C$15, $D$11, 100%, $F$11)</f>
        <v>43.378500000000003</v>
      </c>
      <c r="F941" s="4">
        <f>44.393 * CHOOSE(CONTROL!$C$15, $D$11, 100%, $F$11)</f>
        <v>44.393000000000001</v>
      </c>
      <c r="G941" s="8">
        <f>42.3043 * CHOOSE( CONTROL!$C$15, $D$11, 100%, $F$11)</f>
        <v>42.304299999999998</v>
      </c>
      <c r="H941" s="4">
        <f>43.1968 * CHOOSE(CONTROL!$C$15, $D$11, 100%, $F$11)</f>
        <v>43.196800000000003</v>
      </c>
      <c r="I941" s="8">
        <f>41.6818 * CHOOSE(CONTROL!$C$15, $D$11, 100%, $F$11)</f>
        <v>41.681800000000003</v>
      </c>
      <c r="J941" s="4">
        <f>41.5525 * CHOOSE(CONTROL!$C$15, $D$11, 100%, $F$11)</f>
        <v>41.552500000000002</v>
      </c>
      <c r="K941" s="4"/>
      <c r="L941" s="9">
        <v>27.3993</v>
      </c>
      <c r="M941" s="9">
        <v>12.063700000000001</v>
      </c>
      <c r="N941" s="9">
        <v>4.9444999999999997</v>
      </c>
      <c r="O941" s="9">
        <v>0.37459999999999999</v>
      </c>
      <c r="P941" s="9">
        <v>1.2939000000000001</v>
      </c>
      <c r="Q941" s="9">
        <v>19.688099999999999</v>
      </c>
      <c r="R941" s="9"/>
      <c r="S941" s="11"/>
    </row>
    <row r="942" spans="1:19" ht="15.75">
      <c r="A942" s="13">
        <v>70553</v>
      </c>
      <c r="B942" s="8">
        <f>40.5666 * CHOOSE(CONTROL!$C$15, $D$11, 100%, $F$11)</f>
        <v>40.566600000000001</v>
      </c>
      <c r="C942" s="8">
        <f>40.577 * CHOOSE(CONTROL!$C$15, $D$11, 100%, $F$11)</f>
        <v>40.576999999999998</v>
      </c>
      <c r="D942" s="8">
        <f>40.5778 * CHOOSE( CONTROL!$C$15, $D$11, 100%, $F$11)</f>
        <v>40.577800000000003</v>
      </c>
      <c r="E942" s="12">
        <f>40.5764 * CHOOSE( CONTROL!$C$15, $D$11, 100%, $F$11)</f>
        <v>40.5764</v>
      </c>
      <c r="F942" s="4">
        <f>41.5817 * CHOOSE(CONTROL!$C$15, $D$11, 100%, $F$11)</f>
        <v>41.581699999999998</v>
      </c>
      <c r="G942" s="8">
        <f>39.5713 * CHOOSE( CONTROL!$C$15, $D$11, 100%, $F$11)</f>
        <v>39.571300000000001</v>
      </c>
      <c r="H942" s="4">
        <f>40.4564 * CHOOSE(CONTROL!$C$15, $D$11, 100%, $F$11)</f>
        <v>40.456400000000002</v>
      </c>
      <c r="I942" s="8">
        <f>38.9833 * CHOOSE(CONTROL!$C$15, $D$11, 100%, $F$11)</f>
        <v>38.9833</v>
      </c>
      <c r="J942" s="4">
        <f>38.8662 * CHOOSE(CONTROL!$C$15, $D$11, 100%, $F$11)</f>
        <v>38.866199999999999</v>
      </c>
      <c r="K942" s="4"/>
      <c r="L942" s="9">
        <v>24.747800000000002</v>
      </c>
      <c r="M942" s="9">
        <v>10.8962</v>
      </c>
      <c r="N942" s="9">
        <v>4.4660000000000002</v>
      </c>
      <c r="O942" s="9">
        <v>0.33829999999999999</v>
      </c>
      <c r="P942" s="9">
        <v>1.1687000000000001</v>
      </c>
      <c r="Q942" s="9">
        <v>17.782800000000002</v>
      </c>
      <c r="R942" s="9"/>
      <c r="S942" s="11"/>
    </row>
    <row r="943" spans="1:19" ht="15.75">
      <c r="A943" s="13">
        <v>70584</v>
      </c>
      <c r="B943" s="8">
        <f>39.7031 * CHOOSE(CONTROL!$C$15, $D$11, 100%, $F$11)</f>
        <v>39.703099999999999</v>
      </c>
      <c r="C943" s="8">
        <f>39.7136 * CHOOSE(CONTROL!$C$15, $D$11, 100%, $F$11)</f>
        <v>39.7136</v>
      </c>
      <c r="D943" s="8">
        <f>39.6941 * CHOOSE( CONTROL!$C$15, $D$11, 100%, $F$11)</f>
        <v>39.694099999999999</v>
      </c>
      <c r="E943" s="12">
        <f>39.7001 * CHOOSE( CONTROL!$C$15, $D$11, 100%, $F$11)</f>
        <v>39.700099999999999</v>
      </c>
      <c r="F943" s="4">
        <f>40.702 * CHOOSE(CONTROL!$C$15, $D$11, 100%, $F$11)</f>
        <v>40.701999999999998</v>
      </c>
      <c r="G943" s="8">
        <f>38.709 * CHOOSE( CONTROL!$C$15, $D$11, 100%, $F$11)</f>
        <v>38.709000000000003</v>
      </c>
      <c r="H943" s="4">
        <f>39.5989 * CHOOSE(CONTROL!$C$15, $D$11, 100%, $F$11)</f>
        <v>39.5989</v>
      </c>
      <c r="I943" s="8">
        <f>38.116 * CHOOSE(CONTROL!$C$15, $D$11, 100%, $F$11)</f>
        <v>38.116</v>
      </c>
      <c r="J943" s="4">
        <f>38.0388 * CHOOSE(CONTROL!$C$15, $D$11, 100%, $F$11)</f>
        <v>38.038800000000002</v>
      </c>
      <c r="K943" s="4"/>
      <c r="L943" s="9">
        <v>27.3993</v>
      </c>
      <c r="M943" s="9">
        <v>12.063700000000001</v>
      </c>
      <c r="N943" s="9">
        <v>4.9444999999999997</v>
      </c>
      <c r="O943" s="9">
        <v>0.37459999999999999</v>
      </c>
      <c r="P943" s="9">
        <v>1.2939000000000001</v>
      </c>
      <c r="Q943" s="9">
        <v>19.688099999999999</v>
      </c>
      <c r="R943" s="9"/>
      <c r="S943" s="11"/>
    </row>
    <row r="944" spans="1:19" ht="15.75">
      <c r="A944" s="13">
        <v>70614</v>
      </c>
      <c r="B944" s="8">
        <f>40.3065 * CHOOSE(CONTROL!$C$15, $D$11, 100%, $F$11)</f>
        <v>40.3065</v>
      </c>
      <c r="C944" s="8">
        <f>40.3169 * CHOOSE(CONTROL!$C$15, $D$11, 100%, $F$11)</f>
        <v>40.316899999999997</v>
      </c>
      <c r="D944" s="8">
        <f>40.3208 * CHOOSE( CONTROL!$C$15, $D$11, 100%, $F$11)</f>
        <v>40.320799999999998</v>
      </c>
      <c r="E944" s="12">
        <f>40.3183 * CHOOSE( CONTROL!$C$15, $D$11, 100%, $F$11)</f>
        <v>40.318300000000001</v>
      </c>
      <c r="F944" s="4">
        <f>41.3138 * CHOOSE(CONTROL!$C$15, $D$11, 100%, $F$11)</f>
        <v>41.313800000000001</v>
      </c>
      <c r="G944" s="8">
        <f>39.2851 * CHOOSE( CONTROL!$C$15, $D$11, 100%, $F$11)</f>
        <v>39.2851</v>
      </c>
      <c r="H944" s="4">
        <f>40.1952 * CHOOSE(CONTROL!$C$15, $D$11, 100%, $F$11)</f>
        <v>40.1952</v>
      </c>
      <c r="I944" s="8">
        <f>38.6845 * CHOOSE(CONTROL!$C$15, $D$11, 100%, $F$11)</f>
        <v>38.6845</v>
      </c>
      <c r="J944" s="4">
        <f>38.6169 * CHOOSE(CONTROL!$C$15, $D$11, 100%, $F$11)</f>
        <v>38.616900000000001</v>
      </c>
      <c r="K944" s="4"/>
      <c r="L944" s="9">
        <v>27.988800000000001</v>
      </c>
      <c r="M944" s="9">
        <v>11.6745</v>
      </c>
      <c r="N944" s="9">
        <v>4.7850000000000001</v>
      </c>
      <c r="O944" s="9">
        <v>0.36249999999999999</v>
      </c>
      <c r="P944" s="9">
        <v>1.1798</v>
      </c>
      <c r="Q944" s="9">
        <v>19.053000000000001</v>
      </c>
      <c r="R944" s="9"/>
      <c r="S944" s="11"/>
    </row>
    <row r="945" spans="1:19" ht="15.75">
      <c r="A945" s="13">
        <v>70645</v>
      </c>
      <c r="B945" s="8">
        <f>CHOOSE( CONTROL!$C$32, 41.3853, 41.3804) * CHOOSE(CONTROL!$C$15, $D$11, 100%, $F$11)</f>
        <v>41.385300000000001</v>
      </c>
      <c r="C945" s="8">
        <f>CHOOSE( CONTROL!$C$32, 41.3957, 41.3908) * CHOOSE(CONTROL!$C$15, $D$11, 100%, $F$11)</f>
        <v>41.395699999999998</v>
      </c>
      <c r="D945" s="8">
        <f>CHOOSE( CONTROL!$C$32, 41.3744, 41.3695) * CHOOSE( CONTROL!$C$15, $D$11, 100%, $F$11)</f>
        <v>41.374400000000001</v>
      </c>
      <c r="E945" s="12">
        <f>CHOOSE( CONTROL!$C$32, 41.3805, 41.3756) * CHOOSE( CONTROL!$C$15, $D$11, 100%, $F$11)</f>
        <v>41.380499999999998</v>
      </c>
      <c r="F945" s="4">
        <f>CHOOSE( CONTROL!$C$32, 42.3602, 42.3553) * CHOOSE(CONTROL!$C$15, $D$11, 100%, $F$11)</f>
        <v>42.360199999999999</v>
      </c>
      <c r="G945" s="8">
        <f>CHOOSE( CONTROL!$C$32, 40.318, 40.3132) * CHOOSE( CONTROL!$C$15, $D$11, 100%, $F$11)</f>
        <v>40.317999999999998</v>
      </c>
      <c r="H945" s="4">
        <f>CHOOSE( CONTROL!$C$32, 41.2153, 41.2105) * CHOOSE(CONTROL!$C$15, $D$11, 100%, $F$11)</f>
        <v>41.215299999999999</v>
      </c>
      <c r="I945" s="8">
        <f>CHOOSE( CONTROL!$C$32, 39.6972, 39.6924) * CHOOSE(CONTROL!$C$15, $D$11, 100%, $F$11)</f>
        <v>39.697200000000002</v>
      </c>
      <c r="J945" s="4">
        <f>CHOOSE( CONTROL!$C$32, 39.6506, 39.6459) * CHOOSE(CONTROL!$C$15, $D$11, 100%, $F$11)</f>
        <v>39.650599999999997</v>
      </c>
      <c r="K945" s="4"/>
      <c r="L945" s="9">
        <v>29.520499999999998</v>
      </c>
      <c r="M945" s="9">
        <v>12.063700000000001</v>
      </c>
      <c r="N945" s="9">
        <v>4.9444999999999997</v>
      </c>
      <c r="O945" s="9">
        <v>0.37459999999999999</v>
      </c>
      <c r="P945" s="9">
        <v>1.2192000000000001</v>
      </c>
      <c r="Q945" s="9">
        <v>19.688099999999999</v>
      </c>
      <c r="R945" s="9"/>
      <c r="S945" s="11"/>
    </row>
    <row r="946" spans="1:19" ht="15.75">
      <c r="A946" s="13">
        <v>70675</v>
      </c>
      <c r="B946" s="8">
        <f>CHOOSE( CONTROL!$C$32, 40.7201, 40.7152) * CHOOSE(CONTROL!$C$15, $D$11, 100%, $F$11)</f>
        <v>40.720100000000002</v>
      </c>
      <c r="C946" s="8">
        <f>CHOOSE( CONTROL!$C$32, 40.7305, 40.7256) * CHOOSE(CONTROL!$C$15, $D$11, 100%, $F$11)</f>
        <v>40.730499999999999</v>
      </c>
      <c r="D946" s="8">
        <f>CHOOSE( CONTROL!$C$32, 40.7226, 40.7177) * CHOOSE( CONTROL!$C$15, $D$11, 100%, $F$11)</f>
        <v>40.7226</v>
      </c>
      <c r="E946" s="12">
        <f>CHOOSE( CONTROL!$C$32, 40.7239, 40.719) * CHOOSE( CONTROL!$C$15, $D$11, 100%, $F$11)</f>
        <v>40.7239</v>
      </c>
      <c r="F946" s="4">
        <f>CHOOSE( CONTROL!$C$32, 41.7143, 41.7094) * CHOOSE(CONTROL!$C$15, $D$11, 100%, $F$11)</f>
        <v>41.714300000000001</v>
      </c>
      <c r="G946" s="8">
        <f>CHOOSE( CONTROL!$C$32, 39.68, 39.6752) * CHOOSE( CONTROL!$C$15, $D$11, 100%, $F$11)</f>
        <v>39.68</v>
      </c>
      <c r="H946" s="4">
        <f>CHOOSE( CONTROL!$C$32, 40.5856, 40.5808) * CHOOSE(CONTROL!$C$15, $D$11, 100%, $F$11)</f>
        <v>40.585599999999999</v>
      </c>
      <c r="I946" s="8">
        <f>CHOOSE( CONTROL!$C$32, 39.0773, 39.0725) * CHOOSE(CONTROL!$C$15, $D$11, 100%, $F$11)</f>
        <v>39.077300000000001</v>
      </c>
      <c r="J946" s="4">
        <f>CHOOSE( CONTROL!$C$32, 39.0132, 39.0085) * CHOOSE(CONTROL!$C$15, $D$11, 100%, $F$11)</f>
        <v>39.013199999999998</v>
      </c>
      <c r="K946" s="4"/>
      <c r="L946" s="9">
        <v>28.568200000000001</v>
      </c>
      <c r="M946" s="9">
        <v>11.6745</v>
      </c>
      <c r="N946" s="9">
        <v>4.7850000000000001</v>
      </c>
      <c r="O946" s="9">
        <v>0.36249999999999999</v>
      </c>
      <c r="P946" s="9">
        <v>1.1798</v>
      </c>
      <c r="Q946" s="9">
        <v>19.053000000000001</v>
      </c>
      <c r="R946" s="9"/>
      <c r="S946" s="11"/>
    </row>
    <row r="947" spans="1:19" ht="15.75">
      <c r="A947" s="13">
        <v>70706</v>
      </c>
      <c r="B947" s="8">
        <f>CHOOSE( CONTROL!$C$32, 42.4719, 42.4669) * CHOOSE(CONTROL!$C$15, $D$11, 100%, $F$11)</f>
        <v>42.471899999999998</v>
      </c>
      <c r="C947" s="8">
        <f>CHOOSE( CONTROL!$C$32, 42.4823, 42.4774) * CHOOSE(CONTROL!$C$15, $D$11, 100%, $F$11)</f>
        <v>42.482300000000002</v>
      </c>
      <c r="D947" s="8">
        <f>CHOOSE( CONTROL!$C$32, 42.4813, 42.4764) * CHOOSE( CONTROL!$C$15, $D$11, 100%, $F$11)</f>
        <v>42.481299999999997</v>
      </c>
      <c r="E947" s="12">
        <f>CHOOSE( CONTROL!$C$32, 42.4801, 42.4752) * CHOOSE( CONTROL!$C$15, $D$11, 100%, $F$11)</f>
        <v>42.4801</v>
      </c>
      <c r="F947" s="4">
        <f>CHOOSE( CONTROL!$C$32, 43.4765, 43.4716) * CHOOSE(CONTROL!$C$15, $D$11, 100%, $F$11)</f>
        <v>43.476500000000001</v>
      </c>
      <c r="G947" s="8">
        <f>CHOOSE( CONTROL!$C$32, 41.3917, 41.3869) * CHOOSE( CONTROL!$C$15, $D$11, 100%, $F$11)</f>
        <v>41.3917</v>
      </c>
      <c r="H947" s="4">
        <f>CHOOSE( CONTROL!$C$32, 42.3034, 42.2986) * CHOOSE(CONTROL!$C$15, $D$11, 100%, $F$11)</f>
        <v>42.303400000000003</v>
      </c>
      <c r="I947" s="8">
        <f>CHOOSE( CONTROL!$C$32, 40.7643, 40.7596) * CHOOSE(CONTROL!$C$15, $D$11, 100%, $F$11)</f>
        <v>40.764299999999999</v>
      </c>
      <c r="J947" s="4">
        <f>CHOOSE( CONTROL!$C$32, 40.6918, 40.687) * CHOOSE(CONTROL!$C$15, $D$11, 100%, $F$11)</f>
        <v>40.691800000000001</v>
      </c>
      <c r="K947" s="4"/>
      <c r="L947" s="9">
        <v>29.520499999999998</v>
      </c>
      <c r="M947" s="9">
        <v>12.063700000000001</v>
      </c>
      <c r="N947" s="9">
        <v>4.9444999999999997</v>
      </c>
      <c r="O947" s="9">
        <v>0.37459999999999999</v>
      </c>
      <c r="P947" s="9">
        <v>1.2192000000000001</v>
      </c>
      <c r="Q947" s="9">
        <v>19.688099999999999</v>
      </c>
      <c r="R947" s="9"/>
      <c r="S947" s="11"/>
    </row>
    <row r="948" spans="1:19" ht="15.75">
      <c r="A948" s="13">
        <v>70737</v>
      </c>
      <c r="B948" s="8">
        <f>CHOOSE( CONTROL!$C$32, 39.1941, 39.1892) * CHOOSE(CONTROL!$C$15, $D$11, 100%, $F$11)</f>
        <v>39.194099999999999</v>
      </c>
      <c r="C948" s="8">
        <f>CHOOSE( CONTROL!$C$32, 39.2045, 39.1996) * CHOOSE(CONTROL!$C$15, $D$11, 100%, $F$11)</f>
        <v>39.204500000000003</v>
      </c>
      <c r="D948" s="8">
        <f>CHOOSE( CONTROL!$C$32, 39.2047, 39.1998) * CHOOSE( CONTROL!$C$15, $D$11, 100%, $F$11)</f>
        <v>39.204700000000003</v>
      </c>
      <c r="E948" s="12">
        <f>CHOOSE( CONTROL!$C$32, 39.203, 39.1981) * CHOOSE( CONTROL!$C$15, $D$11, 100%, $F$11)</f>
        <v>39.203000000000003</v>
      </c>
      <c r="F948" s="4">
        <f>CHOOSE( CONTROL!$C$32, 40.2066, 40.2016) * CHOOSE(CONTROL!$C$15, $D$11, 100%, $F$11)</f>
        <v>40.206600000000002</v>
      </c>
      <c r="G948" s="8">
        <f>CHOOSE( CONTROL!$C$32, 38.1918, 38.187) * CHOOSE( CONTROL!$C$15, $D$11, 100%, $F$11)</f>
        <v>38.191800000000001</v>
      </c>
      <c r="H948" s="4">
        <f>CHOOSE( CONTROL!$C$32, 39.116, 39.1112) * CHOOSE(CONTROL!$C$15, $D$11, 100%, $F$11)</f>
        <v>39.116</v>
      </c>
      <c r="I948" s="8">
        <f>CHOOSE( CONTROL!$C$32, 37.6129, 37.6082) * CHOOSE(CONTROL!$C$15, $D$11, 100%, $F$11)</f>
        <v>37.612900000000003</v>
      </c>
      <c r="J948" s="4">
        <f>CHOOSE( CONTROL!$C$32, 37.551, 37.5463) * CHOOSE(CONTROL!$C$15, $D$11, 100%, $F$11)</f>
        <v>37.551000000000002</v>
      </c>
      <c r="K948" s="4"/>
      <c r="L948" s="9">
        <v>29.520499999999998</v>
      </c>
      <c r="M948" s="9">
        <v>12.063700000000001</v>
      </c>
      <c r="N948" s="9">
        <v>4.9444999999999997</v>
      </c>
      <c r="O948" s="9">
        <v>0.37459999999999999</v>
      </c>
      <c r="P948" s="9">
        <v>1.2192000000000001</v>
      </c>
      <c r="Q948" s="9">
        <v>19.688099999999999</v>
      </c>
      <c r="R948" s="9"/>
      <c r="S948" s="11"/>
    </row>
    <row r="949" spans="1:19" ht="15.75">
      <c r="A949" s="13">
        <v>70767</v>
      </c>
      <c r="B949" s="8">
        <f>CHOOSE( CONTROL!$C$32, 38.3733, 38.3684) * CHOOSE(CONTROL!$C$15, $D$11, 100%, $F$11)</f>
        <v>38.3733</v>
      </c>
      <c r="C949" s="8">
        <f>CHOOSE( CONTROL!$C$32, 38.3838, 38.3788) * CHOOSE(CONTROL!$C$15, $D$11, 100%, $F$11)</f>
        <v>38.383800000000001</v>
      </c>
      <c r="D949" s="8">
        <f>CHOOSE( CONTROL!$C$32, 38.3842, 38.3793) * CHOOSE( CONTROL!$C$15, $D$11, 100%, $F$11)</f>
        <v>38.3842</v>
      </c>
      <c r="E949" s="12">
        <f>CHOOSE( CONTROL!$C$32, 38.3825, 38.3775) * CHOOSE( CONTROL!$C$15, $D$11, 100%, $F$11)</f>
        <v>38.3825</v>
      </c>
      <c r="F949" s="4">
        <f>CHOOSE( CONTROL!$C$32, 39.3858, 39.3809) * CHOOSE(CONTROL!$C$15, $D$11, 100%, $F$11)</f>
        <v>39.385800000000003</v>
      </c>
      <c r="G949" s="8">
        <f>CHOOSE( CONTROL!$C$32, 37.3921, 37.3873) * CHOOSE( CONTROL!$C$15, $D$11, 100%, $F$11)</f>
        <v>37.392099999999999</v>
      </c>
      <c r="H949" s="4">
        <f>CHOOSE( CONTROL!$C$32, 38.3159, 38.3111) * CHOOSE(CONTROL!$C$15, $D$11, 100%, $F$11)</f>
        <v>38.315899999999999</v>
      </c>
      <c r="I949" s="8">
        <f>CHOOSE( CONTROL!$C$32, 36.8275, 36.8228) * CHOOSE(CONTROL!$C$15, $D$11, 100%, $F$11)</f>
        <v>36.827500000000001</v>
      </c>
      <c r="J949" s="4">
        <f>CHOOSE( CONTROL!$C$32, 36.7646, 36.7598) * CHOOSE(CONTROL!$C$15, $D$11, 100%, $F$11)</f>
        <v>36.764600000000002</v>
      </c>
      <c r="K949" s="4"/>
      <c r="L949" s="9">
        <v>28.568200000000001</v>
      </c>
      <c r="M949" s="9">
        <v>11.6745</v>
      </c>
      <c r="N949" s="9">
        <v>4.7850000000000001</v>
      </c>
      <c r="O949" s="9">
        <v>0.36249999999999999</v>
      </c>
      <c r="P949" s="9">
        <v>1.1798</v>
      </c>
      <c r="Q949" s="9">
        <v>19.053000000000001</v>
      </c>
      <c r="R949" s="9"/>
      <c r="S949" s="11"/>
    </row>
    <row r="950" spans="1:19" ht="15.75">
      <c r="A950" s="13">
        <v>70798</v>
      </c>
      <c r="B950" s="8">
        <f>40.0726 * CHOOSE(CONTROL!$C$15, $D$11, 100%, $F$11)</f>
        <v>40.072600000000001</v>
      </c>
      <c r="C950" s="8">
        <f>40.0831 * CHOOSE(CONTROL!$C$15, $D$11, 100%, $F$11)</f>
        <v>40.083100000000002</v>
      </c>
      <c r="D950" s="8">
        <f>40.0847 * CHOOSE( CONTROL!$C$15, $D$11, 100%, $F$11)</f>
        <v>40.084699999999998</v>
      </c>
      <c r="E950" s="12">
        <f>40.0831 * CHOOSE( CONTROL!$C$15, $D$11, 100%, $F$11)</f>
        <v>40.083100000000002</v>
      </c>
      <c r="F950" s="4">
        <f>41.0851 * CHOOSE(CONTROL!$C$15, $D$11, 100%, $F$11)</f>
        <v>41.085099999999997</v>
      </c>
      <c r="G950" s="8">
        <f>39.0482 * CHOOSE( CONTROL!$C$15, $D$11, 100%, $F$11)</f>
        <v>39.048200000000001</v>
      </c>
      <c r="H950" s="4">
        <f>39.9723 * CHOOSE(CONTROL!$C$15, $D$11, 100%, $F$11)</f>
        <v>39.972299999999997</v>
      </c>
      <c r="I950" s="8">
        <f>38.4588 * CHOOSE(CONTROL!$C$15, $D$11, 100%, $F$11)</f>
        <v>38.458799999999997</v>
      </c>
      <c r="J950" s="4">
        <f>38.3928 * CHOOSE(CONTROL!$C$15, $D$11, 100%, $F$11)</f>
        <v>38.392800000000001</v>
      </c>
      <c r="K950" s="4"/>
      <c r="L950" s="9">
        <v>28.921800000000001</v>
      </c>
      <c r="M950" s="9">
        <v>12.063700000000001</v>
      </c>
      <c r="N950" s="9">
        <v>4.9444999999999997</v>
      </c>
      <c r="O950" s="9">
        <v>0.37459999999999999</v>
      </c>
      <c r="P950" s="9">
        <v>1.2192000000000001</v>
      </c>
      <c r="Q950" s="9">
        <v>19.688099999999999</v>
      </c>
      <c r="R950" s="9"/>
      <c r="S950" s="11"/>
    </row>
    <row r="951" spans="1:19" ht="15.75">
      <c r="A951" s="13">
        <v>70828</v>
      </c>
      <c r="B951" s="8">
        <f>43.2183 * CHOOSE(CONTROL!$C$15, $D$11, 100%, $F$11)</f>
        <v>43.218299999999999</v>
      </c>
      <c r="C951" s="8">
        <f>43.2287 * CHOOSE(CONTROL!$C$15, $D$11, 100%, $F$11)</f>
        <v>43.228700000000003</v>
      </c>
      <c r="D951" s="8">
        <f>43.2098 * CHOOSE( CONTROL!$C$15, $D$11, 100%, $F$11)</f>
        <v>43.209800000000001</v>
      </c>
      <c r="E951" s="12">
        <f>43.2156 * CHOOSE( CONTROL!$C$15, $D$11, 100%, $F$11)</f>
        <v>43.215600000000002</v>
      </c>
      <c r="F951" s="4">
        <f>44.2151 * CHOOSE(CONTROL!$C$15, $D$11, 100%, $F$11)</f>
        <v>44.2151</v>
      </c>
      <c r="G951" s="8">
        <f>42.1375 * CHOOSE( CONTROL!$C$15, $D$11, 100%, $F$11)</f>
        <v>42.137500000000003</v>
      </c>
      <c r="H951" s="4">
        <f>43.0234 * CHOOSE(CONTROL!$C$15, $D$11, 100%, $F$11)</f>
        <v>43.023400000000002</v>
      </c>
      <c r="I951" s="8">
        <f>41.5211 * CHOOSE(CONTROL!$C$15, $D$11, 100%, $F$11)</f>
        <v>41.521099999999997</v>
      </c>
      <c r="J951" s="4">
        <f>41.407 * CHOOSE(CONTROL!$C$15, $D$11, 100%, $F$11)</f>
        <v>41.406999999999996</v>
      </c>
      <c r="K951" s="4"/>
      <c r="L951" s="9">
        <v>26.515499999999999</v>
      </c>
      <c r="M951" s="9">
        <v>11.6745</v>
      </c>
      <c r="N951" s="9">
        <v>4.7850000000000001</v>
      </c>
      <c r="O951" s="9">
        <v>0.36249999999999999</v>
      </c>
      <c r="P951" s="9">
        <v>1.2522</v>
      </c>
      <c r="Q951" s="9">
        <v>19.053000000000001</v>
      </c>
      <c r="R951" s="9"/>
      <c r="S951" s="11"/>
    </row>
    <row r="952" spans="1:19" ht="15.75">
      <c r="A952" s="13">
        <v>70859</v>
      </c>
      <c r="B952" s="8">
        <f>43.1397 * CHOOSE(CONTROL!$C$15, $D$11, 100%, $F$11)</f>
        <v>43.139699999999998</v>
      </c>
      <c r="C952" s="8">
        <f>43.1501 * CHOOSE(CONTROL!$C$15, $D$11, 100%, $F$11)</f>
        <v>43.150100000000002</v>
      </c>
      <c r="D952" s="8">
        <f>43.1338 * CHOOSE( CONTROL!$C$15, $D$11, 100%, $F$11)</f>
        <v>43.133800000000001</v>
      </c>
      <c r="E952" s="12">
        <f>43.1387 * CHOOSE( CONTROL!$C$15, $D$11, 100%, $F$11)</f>
        <v>43.1387</v>
      </c>
      <c r="F952" s="4">
        <f>44.1365 * CHOOSE(CONTROL!$C$15, $D$11, 100%, $F$11)</f>
        <v>44.136499999999998</v>
      </c>
      <c r="G952" s="8">
        <f>42.0629 * CHOOSE( CONTROL!$C$15, $D$11, 100%, $F$11)</f>
        <v>42.062899999999999</v>
      </c>
      <c r="H952" s="4">
        <f>42.9468 * CHOOSE(CONTROL!$C$15, $D$11, 100%, $F$11)</f>
        <v>42.946800000000003</v>
      </c>
      <c r="I952" s="8">
        <f>41.4545 * CHOOSE(CONTROL!$C$15, $D$11, 100%, $F$11)</f>
        <v>41.454500000000003</v>
      </c>
      <c r="J952" s="4">
        <f>41.3317 * CHOOSE(CONTROL!$C$15, $D$11, 100%, $F$11)</f>
        <v>41.331699999999998</v>
      </c>
      <c r="K952" s="4"/>
      <c r="L952" s="9">
        <v>27.3993</v>
      </c>
      <c r="M952" s="9">
        <v>12.063700000000001</v>
      </c>
      <c r="N952" s="9">
        <v>4.9444999999999997</v>
      </c>
      <c r="O952" s="9">
        <v>0.37459999999999999</v>
      </c>
      <c r="P952" s="9">
        <v>1.2939000000000001</v>
      </c>
      <c r="Q952" s="9">
        <v>19.688099999999999</v>
      </c>
      <c r="R952" s="9"/>
      <c r="S952" s="11"/>
    </row>
    <row r="953" spans="1:19" ht="15.75">
      <c r="A953" s="13">
        <v>70890</v>
      </c>
      <c r="B953" s="8">
        <f>44.7883 * CHOOSE(CONTROL!$C$15, $D$11, 100%, $F$11)</f>
        <v>44.7883</v>
      </c>
      <c r="C953" s="8">
        <f>44.7987 * CHOOSE(CONTROL!$C$15, $D$11, 100%, $F$11)</f>
        <v>44.798699999999997</v>
      </c>
      <c r="D953" s="8">
        <f>44.7973 * CHOOSE( CONTROL!$C$15, $D$11, 100%, $F$11)</f>
        <v>44.7973</v>
      </c>
      <c r="E953" s="12">
        <f>44.7967 * CHOOSE( CONTROL!$C$15, $D$11, 100%, $F$11)</f>
        <v>44.796700000000001</v>
      </c>
      <c r="F953" s="4">
        <f>45.8112 * CHOOSE(CONTROL!$C$15, $D$11, 100%, $F$11)</f>
        <v>45.811199999999999</v>
      </c>
      <c r="G953" s="8">
        <f>43.6867 * CHOOSE( CONTROL!$C$15, $D$11, 100%, $F$11)</f>
        <v>43.686700000000002</v>
      </c>
      <c r="H953" s="4">
        <f>44.5792 * CHOOSE(CONTROL!$C$15, $D$11, 100%, $F$11)</f>
        <v>44.5792</v>
      </c>
      <c r="I953" s="8">
        <f>43.0414 * CHOOSE(CONTROL!$C$15, $D$11, 100%, $F$11)</f>
        <v>43.041400000000003</v>
      </c>
      <c r="J953" s="4">
        <f>42.9114 * CHOOSE(CONTROL!$C$15, $D$11, 100%, $F$11)</f>
        <v>42.9114</v>
      </c>
      <c r="K953" s="4"/>
      <c r="L953" s="9">
        <v>27.3993</v>
      </c>
      <c r="M953" s="9">
        <v>12.063700000000001</v>
      </c>
      <c r="N953" s="9">
        <v>4.9444999999999997</v>
      </c>
      <c r="O953" s="9">
        <v>0.37459999999999999</v>
      </c>
      <c r="P953" s="9">
        <v>1.2939000000000001</v>
      </c>
      <c r="Q953" s="9">
        <v>19.688099999999999</v>
      </c>
      <c r="R953" s="9"/>
      <c r="S953" s="11"/>
    </row>
    <row r="954" spans="1:19" ht="15.75">
      <c r="A954" s="13">
        <v>70918</v>
      </c>
      <c r="B954" s="8">
        <f>41.8931 * CHOOSE(CONTROL!$C$15, $D$11, 100%, $F$11)</f>
        <v>41.893099999999997</v>
      </c>
      <c r="C954" s="8">
        <f>41.9036 * CHOOSE(CONTROL!$C$15, $D$11, 100%, $F$11)</f>
        <v>41.903599999999997</v>
      </c>
      <c r="D954" s="8">
        <f>41.9044 * CHOOSE( CONTROL!$C$15, $D$11, 100%, $F$11)</f>
        <v>41.904400000000003</v>
      </c>
      <c r="E954" s="12">
        <f>41.903 * CHOOSE( CONTROL!$C$15, $D$11, 100%, $F$11)</f>
        <v>41.902999999999999</v>
      </c>
      <c r="F954" s="4">
        <f>42.9082 * CHOOSE(CONTROL!$C$15, $D$11, 100%, $F$11)</f>
        <v>42.908200000000001</v>
      </c>
      <c r="G954" s="8">
        <f>40.8644 * CHOOSE( CONTROL!$C$15, $D$11, 100%, $F$11)</f>
        <v>40.864400000000003</v>
      </c>
      <c r="H954" s="4">
        <f>41.7494 * CHOOSE(CONTROL!$C$15, $D$11, 100%, $F$11)</f>
        <v>41.749400000000001</v>
      </c>
      <c r="I954" s="8">
        <f>40.255 * CHOOSE(CONTROL!$C$15, $D$11, 100%, $F$11)</f>
        <v>40.255000000000003</v>
      </c>
      <c r="J954" s="4">
        <f>40.1372 * CHOOSE(CONTROL!$C$15, $D$11, 100%, $F$11)</f>
        <v>40.1372</v>
      </c>
      <c r="K954" s="4"/>
      <c r="L954" s="9">
        <v>24.747800000000002</v>
      </c>
      <c r="M954" s="9">
        <v>10.8962</v>
      </c>
      <c r="N954" s="9">
        <v>4.4660000000000002</v>
      </c>
      <c r="O954" s="9">
        <v>0.33829999999999999</v>
      </c>
      <c r="P954" s="9">
        <v>1.1687000000000001</v>
      </c>
      <c r="Q954" s="9">
        <v>17.782800000000002</v>
      </c>
      <c r="R954" s="9"/>
      <c r="S954" s="11"/>
    </row>
    <row r="955" spans="1:19" ht="15.75">
      <c r="A955" s="13">
        <v>70949</v>
      </c>
      <c r="B955" s="8">
        <f>41.0014 * CHOOSE(CONTROL!$C$15, $D$11, 100%, $F$11)</f>
        <v>41.001399999999997</v>
      </c>
      <c r="C955" s="8">
        <f>41.0119 * CHOOSE(CONTROL!$C$15, $D$11, 100%, $F$11)</f>
        <v>41.011899999999997</v>
      </c>
      <c r="D955" s="8">
        <f>40.9923 * CHOOSE( CONTROL!$C$15, $D$11, 100%, $F$11)</f>
        <v>40.9923</v>
      </c>
      <c r="E955" s="12">
        <f>40.9983 * CHOOSE( CONTROL!$C$15, $D$11, 100%, $F$11)</f>
        <v>40.9983</v>
      </c>
      <c r="F955" s="4">
        <f>42.0003 * CHOOSE(CONTROL!$C$15, $D$11, 100%, $F$11)</f>
        <v>42.000300000000003</v>
      </c>
      <c r="G955" s="8">
        <f>39.9745 * CHOOSE( CONTROL!$C$15, $D$11, 100%, $F$11)</f>
        <v>39.974499999999999</v>
      </c>
      <c r="H955" s="4">
        <f>40.8645 * CHOOSE(CONTROL!$C$15, $D$11, 100%, $F$11)</f>
        <v>40.8645</v>
      </c>
      <c r="I955" s="8">
        <f>39.3606 * CHOOSE(CONTROL!$C$15, $D$11, 100%, $F$11)</f>
        <v>39.360599999999998</v>
      </c>
      <c r="J955" s="4">
        <f>39.2828 * CHOOSE(CONTROL!$C$15, $D$11, 100%, $F$11)</f>
        <v>39.282800000000002</v>
      </c>
      <c r="K955" s="4"/>
      <c r="L955" s="9">
        <v>27.3993</v>
      </c>
      <c r="M955" s="9">
        <v>12.063700000000001</v>
      </c>
      <c r="N955" s="9">
        <v>4.9444999999999997</v>
      </c>
      <c r="O955" s="9">
        <v>0.37459999999999999</v>
      </c>
      <c r="P955" s="9">
        <v>1.2939000000000001</v>
      </c>
      <c r="Q955" s="9">
        <v>19.688099999999999</v>
      </c>
      <c r="R955" s="9"/>
      <c r="S955" s="11"/>
    </row>
    <row r="956" spans="1:19" ht="15.75">
      <c r="A956" s="13">
        <v>70979</v>
      </c>
      <c r="B956" s="8">
        <f>41.6245 * CHOOSE(CONTROL!$C$15, $D$11, 100%, $F$11)</f>
        <v>41.624499999999998</v>
      </c>
      <c r="C956" s="8">
        <f>41.635 * CHOOSE(CONTROL!$C$15, $D$11, 100%, $F$11)</f>
        <v>41.634999999999998</v>
      </c>
      <c r="D956" s="8">
        <f>41.6388 * CHOOSE( CONTROL!$C$15, $D$11, 100%, $F$11)</f>
        <v>41.638800000000003</v>
      </c>
      <c r="E956" s="12">
        <f>41.6363 * CHOOSE( CONTROL!$C$15, $D$11, 100%, $F$11)</f>
        <v>41.636299999999999</v>
      </c>
      <c r="F956" s="4">
        <f>42.6318 * CHOOSE(CONTROL!$C$15, $D$11, 100%, $F$11)</f>
        <v>42.631799999999998</v>
      </c>
      <c r="G956" s="8">
        <f>40.5698 * CHOOSE( CONTROL!$C$15, $D$11, 100%, $F$11)</f>
        <v>40.569800000000001</v>
      </c>
      <c r="H956" s="4">
        <f>41.48 * CHOOSE(CONTROL!$C$15, $D$11, 100%, $F$11)</f>
        <v>41.48</v>
      </c>
      <c r="I956" s="8">
        <f>39.948 * CHOOSE(CONTROL!$C$15, $D$11, 100%, $F$11)</f>
        <v>39.948</v>
      </c>
      <c r="J956" s="4">
        <f>39.8799 * CHOOSE(CONTROL!$C$15, $D$11, 100%, $F$11)</f>
        <v>39.879899999999999</v>
      </c>
      <c r="K956" s="4"/>
      <c r="L956" s="9">
        <v>27.988800000000001</v>
      </c>
      <c r="M956" s="9">
        <v>11.6745</v>
      </c>
      <c r="N956" s="9">
        <v>4.7850000000000001</v>
      </c>
      <c r="O956" s="9">
        <v>0.36249999999999999</v>
      </c>
      <c r="P956" s="9">
        <v>1.1798</v>
      </c>
      <c r="Q956" s="9">
        <v>19.053000000000001</v>
      </c>
      <c r="R956" s="9"/>
      <c r="S956" s="11"/>
    </row>
    <row r="957" spans="1:19" ht="15.75">
      <c r="A957" s="13">
        <v>71010</v>
      </c>
      <c r="B957" s="8">
        <f>CHOOSE( CONTROL!$C$32, 42.7384, 42.7335) * CHOOSE(CONTROL!$C$15, $D$11, 100%, $F$11)</f>
        <v>42.738399999999999</v>
      </c>
      <c r="C957" s="8">
        <f>CHOOSE( CONTROL!$C$32, 42.7489, 42.7439) * CHOOSE(CONTROL!$C$15, $D$11, 100%, $F$11)</f>
        <v>42.748899999999999</v>
      </c>
      <c r="D957" s="8">
        <f>CHOOSE( CONTROL!$C$32, 42.7275, 42.7226) * CHOOSE( CONTROL!$C$15, $D$11, 100%, $F$11)</f>
        <v>42.727499999999999</v>
      </c>
      <c r="E957" s="12">
        <f>CHOOSE( CONTROL!$C$32, 42.7337, 42.7287) * CHOOSE( CONTROL!$C$15, $D$11, 100%, $F$11)</f>
        <v>42.733699999999999</v>
      </c>
      <c r="F957" s="4">
        <f>CHOOSE( CONTROL!$C$32, 43.7133, 43.7084) * CHOOSE(CONTROL!$C$15, $D$11, 100%, $F$11)</f>
        <v>43.713299999999997</v>
      </c>
      <c r="G957" s="8">
        <f>CHOOSE( CONTROL!$C$32, 41.637, 41.6322) * CHOOSE( CONTROL!$C$15, $D$11, 100%, $F$11)</f>
        <v>41.637</v>
      </c>
      <c r="H957" s="4">
        <f>CHOOSE( CONTROL!$C$32, 42.5343, 42.5294) * CHOOSE(CONTROL!$C$15, $D$11, 100%, $F$11)</f>
        <v>42.534300000000002</v>
      </c>
      <c r="I957" s="8">
        <f>CHOOSE( CONTROL!$C$32, 40.9944, 40.9897) * CHOOSE(CONTROL!$C$15, $D$11, 100%, $F$11)</f>
        <v>40.994399999999999</v>
      </c>
      <c r="J957" s="4">
        <f>CHOOSE( CONTROL!$C$32, 40.9472, 40.9425) * CHOOSE(CONTROL!$C$15, $D$11, 100%, $F$11)</f>
        <v>40.947200000000002</v>
      </c>
      <c r="K957" s="4"/>
      <c r="L957" s="9">
        <v>29.520499999999998</v>
      </c>
      <c r="M957" s="9">
        <v>12.063700000000001</v>
      </c>
      <c r="N957" s="9">
        <v>4.9444999999999997</v>
      </c>
      <c r="O957" s="9">
        <v>0.37459999999999999</v>
      </c>
      <c r="P957" s="9">
        <v>1.2192000000000001</v>
      </c>
      <c r="Q957" s="9">
        <v>19.688099999999999</v>
      </c>
      <c r="R957" s="9"/>
      <c r="S957" s="11"/>
    </row>
    <row r="958" spans="1:19" ht="15.75">
      <c r="A958" s="13">
        <v>71040</v>
      </c>
      <c r="B958" s="8">
        <f>CHOOSE( CONTROL!$C$32, 42.0515, 42.0465) * CHOOSE(CONTROL!$C$15, $D$11, 100%, $F$11)</f>
        <v>42.051499999999997</v>
      </c>
      <c r="C958" s="8">
        <f>CHOOSE( CONTROL!$C$32, 42.0619, 42.057) * CHOOSE(CONTROL!$C$15, $D$11, 100%, $F$11)</f>
        <v>42.061900000000001</v>
      </c>
      <c r="D958" s="8">
        <f>CHOOSE( CONTROL!$C$32, 42.054, 42.0491) * CHOOSE( CONTROL!$C$15, $D$11, 100%, $F$11)</f>
        <v>42.054000000000002</v>
      </c>
      <c r="E958" s="12">
        <f>CHOOSE( CONTROL!$C$32, 42.0553, 42.0504) * CHOOSE( CONTROL!$C$15, $D$11, 100%, $F$11)</f>
        <v>42.055300000000003</v>
      </c>
      <c r="F958" s="4">
        <f>CHOOSE( CONTROL!$C$32, 43.0457, 43.0407) * CHOOSE(CONTROL!$C$15, $D$11, 100%, $F$11)</f>
        <v>43.045699999999997</v>
      </c>
      <c r="G958" s="8">
        <f>CHOOSE( CONTROL!$C$32, 40.9778, 40.973) * CHOOSE( CONTROL!$C$15, $D$11, 100%, $F$11)</f>
        <v>40.977800000000002</v>
      </c>
      <c r="H958" s="4">
        <f>CHOOSE( CONTROL!$C$32, 41.8834, 41.8786) * CHOOSE(CONTROL!$C$15, $D$11, 100%, $F$11)</f>
        <v>41.883400000000002</v>
      </c>
      <c r="I958" s="8">
        <f>CHOOSE( CONTROL!$C$32, 40.3536, 40.3489) * CHOOSE(CONTROL!$C$15, $D$11, 100%, $F$11)</f>
        <v>40.3536</v>
      </c>
      <c r="J958" s="4">
        <f>CHOOSE( CONTROL!$C$32, 40.289, 40.2842) * CHOOSE(CONTROL!$C$15, $D$11, 100%, $F$11)</f>
        <v>40.289000000000001</v>
      </c>
      <c r="K958" s="4"/>
      <c r="L958" s="9">
        <v>28.568200000000001</v>
      </c>
      <c r="M958" s="9">
        <v>11.6745</v>
      </c>
      <c r="N958" s="9">
        <v>4.7850000000000001</v>
      </c>
      <c r="O958" s="9">
        <v>0.36249999999999999</v>
      </c>
      <c r="P958" s="9">
        <v>1.1798</v>
      </c>
      <c r="Q958" s="9">
        <v>19.053000000000001</v>
      </c>
      <c r="R958" s="9"/>
      <c r="S958" s="11"/>
    </row>
    <row r="959" spans="1:19" ht="15.75">
      <c r="A959" s="13">
        <v>71071</v>
      </c>
      <c r="B959" s="8">
        <f>CHOOSE( CONTROL!$C$32, 43.8605, 43.8556) * CHOOSE(CONTROL!$C$15, $D$11, 100%, $F$11)</f>
        <v>43.860500000000002</v>
      </c>
      <c r="C959" s="8">
        <f>CHOOSE( CONTROL!$C$32, 43.871, 43.866) * CHOOSE(CONTROL!$C$15, $D$11, 100%, $F$11)</f>
        <v>43.871000000000002</v>
      </c>
      <c r="D959" s="8">
        <f>CHOOSE( CONTROL!$C$32, 43.87, 43.865) * CHOOSE( CONTROL!$C$15, $D$11, 100%, $F$11)</f>
        <v>43.87</v>
      </c>
      <c r="E959" s="12">
        <f>CHOOSE( CONTROL!$C$32, 43.8688, 43.8638) * CHOOSE( CONTROL!$C$15, $D$11, 100%, $F$11)</f>
        <v>43.8688</v>
      </c>
      <c r="F959" s="4">
        <f>CHOOSE( CONTROL!$C$32, 44.8652, 44.8602) * CHOOSE(CONTROL!$C$15, $D$11, 100%, $F$11)</f>
        <v>44.865200000000002</v>
      </c>
      <c r="G959" s="8">
        <f>CHOOSE( CONTROL!$C$32, 42.7453, 42.7405) * CHOOSE( CONTROL!$C$15, $D$11, 100%, $F$11)</f>
        <v>42.7453</v>
      </c>
      <c r="H959" s="4">
        <f>CHOOSE( CONTROL!$C$32, 43.657, 43.6522) * CHOOSE(CONTROL!$C$15, $D$11, 100%, $F$11)</f>
        <v>43.656999999999996</v>
      </c>
      <c r="I959" s="8">
        <f>CHOOSE( CONTROL!$C$32, 42.0956, 42.0909) * CHOOSE(CONTROL!$C$15, $D$11, 100%, $F$11)</f>
        <v>42.095599999999997</v>
      </c>
      <c r="J959" s="4">
        <f>CHOOSE( CONTROL!$C$32, 42.0224, 42.0177) * CHOOSE(CONTROL!$C$15, $D$11, 100%, $F$11)</f>
        <v>42.022399999999998</v>
      </c>
      <c r="K959" s="4"/>
      <c r="L959" s="9">
        <v>29.520499999999998</v>
      </c>
      <c r="M959" s="9">
        <v>12.063700000000001</v>
      </c>
      <c r="N959" s="9">
        <v>4.9444999999999997</v>
      </c>
      <c r="O959" s="9">
        <v>0.37459999999999999</v>
      </c>
      <c r="P959" s="9">
        <v>1.2192000000000001</v>
      </c>
      <c r="Q959" s="9">
        <v>19.688099999999999</v>
      </c>
      <c r="R959" s="9"/>
      <c r="S959" s="11"/>
    </row>
    <row r="960" spans="1:19" ht="15.75">
      <c r="A960" s="13">
        <v>71102</v>
      </c>
      <c r="B960" s="8">
        <f>CHOOSE( CONTROL!$C$32, 40.4756, 40.4706) * CHOOSE(CONTROL!$C$15, $D$11, 100%, $F$11)</f>
        <v>40.4756</v>
      </c>
      <c r="C960" s="8">
        <f>CHOOSE( CONTROL!$C$32, 40.486, 40.4811) * CHOOSE(CONTROL!$C$15, $D$11, 100%, $F$11)</f>
        <v>40.485999999999997</v>
      </c>
      <c r="D960" s="8">
        <f>CHOOSE( CONTROL!$C$32, 40.4862, 40.4812) * CHOOSE( CONTROL!$C$15, $D$11, 100%, $F$11)</f>
        <v>40.486199999999997</v>
      </c>
      <c r="E960" s="12">
        <f>CHOOSE( CONTROL!$C$32, 40.4845, 40.4796) * CHOOSE( CONTROL!$C$15, $D$11, 100%, $F$11)</f>
        <v>40.484499999999997</v>
      </c>
      <c r="F960" s="4">
        <f>CHOOSE( CONTROL!$C$32, 41.488, 41.4831) * CHOOSE(CONTROL!$C$15, $D$11, 100%, $F$11)</f>
        <v>41.488</v>
      </c>
      <c r="G960" s="8">
        <f>CHOOSE( CONTROL!$C$32, 39.4409, 39.4361) * CHOOSE( CONTROL!$C$15, $D$11, 100%, $F$11)</f>
        <v>39.440899999999999</v>
      </c>
      <c r="H960" s="4">
        <f>CHOOSE( CONTROL!$C$32, 40.3651, 40.3603) * CHOOSE(CONTROL!$C$15, $D$11, 100%, $F$11)</f>
        <v>40.365099999999998</v>
      </c>
      <c r="I960" s="8">
        <f>CHOOSE( CONTROL!$C$32, 38.8415, 38.8367) * CHOOSE(CONTROL!$C$15, $D$11, 100%, $F$11)</f>
        <v>38.841500000000003</v>
      </c>
      <c r="J960" s="4">
        <f>CHOOSE( CONTROL!$C$32, 38.7789, 38.7742) * CHOOSE(CONTROL!$C$15, $D$11, 100%, $F$11)</f>
        <v>38.7789</v>
      </c>
      <c r="K960" s="4"/>
      <c r="L960" s="9">
        <v>29.520499999999998</v>
      </c>
      <c r="M960" s="9">
        <v>12.063700000000001</v>
      </c>
      <c r="N960" s="9">
        <v>4.9444999999999997</v>
      </c>
      <c r="O960" s="9">
        <v>0.37459999999999999</v>
      </c>
      <c r="P960" s="9">
        <v>1.2192000000000001</v>
      </c>
      <c r="Q960" s="9">
        <v>19.688099999999999</v>
      </c>
      <c r="R960" s="9"/>
      <c r="S960" s="11"/>
    </row>
    <row r="961" spans="1:19" ht="15.75">
      <c r="A961" s="13">
        <v>71132</v>
      </c>
      <c r="B961" s="8">
        <f>CHOOSE( CONTROL!$C$32, 39.6279, 39.623) * CHOOSE(CONTROL!$C$15, $D$11, 100%, $F$11)</f>
        <v>39.627899999999997</v>
      </c>
      <c r="C961" s="8">
        <f>CHOOSE( CONTROL!$C$32, 39.6384, 39.6334) * CHOOSE(CONTROL!$C$15, $D$11, 100%, $F$11)</f>
        <v>39.638399999999997</v>
      </c>
      <c r="D961" s="8">
        <f>CHOOSE( CONTROL!$C$32, 39.6388, 39.6339) * CHOOSE( CONTROL!$C$15, $D$11, 100%, $F$11)</f>
        <v>39.638800000000003</v>
      </c>
      <c r="E961" s="12">
        <f>CHOOSE( CONTROL!$C$32, 39.6371, 39.6321) * CHOOSE( CONTROL!$C$15, $D$11, 100%, $F$11)</f>
        <v>39.637099999999997</v>
      </c>
      <c r="F961" s="4">
        <f>CHOOSE( CONTROL!$C$32, 40.6404, 40.6355) * CHOOSE(CONTROL!$C$15, $D$11, 100%, $F$11)</f>
        <v>40.6404</v>
      </c>
      <c r="G961" s="8">
        <f>CHOOSE( CONTROL!$C$32, 38.6151, 38.6103) * CHOOSE( CONTROL!$C$15, $D$11, 100%, $F$11)</f>
        <v>38.615099999999998</v>
      </c>
      <c r="H961" s="4">
        <f>CHOOSE( CONTROL!$C$32, 39.5389, 39.534) * CHOOSE(CONTROL!$C$15, $D$11, 100%, $F$11)</f>
        <v>39.538899999999998</v>
      </c>
      <c r="I961" s="8">
        <f>CHOOSE( CONTROL!$C$32, 38.0303, 38.0255) * CHOOSE(CONTROL!$C$15, $D$11, 100%, $F$11)</f>
        <v>38.030299999999997</v>
      </c>
      <c r="J961" s="4">
        <f>CHOOSE( CONTROL!$C$32, 37.9667, 37.962) * CHOOSE(CONTROL!$C$15, $D$11, 100%, $F$11)</f>
        <v>37.966700000000003</v>
      </c>
      <c r="K961" s="4"/>
      <c r="L961" s="9">
        <v>28.568200000000001</v>
      </c>
      <c r="M961" s="9">
        <v>11.6745</v>
      </c>
      <c r="N961" s="9">
        <v>4.7850000000000001</v>
      </c>
      <c r="O961" s="9">
        <v>0.36249999999999999</v>
      </c>
      <c r="P961" s="9">
        <v>1.1798</v>
      </c>
      <c r="Q961" s="9">
        <v>19.053000000000001</v>
      </c>
      <c r="R961" s="9"/>
      <c r="S961" s="11"/>
    </row>
    <row r="962" spans="1:19" ht="15.75">
      <c r="A962" s="13">
        <v>71163</v>
      </c>
      <c r="B962" s="8">
        <f>41.383 * CHOOSE(CONTROL!$C$15, $D$11, 100%, $F$11)</f>
        <v>41.383000000000003</v>
      </c>
      <c r="C962" s="8">
        <f>41.3934 * CHOOSE(CONTROL!$C$15, $D$11, 100%, $F$11)</f>
        <v>41.3934</v>
      </c>
      <c r="D962" s="8">
        <f>41.3951 * CHOOSE( CONTROL!$C$15, $D$11, 100%, $F$11)</f>
        <v>41.395099999999999</v>
      </c>
      <c r="E962" s="12">
        <f>41.3934 * CHOOSE( CONTROL!$C$15, $D$11, 100%, $F$11)</f>
        <v>41.3934</v>
      </c>
      <c r="F962" s="4">
        <f>42.3955 * CHOOSE(CONTROL!$C$15, $D$11, 100%, $F$11)</f>
        <v>42.395499999999998</v>
      </c>
      <c r="G962" s="8">
        <f>40.3255 * CHOOSE( CONTROL!$C$15, $D$11, 100%, $F$11)</f>
        <v>40.325499999999998</v>
      </c>
      <c r="H962" s="4">
        <f>41.2496 * CHOOSE(CONTROL!$C$15, $D$11, 100%, $F$11)</f>
        <v>41.249600000000001</v>
      </c>
      <c r="I962" s="8">
        <f>39.7151 * CHOOSE(CONTROL!$C$15, $D$11, 100%, $F$11)</f>
        <v>39.7151</v>
      </c>
      <c r="J962" s="4">
        <f>39.6484 * CHOOSE(CONTROL!$C$15, $D$11, 100%, $F$11)</f>
        <v>39.648400000000002</v>
      </c>
      <c r="K962" s="4"/>
      <c r="L962" s="9">
        <v>28.921800000000001</v>
      </c>
      <c r="M962" s="9">
        <v>12.063700000000001</v>
      </c>
      <c r="N962" s="9">
        <v>4.9444999999999997</v>
      </c>
      <c r="O962" s="9">
        <v>0.37459999999999999</v>
      </c>
      <c r="P962" s="9">
        <v>1.2192000000000001</v>
      </c>
      <c r="Q962" s="9">
        <v>19.688099999999999</v>
      </c>
      <c r="R962" s="9"/>
      <c r="S962" s="11"/>
    </row>
    <row r="963" spans="1:19" ht="15.75">
      <c r="A963" s="13">
        <v>71193</v>
      </c>
      <c r="B963" s="8">
        <f>44.6315 * CHOOSE(CONTROL!$C$15, $D$11, 100%, $F$11)</f>
        <v>44.631500000000003</v>
      </c>
      <c r="C963" s="8">
        <f>44.642 * CHOOSE(CONTROL!$C$15, $D$11, 100%, $F$11)</f>
        <v>44.642000000000003</v>
      </c>
      <c r="D963" s="8">
        <f>44.623 * CHOOSE( CONTROL!$C$15, $D$11, 100%, $F$11)</f>
        <v>44.622999999999998</v>
      </c>
      <c r="E963" s="12">
        <f>44.6288 * CHOOSE( CONTROL!$C$15, $D$11, 100%, $F$11)</f>
        <v>44.628799999999998</v>
      </c>
      <c r="F963" s="4">
        <f>45.6284 * CHOOSE(CONTROL!$C$15, $D$11, 100%, $F$11)</f>
        <v>45.628399999999999</v>
      </c>
      <c r="G963" s="8">
        <f>43.5151 * CHOOSE( CONTROL!$C$15, $D$11, 100%, $F$11)</f>
        <v>43.515099999999997</v>
      </c>
      <c r="H963" s="4">
        <f>44.401 * CHOOSE(CONTROL!$C$15, $D$11, 100%, $F$11)</f>
        <v>44.401000000000003</v>
      </c>
      <c r="I963" s="8">
        <f>42.8759 * CHOOSE(CONTROL!$C$15, $D$11, 100%, $F$11)</f>
        <v>42.875900000000001</v>
      </c>
      <c r="J963" s="4">
        <f>42.7612 * CHOOSE(CONTROL!$C$15, $D$11, 100%, $F$11)</f>
        <v>42.761200000000002</v>
      </c>
      <c r="K963" s="4"/>
      <c r="L963" s="9">
        <v>26.515499999999999</v>
      </c>
      <c r="M963" s="9">
        <v>11.6745</v>
      </c>
      <c r="N963" s="9">
        <v>4.7850000000000001</v>
      </c>
      <c r="O963" s="9">
        <v>0.36249999999999999</v>
      </c>
      <c r="P963" s="9">
        <v>1.2522</v>
      </c>
      <c r="Q963" s="9">
        <v>19.053000000000001</v>
      </c>
      <c r="R963" s="9"/>
      <c r="S963" s="11"/>
    </row>
    <row r="964" spans="1:19" ht="15.75">
      <c r="A964" s="13">
        <v>71224</v>
      </c>
      <c r="B964" s="8">
        <f>44.5504 * CHOOSE(CONTROL!$C$15, $D$11, 100%, $F$11)</f>
        <v>44.550400000000003</v>
      </c>
      <c r="C964" s="8">
        <f>44.5608 * CHOOSE(CONTROL!$C$15, $D$11, 100%, $F$11)</f>
        <v>44.5608</v>
      </c>
      <c r="D964" s="8">
        <f>44.5444 * CHOOSE( CONTROL!$C$15, $D$11, 100%, $F$11)</f>
        <v>44.544400000000003</v>
      </c>
      <c r="E964" s="12">
        <f>44.5493 * CHOOSE( CONTROL!$C$15, $D$11, 100%, $F$11)</f>
        <v>44.549300000000002</v>
      </c>
      <c r="F964" s="4">
        <f>45.5472 * CHOOSE(CONTROL!$C$15, $D$11, 100%, $F$11)</f>
        <v>45.547199999999997</v>
      </c>
      <c r="G964" s="8">
        <f>43.4379 * CHOOSE( CONTROL!$C$15, $D$11, 100%, $F$11)</f>
        <v>43.437899999999999</v>
      </c>
      <c r="H964" s="4">
        <f>44.3218 * CHOOSE(CONTROL!$C$15, $D$11, 100%, $F$11)</f>
        <v>44.321800000000003</v>
      </c>
      <c r="I964" s="8">
        <f>42.8069 * CHOOSE(CONTROL!$C$15, $D$11, 100%, $F$11)</f>
        <v>42.806899999999999</v>
      </c>
      <c r="J964" s="4">
        <f>42.6834 * CHOOSE(CONTROL!$C$15, $D$11, 100%, $F$11)</f>
        <v>42.683399999999999</v>
      </c>
      <c r="K964" s="4"/>
      <c r="L964" s="9">
        <v>27.3993</v>
      </c>
      <c r="M964" s="9">
        <v>12.063700000000001</v>
      </c>
      <c r="N964" s="9">
        <v>4.9444999999999997</v>
      </c>
      <c r="O964" s="9">
        <v>0.37459999999999999</v>
      </c>
      <c r="P964" s="9">
        <v>1.2939000000000001</v>
      </c>
      <c r="Q964" s="9">
        <v>19.688099999999999</v>
      </c>
      <c r="R964" s="9"/>
      <c r="S964" s="11"/>
    </row>
    <row r="965" spans="1:19" ht="15.75">
      <c r="A965" s="13">
        <v>71255</v>
      </c>
      <c r="B965" s="8">
        <f>46.2529 * CHOOSE(CONTROL!$C$15, $D$11, 100%, $F$11)</f>
        <v>46.252899999999997</v>
      </c>
      <c r="C965" s="8">
        <f>46.2633 * CHOOSE(CONTROL!$C$15, $D$11, 100%, $F$11)</f>
        <v>46.263300000000001</v>
      </c>
      <c r="D965" s="8">
        <f>46.2619 * CHOOSE( CONTROL!$C$15, $D$11, 100%, $F$11)</f>
        <v>46.261899999999997</v>
      </c>
      <c r="E965" s="12">
        <f>46.2613 * CHOOSE( CONTROL!$C$15, $D$11, 100%, $F$11)</f>
        <v>46.261299999999999</v>
      </c>
      <c r="F965" s="4">
        <f>47.2758 * CHOOSE(CONTROL!$C$15, $D$11, 100%, $F$11)</f>
        <v>47.275799999999997</v>
      </c>
      <c r="G965" s="8">
        <f>45.1143 * CHOOSE( CONTROL!$C$15, $D$11, 100%, $F$11)</f>
        <v>45.1143</v>
      </c>
      <c r="H965" s="4">
        <f>46.0068 * CHOOSE(CONTROL!$C$15, $D$11, 100%, $F$11)</f>
        <v>46.006799999999998</v>
      </c>
      <c r="I965" s="8">
        <f>44.4455 * CHOOSE(CONTROL!$C$15, $D$11, 100%, $F$11)</f>
        <v>44.445500000000003</v>
      </c>
      <c r="J965" s="4">
        <f>44.3147 * CHOOSE(CONTROL!$C$15, $D$11, 100%, $F$11)</f>
        <v>44.314700000000002</v>
      </c>
      <c r="K965" s="4"/>
      <c r="L965" s="9">
        <v>27.3993</v>
      </c>
      <c r="M965" s="9">
        <v>12.063700000000001</v>
      </c>
      <c r="N965" s="9">
        <v>4.9444999999999997</v>
      </c>
      <c r="O965" s="9">
        <v>0.37459999999999999</v>
      </c>
      <c r="P965" s="9">
        <v>1.2939000000000001</v>
      </c>
      <c r="Q965" s="9">
        <v>19.688099999999999</v>
      </c>
      <c r="R965" s="9"/>
      <c r="S965" s="11"/>
    </row>
    <row r="966" spans="1:19" ht="15.75">
      <c r="A966" s="13">
        <v>71283</v>
      </c>
      <c r="B966" s="8">
        <f>43.263 * CHOOSE(CONTROL!$C$15, $D$11, 100%, $F$11)</f>
        <v>43.262999999999998</v>
      </c>
      <c r="C966" s="8">
        <f>43.2735 * CHOOSE(CONTROL!$C$15, $D$11, 100%, $F$11)</f>
        <v>43.273499999999999</v>
      </c>
      <c r="D966" s="8">
        <f>43.2743 * CHOOSE( CONTROL!$C$15, $D$11, 100%, $F$11)</f>
        <v>43.274299999999997</v>
      </c>
      <c r="E966" s="12">
        <f>43.2729 * CHOOSE( CONTROL!$C$15, $D$11, 100%, $F$11)</f>
        <v>43.2729</v>
      </c>
      <c r="F966" s="4">
        <f>44.2781 * CHOOSE(CONTROL!$C$15, $D$11, 100%, $F$11)</f>
        <v>44.278100000000002</v>
      </c>
      <c r="G966" s="8">
        <f>42.1997 * CHOOSE( CONTROL!$C$15, $D$11, 100%, $F$11)</f>
        <v>42.1997</v>
      </c>
      <c r="H966" s="4">
        <f>43.0848 * CHOOSE(CONTROL!$C$15, $D$11, 100%, $F$11)</f>
        <v>43.084800000000001</v>
      </c>
      <c r="I966" s="8">
        <f>41.5683 * CHOOSE(CONTROL!$C$15, $D$11, 100%, $F$11)</f>
        <v>41.568300000000001</v>
      </c>
      <c r="J966" s="4">
        <f>41.4499 * CHOOSE(CONTROL!$C$15, $D$11, 100%, $F$11)</f>
        <v>41.4499</v>
      </c>
      <c r="K966" s="4"/>
      <c r="L966" s="9">
        <v>24.747800000000002</v>
      </c>
      <c r="M966" s="9">
        <v>10.8962</v>
      </c>
      <c r="N966" s="9">
        <v>4.4660000000000002</v>
      </c>
      <c r="O966" s="9">
        <v>0.33829999999999999</v>
      </c>
      <c r="P966" s="9">
        <v>1.1687000000000001</v>
      </c>
      <c r="Q966" s="9">
        <v>17.782800000000002</v>
      </c>
      <c r="R966" s="9"/>
      <c r="S966" s="11"/>
    </row>
    <row r="967" spans="1:19" ht="15.75">
      <c r="A967" s="13">
        <v>71314</v>
      </c>
      <c r="B967" s="8">
        <f>42.3422 * CHOOSE(CONTROL!$C$15, $D$11, 100%, $F$11)</f>
        <v>42.342199999999998</v>
      </c>
      <c r="C967" s="8">
        <f>42.3526 * CHOOSE(CONTROL!$C$15, $D$11, 100%, $F$11)</f>
        <v>42.352600000000002</v>
      </c>
      <c r="D967" s="8">
        <f>42.3331 * CHOOSE( CONTROL!$C$15, $D$11, 100%, $F$11)</f>
        <v>42.333100000000002</v>
      </c>
      <c r="E967" s="12">
        <f>42.3391 * CHOOSE( CONTROL!$C$15, $D$11, 100%, $F$11)</f>
        <v>42.339100000000002</v>
      </c>
      <c r="F967" s="4">
        <f>43.3411 * CHOOSE(CONTROL!$C$15, $D$11, 100%, $F$11)</f>
        <v>43.341099999999997</v>
      </c>
      <c r="G967" s="8">
        <f>41.2814 * CHOOSE( CONTROL!$C$15, $D$11, 100%, $F$11)</f>
        <v>41.281399999999998</v>
      </c>
      <c r="H967" s="4">
        <f>42.1714 * CHOOSE(CONTROL!$C$15, $D$11, 100%, $F$11)</f>
        <v>42.171399999999998</v>
      </c>
      <c r="I967" s="8">
        <f>40.6459 * CHOOSE(CONTROL!$C$15, $D$11, 100%, $F$11)</f>
        <v>40.645899999999997</v>
      </c>
      <c r="J967" s="4">
        <f>40.5675 * CHOOSE(CONTROL!$C$15, $D$11, 100%, $F$11)</f>
        <v>40.567500000000003</v>
      </c>
      <c r="K967" s="4"/>
      <c r="L967" s="9">
        <v>27.3993</v>
      </c>
      <c r="M967" s="9">
        <v>12.063700000000001</v>
      </c>
      <c r="N967" s="9">
        <v>4.9444999999999997</v>
      </c>
      <c r="O967" s="9">
        <v>0.37459999999999999</v>
      </c>
      <c r="P967" s="9">
        <v>1.2939000000000001</v>
      </c>
      <c r="Q967" s="9">
        <v>19.688099999999999</v>
      </c>
      <c r="R967" s="9"/>
      <c r="S967" s="11"/>
    </row>
    <row r="968" spans="1:19" ht="15.75">
      <c r="A968" s="13">
        <v>71344</v>
      </c>
      <c r="B968" s="8">
        <f>42.9856 * CHOOSE(CONTROL!$C$15, $D$11, 100%, $F$11)</f>
        <v>42.985599999999998</v>
      </c>
      <c r="C968" s="8">
        <f>42.9961 * CHOOSE(CONTROL!$C$15, $D$11, 100%, $F$11)</f>
        <v>42.996099999999998</v>
      </c>
      <c r="D968" s="8">
        <f>42.9999 * CHOOSE( CONTROL!$C$15, $D$11, 100%, $F$11)</f>
        <v>42.999899999999997</v>
      </c>
      <c r="E968" s="12">
        <f>42.9974 * CHOOSE( CONTROL!$C$15, $D$11, 100%, $F$11)</f>
        <v>42.997399999999999</v>
      </c>
      <c r="F968" s="4">
        <f>43.9929 * CHOOSE(CONTROL!$C$15, $D$11, 100%, $F$11)</f>
        <v>43.992899999999999</v>
      </c>
      <c r="G968" s="8">
        <f>41.8966 * CHOOSE( CONTROL!$C$15, $D$11, 100%, $F$11)</f>
        <v>41.896599999999999</v>
      </c>
      <c r="H968" s="4">
        <f>42.8068 * CHOOSE(CONTROL!$C$15, $D$11, 100%, $F$11)</f>
        <v>42.806800000000003</v>
      </c>
      <c r="I968" s="8">
        <f>41.2529 * CHOOSE(CONTROL!$C$15, $D$11, 100%, $F$11)</f>
        <v>41.252899999999997</v>
      </c>
      <c r="J968" s="4">
        <f>41.1841 * CHOOSE(CONTROL!$C$15, $D$11, 100%, $F$11)</f>
        <v>41.184100000000001</v>
      </c>
      <c r="K968" s="4"/>
      <c r="L968" s="9">
        <v>27.988800000000001</v>
      </c>
      <c r="M968" s="9">
        <v>11.6745</v>
      </c>
      <c r="N968" s="9">
        <v>4.7850000000000001</v>
      </c>
      <c r="O968" s="9">
        <v>0.36249999999999999</v>
      </c>
      <c r="P968" s="9">
        <v>1.1798</v>
      </c>
      <c r="Q968" s="9">
        <v>19.053000000000001</v>
      </c>
      <c r="R968" s="9"/>
      <c r="S968" s="11"/>
    </row>
    <row r="969" spans="1:19" ht="15.75">
      <c r="A969" s="13">
        <v>71375</v>
      </c>
      <c r="B969" s="8">
        <f>CHOOSE( CONTROL!$C$32, 44.1358, 44.1309) * CHOOSE(CONTROL!$C$15, $D$11, 100%, $F$11)</f>
        <v>44.135800000000003</v>
      </c>
      <c r="C969" s="8">
        <f>CHOOSE( CONTROL!$C$32, 44.1463, 44.1413) * CHOOSE(CONTROL!$C$15, $D$11, 100%, $F$11)</f>
        <v>44.146299999999997</v>
      </c>
      <c r="D969" s="8">
        <f>CHOOSE( CONTROL!$C$32, 44.1249, 44.12) * CHOOSE( CONTROL!$C$15, $D$11, 100%, $F$11)</f>
        <v>44.124899999999997</v>
      </c>
      <c r="E969" s="12">
        <f>CHOOSE( CONTROL!$C$32, 44.1311, 44.1261) * CHOOSE( CONTROL!$C$15, $D$11, 100%, $F$11)</f>
        <v>44.131100000000004</v>
      </c>
      <c r="F969" s="4">
        <f>CHOOSE( CONTROL!$C$32, 45.1107, 45.1058) * CHOOSE(CONTROL!$C$15, $D$11, 100%, $F$11)</f>
        <v>45.110700000000001</v>
      </c>
      <c r="G969" s="8">
        <f>CHOOSE( CONTROL!$C$32, 42.9991, 42.9943) * CHOOSE( CONTROL!$C$15, $D$11, 100%, $F$11)</f>
        <v>42.999099999999999</v>
      </c>
      <c r="H969" s="4">
        <f>CHOOSE( CONTROL!$C$32, 43.8964, 43.8916) * CHOOSE(CONTROL!$C$15, $D$11, 100%, $F$11)</f>
        <v>43.8964</v>
      </c>
      <c r="I969" s="8">
        <f>CHOOSE( CONTROL!$C$32, 42.334, 42.3293) * CHOOSE(CONTROL!$C$15, $D$11, 100%, $F$11)</f>
        <v>42.334000000000003</v>
      </c>
      <c r="J969" s="4">
        <f>CHOOSE( CONTROL!$C$32, 42.2862, 42.2815) * CHOOSE(CONTROL!$C$15, $D$11, 100%, $F$11)</f>
        <v>42.286200000000001</v>
      </c>
      <c r="K969" s="4"/>
      <c r="L969" s="9">
        <v>29.520499999999998</v>
      </c>
      <c r="M969" s="9">
        <v>12.063700000000001</v>
      </c>
      <c r="N969" s="9">
        <v>4.9444999999999997</v>
      </c>
      <c r="O969" s="9">
        <v>0.37459999999999999</v>
      </c>
      <c r="P969" s="9">
        <v>1.2192000000000001</v>
      </c>
      <c r="Q969" s="9">
        <v>19.688099999999999</v>
      </c>
      <c r="R969" s="9"/>
      <c r="S969" s="11"/>
    </row>
    <row r="970" spans="1:19" ht="15.75">
      <c r="A970" s="13">
        <v>71405</v>
      </c>
      <c r="B970" s="8">
        <f>CHOOSE( CONTROL!$C$32, 43.4264, 43.4214) * CHOOSE(CONTROL!$C$15, $D$11, 100%, $F$11)</f>
        <v>43.426400000000001</v>
      </c>
      <c r="C970" s="8">
        <f>CHOOSE( CONTROL!$C$32, 43.4368, 43.4319) * CHOOSE(CONTROL!$C$15, $D$11, 100%, $F$11)</f>
        <v>43.436799999999998</v>
      </c>
      <c r="D970" s="8">
        <f>CHOOSE( CONTROL!$C$32, 43.4289, 43.424) * CHOOSE( CONTROL!$C$15, $D$11, 100%, $F$11)</f>
        <v>43.428899999999999</v>
      </c>
      <c r="E970" s="12">
        <f>CHOOSE( CONTROL!$C$32, 43.4302, 43.4253) * CHOOSE( CONTROL!$C$15, $D$11, 100%, $F$11)</f>
        <v>43.430199999999999</v>
      </c>
      <c r="F970" s="4">
        <f>CHOOSE( CONTROL!$C$32, 44.4206, 44.4156) * CHOOSE(CONTROL!$C$15, $D$11, 100%, $F$11)</f>
        <v>44.4206</v>
      </c>
      <c r="G970" s="8">
        <f>CHOOSE( CONTROL!$C$32, 42.318, 42.3132) * CHOOSE( CONTROL!$C$15, $D$11, 100%, $F$11)</f>
        <v>42.317999999999998</v>
      </c>
      <c r="H970" s="4">
        <f>CHOOSE( CONTROL!$C$32, 43.2237, 43.2188) * CHOOSE(CONTROL!$C$15, $D$11, 100%, $F$11)</f>
        <v>43.223700000000001</v>
      </c>
      <c r="I970" s="8">
        <f>CHOOSE( CONTROL!$C$32, 41.6717, 41.667) * CHOOSE(CONTROL!$C$15, $D$11, 100%, $F$11)</f>
        <v>41.671700000000001</v>
      </c>
      <c r="J970" s="4">
        <f>CHOOSE( CONTROL!$C$32, 41.6064, 41.6017) * CHOOSE(CONTROL!$C$15, $D$11, 100%, $F$11)</f>
        <v>41.606400000000001</v>
      </c>
      <c r="K970" s="4"/>
      <c r="L970" s="9">
        <v>28.568200000000001</v>
      </c>
      <c r="M970" s="9">
        <v>11.6745</v>
      </c>
      <c r="N970" s="9">
        <v>4.7850000000000001</v>
      </c>
      <c r="O970" s="9">
        <v>0.36249999999999999</v>
      </c>
      <c r="P970" s="9">
        <v>1.1798</v>
      </c>
      <c r="Q970" s="9">
        <v>19.053000000000001</v>
      </c>
      <c r="R970" s="9"/>
      <c r="S970" s="11"/>
    </row>
    <row r="971" spans="1:19" ht="15.75">
      <c r="A971" s="13">
        <v>71436</v>
      </c>
      <c r="B971" s="8">
        <f>CHOOSE( CONTROL!$C$32, 45.2946, 45.2897) * CHOOSE(CONTROL!$C$15, $D$11, 100%, $F$11)</f>
        <v>45.294600000000003</v>
      </c>
      <c r="C971" s="8">
        <f>CHOOSE( CONTROL!$C$32, 45.305, 45.3001) * CHOOSE(CONTROL!$C$15, $D$11, 100%, $F$11)</f>
        <v>45.305</v>
      </c>
      <c r="D971" s="8">
        <f>CHOOSE( CONTROL!$C$32, 45.304, 45.2991) * CHOOSE( CONTROL!$C$15, $D$11, 100%, $F$11)</f>
        <v>45.304000000000002</v>
      </c>
      <c r="E971" s="12">
        <f>CHOOSE( CONTROL!$C$32, 45.3028, 45.2979) * CHOOSE( CONTROL!$C$15, $D$11, 100%, $F$11)</f>
        <v>45.302799999999998</v>
      </c>
      <c r="F971" s="4">
        <f>CHOOSE( CONTROL!$C$32, 46.2992, 46.2943) * CHOOSE(CONTROL!$C$15, $D$11, 100%, $F$11)</f>
        <v>46.299199999999999</v>
      </c>
      <c r="G971" s="8">
        <f>CHOOSE( CONTROL!$C$32, 44.1432, 44.1384) * CHOOSE( CONTROL!$C$15, $D$11, 100%, $F$11)</f>
        <v>44.1432</v>
      </c>
      <c r="H971" s="4">
        <f>CHOOSE( CONTROL!$C$32, 45.0549, 45.0501) * CHOOSE(CONTROL!$C$15, $D$11, 100%, $F$11)</f>
        <v>45.054900000000004</v>
      </c>
      <c r="I971" s="8">
        <f>CHOOSE( CONTROL!$C$32, 43.4704, 43.4657) * CHOOSE(CONTROL!$C$15, $D$11, 100%, $F$11)</f>
        <v>43.470399999999998</v>
      </c>
      <c r="J971" s="4">
        <f>CHOOSE( CONTROL!$C$32, 43.3965, 43.3918) * CHOOSE(CONTROL!$C$15, $D$11, 100%, $F$11)</f>
        <v>43.396500000000003</v>
      </c>
      <c r="K971" s="4"/>
      <c r="L971" s="9">
        <v>29.520499999999998</v>
      </c>
      <c r="M971" s="9">
        <v>12.063700000000001</v>
      </c>
      <c r="N971" s="9">
        <v>4.9444999999999997</v>
      </c>
      <c r="O971" s="9">
        <v>0.37459999999999999</v>
      </c>
      <c r="P971" s="9">
        <v>1.2192000000000001</v>
      </c>
      <c r="Q971" s="9">
        <v>19.688099999999999</v>
      </c>
      <c r="R971" s="9"/>
      <c r="S971" s="11"/>
    </row>
    <row r="972" spans="1:19" ht="15.75">
      <c r="A972" s="13">
        <v>71467</v>
      </c>
      <c r="B972" s="8">
        <f>CHOOSE( CONTROL!$C$32, 41.799, 41.794) * CHOOSE(CONTROL!$C$15, $D$11, 100%, $F$11)</f>
        <v>41.798999999999999</v>
      </c>
      <c r="C972" s="8">
        <f>CHOOSE( CONTROL!$C$32, 41.8094, 41.8045) * CHOOSE(CONTROL!$C$15, $D$11, 100%, $F$11)</f>
        <v>41.809399999999997</v>
      </c>
      <c r="D972" s="8">
        <f>CHOOSE( CONTROL!$C$32, 41.8095, 41.8046) * CHOOSE( CONTROL!$C$15, $D$11, 100%, $F$11)</f>
        <v>41.8095</v>
      </c>
      <c r="E972" s="12">
        <f>CHOOSE( CONTROL!$C$32, 41.8079, 41.803) * CHOOSE( CONTROL!$C$15, $D$11, 100%, $F$11)</f>
        <v>41.807899999999997</v>
      </c>
      <c r="F972" s="4">
        <f>CHOOSE( CONTROL!$C$32, 42.8114, 42.8065) * CHOOSE(CONTROL!$C$15, $D$11, 100%, $F$11)</f>
        <v>42.811399999999999</v>
      </c>
      <c r="G972" s="8">
        <f>CHOOSE( CONTROL!$C$32, 40.7309, 40.7261) * CHOOSE( CONTROL!$C$15, $D$11, 100%, $F$11)</f>
        <v>40.730899999999998</v>
      </c>
      <c r="H972" s="4">
        <f>CHOOSE( CONTROL!$C$32, 41.6551, 41.6503) * CHOOSE(CONTROL!$C$15, $D$11, 100%, $F$11)</f>
        <v>41.655099999999997</v>
      </c>
      <c r="I972" s="8">
        <f>CHOOSE( CONTROL!$C$32, 40.1102, 40.1054) * CHOOSE(CONTROL!$C$15, $D$11, 100%, $F$11)</f>
        <v>40.110199999999999</v>
      </c>
      <c r="J972" s="4">
        <f>CHOOSE( CONTROL!$C$32, 40.047, 40.0423) * CHOOSE(CONTROL!$C$15, $D$11, 100%, $F$11)</f>
        <v>40.046999999999997</v>
      </c>
      <c r="K972" s="4"/>
      <c r="L972" s="9">
        <v>29.520499999999998</v>
      </c>
      <c r="M972" s="9">
        <v>12.063700000000001</v>
      </c>
      <c r="N972" s="9">
        <v>4.9444999999999997</v>
      </c>
      <c r="O972" s="9">
        <v>0.37459999999999999</v>
      </c>
      <c r="P972" s="9">
        <v>1.2192000000000001</v>
      </c>
      <c r="Q972" s="9">
        <v>19.688099999999999</v>
      </c>
      <c r="R972" s="9"/>
      <c r="S972" s="11"/>
    </row>
    <row r="973" spans="1:19" ht="15.75">
      <c r="A973" s="13">
        <v>71497</v>
      </c>
      <c r="B973" s="8">
        <f>CHOOSE( CONTROL!$C$32, 40.9236, 40.9187) * CHOOSE(CONTROL!$C$15, $D$11, 100%, $F$11)</f>
        <v>40.9236</v>
      </c>
      <c r="C973" s="8">
        <f>CHOOSE( CONTROL!$C$32, 40.934, 40.9291) * CHOOSE(CONTROL!$C$15, $D$11, 100%, $F$11)</f>
        <v>40.933999999999997</v>
      </c>
      <c r="D973" s="8">
        <f>CHOOSE( CONTROL!$C$32, 40.9345, 40.9296) * CHOOSE( CONTROL!$C$15, $D$11, 100%, $F$11)</f>
        <v>40.9345</v>
      </c>
      <c r="E973" s="12">
        <f>CHOOSE( CONTROL!$C$32, 40.9327, 40.9278) * CHOOSE( CONTROL!$C$15, $D$11, 100%, $F$11)</f>
        <v>40.932699999999997</v>
      </c>
      <c r="F973" s="4">
        <f>CHOOSE( CONTROL!$C$32, 41.9361, 41.9311) * CHOOSE(CONTROL!$C$15, $D$11, 100%, $F$11)</f>
        <v>41.936100000000003</v>
      </c>
      <c r="G973" s="8">
        <f>CHOOSE( CONTROL!$C$32, 39.8781, 39.8733) * CHOOSE( CONTROL!$C$15, $D$11, 100%, $F$11)</f>
        <v>39.878100000000003</v>
      </c>
      <c r="H973" s="4">
        <f>CHOOSE( CONTROL!$C$32, 40.8018, 40.797) * CHOOSE(CONTROL!$C$15, $D$11, 100%, $F$11)</f>
        <v>40.8018</v>
      </c>
      <c r="I973" s="8">
        <f>CHOOSE( CONTROL!$C$32, 39.2724, 39.2677) * CHOOSE(CONTROL!$C$15, $D$11, 100%, $F$11)</f>
        <v>39.272399999999998</v>
      </c>
      <c r="J973" s="4">
        <f>CHOOSE( CONTROL!$C$32, 39.2082, 39.2035) * CHOOSE(CONTROL!$C$15, $D$11, 100%, $F$11)</f>
        <v>39.208199999999998</v>
      </c>
      <c r="K973" s="4"/>
      <c r="L973" s="9">
        <v>28.568200000000001</v>
      </c>
      <c r="M973" s="9">
        <v>11.6745</v>
      </c>
      <c r="N973" s="9">
        <v>4.7850000000000001</v>
      </c>
      <c r="O973" s="9">
        <v>0.36249999999999999</v>
      </c>
      <c r="P973" s="9">
        <v>1.1798</v>
      </c>
      <c r="Q973" s="9">
        <v>19.053000000000001</v>
      </c>
      <c r="R973" s="9"/>
      <c r="S973" s="11"/>
    </row>
    <row r="974" spans="1:19" ht="15.75">
      <c r="A974" s="13">
        <v>71528</v>
      </c>
      <c r="B974" s="8">
        <f>42.7362 * CHOOSE(CONTROL!$C$15, $D$11, 100%, $F$11)</f>
        <v>42.736199999999997</v>
      </c>
      <c r="C974" s="8">
        <f>42.7466 * CHOOSE(CONTROL!$C$15, $D$11, 100%, $F$11)</f>
        <v>42.746600000000001</v>
      </c>
      <c r="D974" s="8">
        <f>42.7483 * CHOOSE( CONTROL!$C$15, $D$11, 100%, $F$11)</f>
        <v>42.7483</v>
      </c>
      <c r="E974" s="12">
        <f>42.7466 * CHOOSE( CONTROL!$C$15, $D$11, 100%, $F$11)</f>
        <v>42.746600000000001</v>
      </c>
      <c r="F974" s="4">
        <f>43.7487 * CHOOSE(CONTROL!$C$15, $D$11, 100%, $F$11)</f>
        <v>43.748699999999999</v>
      </c>
      <c r="G974" s="8">
        <f>41.6446 * CHOOSE( CONTROL!$C$15, $D$11, 100%, $F$11)</f>
        <v>41.644599999999997</v>
      </c>
      <c r="H974" s="4">
        <f>42.5687 * CHOOSE(CONTROL!$C$15, $D$11, 100%, $F$11)</f>
        <v>42.5687</v>
      </c>
      <c r="I974" s="8">
        <f>41.0124 * CHOOSE(CONTROL!$C$15, $D$11, 100%, $F$11)</f>
        <v>41.0124</v>
      </c>
      <c r="J974" s="4">
        <f>40.9451 * CHOOSE(CONTROL!$C$15, $D$11, 100%, $F$11)</f>
        <v>40.945099999999996</v>
      </c>
      <c r="K974" s="4"/>
      <c r="L974" s="9">
        <v>28.921800000000001</v>
      </c>
      <c r="M974" s="9">
        <v>12.063700000000001</v>
      </c>
      <c r="N974" s="9">
        <v>4.9444999999999997</v>
      </c>
      <c r="O974" s="9">
        <v>0.37459999999999999</v>
      </c>
      <c r="P974" s="9">
        <v>1.2192000000000001</v>
      </c>
      <c r="Q974" s="9">
        <v>19.688099999999999</v>
      </c>
      <c r="R974" s="9"/>
      <c r="S974" s="11"/>
    </row>
    <row r="975" spans="1:19" ht="15.75">
      <c r="A975" s="13">
        <v>71558</v>
      </c>
      <c r="B975" s="8">
        <f>46.091 * CHOOSE(CONTROL!$C$15, $D$11, 100%, $F$11)</f>
        <v>46.091000000000001</v>
      </c>
      <c r="C975" s="8">
        <f>46.1014 * CHOOSE(CONTROL!$C$15, $D$11, 100%, $F$11)</f>
        <v>46.101399999999998</v>
      </c>
      <c r="D975" s="8">
        <f>46.0825 * CHOOSE( CONTROL!$C$15, $D$11, 100%, $F$11)</f>
        <v>46.082500000000003</v>
      </c>
      <c r="E975" s="12">
        <f>46.0883 * CHOOSE( CONTROL!$C$15, $D$11, 100%, $F$11)</f>
        <v>46.088299999999997</v>
      </c>
      <c r="F975" s="4">
        <f>47.0878 * CHOOSE(CONTROL!$C$15, $D$11, 100%, $F$11)</f>
        <v>47.087800000000001</v>
      </c>
      <c r="G975" s="8">
        <f>44.9377 * CHOOSE( CONTROL!$C$15, $D$11, 100%, $F$11)</f>
        <v>44.9377</v>
      </c>
      <c r="H975" s="4">
        <f>45.8236 * CHOOSE(CONTROL!$C$15, $D$11, 100%, $F$11)</f>
        <v>45.823599999999999</v>
      </c>
      <c r="I975" s="8">
        <f>44.275 * CHOOSE(CONTROL!$C$15, $D$11, 100%, $F$11)</f>
        <v>44.274999999999999</v>
      </c>
      <c r="J975" s="4">
        <f>44.1596 * CHOOSE(CONTROL!$C$15, $D$11, 100%, $F$11)</f>
        <v>44.159599999999998</v>
      </c>
      <c r="K975" s="4"/>
      <c r="L975" s="9">
        <v>26.515499999999999</v>
      </c>
      <c r="M975" s="9">
        <v>11.6745</v>
      </c>
      <c r="N975" s="9">
        <v>4.7850000000000001</v>
      </c>
      <c r="O975" s="9">
        <v>0.36249999999999999</v>
      </c>
      <c r="P975" s="9">
        <v>1.2522</v>
      </c>
      <c r="Q975" s="9">
        <v>19.053000000000001</v>
      </c>
      <c r="R975" s="9"/>
      <c r="S975" s="11"/>
    </row>
    <row r="976" spans="1:19" ht="15.75">
      <c r="A976" s="13">
        <v>71589</v>
      </c>
      <c r="B976" s="8">
        <f>46.0072 * CHOOSE(CONTROL!$C$15, $D$11, 100%, $F$11)</f>
        <v>46.007199999999997</v>
      </c>
      <c r="C976" s="8">
        <f>46.0176 * CHOOSE(CONTROL!$C$15, $D$11, 100%, $F$11)</f>
        <v>46.017600000000002</v>
      </c>
      <c r="D976" s="8">
        <f>46.0012 * CHOOSE( CONTROL!$C$15, $D$11, 100%, $F$11)</f>
        <v>46.001199999999997</v>
      </c>
      <c r="E976" s="12">
        <f>46.0061 * CHOOSE( CONTROL!$C$15, $D$11, 100%, $F$11)</f>
        <v>46.006100000000004</v>
      </c>
      <c r="F976" s="4">
        <f>47.004 * CHOOSE(CONTROL!$C$15, $D$11, 100%, $F$11)</f>
        <v>47.003999999999998</v>
      </c>
      <c r="G976" s="8">
        <f>44.858 * CHOOSE( CONTROL!$C$15, $D$11, 100%, $F$11)</f>
        <v>44.857999999999997</v>
      </c>
      <c r="H976" s="4">
        <f>45.7419 * CHOOSE(CONTROL!$C$15, $D$11, 100%, $F$11)</f>
        <v>45.741900000000001</v>
      </c>
      <c r="I976" s="8">
        <f>44.2035 * CHOOSE(CONTROL!$C$15, $D$11, 100%, $F$11)</f>
        <v>44.203499999999998</v>
      </c>
      <c r="J976" s="4">
        <f>44.0793 * CHOOSE(CONTROL!$C$15, $D$11, 100%, $F$11)</f>
        <v>44.079300000000003</v>
      </c>
      <c r="K976" s="4"/>
      <c r="L976" s="9">
        <v>27.3993</v>
      </c>
      <c r="M976" s="9">
        <v>12.063700000000001</v>
      </c>
      <c r="N976" s="9">
        <v>4.9444999999999997</v>
      </c>
      <c r="O976" s="9">
        <v>0.37459999999999999</v>
      </c>
      <c r="P976" s="9">
        <v>1.2939000000000001</v>
      </c>
      <c r="Q976" s="9">
        <v>19.688099999999999</v>
      </c>
      <c r="R976" s="9"/>
      <c r="S976" s="11"/>
    </row>
    <row r="977" spans="1:19" ht="15.75">
      <c r="A977" s="13">
        <v>71620</v>
      </c>
      <c r="B977" s="8">
        <f>47.7653 * CHOOSE(CONTROL!$C$15, $D$11, 100%, $F$11)</f>
        <v>47.765300000000003</v>
      </c>
      <c r="C977" s="8">
        <f>47.7758 * CHOOSE(CONTROL!$C$15, $D$11, 100%, $F$11)</f>
        <v>47.775799999999997</v>
      </c>
      <c r="D977" s="8">
        <f>47.7744 * CHOOSE( CONTROL!$C$15, $D$11, 100%, $F$11)</f>
        <v>47.7744</v>
      </c>
      <c r="E977" s="12">
        <f>47.7738 * CHOOSE( CONTROL!$C$15, $D$11, 100%, $F$11)</f>
        <v>47.773800000000001</v>
      </c>
      <c r="F977" s="4">
        <f>48.7883 * CHOOSE(CONTROL!$C$15, $D$11, 100%, $F$11)</f>
        <v>48.7883</v>
      </c>
      <c r="G977" s="8">
        <f>46.5886 * CHOOSE( CONTROL!$C$15, $D$11, 100%, $F$11)</f>
        <v>46.5886</v>
      </c>
      <c r="H977" s="4">
        <f>47.4811 * CHOOSE(CONTROL!$C$15, $D$11, 100%, $F$11)</f>
        <v>47.481099999999998</v>
      </c>
      <c r="I977" s="8">
        <f>45.8955 * CHOOSE(CONTROL!$C$15, $D$11, 100%, $F$11)</f>
        <v>45.895499999999998</v>
      </c>
      <c r="J977" s="4">
        <f>45.764 * CHOOSE(CONTROL!$C$15, $D$11, 100%, $F$11)</f>
        <v>45.764000000000003</v>
      </c>
      <c r="K977" s="4"/>
      <c r="L977" s="9">
        <v>27.3993</v>
      </c>
      <c r="M977" s="9">
        <v>12.063700000000001</v>
      </c>
      <c r="N977" s="9">
        <v>4.9444999999999997</v>
      </c>
      <c r="O977" s="9">
        <v>0.37459999999999999</v>
      </c>
      <c r="P977" s="9">
        <v>1.2939000000000001</v>
      </c>
      <c r="Q977" s="9">
        <v>19.688099999999999</v>
      </c>
      <c r="R977" s="9"/>
      <c r="S977" s="11"/>
    </row>
    <row r="978" spans="1:19" ht="15.75">
      <c r="A978" s="13">
        <v>71649</v>
      </c>
      <c r="B978" s="8">
        <f>44.6777 * CHOOSE(CONTROL!$C$15, $D$11, 100%, $F$11)</f>
        <v>44.677700000000002</v>
      </c>
      <c r="C978" s="8">
        <f>44.6882 * CHOOSE(CONTROL!$C$15, $D$11, 100%, $F$11)</f>
        <v>44.688200000000002</v>
      </c>
      <c r="D978" s="8">
        <f>44.689 * CHOOSE( CONTROL!$C$15, $D$11, 100%, $F$11)</f>
        <v>44.689</v>
      </c>
      <c r="E978" s="12">
        <f>44.6876 * CHOOSE( CONTROL!$C$15, $D$11, 100%, $F$11)</f>
        <v>44.687600000000003</v>
      </c>
      <c r="F978" s="4">
        <f>45.6928 * CHOOSE(CONTROL!$C$15, $D$11, 100%, $F$11)</f>
        <v>45.692799999999998</v>
      </c>
      <c r="G978" s="8">
        <f>43.5787 * CHOOSE( CONTROL!$C$15, $D$11, 100%, $F$11)</f>
        <v>43.578699999999998</v>
      </c>
      <c r="H978" s="4">
        <f>44.4638 * CHOOSE(CONTROL!$C$15, $D$11, 100%, $F$11)</f>
        <v>44.463799999999999</v>
      </c>
      <c r="I978" s="8">
        <f>42.9245 * CHOOSE(CONTROL!$C$15, $D$11, 100%, $F$11)</f>
        <v>42.924500000000002</v>
      </c>
      <c r="J978" s="4">
        <f>42.8054 * CHOOSE(CONTROL!$C$15, $D$11, 100%, $F$11)</f>
        <v>42.805399999999999</v>
      </c>
      <c r="K978" s="4"/>
      <c r="L978" s="9">
        <v>25.631599999999999</v>
      </c>
      <c r="M978" s="9">
        <v>11.285299999999999</v>
      </c>
      <c r="N978" s="9">
        <v>4.6254999999999997</v>
      </c>
      <c r="O978" s="9">
        <v>0.35039999999999999</v>
      </c>
      <c r="P978" s="9">
        <v>1.2104999999999999</v>
      </c>
      <c r="Q978" s="9">
        <v>18.417899999999999</v>
      </c>
      <c r="R978" s="9"/>
      <c r="S978" s="11"/>
    </row>
    <row r="979" spans="1:19" ht="15.75">
      <c r="A979" s="13">
        <v>71680</v>
      </c>
      <c r="B979" s="8">
        <f>43.7267 * CHOOSE(CONTROL!$C$15, $D$11, 100%, $F$11)</f>
        <v>43.726700000000001</v>
      </c>
      <c r="C979" s="8">
        <f>43.7372 * CHOOSE(CONTROL!$C$15, $D$11, 100%, $F$11)</f>
        <v>43.737200000000001</v>
      </c>
      <c r="D979" s="8">
        <f>43.7177 * CHOOSE( CONTROL!$C$15, $D$11, 100%, $F$11)</f>
        <v>43.717700000000001</v>
      </c>
      <c r="E979" s="12">
        <f>43.7237 * CHOOSE( CONTROL!$C$15, $D$11, 100%, $F$11)</f>
        <v>43.723700000000001</v>
      </c>
      <c r="F979" s="4">
        <f>44.7256 * CHOOSE(CONTROL!$C$15, $D$11, 100%, $F$11)</f>
        <v>44.7256</v>
      </c>
      <c r="G979" s="8">
        <f>42.631 * CHOOSE( CONTROL!$C$15, $D$11, 100%, $F$11)</f>
        <v>42.631</v>
      </c>
      <c r="H979" s="4">
        <f>43.521 * CHOOSE(CONTROL!$C$15, $D$11, 100%, $F$11)</f>
        <v>43.521000000000001</v>
      </c>
      <c r="I979" s="8">
        <f>41.9733 * CHOOSE(CONTROL!$C$15, $D$11, 100%, $F$11)</f>
        <v>41.973300000000002</v>
      </c>
      <c r="J979" s="4">
        <f>41.8942 * CHOOSE(CONTROL!$C$15, $D$11, 100%, $F$11)</f>
        <v>41.894199999999998</v>
      </c>
      <c r="K979" s="4"/>
      <c r="L979" s="9">
        <v>27.3993</v>
      </c>
      <c r="M979" s="9">
        <v>12.063700000000001</v>
      </c>
      <c r="N979" s="9">
        <v>4.9444999999999997</v>
      </c>
      <c r="O979" s="9">
        <v>0.37459999999999999</v>
      </c>
      <c r="P979" s="9">
        <v>1.2939000000000001</v>
      </c>
      <c r="Q979" s="9">
        <v>19.688099999999999</v>
      </c>
      <c r="R979" s="9"/>
      <c r="S979" s="11"/>
    </row>
    <row r="980" spans="1:19" ht="15.75">
      <c r="A980" s="13">
        <v>71710</v>
      </c>
      <c r="B980" s="8">
        <f>44.3913 * CHOOSE(CONTROL!$C$15, $D$11, 100%, $F$11)</f>
        <v>44.391300000000001</v>
      </c>
      <c r="C980" s="8">
        <f>44.4017 * CHOOSE(CONTROL!$C$15, $D$11, 100%, $F$11)</f>
        <v>44.401699999999998</v>
      </c>
      <c r="D980" s="8">
        <f>44.4055 * CHOOSE( CONTROL!$C$15, $D$11, 100%, $F$11)</f>
        <v>44.405500000000004</v>
      </c>
      <c r="E980" s="12">
        <f>44.4031 * CHOOSE( CONTROL!$C$15, $D$11, 100%, $F$11)</f>
        <v>44.403100000000002</v>
      </c>
      <c r="F980" s="4">
        <f>45.3985 * CHOOSE(CONTROL!$C$15, $D$11, 100%, $F$11)</f>
        <v>45.398499999999999</v>
      </c>
      <c r="G980" s="8">
        <f>43.2667 * CHOOSE( CONTROL!$C$15, $D$11, 100%, $F$11)</f>
        <v>43.2667</v>
      </c>
      <c r="H980" s="4">
        <f>44.1769 * CHOOSE(CONTROL!$C$15, $D$11, 100%, $F$11)</f>
        <v>44.176900000000003</v>
      </c>
      <c r="I980" s="8">
        <f>42.6005 * CHOOSE(CONTROL!$C$15, $D$11, 100%, $F$11)</f>
        <v>42.600499999999997</v>
      </c>
      <c r="J980" s="4">
        <f>42.531 * CHOOSE(CONTROL!$C$15, $D$11, 100%, $F$11)</f>
        <v>42.530999999999999</v>
      </c>
      <c r="K980" s="4"/>
      <c r="L980" s="9">
        <v>27.988800000000001</v>
      </c>
      <c r="M980" s="9">
        <v>11.6745</v>
      </c>
      <c r="N980" s="9">
        <v>4.7850000000000001</v>
      </c>
      <c r="O980" s="9">
        <v>0.36249999999999999</v>
      </c>
      <c r="P980" s="9">
        <v>1.1798</v>
      </c>
      <c r="Q980" s="9">
        <v>19.053000000000001</v>
      </c>
      <c r="R980" s="9"/>
      <c r="S980" s="11"/>
    </row>
    <row r="981" spans="1:19" ht="15.75">
      <c r="A981" s="13">
        <v>71741</v>
      </c>
      <c r="B981" s="8">
        <f>CHOOSE( CONTROL!$C$32, 45.5789, 45.574) * CHOOSE(CONTROL!$C$15, $D$11, 100%, $F$11)</f>
        <v>45.578899999999997</v>
      </c>
      <c r="C981" s="8">
        <f>CHOOSE( CONTROL!$C$32, 45.5893, 45.5844) * CHOOSE(CONTROL!$C$15, $D$11, 100%, $F$11)</f>
        <v>45.589300000000001</v>
      </c>
      <c r="D981" s="8">
        <f>CHOOSE( CONTROL!$C$32, 45.568, 45.563) * CHOOSE( CONTROL!$C$15, $D$11, 100%, $F$11)</f>
        <v>45.567999999999998</v>
      </c>
      <c r="E981" s="12">
        <f>CHOOSE( CONTROL!$C$32, 45.5741, 45.5692) * CHOOSE( CONTROL!$C$15, $D$11, 100%, $F$11)</f>
        <v>45.574100000000001</v>
      </c>
      <c r="F981" s="4">
        <f>CHOOSE( CONTROL!$C$32, 46.5538, 46.5489) * CHOOSE(CONTROL!$C$15, $D$11, 100%, $F$11)</f>
        <v>46.553800000000003</v>
      </c>
      <c r="G981" s="8">
        <f>CHOOSE( CONTROL!$C$32, 44.4058, 44.401) * CHOOSE( CONTROL!$C$15, $D$11, 100%, $F$11)</f>
        <v>44.405799999999999</v>
      </c>
      <c r="H981" s="4">
        <f>CHOOSE( CONTROL!$C$32, 45.3031, 45.2982) * CHOOSE(CONTROL!$C$15, $D$11, 100%, $F$11)</f>
        <v>45.303100000000001</v>
      </c>
      <c r="I981" s="8">
        <f>CHOOSE( CONTROL!$C$32, 43.7175, 43.7128) * CHOOSE(CONTROL!$C$15, $D$11, 100%, $F$11)</f>
        <v>43.717500000000001</v>
      </c>
      <c r="J981" s="4">
        <f>CHOOSE( CONTROL!$C$32, 43.6689, 43.6642) * CHOOSE(CONTROL!$C$15, $D$11, 100%, $F$11)</f>
        <v>43.668900000000001</v>
      </c>
      <c r="K981" s="4"/>
      <c r="L981" s="9">
        <v>29.520499999999998</v>
      </c>
      <c r="M981" s="9">
        <v>12.063700000000001</v>
      </c>
      <c r="N981" s="9">
        <v>4.9444999999999997</v>
      </c>
      <c r="O981" s="9">
        <v>0.37459999999999999</v>
      </c>
      <c r="P981" s="9">
        <v>1.2192000000000001</v>
      </c>
      <c r="Q981" s="9">
        <v>19.688099999999999</v>
      </c>
      <c r="R981" s="9"/>
      <c r="S981" s="11"/>
    </row>
    <row r="982" spans="1:19" ht="15.75">
      <c r="A982" s="13">
        <v>71771</v>
      </c>
      <c r="B982" s="8">
        <f>CHOOSE( CONTROL!$C$32, 44.8463, 44.8413) * CHOOSE(CONTROL!$C$15, $D$11, 100%, $F$11)</f>
        <v>44.846299999999999</v>
      </c>
      <c r="C982" s="8">
        <f>CHOOSE( CONTROL!$C$32, 44.8567, 44.8518) * CHOOSE(CONTROL!$C$15, $D$11, 100%, $F$11)</f>
        <v>44.856699999999996</v>
      </c>
      <c r="D982" s="8">
        <f>CHOOSE( CONTROL!$C$32, 44.8488, 44.8439) * CHOOSE( CONTROL!$C$15, $D$11, 100%, $F$11)</f>
        <v>44.848799999999997</v>
      </c>
      <c r="E982" s="12">
        <f>CHOOSE( CONTROL!$C$32, 44.8501, 44.8452) * CHOOSE( CONTROL!$C$15, $D$11, 100%, $F$11)</f>
        <v>44.850099999999998</v>
      </c>
      <c r="F982" s="4">
        <f>CHOOSE( CONTROL!$C$32, 45.8405, 45.8355) * CHOOSE(CONTROL!$C$15, $D$11, 100%, $F$11)</f>
        <v>45.840499999999999</v>
      </c>
      <c r="G982" s="8">
        <f>CHOOSE( CONTROL!$C$32, 43.7021, 43.6973) * CHOOSE( CONTROL!$C$15, $D$11, 100%, $F$11)</f>
        <v>43.702100000000002</v>
      </c>
      <c r="H982" s="4">
        <f>CHOOSE( CONTROL!$C$32, 44.6077, 44.6029) * CHOOSE(CONTROL!$C$15, $D$11, 100%, $F$11)</f>
        <v>44.607700000000001</v>
      </c>
      <c r="I982" s="8">
        <f>CHOOSE( CONTROL!$C$32, 43.0329, 43.0282) * CHOOSE(CONTROL!$C$15, $D$11, 100%, $F$11)</f>
        <v>43.032899999999998</v>
      </c>
      <c r="J982" s="4">
        <f>CHOOSE( CONTROL!$C$32, 42.9669, 42.9622) * CHOOSE(CONTROL!$C$15, $D$11, 100%, $F$11)</f>
        <v>42.966900000000003</v>
      </c>
      <c r="K982" s="4"/>
      <c r="L982" s="9">
        <v>28.568200000000001</v>
      </c>
      <c r="M982" s="9">
        <v>11.6745</v>
      </c>
      <c r="N982" s="9">
        <v>4.7850000000000001</v>
      </c>
      <c r="O982" s="9">
        <v>0.36249999999999999</v>
      </c>
      <c r="P982" s="9">
        <v>1.1798</v>
      </c>
      <c r="Q982" s="9">
        <v>19.053000000000001</v>
      </c>
      <c r="R982" s="9"/>
      <c r="S982" s="11"/>
    </row>
    <row r="983" spans="1:19" ht="15.75">
      <c r="A983" s="13">
        <v>71802</v>
      </c>
      <c r="B983" s="8">
        <f>CHOOSE( CONTROL!$C$32, 46.7756, 46.7706) * CHOOSE(CONTROL!$C$15, $D$11, 100%, $F$11)</f>
        <v>46.775599999999997</v>
      </c>
      <c r="C983" s="8">
        <f>CHOOSE( CONTROL!$C$32, 46.786, 46.7811) * CHOOSE(CONTROL!$C$15, $D$11, 100%, $F$11)</f>
        <v>46.786000000000001</v>
      </c>
      <c r="D983" s="8">
        <f>CHOOSE( CONTROL!$C$32, 46.785, 46.7801) * CHOOSE( CONTROL!$C$15, $D$11, 100%, $F$11)</f>
        <v>46.784999999999997</v>
      </c>
      <c r="E983" s="12">
        <f>CHOOSE( CONTROL!$C$32, 46.7838, 46.7789) * CHOOSE( CONTROL!$C$15, $D$11, 100%, $F$11)</f>
        <v>46.783799999999999</v>
      </c>
      <c r="F983" s="4">
        <f>CHOOSE( CONTROL!$C$32, 47.7802, 47.7753) * CHOOSE(CONTROL!$C$15, $D$11, 100%, $F$11)</f>
        <v>47.780200000000001</v>
      </c>
      <c r="G983" s="8">
        <f>CHOOSE( CONTROL!$C$32, 45.5868, 45.582) * CHOOSE( CONTROL!$C$15, $D$11, 100%, $F$11)</f>
        <v>45.586799999999997</v>
      </c>
      <c r="H983" s="4">
        <f>CHOOSE( CONTROL!$C$32, 46.4985, 46.4937) * CHOOSE(CONTROL!$C$15, $D$11, 100%, $F$11)</f>
        <v>46.4985</v>
      </c>
      <c r="I983" s="8">
        <f>CHOOSE( CONTROL!$C$32, 44.8902, 44.8855) * CHOOSE(CONTROL!$C$15, $D$11, 100%, $F$11)</f>
        <v>44.8902</v>
      </c>
      <c r="J983" s="4">
        <f>CHOOSE( CONTROL!$C$32, 44.8156, 44.8109) * CHOOSE(CONTROL!$C$15, $D$11, 100%, $F$11)</f>
        <v>44.815600000000003</v>
      </c>
      <c r="K983" s="4"/>
      <c r="L983" s="9">
        <v>29.520499999999998</v>
      </c>
      <c r="M983" s="9">
        <v>12.063700000000001</v>
      </c>
      <c r="N983" s="9">
        <v>4.9444999999999997</v>
      </c>
      <c r="O983" s="9">
        <v>0.37459999999999999</v>
      </c>
      <c r="P983" s="9">
        <v>1.2192000000000001</v>
      </c>
      <c r="Q983" s="9">
        <v>19.688099999999999</v>
      </c>
      <c r="R983" s="9"/>
      <c r="S983" s="11"/>
    </row>
    <row r="984" spans="1:19" ht="15.75">
      <c r="A984" s="13">
        <v>71833</v>
      </c>
      <c r="B984" s="8">
        <f>CHOOSE( CONTROL!$C$32, 43.1656, 43.1607) * CHOOSE(CONTROL!$C$15, $D$11, 100%, $F$11)</f>
        <v>43.165599999999998</v>
      </c>
      <c r="C984" s="8">
        <f>CHOOSE( CONTROL!$C$32, 43.176, 43.1711) * CHOOSE(CONTROL!$C$15, $D$11, 100%, $F$11)</f>
        <v>43.176000000000002</v>
      </c>
      <c r="D984" s="8">
        <f>CHOOSE( CONTROL!$C$32, 43.1762, 43.1713) * CHOOSE( CONTROL!$C$15, $D$11, 100%, $F$11)</f>
        <v>43.176200000000001</v>
      </c>
      <c r="E984" s="12">
        <f>CHOOSE( CONTROL!$C$32, 43.1745, 43.1696) * CHOOSE( CONTROL!$C$15, $D$11, 100%, $F$11)</f>
        <v>43.174500000000002</v>
      </c>
      <c r="F984" s="4">
        <f>CHOOSE( CONTROL!$C$32, 44.1781, 44.1731) * CHOOSE(CONTROL!$C$15, $D$11, 100%, $F$11)</f>
        <v>44.178100000000001</v>
      </c>
      <c r="G984" s="8">
        <f>CHOOSE( CONTROL!$C$32, 42.0631, 42.0583) * CHOOSE( CONTROL!$C$15, $D$11, 100%, $F$11)</f>
        <v>42.063099999999999</v>
      </c>
      <c r="H984" s="4">
        <f>CHOOSE( CONTROL!$C$32, 42.9873, 42.9825) * CHOOSE(CONTROL!$C$15, $D$11, 100%, $F$11)</f>
        <v>42.987299999999998</v>
      </c>
      <c r="I984" s="8">
        <f>CHOOSE( CONTROL!$C$32, 41.4203, 41.4156) * CHOOSE(CONTROL!$C$15, $D$11, 100%, $F$11)</f>
        <v>41.420299999999997</v>
      </c>
      <c r="J984" s="4">
        <f>CHOOSE( CONTROL!$C$32, 41.3565, 41.3518) * CHOOSE(CONTROL!$C$15, $D$11, 100%, $F$11)</f>
        <v>41.356499999999997</v>
      </c>
      <c r="K984" s="4"/>
      <c r="L984" s="9">
        <v>29.520499999999998</v>
      </c>
      <c r="M984" s="9">
        <v>12.063700000000001</v>
      </c>
      <c r="N984" s="9">
        <v>4.9444999999999997</v>
      </c>
      <c r="O984" s="9">
        <v>0.37459999999999999</v>
      </c>
      <c r="P984" s="9">
        <v>1.2192000000000001</v>
      </c>
      <c r="Q984" s="9">
        <v>19.688099999999999</v>
      </c>
      <c r="R984" s="9"/>
      <c r="S984" s="11"/>
    </row>
    <row r="985" spans="1:19" ht="15.75">
      <c r="A985" s="13">
        <v>71863</v>
      </c>
      <c r="B985" s="8">
        <f>CHOOSE( CONTROL!$C$32, 42.2616, 42.2567) * CHOOSE(CONTROL!$C$15, $D$11, 100%, $F$11)</f>
        <v>42.261600000000001</v>
      </c>
      <c r="C985" s="8">
        <f>CHOOSE( CONTROL!$C$32, 42.2721, 42.2671) * CHOOSE(CONTROL!$C$15, $D$11, 100%, $F$11)</f>
        <v>42.272100000000002</v>
      </c>
      <c r="D985" s="8">
        <f>CHOOSE( CONTROL!$C$32, 42.2725, 42.2676) * CHOOSE( CONTROL!$C$15, $D$11, 100%, $F$11)</f>
        <v>42.272500000000001</v>
      </c>
      <c r="E985" s="12">
        <f>CHOOSE( CONTROL!$C$32, 42.2708, 42.2658) * CHOOSE( CONTROL!$C$15, $D$11, 100%, $F$11)</f>
        <v>42.270800000000001</v>
      </c>
      <c r="F985" s="4">
        <f>CHOOSE( CONTROL!$C$32, 43.2741, 43.2692) * CHOOSE(CONTROL!$C$15, $D$11, 100%, $F$11)</f>
        <v>43.274099999999997</v>
      </c>
      <c r="G985" s="8">
        <f>CHOOSE( CONTROL!$C$32, 41.1824, 41.1775) * CHOOSE( CONTROL!$C$15, $D$11, 100%, $F$11)</f>
        <v>41.182400000000001</v>
      </c>
      <c r="H985" s="4">
        <f>CHOOSE( CONTROL!$C$32, 42.1061, 42.1013) * CHOOSE(CONTROL!$C$15, $D$11, 100%, $F$11)</f>
        <v>42.106099999999998</v>
      </c>
      <c r="I985" s="8">
        <f>CHOOSE( CONTROL!$C$32, 40.5551, 40.5504) * CHOOSE(CONTROL!$C$15, $D$11, 100%, $F$11)</f>
        <v>40.555100000000003</v>
      </c>
      <c r="J985" s="4">
        <f>CHOOSE( CONTROL!$C$32, 40.4903, 40.4856) * CHOOSE(CONTROL!$C$15, $D$11, 100%, $F$11)</f>
        <v>40.490299999999998</v>
      </c>
      <c r="K985" s="4"/>
      <c r="L985" s="9">
        <v>28.568200000000001</v>
      </c>
      <c r="M985" s="9">
        <v>11.6745</v>
      </c>
      <c r="N985" s="9">
        <v>4.7850000000000001</v>
      </c>
      <c r="O985" s="9">
        <v>0.36249999999999999</v>
      </c>
      <c r="P985" s="9">
        <v>1.1798</v>
      </c>
      <c r="Q985" s="9">
        <v>19.053000000000001</v>
      </c>
      <c r="R985" s="9"/>
      <c r="S985" s="11"/>
    </row>
    <row r="986" spans="1:19" ht="15.75">
      <c r="A986" s="13">
        <v>71894</v>
      </c>
      <c r="B986" s="8">
        <f>44.1337 * CHOOSE(CONTROL!$C$15, $D$11, 100%, $F$11)</f>
        <v>44.133699999999997</v>
      </c>
      <c r="C986" s="8">
        <f>44.1441 * CHOOSE(CONTROL!$C$15, $D$11, 100%, $F$11)</f>
        <v>44.144100000000002</v>
      </c>
      <c r="D986" s="8">
        <f>44.1458 * CHOOSE( CONTROL!$C$15, $D$11, 100%, $F$11)</f>
        <v>44.145800000000001</v>
      </c>
      <c r="E986" s="12">
        <f>44.1441 * CHOOSE( CONTROL!$C$15, $D$11, 100%, $F$11)</f>
        <v>44.144100000000002</v>
      </c>
      <c r="F986" s="4">
        <f>45.1461 * CHOOSE(CONTROL!$C$15, $D$11, 100%, $F$11)</f>
        <v>45.146099999999997</v>
      </c>
      <c r="G986" s="8">
        <f>43.0068 * CHOOSE( CONTROL!$C$15, $D$11, 100%, $F$11)</f>
        <v>43.006799999999998</v>
      </c>
      <c r="H986" s="4">
        <f>43.9309 * CHOOSE(CONTROL!$C$15, $D$11, 100%, $F$11)</f>
        <v>43.930900000000001</v>
      </c>
      <c r="I986" s="8">
        <f>42.3521 * CHOOSE(CONTROL!$C$15, $D$11, 100%, $F$11)</f>
        <v>42.3521</v>
      </c>
      <c r="J986" s="4">
        <f>42.2841 * CHOOSE(CONTROL!$C$15, $D$11, 100%, $F$11)</f>
        <v>42.284100000000002</v>
      </c>
      <c r="K986" s="4"/>
      <c r="L986" s="9">
        <v>28.921800000000001</v>
      </c>
      <c r="M986" s="9">
        <v>12.063700000000001</v>
      </c>
      <c r="N986" s="9">
        <v>4.9444999999999997</v>
      </c>
      <c r="O986" s="9">
        <v>0.37459999999999999</v>
      </c>
      <c r="P986" s="9">
        <v>1.2192000000000001</v>
      </c>
      <c r="Q986" s="9">
        <v>19.688099999999999</v>
      </c>
      <c r="R986" s="9"/>
      <c r="S986" s="11"/>
    </row>
    <row r="987" spans="1:19" ht="15.75">
      <c r="A987" s="13">
        <v>71924</v>
      </c>
      <c r="B987" s="8">
        <f>47.5982 * CHOOSE(CONTROL!$C$15, $D$11, 100%, $F$11)</f>
        <v>47.598199999999999</v>
      </c>
      <c r="C987" s="8">
        <f>47.6086 * CHOOSE(CONTROL!$C$15, $D$11, 100%, $F$11)</f>
        <v>47.608600000000003</v>
      </c>
      <c r="D987" s="8">
        <f>47.5897 * CHOOSE( CONTROL!$C$15, $D$11, 100%, $F$11)</f>
        <v>47.589700000000001</v>
      </c>
      <c r="E987" s="12">
        <f>47.5955 * CHOOSE( CONTROL!$C$15, $D$11, 100%, $F$11)</f>
        <v>47.595500000000001</v>
      </c>
      <c r="F987" s="4">
        <f>48.595 * CHOOSE(CONTROL!$C$15, $D$11, 100%, $F$11)</f>
        <v>48.594999999999999</v>
      </c>
      <c r="G987" s="8">
        <f>46.4069 * CHOOSE( CONTROL!$C$15, $D$11, 100%, $F$11)</f>
        <v>46.4069</v>
      </c>
      <c r="H987" s="4">
        <f>47.2928 * CHOOSE(CONTROL!$C$15, $D$11, 100%, $F$11)</f>
        <v>47.2928</v>
      </c>
      <c r="I987" s="8">
        <f>45.72 * CHOOSE(CONTROL!$C$15, $D$11, 100%, $F$11)</f>
        <v>45.72</v>
      </c>
      <c r="J987" s="4">
        <f>45.6038 * CHOOSE(CONTROL!$C$15, $D$11, 100%, $F$11)</f>
        <v>45.6038</v>
      </c>
      <c r="K987" s="4"/>
      <c r="L987" s="9">
        <v>26.515499999999999</v>
      </c>
      <c r="M987" s="9">
        <v>11.6745</v>
      </c>
      <c r="N987" s="9">
        <v>4.7850000000000001</v>
      </c>
      <c r="O987" s="9">
        <v>0.36249999999999999</v>
      </c>
      <c r="P987" s="9">
        <v>1.2522</v>
      </c>
      <c r="Q987" s="9">
        <v>19.053000000000001</v>
      </c>
      <c r="R987" s="9"/>
      <c r="S987" s="11"/>
    </row>
    <row r="988" spans="1:19" ht="15.75">
      <c r="A988" s="13">
        <v>71955</v>
      </c>
      <c r="B988" s="8">
        <f>47.5116 * CHOOSE(CONTROL!$C$15, $D$11, 100%, $F$11)</f>
        <v>47.511600000000001</v>
      </c>
      <c r="C988" s="8">
        <f>47.5221 * CHOOSE(CONTROL!$C$15, $D$11, 100%, $F$11)</f>
        <v>47.522100000000002</v>
      </c>
      <c r="D988" s="8">
        <f>47.5057 * CHOOSE( CONTROL!$C$15, $D$11, 100%, $F$11)</f>
        <v>47.505699999999997</v>
      </c>
      <c r="E988" s="12">
        <f>47.5106 * CHOOSE( CONTROL!$C$15, $D$11, 100%, $F$11)</f>
        <v>47.510599999999997</v>
      </c>
      <c r="F988" s="4">
        <f>48.5084 * CHOOSE(CONTROL!$C$15, $D$11, 100%, $F$11)</f>
        <v>48.508400000000002</v>
      </c>
      <c r="G988" s="8">
        <f>46.3245 * CHOOSE( CONTROL!$C$15, $D$11, 100%, $F$11)</f>
        <v>46.3245</v>
      </c>
      <c r="H988" s="4">
        <f>47.2084 * CHOOSE(CONTROL!$C$15, $D$11, 100%, $F$11)</f>
        <v>47.208399999999997</v>
      </c>
      <c r="I988" s="8">
        <f>45.6458 * CHOOSE(CONTROL!$C$15, $D$11, 100%, $F$11)</f>
        <v>45.645800000000001</v>
      </c>
      <c r="J988" s="4">
        <f>45.5209 * CHOOSE(CONTROL!$C$15, $D$11, 100%, $F$11)</f>
        <v>45.520899999999997</v>
      </c>
      <c r="K988" s="4"/>
      <c r="L988" s="9">
        <v>27.3993</v>
      </c>
      <c r="M988" s="9">
        <v>12.063700000000001</v>
      </c>
      <c r="N988" s="9">
        <v>4.9444999999999997</v>
      </c>
      <c r="O988" s="9">
        <v>0.37459999999999999</v>
      </c>
      <c r="P988" s="9">
        <v>1.2939000000000001</v>
      </c>
      <c r="Q988" s="9">
        <v>19.688099999999999</v>
      </c>
      <c r="R988" s="9"/>
      <c r="S988" s="11"/>
    </row>
    <row r="989" spans="1:19" ht="15.75">
      <c r="A989" s="13">
        <v>71986</v>
      </c>
      <c r="B989" s="8">
        <f>49.3273 * CHOOSE(CONTROL!$C$15, $D$11, 100%, $F$11)</f>
        <v>49.327300000000001</v>
      </c>
      <c r="C989" s="8">
        <f>49.3377 * CHOOSE(CONTROL!$C$15, $D$11, 100%, $F$11)</f>
        <v>49.337699999999998</v>
      </c>
      <c r="D989" s="8">
        <f>49.3363 * CHOOSE( CONTROL!$C$15, $D$11, 100%, $F$11)</f>
        <v>49.336300000000001</v>
      </c>
      <c r="E989" s="12">
        <f>49.3357 * CHOOSE( CONTROL!$C$15, $D$11, 100%, $F$11)</f>
        <v>49.335700000000003</v>
      </c>
      <c r="F989" s="4">
        <f>50.3502 * CHOOSE(CONTROL!$C$15, $D$11, 100%, $F$11)</f>
        <v>50.350200000000001</v>
      </c>
      <c r="G989" s="8">
        <f>48.1112 * CHOOSE( CONTROL!$C$15, $D$11, 100%, $F$11)</f>
        <v>48.111199999999997</v>
      </c>
      <c r="H989" s="4">
        <f>49.0037 * CHOOSE(CONTROL!$C$15, $D$11, 100%, $F$11)</f>
        <v>49.003700000000002</v>
      </c>
      <c r="I989" s="8">
        <f>47.3929 * CHOOSE(CONTROL!$C$15, $D$11, 100%, $F$11)</f>
        <v>47.392899999999997</v>
      </c>
      <c r="J989" s="4">
        <f>47.2607 * CHOOSE(CONTROL!$C$15, $D$11, 100%, $F$11)</f>
        <v>47.2607</v>
      </c>
      <c r="K989" s="4"/>
      <c r="L989" s="9">
        <v>27.3993</v>
      </c>
      <c r="M989" s="9">
        <v>12.063700000000001</v>
      </c>
      <c r="N989" s="9">
        <v>4.9444999999999997</v>
      </c>
      <c r="O989" s="9">
        <v>0.37459999999999999</v>
      </c>
      <c r="P989" s="9">
        <v>1.2939000000000001</v>
      </c>
      <c r="Q989" s="9">
        <v>19.688099999999999</v>
      </c>
      <c r="R989" s="9"/>
      <c r="S989" s="11"/>
    </row>
    <row r="990" spans="1:19" ht="15.75">
      <c r="A990" s="13">
        <v>72014</v>
      </c>
      <c r="B990" s="8">
        <f>46.1387 * CHOOSE(CONTROL!$C$15, $D$11, 100%, $F$11)</f>
        <v>46.1387</v>
      </c>
      <c r="C990" s="8">
        <f>46.1491 * CHOOSE(CONTROL!$C$15, $D$11, 100%, $F$11)</f>
        <v>46.149099999999997</v>
      </c>
      <c r="D990" s="8">
        <f>46.1499 * CHOOSE( CONTROL!$C$15, $D$11, 100%, $F$11)</f>
        <v>46.149900000000002</v>
      </c>
      <c r="E990" s="12">
        <f>46.1485 * CHOOSE( CONTROL!$C$15, $D$11, 100%, $F$11)</f>
        <v>46.148499999999999</v>
      </c>
      <c r="F990" s="4">
        <f>47.1538 * CHOOSE(CONTROL!$C$15, $D$11, 100%, $F$11)</f>
        <v>47.153799999999997</v>
      </c>
      <c r="G990" s="8">
        <f>45.0028 * CHOOSE( CONTROL!$C$15, $D$11, 100%, $F$11)</f>
        <v>45.002800000000001</v>
      </c>
      <c r="H990" s="4">
        <f>45.8879 * CHOOSE(CONTROL!$C$15, $D$11, 100%, $F$11)</f>
        <v>45.887900000000002</v>
      </c>
      <c r="I990" s="8">
        <f>44.3251 * CHOOSE(CONTROL!$C$15, $D$11, 100%, $F$11)</f>
        <v>44.325099999999999</v>
      </c>
      <c r="J990" s="4">
        <f>44.2053 * CHOOSE(CONTROL!$C$15, $D$11, 100%, $F$11)</f>
        <v>44.205300000000001</v>
      </c>
      <c r="K990" s="4"/>
      <c r="L990" s="9">
        <v>24.747800000000002</v>
      </c>
      <c r="M990" s="9">
        <v>10.8962</v>
      </c>
      <c r="N990" s="9">
        <v>4.4660000000000002</v>
      </c>
      <c r="O990" s="9">
        <v>0.33829999999999999</v>
      </c>
      <c r="P990" s="9">
        <v>1.1687000000000001</v>
      </c>
      <c r="Q990" s="9">
        <v>17.782800000000002</v>
      </c>
      <c r="R990" s="9"/>
      <c r="S990" s="11"/>
    </row>
    <row r="991" spans="1:19" ht="15.75">
      <c r="A991" s="13">
        <v>72045</v>
      </c>
      <c r="B991" s="8">
        <f>45.1566 * CHOOSE(CONTROL!$C$15, $D$11, 100%, $F$11)</f>
        <v>45.156599999999997</v>
      </c>
      <c r="C991" s="8">
        <f>45.167 * CHOOSE(CONTROL!$C$15, $D$11, 100%, $F$11)</f>
        <v>45.167000000000002</v>
      </c>
      <c r="D991" s="8">
        <f>45.1475 * CHOOSE( CONTROL!$C$15, $D$11, 100%, $F$11)</f>
        <v>45.147500000000001</v>
      </c>
      <c r="E991" s="12">
        <f>45.1535 * CHOOSE( CONTROL!$C$15, $D$11, 100%, $F$11)</f>
        <v>45.153500000000001</v>
      </c>
      <c r="F991" s="4">
        <f>46.1555 * CHOOSE(CONTROL!$C$15, $D$11, 100%, $F$11)</f>
        <v>46.155500000000004</v>
      </c>
      <c r="G991" s="8">
        <f>44.0248 * CHOOSE( CONTROL!$C$15, $D$11, 100%, $F$11)</f>
        <v>44.024799999999999</v>
      </c>
      <c r="H991" s="4">
        <f>44.9148 * CHOOSE(CONTROL!$C$15, $D$11, 100%, $F$11)</f>
        <v>44.9148</v>
      </c>
      <c r="I991" s="8">
        <f>43.3441 * CHOOSE(CONTROL!$C$15, $D$11, 100%, $F$11)</f>
        <v>43.344099999999997</v>
      </c>
      <c r="J991" s="4">
        <f>43.2643 * CHOOSE(CONTROL!$C$15, $D$11, 100%, $F$11)</f>
        <v>43.264299999999999</v>
      </c>
      <c r="K991" s="4"/>
      <c r="L991" s="9">
        <v>27.3993</v>
      </c>
      <c r="M991" s="9">
        <v>12.063700000000001</v>
      </c>
      <c r="N991" s="9">
        <v>4.9444999999999997</v>
      </c>
      <c r="O991" s="9">
        <v>0.37459999999999999</v>
      </c>
      <c r="P991" s="9">
        <v>1.2939000000000001</v>
      </c>
      <c r="Q991" s="9">
        <v>19.688099999999999</v>
      </c>
      <c r="R991" s="9"/>
      <c r="S991" s="11"/>
    </row>
    <row r="992" spans="1:19" ht="15.75">
      <c r="A992" s="13">
        <v>72075</v>
      </c>
      <c r="B992" s="8">
        <f>45.8429 * CHOOSE(CONTROL!$C$15, $D$11, 100%, $F$11)</f>
        <v>45.8429</v>
      </c>
      <c r="C992" s="8">
        <f>45.8533 * CHOOSE(CONTROL!$C$15, $D$11, 100%, $F$11)</f>
        <v>45.853299999999997</v>
      </c>
      <c r="D992" s="8">
        <f>45.8571 * CHOOSE( CONTROL!$C$15, $D$11, 100%, $F$11)</f>
        <v>45.857100000000003</v>
      </c>
      <c r="E992" s="12">
        <f>45.8547 * CHOOSE( CONTROL!$C$15, $D$11, 100%, $F$11)</f>
        <v>45.854700000000001</v>
      </c>
      <c r="F992" s="4">
        <f>46.8501 * CHOOSE(CONTROL!$C$15, $D$11, 100%, $F$11)</f>
        <v>46.850099999999998</v>
      </c>
      <c r="G992" s="8">
        <f>44.6817 * CHOOSE( CONTROL!$C$15, $D$11, 100%, $F$11)</f>
        <v>44.681699999999999</v>
      </c>
      <c r="H992" s="4">
        <f>45.5919 * CHOOSE(CONTROL!$C$15, $D$11, 100%, $F$11)</f>
        <v>45.591900000000003</v>
      </c>
      <c r="I992" s="8">
        <f>43.9921 * CHOOSE(CONTROL!$C$15, $D$11, 100%, $F$11)</f>
        <v>43.992100000000001</v>
      </c>
      <c r="J992" s="4">
        <f>43.9219 * CHOOSE(CONTROL!$C$15, $D$11, 100%, $F$11)</f>
        <v>43.921900000000001</v>
      </c>
      <c r="K992" s="4"/>
      <c r="L992" s="9">
        <v>27.988800000000001</v>
      </c>
      <c r="M992" s="9">
        <v>11.6745</v>
      </c>
      <c r="N992" s="9">
        <v>4.7850000000000001</v>
      </c>
      <c r="O992" s="9">
        <v>0.36249999999999999</v>
      </c>
      <c r="P992" s="9">
        <v>1.1798</v>
      </c>
      <c r="Q992" s="9">
        <v>19.053000000000001</v>
      </c>
      <c r="R992" s="9"/>
      <c r="S992" s="11"/>
    </row>
    <row r="993" spans="1:19" ht="15.75">
      <c r="A993" s="13">
        <v>72106</v>
      </c>
      <c r="B993" s="8">
        <f>CHOOSE( CONTROL!$C$32, 47.0692, 47.0642) * CHOOSE(CONTROL!$C$15, $D$11, 100%, $F$11)</f>
        <v>47.069200000000002</v>
      </c>
      <c r="C993" s="8">
        <f>CHOOSE( CONTROL!$C$32, 47.0796, 47.0747) * CHOOSE(CONTROL!$C$15, $D$11, 100%, $F$11)</f>
        <v>47.079599999999999</v>
      </c>
      <c r="D993" s="8">
        <f>CHOOSE( CONTROL!$C$32, 47.0583, 47.0533) * CHOOSE( CONTROL!$C$15, $D$11, 100%, $F$11)</f>
        <v>47.058300000000003</v>
      </c>
      <c r="E993" s="12">
        <f>CHOOSE( CONTROL!$C$32, 47.0644, 47.0595) * CHOOSE( CONTROL!$C$15, $D$11, 100%, $F$11)</f>
        <v>47.064399999999999</v>
      </c>
      <c r="F993" s="4">
        <f>CHOOSE( CONTROL!$C$32, 48.0441, 48.0391) * CHOOSE(CONTROL!$C$15, $D$11, 100%, $F$11)</f>
        <v>48.0441</v>
      </c>
      <c r="G993" s="8">
        <f>CHOOSE( CONTROL!$C$32, 45.8585, 45.8537) * CHOOSE( CONTROL!$C$15, $D$11, 100%, $F$11)</f>
        <v>45.858499999999999</v>
      </c>
      <c r="H993" s="4">
        <f>CHOOSE( CONTROL!$C$32, 46.7557, 46.7509) * CHOOSE(CONTROL!$C$15, $D$11, 100%, $F$11)</f>
        <v>46.755699999999997</v>
      </c>
      <c r="I993" s="8">
        <f>CHOOSE( CONTROL!$C$32, 45.1462, 45.1415) * CHOOSE(CONTROL!$C$15, $D$11, 100%, $F$11)</f>
        <v>45.1462</v>
      </c>
      <c r="J993" s="4">
        <f>CHOOSE( CONTROL!$C$32, 45.0969, 45.0922) * CHOOSE(CONTROL!$C$15, $D$11, 100%, $F$11)</f>
        <v>45.096899999999998</v>
      </c>
      <c r="K993" s="4"/>
      <c r="L993" s="9">
        <v>29.520499999999998</v>
      </c>
      <c r="M993" s="9">
        <v>12.063700000000001</v>
      </c>
      <c r="N993" s="9">
        <v>4.9444999999999997</v>
      </c>
      <c r="O993" s="9">
        <v>0.37459999999999999</v>
      </c>
      <c r="P993" s="9">
        <v>1.2192000000000001</v>
      </c>
      <c r="Q993" s="9">
        <v>19.688099999999999</v>
      </c>
      <c r="R993" s="9"/>
      <c r="S993" s="11"/>
    </row>
    <row r="994" spans="1:19" ht="15.75">
      <c r="A994" s="13">
        <v>72136</v>
      </c>
      <c r="B994" s="8">
        <f>CHOOSE( CONTROL!$C$32, 46.3126, 46.3076) * CHOOSE(CONTROL!$C$15, $D$11, 100%, $F$11)</f>
        <v>46.312600000000003</v>
      </c>
      <c r="C994" s="8">
        <f>CHOOSE( CONTROL!$C$32, 46.323, 46.3181) * CHOOSE(CONTROL!$C$15, $D$11, 100%, $F$11)</f>
        <v>46.323</v>
      </c>
      <c r="D994" s="8">
        <f>CHOOSE( CONTROL!$C$32, 46.3151, 46.3102) * CHOOSE( CONTROL!$C$15, $D$11, 100%, $F$11)</f>
        <v>46.315100000000001</v>
      </c>
      <c r="E994" s="12">
        <f>CHOOSE( CONTROL!$C$32, 46.3164, 46.3115) * CHOOSE( CONTROL!$C$15, $D$11, 100%, $F$11)</f>
        <v>46.316400000000002</v>
      </c>
      <c r="F994" s="4">
        <f>CHOOSE( CONTROL!$C$32, 47.3068, 47.3018) * CHOOSE(CONTROL!$C$15, $D$11, 100%, $F$11)</f>
        <v>47.306800000000003</v>
      </c>
      <c r="G994" s="8">
        <f>CHOOSE( CONTROL!$C$32, 45.1314, 45.1266) * CHOOSE( CONTROL!$C$15, $D$11, 100%, $F$11)</f>
        <v>45.131399999999999</v>
      </c>
      <c r="H994" s="4">
        <f>CHOOSE( CONTROL!$C$32, 46.037, 46.0322) * CHOOSE(CONTROL!$C$15, $D$11, 100%, $F$11)</f>
        <v>46.036999999999999</v>
      </c>
      <c r="I994" s="8">
        <f>CHOOSE( CONTROL!$C$32, 44.4387, 44.4339) * CHOOSE(CONTROL!$C$15, $D$11, 100%, $F$11)</f>
        <v>44.438699999999997</v>
      </c>
      <c r="J994" s="4">
        <f>CHOOSE( CONTROL!$C$32, 44.3719, 44.3672) * CHOOSE(CONTROL!$C$15, $D$11, 100%, $F$11)</f>
        <v>44.371899999999997</v>
      </c>
      <c r="K994" s="4"/>
      <c r="L994" s="9">
        <v>28.568200000000001</v>
      </c>
      <c r="M994" s="9">
        <v>11.6745</v>
      </c>
      <c r="N994" s="9">
        <v>4.7850000000000001</v>
      </c>
      <c r="O994" s="9">
        <v>0.36249999999999999</v>
      </c>
      <c r="P994" s="9">
        <v>1.1798</v>
      </c>
      <c r="Q994" s="9">
        <v>19.053000000000001</v>
      </c>
      <c r="R994" s="9"/>
      <c r="S994" s="11"/>
    </row>
    <row r="995" spans="1:19" ht="15.75">
      <c r="A995" s="13">
        <v>72167</v>
      </c>
      <c r="B995" s="8">
        <f>CHOOSE( CONTROL!$C$32, 48.305, 48.3001) * CHOOSE(CONTROL!$C$15, $D$11, 100%, $F$11)</f>
        <v>48.305</v>
      </c>
      <c r="C995" s="8">
        <f>CHOOSE( CONTROL!$C$32, 48.3154, 48.3105) * CHOOSE(CONTROL!$C$15, $D$11, 100%, $F$11)</f>
        <v>48.315399999999997</v>
      </c>
      <c r="D995" s="8">
        <f>CHOOSE( CONTROL!$C$32, 48.3144, 48.3095) * CHOOSE( CONTROL!$C$15, $D$11, 100%, $F$11)</f>
        <v>48.314399999999999</v>
      </c>
      <c r="E995" s="12">
        <f>CHOOSE( CONTROL!$C$32, 48.3132, 48.3083) * CHOOSE( CONTROL!$C$15, $D$11, 100%, $F$11)</f>
        <v>48.313200000000002</v>
      </c>
      <c r="F995" s="4">
        <f>CHOOSE( CONTROL!$C$32, 49.3096, 49.3047) * CHOOSE(CONTROL!$C$15, $D$11, 100%, $F$11)</f>
        <v>49.309600000000003</v>
      </c>
      <c r="G995" s="8">
        <f>CHOOSE( CONTROL!$C$32, 47.0777, 47.0729) * CHOOSE( CONTROL!$C$15, $D$11, 100%, $F$11)</f>
        <v>47.0777</v>
      </c>
      <c r="H995" s="4">
        <f>CHOOSE( CONTROL!$C$32, 47.9894, 47.9846) * CHOOSE(CONTROL!$C$15, $D$11, 100%, $F$11)</f>
        <v>47.989400000000003</v>
      </c>
      <c r="I995" s="8">
        <f>CHOOSE( CONTROL!$C$32, 46.3564, 46.3517) * CHOOSE(CONTROL!$C$15, $D$11, 100%, $F$11)</f>
        <v>46.356400000000001</v>
      </c>
      <c r="J995" s="4">
        <f>CHOOSE( CONTROL!$C$32, 46.2811, 46.2764) * CHOOSE(CONTROL!$C$15, $D$11, 100%, $F$11)</f>
        <v>46.281100000000002</v>
      </c>
      <c r="K995" s="4"/>
      <c r="L995" s="9">
        <v>29.520499999999998</v>
      </c>
      <c r="M995" s="9">
        <v>12.063700000000001</v>
      </c>
      <c r="N995" s="9">
        <v>4.9444999999999997</v>
      </c>
      <c r="O995" s="9">
        <v>0.37459999999999999</v>
      </c>
      <c r="P995" s="9">
        <v>1.2192000000000001</v>
      </c>
      <c r="Q995" s="9">
        <v>19.688099999999999</v>
      </c>
      <c r="R995" s="9"/>
      <c r="S995" s="11"/>
    </row>
    <row r="996" spans="1:19" ht="15.75">
      <c r="A996" s="13">
        <v>72198</v>
      </c>
      <c r="B996" s="8">
        <f>CHOOSE( CONTROL!$C$32, 44.577, 44.572) * CHOOSE(CONTROL!$C$15, $D$11, 100%, $F$11)</f>
        <v>44.576999999999998</v>
      </c>
      <c r="C996" s="8">
        <f>CHOOSE( CONTROL!$C$32, 44.5874, 44.5825) * CHOOSE(CONTROL!$C$15, $D$11, 100%, $F$11)</f>
        <v>44.587400000000002</v>
      </c>
      <c r="D996" s="8">
        <f>CHOOSE( CONTROL!$C$32, 44.5876, 44.5826) * CHOOSE( CONTROL!$C$15, $D$11, 100%, $F$11)</f>
        <v>44.587600000000002</v>
      </c>
      <c r="E996" s="12">
        <f>CHOOSE( CONTROL!$C$32, 44.5859, 44.581) * CHOOSE( CONTROL!$C$15, $D$11, 100%, $F$11)</f>
        <v>44.585900000000002</v>
      </c>
      <c r="F996" s="4">
        <f>CHOOSE( CONTROL!$C$32, 45.5894, 45.5845) * CHOOSE(CONTROL!$C$15, $D$11, 100%, $F$11)</f>
        <v>45.589399999999998</v>
      </c>
      <c r="G996" s="8">
        <f>CHOOSE( CONTROL!$C$32, 43.4389, 43.434) * CHOOSE( CONTROL!$C$15, $D$11, 100%, $F$11)</f>
        <v>43.438899999999997</v>
      </c>
      <c r="H996" s="4">
        <f>CHOOSE( CONTROL!$C$32, 44.363, 44.3582) * CHOOSE(CONTROL!$C$15, $D$11, 100%, $F$11)</f>
        <v>44.363</v>
      </c>
      <c r="I996" s="8">
        <f>CHOOSE( CONTROL!$C$32, 42.7734, 42.7686) * CHOOSE(CONTROL!$C$15, $D$11, 100%, $F$11)</f>
        <v>42.773400000000002</v>
      </c>
      <c r="J996" s="4">
        <f>CHOOSE( CONTROL!$C$32, 42.7089, 42.7042) * CHOOSE(CONTROL!$C$15, $D$11, 100%, $F$11)</f>
        <v>42.7089</v>
      </c>
      <c r="K996" s="4"/>
      <c r="L996" s="9">
        <v>29.520499999999998</v>
      </c>
      <c r="M996" s="9">
        <v>12.063700000000001</v>
      </c>
      <c r="N996" s="9">
        <v>4.9444999999999997</v>
      </c>
      <c r="O996" s="9">
        <v>0.37459999999999999</v>
      </c>
      <c r="P996" s="9">
        <v>1.2192000000000001</v>
      </c>
      <c r="Q996" s="9">
        <v>19.688099999999999</v>
      </c>
      <c r="R996" s="9"/>
      <c r="S996" s="11"/>
    </row>
    <row r="997" spans="1:19" ht="15.75">
      <c r="A997" s="13">
        <v>72228</v>
      </c>
      <c r="B997" s="8">
        <f>CHOOSE( CONTROL!$C$32, 43.6434, 43.6385) * CHOOSE(CONTROL!$C$15, $D$11, 100%, $F$11)</f>
        <v>43.6434</v>
      </c>
      <c r="C997" s="8">
        <f>CHOOSE( CONTROL!$C$32, 43.6539, 43.6489) * CHOOSE(CONTROL!$C$15, $D$11, 100%, $F$11)</f>
        <v>43.6539</v>
      </c>
      <c r="D997" s="8">
        <f>CHOOSE( CONTROL!$C$32, 43.6543, 43.6494) * CHOOSE( CONTROL!$C$15, $D$11, 100%, $F$11)</f>
        <v>43.654299999999999</v>
      </c>
      <c r="E997" s="12">
        <f>CHOOSE( CONTROL!$C$32, 43.6526, 43.6476) * CHOOSE( CONTROL!$C$15, $D$11, 100%, $F$11)</f>
        <v>43.6526</v>
      </c>
      <c r="F997" s="4">
        <f>CHOOSE( CONTROL!$C$32, 44.6559, 44.651) * CHOOSE(CONTROL!$C$15, $D$11, 100%, $F$11)</f>
        <v>44.655900000000003</v>
      </c>
      <c r="G997" s="8">
        <f>CHOOSE( CONTROL!$C$32, 42.5293, 42.5245) * CHOOSE( CONTROL!$C$15, $D$11, 100%, $F$11)</f>
        <v>42.529299999999999</v>
      </c>
      <c r="H997" s="4">
        <f>CHOOSE( CONTROL!$C$32, 43.453, 43.4482) * CHOOSE(CONTROL!$C$15, $D$11, 100%, $F$11)</f>
        <v>43.453000000000003</v>
      </c>
      <c r="I997" s="8">
        <f>CHOOSE( CONTROL!$C$32, 41.8798, 41.8751) * CHOOSE(CONTROL!$C$15, $D$11, 100%, $F$11)</f>
        <v>41.879800000000003</v>
      </c>
      <c r="J997" s="4">
        <f>CHOOSE( CONTROL!$C$32, 41.8144, 41.8096) * CHOOSE(CONTROL!$C$15, $D$11, 100%, $F$11)</f>
        <v>41.814399999999999</v>
      </c>
      <c r="K997" s="4"/>
      <c r="L997" s="9">
        <v>28.568200000000001</v>
      </c>
      <c r="M997" s="9">
        <v>11.6745</v>
      </c>
      <c r="N997" s="9">
        <v>4.7850000000000001</v>
      </c>
      <c r="O997" s="9">
        <v>0.36249999999999999</v>
      </c>
      <c r="P997" s="9">
        <v>1.1798</v>
      </c>
      <c r="Q997" s="9">
        <v>19.053000000000001</v>
      </c>
      <c r="R997" s="9"/>
      <c r="S997" s="11"/>
    </row>
    <row r="998" spans="1:19" ht="15.75">
      <c r="A998" s="13">
        <v>72259</v>
      </c>
      <c r="B998" s="8">
        <f>45.5768 * CHOOSE(CONTROL!$C$15, $D$11, 100%, $F$11)</f>
        <v>45.576799999999999</v>
      </c>
      <c r="C998" s="8">
        <f>45.5873 * CHOOSE(CONTROL!$C$15, $D$11, 100%, $F$11)</f>
        <v>45.587299999999999</v>
      </c>
      <c r="D998" s="8">
        <f>45.5889 * CHOOSE( CONTROL!$C$15, $D$11, 100%, $F$11)</f>
        <v>45.588900000000002</v>
      </c>
      <c r="E998" s="12">
        <f>45.5873 * CHOOSE( CONTROL!$C$15, $D$11, 100%, $F$11)</f>
        <v>45.587299999999999</v>
      </c>
      <c r="F998" s="4">
        <f>46.5893 * CHOOSE(CONTROL!$C$15, $D$11, 100%, $F$11)</f>
        <v>46.589300000000001</v>
      </c>
      <c r="G998" s="8">
        <f>44.4136 * CHOOSE( CONTROL!$C$15, $D$11, 100%, $F$11)</f>
        <v>44.413600000000002</v>
      </c>
      <c r="H998" s="4">
        <f>45.3377 * CHOOSE(CONTROL!$C$15, $D$11, 100%, $F$11)</f>
        <v>45.337699999999998</v>
      </c>
      <c r="I998" s="8">
        <f>43.7356 * CHOOSE(CONTROL!$C$15, $D$11, 100%, $F$11)</f>
        <v>43.735599999999998</v>
      </c>
      <c r="J998" s="4">
        <f>43.667 * CHOOSE(CONTROL!$C$15, $D$11, 100%, $F$11)</f>
        <v>43.667000000000002</v>
      </c>
      <c r="K998" s="4"/>
      <c r="L998" s="9">
        <v>28.921800000000001</v>
      </c>
      <c r="M998" s="9">
        <v>12.063700000000001</v>
      </c>
      <c r="N998" s="9">
        <v>4.9444999999999997</v>
      </c>
      <c r="O998" s="9">
        <v>0.37459999999999999</v>
      </c>
      <c r="P998" s="9">
        <v>1.2192000000000001</v>
      </c>
      <c r="Q998" s="9">
        <v>19.688099999999999</v>
      </c>
      <c r="R998" s="9"/>
      <c r="S998" s="11"/>
    </row>
    <row r="999" spans="1:19" ht="15.75">
      <c r="A999" s="13">
        <v>72289</v>
      </c>
      <c r="B999" s="8">
        <f>49.1546 * CHOOSE(CONTROL!$C$15, $D$11, 100%, $F$11)</f>
        <v>49.154600000000002</v>
      </c>
      <c r="C999" s="8">
        <f>49.1651 * CHOOSE(CONTROL!$C$15, $D$11, 100%, $F$11)</f>
        <v>49.165100000000002</v>
      </c>
      <c r="D999" s="8">
        <f>49.1461 * CHOOSE( CONTROL!$C$15, $D$11, 100%, $F$11)</f>
        <v>49.146099999999997</v>
      </c>
      <c r="E999" s="12">
        <f>49.1519 * CHOOSE( CONTROL!$C$15, $D$11, 100%, $F$11)</f>
        <v>49.151899999999998</v>
      </c>
      <c r="F999" s="4">
        <f>50.1515 * CHOOSE(CONTROL!$C$15, $D$11, 100%, $F$11)</f>
        <v>50.151499999999999</v>
      </c>
      <c r="G999" s="8">
        <f>47.9241 * CHOOSE( CONTROL!$C$15, $D$11, 100%, $F$11)</f>
        <v>47.924100000000003</v>
      </c>
      <c r="H999" s="4">
        <f>48.81 * CHOOSE(CONTROL!$C$15, $D$11, 100%, $F$11)</f>
        <v>48.81</v>
      </c>
      <c r="I999" s="8">
        <f>47.2121 * CHOOSE(CONTROL!$C$15, $D$11, 100%, $F$11)</f>
        <v>47.2121</v>
      </c>
      <c r="J999" s="4">
        <f>47.0952 * CHOOSE(CONTROL!$C$15, $D$11, 100%, $F$11)</f>
        <v>47.095199999999998</v>
      </c>
      <c r="K999" s="4"/>
      <c r="L999" s="9">
        <v>26.515499999999999</v>
      </c>
      <c r="M999" s="9">
        <v>11.6745</v>
      </c>
      <c r="N999" s="9">
        <v>4.7850000000000001</v>
      </c>
      <c r="O999" s="9">
        <v>0.36249999999999999</v>
      </c>
      <c r="P999" s="9">
        <v>1.2522</v>
      </c>
      <c r="Q999" s="9">
        <v>19.053000000000001</v>
      </c>
      <c r="R999" s="9"/>
      <c r="S999" s="11"/>
    </row>
    <row r="1000" spans="1:19" ht="15.75">
      <c r="A1000" s="13">
        <v>72320</v>
      </c>
      <c r="B1000" s="8">
        <f>49.0653 * CHOOSE(CONTROL!$C$15, $D$11, 100%, $F$11)</f>
        <v>49.065300000000001</v>
      </c>
      <c r="C1000" s="8">
        <f>49.0757 * CHOOSE(CONTROL!$C$15, $D$11, 100%, $F$11)</f>
        <v>49.075699999999998</v>
      </c>
      <c r="D1000" s="8">
        <f>49.0593 * CHOOSE( CONTROL!$C$15, $D$11, 100%, $F$11)</f>
        <v>49.0593</v>
      </c>
      <c r="E1000" s="12">
        <f>49.0642 * CHOOSE( CONTROL!$C$15, $D$11, 100%, $F$11)</f>
        <v>49.0642</v>
      </c>
      <c r="F1000" s="4">
        <f>50.0621 * CHOOSE(CONTROL!$C$15, $D$11, 100%, $F$11)</f>
        <v>50.062100000000001</v>
      </c>
      <c r="G1000" s="8">
        <f>47.8389 * CHOOSE( CONTROL!$C$15, $D$11, 100%, $F$11)</f>
        <v>47.838900000000002</v>
      </c>
      <c r="H1000" s="4">
        <f>48.7228 * CHOOSE(CONTROL!$C$15, $D$11, 100%, $F$11)</f>
        <v>48.722799999999999</v>
      </c>
      <c r="I1000" s="8">
        <f>47.1352 * CHOOSE(CONTROL!$C$15, $D$11, 100%, $F$11)</f>
        <v>47.135199999999998</v>
      </c>
      <c r="J1000" s="4">
        <f>47.0096 * CHOOSE(CONTROL!$C$15, $D$11, 100%, $F$11)</f>
        <v>47.009599999999999</v>
      </c>
      <c r="K1000" s="4"/>
      <c r="L1000" s="9">
        <v>27.3993</v>
      </c>
      <c r="M1000" s="9">
        <v>12.063700000000001</v>
      </c>
      <c r="N1000" s="9">
        <v>4.9444999999999997</v>
      </c>
      <c r="O1000" s="9">
        <v>0.37459999999999999</v>
      </c>
      <c r="P1000" s="9">
        <v>1.2939000000000001</v>
      </c>
      <c r="Q1000" s="9">
        <v>19.688099999999999</v>
      </c>
      <c r="R1000" s="9"/>
      <c r="S1000" s="11"/>
    </row>
    <row r="1001" spans="1:19" ht="15.75">
      <c r="A1001" s="13">
        <v>72351</v>
      </c>
      <c r="B1001" s="8">
        <f>50.9403 * CHOOSE(CONTROL!$C$15, $D$11, 100%, $F$11)</f>
        <v>50.940300000000001</v>
      </c>
      <c r="C1001" s="8">
        <f>50.9507 * CHOOSE(CONTROL!$C$15, $D$11, 100%, $F$11)</f>
        <v>50.950699999999998</v>
      </c>
      <c r="D1001" s="8">
        <f>50.9493 * CHOOSE( CONTROL!$C$15, $D$11, 100%, $F$11)</f>
        <v>50.949300000000001</v>
      </c>
      <c r="E1001" s="12">
        <f>50.9487 * CHOOSE( CONTROL!$C$15, $D$11, 100%, $F$11)</f>
        <v>50.948700000000002</v>
      </c>
      <c r="F1001" s="4">
        <f>51.9632 * CHOOSE(CONTROL!$C$15, $D$11, 100%, $F$11)</f>
        <v>51.963200000000001</v>
      </c>
      <c r="G1001" s="8">
        <f>49.6835 * CHOOSE( CONTROL!$C$15, $D$11, 100%, $F$11)</f>
        <v>49.683500000000002</v>
      </c>
      <c r="H1001" s="4">
        <f>50.576 * CHOOSE(CONTROL!$C$15, $D$11, 100%, $F$11)</f>
        <v>50.576000000000001</v>
      </c>
      <c r="I1001" s="8">
        <f>48.9393 * CHOOSE(CONTROL!$C$15, $D$11, 100%, $F$11)</f>
        <v>48.939300000000003</v>
      </c>
      <c r="J1001" s="4">
        <f>48.8063 * CHOOSE(CONTROL!$C$15, $D$11, 100%, $F$11)</f>
        <v>48.8063</v>
      </c>
      <c r="K1001" s="4"/>
      <c r="L1001" s="9">
        <v>27.3993</v>
      </c>
      <c r="M1001" s="9">
        <v>12.063700000000001</v>
      </c>
      <c r="N1001" s="9">
        <v>4.9444999999999997</v>
      </c>
      <c r="O1001" s="9">
        <v>0.37459999999999999</v>
      </c>
      <c r="P1001" s="9">
        <v>1.2939000000000001</v>
      </c>
      <c r="Q1001" s="9">
        <v>19.688099999999999</v>
      </c>
      <c r="R1001" s="9"/>
      <c r="S1001" s="11"/>
    </row>
    <row r="1002" spans="1:19" ht="15.75">
      <c r="A1002" s="13">
        <v>72379</v>
      </c>
      <c r="B1002" s="8">
        <f>47.6474 * CHOOSE(CONTROL!$C$15, $D$11, 100%, $F$11)</f>
        <v>47.647399999999998</v>
      </c>
      <c r="C1002" s="8">
        <f>47.6579 * CHOOSE(CONTROL!$C$15, $D$11, 100%, $F$11)</f>
        <v>47.657899999999998</v>
      </c>
      <c r="D1002" s="8">
        <f>47.6587 * CHOOSE( CONTROL!$C$15, $D$11, 100%, $F$11)</f>
        <v>47.658700000000003</v>
      </c>
      <c r="E1002" s="12">
        <f>47.6573 * CHOOSE( CONTROL!$C$15, $D$11, 100%, $F$11)</f>
        <v>47.657299999999999</v>
      </c>
      <c r="F1002" s="4">
        <f>48.6625 * CHOOSE(CONTROL!$C$15, $D$11, 100%, $F$11)</f>
        <v>48.662500000000001</v>
      </c>
      <c r="G1002" s="8">
        <f>46.4735 * CHOOSE( CONTROL!$C$15, $D$11, 100%, $F$11)</f>
        <v>46.473500000000001</v>
      </c>
      <c r="H1002" s="4">
        <f>47.3586 * CHOOSE(CONTROL!$C$15, $D$11, 100%, $F$11)</f>
        <v>47.358600000000003</v>
      </c>
      <c r="I1002" s="8">
        <f>45.7715 * CHOOSE(CONTROL!$C$15, $D$11, 100%, $F$11)</f>
        <v>45.771500000000003</v>
      </c>
      <c r="J1002" s="4">
        <f>45.651 * CHOOSE(CONTROL!$C$15, $D$11, 100%, $F$11)</f>
        <v>45.651000000000003</v>
      </c>
      <c r="K1002" s="4"/>
      <c r="L1002" s="9">
        <v>24.747800000000002</v>
      </c>
      <c r="M1002" s="9">
        <v>10.8962</v>
      </c>
      <c r="N1002" s="9">
        <v>4.4660000000000002</v>
      </c>
      <c r="O1002" s="9">
        <v>0.33829999999999999</v>
      </c>
      <c r="P1002" s="9">
        <v>1.1687000000000001</v>
      </c>
      <c r="Q1002" s="9">
        <v>17.782800000000002</v>
      </c>
      <c r="R1002" s="9"/>
      <c r="S1002" s="11"/>
    </row>
    <row r="1003" spans="1:19" ht="15.75">
      <c r="A1003" s="13">
        <v>72410</v>
      </c>
      <c r="B1003" s="8">
        <f>46.6332 * CHOOSE(CONTROL!$C$15, $D$11, 100%, $F$11)</f>
        <v>46.633200000000002</v>
      </c>
      <c r="C1003" s="8">
        <f>46.6437 * CHOOSE(CONTROL!$C$15, $D$11, 100%, $F$11)</f>
        <v>46.643700000000003</v>
      </c>
      <c r="D1003" s="8">
        <f>46.6242 * CHOOSE( CONTROL!$C$15, $D$11, 100%, $F$11)</f>
        <v>46.624200000000002</v>
      </c>
      <c r="E1003" s="12">
        <f>46.6302 * CHOOSE( CONTROL!$C$15, $D$11, 100%, $F$11)</f>
        <v>46.630200000000002</v>
      </c>
      <c r="F1003" s="4">
        <f>47.6321 * CHOOSE(CONTROL!$C$15, $D$11, 100%, $F$11)</f>
        <v>47.632100000000001</v>
      </c>
      <c r="G1003" s="8">
        <f>45.4642 * CHOOSE( CONTROL!$C$15, $D$11, 100%, $F$11)</f>
        <v>45.464199999999998</v>
      </c>
      <c r="H1003" s="4">
        <f>46.3542 * CHOOSE(CONTROL!$C$15, $D$11, 100%, $F$11)</f>
        <v>46.354199999999999</v>
      </c>
      <c r="I1003" s="8">
        <f>44.7597 * CHOOSE(CONTROL!$C$15, $D$11, 100%, $F$11)</f>
        <v>44.759700000000002</v>
      </c>
      <c r="J1003" s="4">
        <f>44.6792 * CHOOSE(CONTROL!$C$15, $D$11, 100%, $F$11)</f>
        <v>44.679200000000002</v>
      </c>
      <c r="K1003" s="4"/>
      <c r="L1003" s="9">
        <v>27.3993</v>
      </c>
      <c r="M1003" s="9">
        <v>12.063700000000001</v>
      </c>
      <c r="N1003" s="9">
        <v>4.9444999999999997</v>
      </c>
      <c r="O1003" s="9">
        <v>0.37459999999999999</v>
      </c>
      <c r="P1003" s="9">
        <v>1.2939000000000001</v>
      </c>
      <c r="Q1003" s="9">
        <v>19.688099999999999</v>
      </c>
      <c r="R1003" s="9"/>
      <c r="S1003" s="11"/>
    </row>
    <row r="1004" spans="1:19" ht="15.75">
      <c r="A1004" s="13">
        <v>72440</v>
      </c>
      <c r="B1004" s="8">
        <f>47.3419 * CHOOSE(CONTROL!$C$15, $D$11, 100%, $F$11)</f>
        <v>47.341900000000003</v>
      </c>
      <c r="C1004" s="8">
        <f>47.3524 * CHOOSE(CONTROL!$C$15, $D$11, 100%, $F$11)</f>
        <v>47.352400000000003</v>
      </c>
      <c r="D1004" s="8">
        <f>47.3562 * CHOOSE( CONTROL!$C$15, $D$11, 100%, $F$11)</f>
        <v>47.356200000000001</v>
      </c>
      <c r="E1004" s="12">
        <f>47.3537 * CHOOSE( CONTROL!$C$15, $D$11, 100%, $F$11)</f>
        <v>47.353700000000003</v>
      </c>
      <c r="F1004" s="4">
        <f>48.3492 * CHOOSE(CONTROL!$C$15, $D$11, 100%, $F$11)</f>
        <v>48.349200000000003</v>
      </c>
      <c r="G1004" s="8">
        <f>46.143 * CHOOSE( CONTROL!$C$15, $D$11, 100%, $F$11)</f>
        <v>46.143000000000001</v>
      </c>
      <c r="H1004" s="4">
        <f>47.0531 * CHOOSE(CONTROL!$C$15, $D$11, 100%, $F$11)</f>
        <v>47.053100000000001</v>
      </c>
      <c r="I1004" s="8">
        <f>45.4292 * CHOOSE(CONTROL!$C$15, $D$11, 100%, $F$11)</f>
        <v>45.429200000000002</v>
      </c>
      <c r="J1004" s="4">
        <f>45.3583 * CHOOSE(CONTROL!$C$15, $D$11, 100%, $F$11)</f>
        <v>45.3583</v>
      </c>
      <c r="K1004" s="4"/>
      <c r="L1004" s="9">
        <v>27.988800000000001</v>
      </c>
      <c r="M1004" s="9">
        <v>11.6745</v>
      </c>
      <c r="N1004" s="9">
        <v>4.7850000000000001</v>
      </c>
      <c r="O1004" s="9">
        <v>0.36249999999999999</v>
      </c>
      <c r="P1004" s="9">
        <v>1.1798</v>
      </c>
      <c r="Q1004" s="9">
        <v>19.053000000000001</v>
      </c>
      <c r="R1004" s="9"/>
      <c r="S1004" s="11"/>
    </row>
    <row r="1005" spans="1:19" ht="15.75">
      <c r="A1005" s="13">
        <v>72471</v>
      </c>
      <c r="B1005" s="8">
        <f>CHOOSE( CONTROL!$C$32, 48.6082, 48.6033) * CHOOSE(CONTROL!$C$15, $D$11, 100%, $F$11)</f>
        <v>48.608199999999997</v>
      </c>
      <c r="C1005" s="8">
        <f>CHOOSE( CONTROL!$C$32, 48.6186, 48.6137) * CHOOSE(CONTROL!$C$15, $D$11, 100%, $F$11)</f>
        <v>48.618600000000001</v>
      </c>
      <c r="D1005" s="8">
        <f>CHOOSE( CONTROL!$C$32, 48.5973, 48.5923) * CHOOSE( CONTROL!$C$15, $D$11, 100%, $F$11)</f>
        <v>48.597299999999997</v>
      </c>
      <c r="E1005" s="12">
        <f>CHOOSE( CONTROL!$C$32, 48.6034, 48.5985) * CHOOSE( CONTROL!$C$15, $D$11, 100%, $F$11)</f>
        <v>48.603400000000001</v>
      </c>
      <c r="F1005" s="4">
        <f>CHOOSE( CONTROL!$C$32, 49.5831, 49.5782) * CHOOSE(CONTROL!$C$15, $D$11, 100%, $F$11)</f>
        <v>49.583100000000002</v>
      </c>
      <c r="G1005" s="8">
        <f>CHOOSE( CONTROL!$C$32, 47.3587, 47.3539) * CHOOSE( CONTROL!$C$15, $D$11, 100%, $F$11)</f>
        <v>47.358699999999999</v>
      </c>
      <c r="H1005" s="4">
        <f>CHOOSE( CONTROL!$C$32, 48.2559, 48.2511) * CHOOSE(CONTROL!$C$15, $D$11, 100%, $F$11)</f>
        <v>48.255899999999997</v>
      </c>
      <c r="I1005" s="8">
        <f>CHOOSE( CONTROL!$C$32, 46.6216, 46.6169) * CHOOSE(CONTROL!$C$15, $D$11, 100%, $F$11)</f>
        <v>46.621600000000001</v>
      </c>
      <c r="J1005" s="4">
        <f>CHOOSE( CONTROL!$C$32, 46.5716, 46.5669) * CHOOSE(CONTROL!$C$15, $D$11, 100%, $F$11)</f>
        <v>46.571599999999997</v>
      </c>
      <c r="K1005" s="4"/>
      <c r="L1005" s="9">
        <v>29.520499999999998</v>
      </c>
      <c r="M1005" s="9">
        <v>12.063700000000001</v>
      </c>
      <c r="N1005" s="9">
        <v>4.9444999999999997</v>
      </c>
      <c r="O1005" s="9">
        <v>0.37459999999999999</v>
      </c>
      <c r="P1005" s="9">
        <v>1.2192000000000001</v>
      </c>
      <c r="Q1005" s="9">
        <v>19.688099999999999</v>
      </c>
      <c r="R1005" s="9"/>
      <c r="S1005" s="11"/>
    </row>
    <row r="1006" spans="1:19" ht="15.75">
      <c r="A1006" s="13">
        <v>72501</v>
      </c>
      <c r="B1006" s="8">
        <f>CHOOSE( CONTROL!$C$32, 47.8268, 47.8219) * CHOOSE(CONTROL!$C$15, $D$11, 100%, $F$11)</f>
        <v>47.826799999999999</v>
      </c>
      <c r="C1006" s="8">
        <f>CHOOSE( CONTROL!$C$32, 47.8373, 47.8323) * CHOOSE(CONTROL!$C$15, $D$11, 100%, $F$11)</f>
        <v>47.837299999999999</v>
      </c>
      <c r="D1006" s="8">
        <f>CHOOSE( CONTROL!$C$32, 47.8294, 47.8244) * CHOOSE( CONTROL!$C$15, $D$11, 100%, $F$11)</f>
        <v>47.8294</v>
      </c>
      <c r="E1006" s="12">
        <f>CHOOSE( CONTROL!$C$32, 47.8307, 47.8257) * CHOOSE( CONTROL!$C$15, $D$11, 100%, $F$11)</f>
        <v>47.8307</v>
      </c>
      <c r="F1006" s="4">
        <f>CHOOSE( CONTROL!$C$32, 48.821, 48.8161) * CHOOSE(CONTROL!$C$15, $D$11, 100%, $F$11)</f>
        <v>48.820999999999998</v>
      </c>
      <c r="G1006" s="8">
        <f>CHOOSE( CONTROL!$C$32, 46.6075, 46.6027) * CHOOSE( CONTROL!$C$15, $D$11, 100%, $F$11)</f>
        <v>46.607500000000002</v>
      </c>
      <c r="H1006" s="4">
        <f>CHOOSE( CONTROL!$C$32, 47.5131, 47.5083) * CHOOSE(CONTROL!$C$15, $D$11, 100%, $F$11)</f>
        <v>47.513100000000001</v>
      </c>
      <c r="I1006" s="8">
        <f>CHOOSE( CONTROL!$C$32, 45.8904, 45.8856) * CHOOSE(CONTROL!$C$15, $D$11, 100%, $F$11)</f>
        <v>45.8904</v>
      </c>
      <c r="J1006" s="4">
        <f>CHOOSE( CONTROL!$C$32, 45.8229, 45.8182) * CHOOSE(CONTROL!$C$15, $D$11, 100%, $F$11)</f>
        <v>45.822899999999997</v>
      </c>
      <c r="K1006" s="4"/>
      <c r="L1006" s="9">
        <v>28.568200000000001</v>
      </c>
      <c r="M1006" s="9">
        <v>11.6745</v>
      </c>
      <c r="N1006" s="9">
        <v>4.7850000000000001</v>
      </c>
      <c r="O1006" s="9">
        <v>0.36249999999999999</v>
      </c>
      <c r="P1006" s="9">
        <v>1.1798</v>
      </c>
      <c r="Q1006" s="9">
        <v>19.053000000000001</v>
      </c>
      <c r="R1006" s="9"/>
      <c r="S1006" s="11"/>
    </row>
    <row r="1007" spans="1:19" ht="15.75">
      <c r="A1007" s="13">
        <v>72532</v>
      </c>
      <c r="B1007" s="8">
        <f>CHOOSE( CONTROL!$C$32, 49.8844, 49.8795) * CHOOSE(CONTROL!$C$15, $D$11, 100%, $F$11)</f>
        <v>49.884399999999999</v>
      </c>
      <c r="C1007" s="8">
        <f>CHOOSE( CONTROL!$C$32, 49.8949, 49.8899) * CHOOSE(CONTROL!$C$15, $D$11, 100%, $F$11)</f>
        <v>49.8949</v>
      </c>
      <c r="D1007" s="8">
        <f>CHOOSE( CONTROL!$C$32, 49.8939, 49.8889) * CHOOSE( CONTROL!$C$15, $D$11, 100%, $F$11)</f>
        <v>49.893900000000002</v>
      </c>
      <c r="E1007" s="12">
        <f>CHOOSE( CONTROL!$C$32, 49.8927, 49.8877) * CHOOSE( CONTROL!$C$15, $D$11, 100%, $F$11)</f>
        <v>49.892699999999998</v>
      </c>
      <c r="F1007" s="4">
        <f>CHOOSE( CONTROL!$C$32, 50.8891, 50.8841) * CHOOSE(CONTROL!$C$15, $D$11, 100%, $F$11)</f>
        <v>50.889099999999999</v>
      </c>
      <c r="G1007" s="8">
        <f>CHOOSE( CONTROL!$C$32, 48.6172, 48.6124) * CHOOSE( CONTROL!$C$15, $D$11, 100%, $F$11)</f>
        <v>48.617199999999997</v>
      </c>
      <c r="H1007" s="4">
        <f>CHOOSE( CONTROL!$C$32, 49.5289, 49.5241) * CHOOSE(CONTROL!$C$15, $D$11, 100%, $F$11)</f>
        <v>49.5289</v>
      </c>
      <c r="I1007" s="8">
        <f>CHOOSE( CONTROL!$C$32, 47.8706, 47.8658) * CHOOSE(CONTROL!$C$15, $D$11, 100%, $F$11)</f>
        <v>47.870600000000003</v>
      </c>
      <c r="J1007" s="4">
        <f>CHOOSE( CONTROL!$C$32, 47.7945, 47.7898) * CHOOSE(CONTROL!$C$15, $D$11, 100%, $F$11)</f>
        <v>47.794499999999999</v>
      </c>
      <c r="K1007" s="4"/>
      <c r="L1007" s="9">
        <v>29.520499999999998</v>
      </c>
      <c r="M1007" s="9">
        <v>12.063700000000001</v>
      </c>
      <c r="N1007" s="9">
        <v>4.9444999999999997</v>
      </c>
      <c r="O1007" s="9">
        <v>0.37459999999999999</v>
      </c>
      <c r="P1007" s="9">
        <v>1.2192000000000001</v>
      </c>
      <c r="Q1007" s="9">
        <v>19.688099999999999</v>
      </c>
      <c r="R1007" s="9"/>
      <c r="S1007" s="11"/>
    </row>
    <row r="1008" spans="1:19" ht="15.75">
      <c r="A1008" s="13">
        <v>72563</v>
      </c>
      <c r="B1008" s="8">
        <f>CHOOSE( CONTROL!$C$32, 46.0345, 46.0295) * CHOOSE(CONTROL!$C$15, $D$11, 100%, $F$11)</f>
        <v>46.034500000000001</v>
      </c>
      <c r="C1008" s="8">
        <f>CHOOSE( CONTROL!$C$32, 46.0449, 46.04) * CHOOSE(CONTROL!$C$15, $D$11, 100%, $F$11)</f>
        <v>46.044899999999998</v>
      </c>
      <c r="D1008" s="8">
        <f>CHOOSE( CONTROL!$C$32, 46.0451, 46.0401) * CHOOSE( CONTROL!$C$15, $D$11, 100%, $F$11)</f>
        <v>46.045099999999998</v>
      </c>
      <c r="E1008" s="12">
        <f>CHOOSE( CONTROL!$C$32, 46.0434, 46.0385) * CHOOSE( CONTROL!$C$15, $D$11, 100%, $F$11)</f>
        <v>46.043399999999998</v>
      </c>
      <c r="F1008" s="4">
        <f>CHOOSE( CONTROL!$C$32, 47.0469, 47.042) * CHOOSE(CONTROL!$C$15, $D$11, 100%, $F$11)</f>
        <v>47.046900000000001</v>
      </c>
      <c r="G1008" s="8">
        <f>CHOOSE( CONTROL!$C$32, 44.8596, 44.8548) * CHOOSE( CONTROL!$C$15, $D$11, 100%, $F$11)</f>
        <v>44.8596</v>
      </c>
      <c r="H1008" s="4">
        <f>CHOOSE( CONTROL!$C$32, 45.7838, 45.7789) * CHOOSE(CONTROL!$C$15, $D$11, 100%, $F$11)</f>
        <v>45.783799999999999</v>
      </c>
      <c r="I1008" s="8">
        <f>CHOOSE( CONTROL!$C$32, 44.1707, 44.1659) * CHOOSE(CONTROL!$C$15, $D$11, 100%, $F$11)</f>
        <v>44.170699999999997</v>
      </c>
      <c r="J1008" s="4">
        <f>CHOOSE( CONTROL!$C$32, 44.1055, 44.1007) * CHOOSE(CONTROL!$C$15, $D$11, 100%, $F$11)</f>
        <v>44.105499999999999</v>
      </c>
      <c r="K1008" s="4"/>
      <c r="L1008" s="9">
        <v>29.520499999999998</v>
      </c>
      <c r="M1008" s="9">
        <v>12.063700000000001</v>
      </c>
      <c r="N1008" s="9">
        <v>4.9444999999999997</v>
      </c>
      <c r="O1008" s="9">
        <v>0.37459999999999999</v>
      </c>
      <c r="P1008" s="9">
        <v>1.2192000000000001</v>
      </c>
      <c r="Q1008" s="9">
        <v>19.688099999999999</v>
      </c>
      <c r="R1008" s="9"/>
      <c r="S1008" s="11"/>
    </row>
    <row r="1009" spans="1:19" ht="15.75">
      <c r="A1009" s="13">
        <v>72593</v>
      </c>
      <c r="B1009" s="8">
        <f>CHOOSE( CONTROL!$C$32, 45.0704, 45.0655) * CHOOSE(CONTROL!$C$15, $D$11, 100%, $F$11)</f>
        <v>45.070399999999999</v>
      </c>
      <c r="C1009" s="8">
        <f>CHOOSE( CONTROL!$C$32, 45.0808, 45.0759) * CHOOSE(CONTROL!$C$15, $D$11, 100%, $F$11)</f>
        <v>45.080800000000004</v>
      </c>
      <c r="D1009" s="8">
        <f>CHOOSE( CONTROL!$C$32, 45.0813, 45.0763) * CHOOSE( CONTROL!$C$15, $D$11, 100%, $F$11)</f>
        <v>45.081299999999999</v>
      </c>
      <c r="E1009" s="12">
        <f>CHOOSE( CONTROL!$C$32, 45.0795, 45.0746) * CHOOSE( CONTROL!$C$15, $D$11, 100%, $F$11)</f>
        <v>45.079500000000003</v>
      </c>
      <c r="F1009" s="4">
        <f>CHOOSE( CONTROL!$C$32, 46.0829, 46.0779) * CHOOSE(CONTROL!$C$15, $D$11, 100%, $F$11)</f>
        <v>46.082900000000002</v>
      </c>
      <c r="G1009" s="8">
        <f>CHOOSE( CONTROL!$C$32, 43.9203, 43.9154) * CHOOSE( CONTROL!$C$15, $D$11, 100%, $F$11)</f>
        <v>43.920299999999997</v>
      </c>
      <c r="H1009" s="4">
        <f>CHOOSE( CONTROL!$C$32, 44.844, 44.8392) * CHOOSE(CONTROL!$C$15, $D$11, 100%, $F$11)</f>
        <v>44.844000000000001</v>
      </c>
      <c r="I1009" s="8">
        <f>CHOOSE( CONTROL!$C$32, 43.2478, 43.2431) * CHOOSE(CONTROL!$C$15, $D$11, 100%, $F$11)</f>
        <v>43.247799999999998</v>
      </c>
      <c r="J1009" s="4">
        <f>CHOOSE( CONTROL!$C$32, 43.1817, 43.177) * CHOOSE(CONTROL!$C$15, $D$11, 100%, $F$11)</f>
        <v>43.181699999999999</v>
      </c>
      <c r="K1009" s="4"/>
      <c r="L1009" s="9">
        <v>28.568200000000001</v>
      </c>
      <c r="M1009" s="9">
        <v>11.6745</v>
      </c>
      <c r="N1009" s="9">
        <v>4.7850000000000001</v>
      </c>
      <c r="O1009" s="9">
        <v>0.36249999999999999</v>
      </c>
      <c r="P1009" s="9">
        <v>1.1798</v>
      </c>
      <c r="Q1009" s="9">
        <v>19.053000000000001</v>
      </c>
      <c r="R1009" s="9"/>
      <c r="S1009" s="11"/>
    </row>
    <row r="1010" spans="1:19" ht="15.75">
      <c r="A1010" s="13">
        <v>72624</v>
      </c>
      <c r="B1010" s="8">
        <f>47.0672 * CHOOSE(CONTROL!$C$15, $D$11, 100%, $F$11)</f>
        <v>47.0672</v>
      </c>
      <c r="C1010" s="8">
        <f>47.0776 * CHOOSE(CONTROL!$C$15, $D$11, 100%, $F$11)</f>
        <v>47.077599999999997</v>
      </c>
      <c r="D1010" s="8">
        <f>47.0793 * CHOOSE( CONTROL!$C$15, $D$11, 100%, $F$11)</f>
        <v>47.079300000000003</v>
      </c>
      <c r="E1010" s="12">
        <f>47.0776 * CHOOSE( CONTROL!$C$15, $D$11, 100%, $F$11)</f>
        <v>47.077599999999997</v>
      </c>
      <c r="F1010" s="4">
        <f>48.0797 * CHOOSE(CONTROL!$C$15, $D$11, 100%, $F$11)</f>
        <v>48.079700000000003</v>
      </c>
      <c r="G1010" s="8">
        <f>45.8664 * CHOOSE( CONTROL!$C$15, $D$11, 100%, $F$11)</f>
        <v>45.866399999999999</v>
      </c>
      <c r="H1010" s="4">
        <f>46.7904 * CHOOSE(CONTROL!$C$15, $D$11, 100%, $F$11)</f>
        <v>46.790399999999998</v>
      </c>
      <c r="I1010" s="8">
        <f>45.1644 * CHOOSE(CONTROL!$C$15, $D$11, 100%, $F$11)</f>
        <v>45.164400000000001</v>
      </c>
      <c r="J1010" s="4">
        <f>45.095 * CHOOSE(CONTROL!$C$15, $D$11, 100%, $F$11)</f>
        <v>45.094999999999999</v>
      </c>
      <c r="K1010" s="4"/>
      <c r="L1010" s="9">
        <v>28.921800000000001</v>
      </c>
      <c r="M1010" s="9">
        <v>12.063700000000001</v>
      </c>
      <c r="N1010" s="9">
        <v>4.9444999999999997</v>
      </c>
      <c r="O1010" s="9">
        <v>0.37459999999999999</v>
      </c>
      <c r="P1010" s="9">
        <v>1.2192000000000001</v>
      </c>
      <c r="Q1010" s="9">
        <v>19.688099999999999</v>
      </c>
      <c r="R1010" s="9"/>
      <c r="S1010" s="11"/>
    </row>
    <row r="1011" spans="1:19" ht="15.75">
      <c r="A1011" s="13">
        <v>72654</v>
      </c>
      <c r="B1011" s="8">
        <f>50.762 * CHOOSE(CONTROL!$C$15, $D$11, 100%, $F$11)</f>
        <v>50.762</v>
      </c>
      <c r="C1011" s="8">
        <f>50.7725 * CHOOSE(CONTROL!$C$15, $D$11, 100%, $F$11)</f>
        <v>50.772500000000001</v>
      </c>
      <c r="D1011" s="8">
        <f>50.7535 * CHOOSE( CONTROL!$C$15, $D$11, 100%, $F$11)</f>
        <v>50.753500000000003</v>
      </c>
      <c r="E1011" s="12">
        <f>50.7593 * CHOOSE( CONTROL!$C$15, $D$11, 100%, $F$11)</f>
        <v>50.759300000000003</v>
      </c>
      <c r="F1011" s="4">
        <f>51.7588 * CHOOSE(CONTROL!$C$15, $D$11, 100%, $F$11)</f>
        <v>51.758800000000001</v>
      </c>
      <c r="G1011" s="8">
        <f>49.4909 * CHOOSE( CONTROL!$C$15, $D$11, 100%, $F$11)</f>
        <v>49.490900000000003</v>
      </c>
      <c r="H1011" s="4">
        <f>50.3768 * CHOOSE(CONTROL!$C$15, $D$11, 100%, $F$11)</f>
        <v>50.376800000000003</v>
      </c>
      <c r="I1011" s="8">
        <f>48.7531 * CHOOSE(CONTROL!$C$15, $D$11, 100%, $F$11)</f>
        <v>48.753100000000003</v>
      </c>
      <c r="J1011" s="4">
        <f>48.6354 * CHOOSE(CONTROL!$C$15, $D$11, 100%, $F$11)</f>
        <v>48.635399999999997</v>
      </c>
      <c r="K1011" s="4"/>
      <c r="L1011" s="9">
        <v>26.515499999999999</v>
      </c>
      <c r="M1011" s="9">
        <v>11.6745</v>
      </c>
      <c r="N1011" s="9">
        <v>4.7850000000000001</v>
      </c>
      <c r="O1011" s="9">
        <v>0.36249999999999999</v>
      </c>
      <c r="P1011" s="9">
        <v>1.2522</v>
      </c>
      <c r="Q1011" s="9">
        <v>19.053000000000001</v>
      </c>
      <c r="R1011" s="9"/>
      <c r="S1011" s="11"/>
    </row>
    <row r="1012" spans="1:19" ht="15.75">
      <c r="A1012" s="13">
        <v>72685</v>
      </c>
      <c r="B1012" s="8">
        <f>50.6697 * CHOOSE(CONTROL!$C$15, $D$11, 100%, $F$11)</f>
        <v>50.669699999999999</v>
      </c>
      <c r="C1012" s="8">
        <f>50.6801 * CHOOSE(CONTROL!$C$15, $D$11, 100%, $F$11)</f>
        <v>50.680100000000003</v>
      </c>
      <c r="D1012" s="8">
        <f>50.6638 * CHOOSE( CONTROL!$C$15, $D$11, 100%, $F$11)</f>
        <v>50.663800000000002</v>
      </c>
      <c r="E1012" s="12">
        <f>50.6687 * CHOOSE( CONTROL!$C$15, $D$11, 100%, $F$11)</f>
        <v>50.668700000000001</v>
      </c>
      <c r="F1012" s="4">
        <f>51.6665 * CHOOSE(CONTROL!$C$15, $D$11, 100%, $F$11)</f>
        <v>51.666499999999999</v>
      </c>
      <c r="G1012" s="8">
        <f>49.4029 * CHOOSE( CONTROL!$C$15, $D$11, 100%, $F$11)</f>
        <v>49.402900000000002</v>
      </c>
      <c r="H1012" s="4">
        <f>50.2868 * CHOOSE(CONTROL!$C$15, $D$11, 100%, $F$11)</f>
        <v>50.286799999999999</v>
      </c>
      <c r="I1012" s="8">
        <f>48.6734 * CHOOSE(CONTROL!$C$15, $D$11, 100%, $F$11)</f>
        <v>48.673400000000001</v>
      </c>
      <c r="J1012" s="4">
        <f>48.547 * CHOOSE(CONTROL!$C$15, $D$11, 100%, $F$11)</f>
        <v>48.546999999999997</v>
      </c>
      <c r="K1012" s="4"/>
      <c r="L1012" s="9">
        <v>27.3993</v>
      </c>
      <c r="M1012" s="9">
        <v>12.063700000000001</v>
      </c>
      <c r="N1012" s="9">
        <v>4.9444999999999997</v>
      </c>
      <c r="O1012" s="9">
        <v>0.37459999999999999</v>
      </c>
      <c r="P1012" s="9">
        <v>1.2939000000000001</v>
      </c>
      <c r="Q1012" s="9">
        <v>19.688099999999999</v>
      </c>
      <c r="R1012" s="9"/>
      <c r="S1012" s="11"/>
    </row>
    <row r="1013" spans="1:19" ht="15.75">
      <c r="A1013" s="13">
        <v>72716</v>
      </c>
      <c r="B1013" s="8">
        <f>52.6061 * CHOOSE(CONTROL!$C$15, $D$11, 100%, $F$11)</f>
        <v>52.606099999999998</v>
      </c>
      <c r="C1013" s="8">
        <f>52.6165 * CHOOSE(CONTROL!$C$15, $D$11, 100%, $F$11)</f>
        <v>52.616500000000002</v>
      </c>
      <c r="D1013" s="8">
        <f>52.6151 * CHOOSE( CONTROL!$C$15, $D$11, 100%, $F$11)</f>
        <v>52.615099999999998</v>
      </c>
      <c r="E1013" s="12">
        <f>52.6145 * CHOOSE( CONTROL!$C$15, $D$11, 100%, $F$11)</f>
        <v>52.6145</v>
      </c>
      <c r="F1013" s="4">
        <f>53.629 * CHOOSE(CONTROL!$C$15, $D$11, 100%, $F$11)</f>
        <v>53.628999999999998</v>
      </c>
      <c r="G1013" s="8">
        <f>51.3073 * CHOOSE( CONTROL!$C$15, $D$11, 100%, $F$11)</f>
        <v>51.307299999999998</v>
      </c>
      <c r="H1013" s="4">
        <f>52.1998 * CHOOSE(CONTROL!$C$15, $D$11, 100%, $F$11)</f>
        <v>52.199800000000003</v>
      </c>
      <c r="I1013" s="8">
        <f>50.5362 * CHOOSE(CONTROL!$C$15, $D$11, 100%, $F$11)</f>
        <v>50.536200000000001</v>
      </c>
      <c r="J1013" s="4">
        <f>50.4024 * CHOOSE(CONTROL!$C$15, $D$11, 100%, $F$11)</f>
        <v>50.4024</v>
      </c>
      <c r="K1013" s="4"/>
      <c r="L1013" s="9">
        <v>27.3993</v>
      </c>
      <c r="M1013" s="9">
        <v>12.063700000000001</v>
      </c>
      <c r="N1013" s="9">
        <v>4.9444999999999997</v>
      </c>
      <c r="O1013" s="9">
        <v>0.37459999999999999</v>
      </c>
      <c r="P1013" s="9">
        <v>1.2939000000000001</v>
      </c>
      <c r="Q1013" s="9">
        <v>19.688099999999999</v>
      </c>
      <c r="R1013" s="9"/>
      <c r="S1013" s="11"/>
    </row>
    <row r="1014" spans="1:19" ht="15.75">
      <c r="A1014" s="13">
        <v>72744</v>
      </c>
      <c r="B1014" s="8">
        <f>49.2055 * CHOOSE(CONTROL!$C$15, $D$11, 100%, $F$11)</f>
        <v>49.205500000000001</v>
      </c>
      <c r="C1014" s="8">
        <f>49.2159 * CHOOSE(CONTROL!$C$15, $D$11, 100%, $F$11)</f>
        <v>49.215899999999998</v>
      </c>
      <c r="D1014" s="8">
        <f>49.2168 * CHOOSE( CONTROL!$C$15, $D$11, 100%, $F$11)</f>
        <v>49.216799999999999</v>
      </c>
      <c r="E1014" s="12">
        <f>49.2154 * CHOOSE( CONTROL!$C$15, $D$11, 100%, $F$11)</f>
        <v>49.215400000000002</v>
      </c>
      <c r="F1014" s="4">
        <f>50.2206 * CHOOSE(CONTROL!$C$15, $D$11, 100%, $F$11)</f>
        <v>50.220599999999997</v>
      </c>
      <c r="G1014" s="8">
        <f>47.9923 * CHOOSE( CONTROL!$C$15, $D$11, 100%, $F$11)</f>
        <v>47.9923</v>
      </c>
      <c r="H1014" s="4">
        <f>48.8773 * CHOOSE(CONTROL!$C$15, $D$11, 100%, $F$11)</f>
        <v>48.877299999999998</v>
      </c>
      <c r="I1014" s="8">
        <f>47.2652 * CHOOSE(CONTROL!$C$15, $D$11, 100%, $F$11)</f>
        <v>47.2652</v>
      </c>
      <c r="J1014" s="4">
        <f>47.144 * CHOOSE(CONTROL!$C$15, $D$11, 100%, $F$11)</f>
        <v>47.143999999999998</v>
      </c>
      <c r="K1014" s="4"/>
      <c r="L1014" s="9">
        <v>24.747800000000002</v>
      </c>
      <c r="M1014" s="9">
        <v>10.8962</v>
      </c>
      <c r="N1014" s="9">
        <v>4.4660000000000002</v>
      </c>
      <c r="O1014" s="9">
        <v>0.33829999999999999</v>
      </c>
      <c r="P1014" s="9">
        <v>1.1687000000000001</v>
      </c>
      <c r="Q1014" s="9">
        <v>17.782800000000002</v>
      </c>
      <c r="R1014" s="9"/>
      <c r="S1014" s="11"/>
    </row>
    <row r="1015" spans="1:19" ht="15.75">
      <c r="A1015" s="13">
        <v>72775</v>
      </c>
      <c r="B1015" s="8">
        <f>48.1581 * CHOOSE(CONTROL!$C$15, $D$11, 100%, $F$11)</f>
        <v>48.158099999999997</v>
      </c>
      <c r="C1015" s="8">
        <f>48.1686 * CHOOSE(CONTROL!$C$15, $D$11, 100%, $F$11)</f>
        <v>48.168599999999998</v>
      </c>
      <c r="D1015" s="8">
        <f>48.1491 * CHOOSE( CONTROL!$C$15, $D$11, 100%, $F$11)</f>
        <v>48.149099999999997</v>
      </c>
      <c r="E1015" s="12">
        <f>48.1551 * CHOOSE( CONTROL!$C$15, $D$11, 100%, $F$11)</f>
        <v>48.155099999999997</v>
      </c>
      <c r="F1015" s="4">
        <f>49.1571 * CHOOSE(CONTROL!$C$15, $D$11, 100%, $F$11)</f>
        <v>49.1571</v>
      </c>
      <c r="G1015" s="8">
        <f>46.9507 * CHOOSE( CONTROL!$C$15, $D$11, 100%, $F$11)</f>
        <v>46.950699999999998</v>
      </c>
      <c r="H1015" s="4">
        <f>47.8406 * CHOOSE(CONTROL!$C$15, $D$11, 100%, $F$11)</f>
        <v>47.840600000000002</v>
      </c>
      <c r="I1015" s="8">
        <f>46.2216 * CHOOSE(CONTROL!$C$15, $D$11, 100%, $F$11)</f>
        <v>46.221600000000002</v>
      </c>
      <c r="J1015" s="4">
        <f>46.1404 * CHOOSE(CONTROL!$C$15, $D$11, 100%, $F$11)</f>
        <v>46.1404</v>
      </c>
      <c r="K1015" s="4"/>
      <c r="L1015" s="9">
        <v>27.3993</v>
      </c>
      <c r="M1015" s="9">
        <v>12.063700000000001</v>
      </c>
      <c r="N1015" s="9">
        <v>4.9444999999999997</v>
      </c>
      <c r="O1015" s="9">
        <v>0.37459999999999999</v>
      </c>
      <c r="P1015" s="9">
        <v>1.2939000000000001</v>
      </c>
      <c r="Q1015" s="9">
        <v>19.688099999999999</v>
      </c>
      <c r="R1015" s="9"/>
      <c r="S1015" s="11"/>
    </row>
    <row r="1016" spans="1:19" ht="15.75">
      <c r="A1016" s="13">
        <v>72805</v>
      </c>
      <c r="B1016" s="8">
        <f>48.89 * CHOOSE(CONTROL!$C$15, $D$11, 100%, $F$11)</f>
        <v>48.89</v>
      </c>
      <c r="C1016" s="8">
        <f>48.9005 * CHOOSE(CONTROL!$C$15, $D$11, 100%, $F$11)</f>
        <v>48.900500000000001</v>
      </c>
      <c r="D1016" s="8">
        <f>48.9043 * CHOOSE( CONTROL!$C$15, $D$11, 100%, $F$11)</f>
        <v>48.904299999999999</v>
      </c>
      <c r="E1016" s="12">
        <f>48.9018 * CHOOSE( CONTROL!$C$15, $D$11, 100%, $F$11)</f>
        <v>48.901800000000001</v>
      </c>
      <c r="F1016" s="4">
        <f>49.8973 * CHOOSE(CONTROL!$C$15, $D$11, 100%, $F$11)</f>
        <v>49.897300000000001</v>
      </c>
      <c r="G1016" s="8">
        <f>47.652 * CHOOSE( CONTROL!$C$15, $D$11, 100%, $F$11)</f>
        <v>47.652000000000001</v>
      </c>
      <c r="H1016" s="4">
        <f>48.5622 * CHOOSE(CONTROL!$C$15, $D$11, 100%, $F$11)</f>
        <v>48.562199999999997</v>
      </c>
      <c r="I1016" s="8">
        <f>46.9133 * CHOOSE(CONTROL!$C$15, $D$11, 100%, $F$11)</f>
        <v>46.9133</v>
      </c>
      <c r="J1016" s="4">
        <f>46.8417 * CHOOSE(CONTROL!$C$15, $D$11, 100%, $F$11)</f>
        <v>46.841700000000003</v>
      </c>
      <c r="K1016" s="4"/>
      <c r="L1016" s="9">
        <v>27.988800000000001</v>
      </c>
      <c r="M1016" s="9">
        <v>11.6745</v>
      </c>
      <c r="N1016" s="9">
        <v>4.7850000000000001</v>
      </c>
      <c r="O1016" s="9">
        <v>0.36249999999999999</v>
      </c>
      <c r="P1016" s="9">
        <v>1.1798</v>
      </c>
      <c r="Q1016" s="9">
        <v>19.053000000000001</v>
      </c>
      <c r="R1016" s="9"/>
      <c r="S1016" s="11"/>
    </row>
    <row r="1017" spans="1:19" ht="15.75">
      <c r="A1017" s="13">
        <v>72836</v>
      </c>
      <c r="B1017" s="8">
        <f>CHOOSE( CONTROL!$C$32, 50.1975, 50.1926) * CHOOSE(CONTROL!$C$15, $D$11, 100%, $F$11)</f>
        <v>50.197499999999998</v>
      </c>
      <c r="C1017" s="8">
        <f>CHOOSE( CONTROL!$C$32, 50.208, 50.203) * CHOOSE(CONTROL!$C$15, $D$11, 100%, $F$11)</f>
        <v>50.207999999999998</v>
      </c>
      <c r="D1017" s="8">
        <f>CHOOSE( CONTROL!$C$32, 50.1866, 50.1817) * CHOOSE( CONTROL!$C$15, $D$11, 100%, $F$11)</f>
        <v>50.186599999999999</v>
      </c>
      <c r="E1017" s="12">
        <f>CHOOSE( CONTROL!$C$32, 50.1928, 50.1878) * CHOOSE( CONTROL!$C$15, $D$11, 100%, $F$11)</f>
        <v>50.192799999999998</v>
      </c>
      <c r="F1017" s="4">
        <f>CHOOSE( CONTROL!$C$32, 51.1724, 51.1675) * CHOOSE(CONTROL!$C$15, $D$11, 100%, $F$11)</f>
        <v>51.172400000000003</v>
      </c>
      <c r="G1017" s="8">
        <f>CHOOSE( CONTROL!$C$32, 48.9079, 48.9031) * CHOOSE( CONTROL!$C$15, $D$11, 100%, $F$11)</f>
        <v>48.907899999999998</v>
      </c>
      <c r="H1017" s="4">
        <f>CHOOSE( CONTROL!$C$32, 49.8052, 49.8004) * CHOOSE(CONTROL!$C$15, $D$11, 100%, $F$11)</f>
        <v>49.805199999999999</v>
      </c>
      <c r="I1017" s="8">
        <f>CHOOSE( CONTROL!$C$32, 48.1453, 48.1405) * CHOOSE(CONTROL!$C$15, $D$11, 100%, $F$11)</f>
        <v>48.145299999999999</v>
      </c>
      <c r="J1017" s="4">
        <f>CHOOSE( CONTROL!$C$32, 48.0945, 48.0898) * CHOOSE(CONTROL!$C$15, $D$11, 100%, $F$11)</f>
        <v>48.094499999999996</v>
      </c>
      <c r="K1017" s="4"/>
      <c r="L1017" s="9">
        <v>29.520499999999998</v>
      </c>
      <c r="M1017" s="9">
        <v>12.063700000000001</v>
      </c>
      <c r="N1017" s="9">
        <v>4.9444999999999997</v>
      </c>
      <c r="O1017" s="9">
        <v>0.37459999999999999</v>
      </c>
      <c r="P1017" s="9">
        <v>1.2192000000000001</v>
      </c>
      <c r="Q1017" s="9">
        <v>19.688099999999999</v>
      </c>
      <c r="R1017" s="9"/>
      <c r="S1017" s="11"/>
    </row>
    <row r="1018" spans="1:19" ht="15.75">
      <c r="A1018" s="13">
        <v>72866</v>
      </c>
      <c r="B1018" s="8">
        <f>CHOOSE( CONTROL!$C$32, 49.3906, 49.3857) * CHOOSE(CONTROL!$C$15, $D$11, 100%, $F$11)</f>
        <v>49.390599999999999</v>
      </c>
      <c r="C1018" s="8">
        <f>CHOOSE( CONTROL!$C$32, 49.4011, 49.3961) * CHOOSE(CONTROL!$C$15, $D$11, 100%, $F$11)</f>
        <v>49.4011</v>
      </c>
      <c r="D1018" s="8">
        <f>CHOOSE( CONTROL!$C$32, 49.3932, 49.3882) * CHOOSE( CONTROL!$C$15, $D$11, 100%, $F$11)</f>
        <v>49.3932</v>
      </c>
      <c r="E1018" s="12">
        <f>CHOOSE( CONTROL!$C$32, 49.3945, 49.3895) * CHOOSE( CONTROL!$C$15, $D$11, 100%, $F$11)</f>
        <v>49.394500000000001</v>
      </c>
      <c r="F1018" s="4">
        <f>CHOOSE( CONTROL!$C$32, 50.3848, 50.3799) * CHOOSE(CONTROL!$C$15, $D$11, 100%, $F$11)</f>
        <v>50.384799999999998</v>
      </c>
      <c r="G1018" s="8">
        <f>CHOOSE( CONTROL!$C$32, 48.1318, 48.127) * CHOOSE( CONTROL!$C$15, $D$11, 100%, $F$11)</f>
        <v>48.131799999999998</v>
      </c>
      <c r="H1018" s="4">
        <f>CHOOSE( CONTROL!$C$32, 49.0374, 49.0326) * CHOOSE(CONTROL!$C$15, $D$11, 100%, $F$11)</f>
        <v>49.037399999999998</v>
      </c>
      <c r="I1018" s="8">
        <f>CHOOSE( CONTROL!$C$32, 47.3895, 47.3848) * CHOOSE(CONTROL!$C$15, $D$11, 100%, $F$11)</f>
        <v>47.389499999999998</v>
      </c>
      <c r="J1018" s="4">
        <f>CHOOSE( CONTROL!$C$32, 47.3213, 47.3166) * CHOOSE(CONTROL!$C$15, $D$11, 100%, $F$11)</f>
        <v>47.321300000000001</v>
      </c>
      <c r="K1018" s="4"/>
      <c r="L1018" s="9">
        <v>28.568200000000001</v>
      </c>
      <c r="M1018" s="9">
        <v>11.6745</v>
      </c>
      <c r="N1018" s="9">
        <v>4.7850000000000001</v>
      </c>
      <c r="O1018" s="9">
        <v>0.36249999999999999</v>
      </c>
      <c r="P1018" s="9">
        <v>1.1798</v>
      </c>
      <c r="Q1018" s="9">
        <v>19.053000000000001</v>
      </c>
      <c r="R1018" s="9"/>
      <c r="S1018" s="11"/>
    </row>
    <row r="1019" spans="1:19" ht="15.75">
      <c r="A1019" s="13">
        <v>72897</v>
      </c>
      <c r="B1019" s="8">
        <f>CHOOSE( CONTROL!$C$32, 51.5155, 51.5106) * CHOOSE(CONTROL!$C$15, $D$11, 100%, $F$11)</f>
        <v>51.515500000000003</v>
      </c>
      <c r="C1019" s="8">
        <f>CHOOSE( CONTROL!$C$32, 51.5259, 51.521) * CHOOSE(CONTROL!$C$15, $D$11, 100%, $F$11)</f>
        <v>51.5259</v>
      </c>
      <c r="D1019" s="8">
        <f>CHOOSE( CONTROL!$C$32, 51.5249, 51.52) * CHOOSE( CONTROL!$C$15, $D$11, 100%, $F$11)</f>
        <v>51.524900000000002</v>
      </c>
      <c r="E1019" s="12">
        <f>CHOOSE( CONTROL!$C$32, 51.5237, 51.5188) * CHOOSE( CONTROL!$C$15, $D$11, 100%, $F$11)</f>
        <v>51.523699999999998</v>
      </c>
      <c r="F1019" s="4">
        <f>CHOOSE( CONTROL!$C$32, 52.5201, 52.5152) * CHOOSE(CONTROL!$C$15, $D$11, 100%, $F$11)</f>
        <v>52.520099999999999</v>
      </c>
      <c r="G1019" s="8">
        <f>CHOOSE( CONTROL!$C$32, 50.2072, 50.2024) * CHOOSE( CONTROL!$C$15, $D$11, 100%, $F$11)</f>
        <v>50.2072</v>
      </c>
      <c r="H1019" s="4">
        <f>CHOOSE( CONTROL!$C$32, 51.1189, 51.1141) * CHOOSE(CONTROL!$C$15, $D$11, 100%, $F$11)</f>
        <v>51.118899999999996</v>
      </c>
      <c r="I1019" s="8">
        <f>CHOOSE( CONTROL!$C$32, 49.4343, 49.4295) * CHOOSE(CONTROL!$C$15, $D$11, 100%, $F$11)</f>
        <v>49.4343</v>
      </c>
      <c r="J1019" s="4">
        <f>CHOOSE( CONTROL!$C$32, 49.3574, 49.3527) * CHOOSE(CONTROL!$C$15, $D$11, 100%, $F$11)</f>
        <v>49.357399999999998</v>
      </c>
      <c r="K1019" s="4"/>
      <c r="L1019" s="9">
        <v>29.520499999999998</v>
      </c>
      <c r="M1019" s="9">
        <v>12.063700000000001</v>
      </c>
      <c r="N1019" s="9">
        <v>4.9444999999999997</v>
      </c>
      <c r="O1019" s="9">
        <v>0.37459999999999999</v>
      </c>
      <c r="P1019" s="9">
        <v>1.2192000000000001</v>
      </c>
      <c r="Q1019" s="9">
        <v>19.688099999999999</v>
      </c>
      <c r="R1019" s="9"/>
      <c r="S1019" s="11"/>
    </row>
    <row r="1020" spans="1:19" ht="15.75">
      <c r="A1020" s="13">
        <v>72928</v>
      </c>
      <c r="B1020" s="8">
        <f>CHOOSE( CONTROL!$C$32, 47.5396, 47.5347) * CHOOSE(CONTROL!$C$15, $D$11, 100%, $F$11)</f>
        <v>47.5396</v>
      </c>
      <c r="C1020" s="8">
        <f>CHOOSE( CONTROL!$C$32, 47.5501, 47.5451) * CHOOSE(CONTROL!$C$15, $D$11, 100%, $F$11)</f>
        <v>47.5501</v>
      </c>
      <c r="D1020" s="8">
        <f>CHOOSE( CONTROL!$C$32, 47.5502, 47.5453) * CHOOSE( CONTROL!$C$15, $D$11, 100%, $F$11)</f>
        <v>47.550199999999997</v>
      </c>
      <c r="E1020" s="12">
        <f>CHOOSE( CONTROL!$C$32, 47.5486, 47.5436) * CHOOSE( CONTROL!$C$15, $D$11, 100%, $F$11)</f>
        <v>47.5486</v>
      </c>
      <c r="F1020" s="4">
        <f>CHOOSE( CONTROL!$C$32, 48.5521, 48.5472) * CHOOSE(CONTROL!$C$15, $D$11, 100%, $F$11)</f>
        <v>48.552100000000003</v>
      </c>
      <c r="G1020" s="8">
        <f>CHOOSE( CONTROL!$C$32, 46.3268, 46.322) * CHOOSE( CONTROL!$C$15, $D$11, 100%, $F$11)</f>
        <v>46.326799999999999</v>
      </c>
      <c r="H1020" s="4">
        <f>CHOOSE( CONTROL!$C$32, 47.251, 47.2461) * CHOOSE(CONTROL!$C$15, $D$11, 100%, $F$11)</f>
        <v>47.250999999999998</v>
      </c>
      <c r="I1020" s="8">
        <f>CHOOSE( CONTROL!$C$32, 45.6136, 45.6089) * CHOOSE(CONTROL!$C$15, $D$11, 100%, $F$11)</f>
        <v>45.613599999999998</v>
      </c>
      <c r="J1020" s="4">
        <f>CHOOSE( CONTROL!$C$32, 45.5477, 45.543) * CHOOSE(CONTROL!$C$15, $D$11, 100%, $F$11)</f>
        <v>45.547699999999999</v>
      </c>
      <c r="K1020" s="4"/>
      <c r="L1020" s="9">
        <v>29.520499999999998</v>
      </c>
      <c r="M1020" s="9">
        <v>12.063700000000001</v>
      </c>
      <c r="N1020" s="9">
        <v>4.9444999999999997</v>
      </c>
      <c r="O1020" s="9">
        <v>0.37459999999999999</v>
      </c>
      <c r="P1020" s="9">
        <v>1.2192000000000001</v>
      </c>
      <c r="Q1020" s="9">
        <v>19.688099999999999</v>
      </c>
      <c r="R1020" s="9"/>
      <c r="S1020" s="11"/>
    </row>
    <row r="1021" spans="1:19" ht="15.75">
      <c r="A1021" s="13">
        <v>72958</v>
      </c>
      <c r="B1021" s="8">
        <f>CHOOSE( CONTROL!$C$32, 46.544, 46.5391) * CHOOSE(CONTROL!$C$15, $D$11, 100%, $F$11)</f>
        <v>46.543999999999997</v>
      </c>
      <c r="C1021" s="8">
        <f>CHOOSE( CONTROL!$C$32, 46.5545, 46.5495) * CHOOSE(CONTROL!$C$15, $D$11, 100%, $F$11)</f>
        <v>46.554499999999997</v>
      </c>
      <c r="D1021" s="8">
        <f>CHOOSE( CONTROL!$C$32, 46.5549, 46.55) * CHOOSE( CONTROL!$C$15, $D$11, 100%, $F$11)</f>
        <v>46.554900000000004</v>
      </c>
      <c r="E1021" s="12">
        <f>CHOOSE( CONTROL!$C$32, 46.5532, 46.5482) * CHOOSE( CONTROL!$C$15, $D$11, 100%, $F$11)</f>
        <v>46.553199999999997</v>
      </c>
      <c r="F1021" s="4">
        <f>CHOOSE( CONTROL!$C$32, 47.5565, 47.5516) * CHOOSE(CONTROL!$C$15, $D$11, 100%, $F$11)</f>
        <v>47.5565</v>
      </c>
      <c r="G1021" s="8">
        <f>CHOOSE( CONTROL!$C$32, 45.3567, 45.3519) * CHOOSE( CONTROL!$C$15, $D$11, 100%, $F$11)</f>
        <v>45.356699999999996</v>
      </c>
      <c r="H1021" s="4">
        <f>CHOOSE( CONTROL!$C$32, 46.2805, 46.2757) * CHOOSE(CONTROL!$C$15, $D$11, 100%, $F$11)</f>
        <v>46.280500000000004</v>
      </c>
      <c r="I1021" s="8">
        <f>CHOOSE( CONTROL!$C$32, 44.6606, 44.6559) * CHOOSE(CONTROL!$C$15, $D$11, 100%, $F$11)</f>
        <v>44.660600000000002</v>
      </c>
      <c r="J1021" s="4">
        <f>CHOOSE( CONTROL!$C$32, 44.5937, 44.589) * CHOOSE(CONTROL!$C$15, $D$11, 100%, $F$11)</f>
        <v>44.593699999999998</v>
      </c>
      <c r="K1021" s="4"/>
      <c r="L1021" s="9">
        <v>28.568200000000001</v>
      </c>
      <c r="M1021" s="9">
        <v>11.6745</v>
      </c>
      <c r="N1021" s="9">
        <v>4.7850000000000001</v>
      </c>
      <c r="O1021" s="9">
        <v>0.36249999999999999</v>
      </c>
      <c r="P1021" s="9">
        <v>1.1798</v>
      </c>
      <c r="Q1021" s="9">
        <v>19.053000000000001</v>
      </c>
      <c r="R1021" s="9"/>
      <c r="S1021" s="11"/>
    </row>
    <row r="1022" spans="1:19" ht="15.75">
      <c r="A1022" s="13">
        <v>72989</v>
      </c>
      <c r="B1022" s="8">
        <f>48.6063 * CHOOSE(CONTROL!$C$15, $D$11, 100%, $F$11)</f>
        <v>48.606299999999997</v>
      </c>
      <c r="C1022" s="8">
        <f>48.6168 * CHOOSE(CONTROL!$C$15, $D$11, 100%, $F$11)</f>
        <v>48.616799999999998</v>
      </c>
      <c r="D1022" s="8">
        <f>48.6184 * CHOOSE( CONTROL!$C$15, $D$11, 100%, $F$11)</f>
        <v>48.618400000000001</v>
      </c>
      <c r="E1022" s="12">
        <f>48.6168 * CHOOSE( CONTROL!$C$15, $D$11, 100%, $F$11)</f>
        <v>48.616799999999998</v>
      </c>
      <c r="F1022" s="4">
        <f>49.6188 * CHOOSE(CONTROL!$C$15, $D$11, 100%, $F$11)</f>
        <v>49.6188</v>
      </c>
      <c r="G1022" s="8">
        <f>47.3666 * CHOOSE( CONTROL!$C$15, $D$11, 100%, $F$11)</f>
        <v>47.366599999999998</v>
      </c>
      <c r="H1022" s="4">
        <f>48.2907 * CHOOSE(CONTROL!$C$15, $D$11, 100%, $F$11)</f>
        <v>48.290700000000001</v>
      </c>
      <c r="I1022" s="8">
        <f>46.6399 * CHOOSE(CONTROL!$C$15, $D$11, 100%, $F$11)</f>
        <v>46.639899999999997</v>
      </c>
      <c r="J1022" s="4">
        <f>46.5698 * CHOOSE(CONTROL!$C$15, $D$11, 100%, $F$11)</f>
        <v>46.569800000000001</v>
      </c>
      <c r="K1022" s="4"/>
      <c r="L1022" s="9">
        <v>28.921800000000001</v>
      </c>
      <c r="M1022" s="9">
        <v>12.063700000000001</v>
      </c>
      <c r="N1022" s="9">
        <v>4.9444999999999997</v>
      </c>
      <c r="O1022" s="9">
        <v>0.37459999999999999</v>
      </c>
      <c r="P1022" s="9">
        <v>1.2192000000000001</v>
      </c>
      <c r="Q1022" s="9">
        <v>19.688099999999999</v>
      </c>
      <c r="R1022" s="9"/>
      <c r="S1022" s="11"/>
    </row>
    <row r="1023" spans="1:19" ht="15.75">
      <c r="A1023" s="13">
        <v>73019</v>
      </c>
      <c r="B1023" s="8">
        <f>52.422 * CHOOSE(CONTROL!$C$15, $D$11, 100%, $F$11)</f>
        <v>52.421999999999997</v>
      </c>
      <c r="C1023" s="8">
        <f>52.4324 * CHOOSE(CONTROL!$C$15, $D$11, 100%, $F$11)</f>
        <v>52.432400000000001</v>
      </c>
      <c r="D1023" s="8">
        <f>52.4135 * CHOOSE( CONTROL!$C$15, $D$11, 100%, $F$11)</f>
        <v>52.413499999999999</v>
      </c>
      <c r="E1023" s="12">
        <f>52.4193 * CHOOSE( CONTROL!$C$15, $D$11, 100%, $F$11)</f>
        <v>52.4193</v>
      </c>
      <c r="F1023" s="4">
        <f>53.4188 * CHOOSE(CONTROL!$C$15, $D$11, 100%, $F$11)</f>
        <v>53.418799999999997</v>
      </c>
      <c r="G1023" s="8">
        <f>51.109 * CHOOSE( CONTROL!$C$15, $D$11, 100%, $F$11)</f>
        <v>51.109000000000002</v>
      </c>
      <c r="H1023" s="4">
        <f>51.9948 * CHOOSE(CONTROL!$C$15, $D$11, 100%, $F$11)</f>
        <v>51.994799999999998</v>
      </c>
      <c r="I1023" s="8">
        <f>50.3444 * CHOOSE(CONTROL!$C$15, $D$11, 100%, $F$11)</f>
        <v>50.3444</v>
      </c>
      <c r="J1023" s="4">
        <f>50.226 * CHOOSE(CONTROL!$C$15, $D$11, 100%, $F$11)</f>
        <v>50.225999999999999</v>
      </c>
      <c r="K1023" s="4"/>
      <c r="L1023" s="9">
        <v>26.515499999999999</v>
      </c>
      <c r="M1023" s="9">
        <v>11.6745</v>
      </c>
      <c r="N1023" s="9">
        <v>4.7850000000000001</v>
      </c>
      <c r="O1023" s="9">
        <v>0.36249999999999999</v>
      </c>
      <c r="P1023" s="9">
        <v>1.2522</v>
      </c>
      <c r="Q1023" s="9">
        <v>19.053000000000001</v>
      </c>
      <c r="R1023" s="9"/>
      <c r="S1023" s="11"/>
    </row>
    <row r="1024" spans="1:19" ht="15.75">
      <c r="A1024" s="13">
        <v>73050</v>
      </c>
      <c r="B1024" s="8">
        <f>52.3266 * CHOOSE(CONTROL!$C$15, $D$11, 100%, $F$11)</f>
        <v>52.326599999999999</v>
      </c>
      <c r="C1024" s="8">
        <f>52.3371 * CHOOSE(CONTROL!$C$15, $D$11, 100%, $F$11)</f>
        <v>52.3371</v>
      </c>
      <c r="D1024" s="8">
        <f>52.3207 * CHOOSE( CONTROL!$C$15, $D$11, 100%, $F$11)</f>
        <v>52.320700000000002</v>
      </c>
      <c r="E1024" s="12">
        <f>52.3256 * CHOOSE( CONTROL!$C$15, $D$11, 100%, $F$11)</f>
        <v>52.325600000000001</v>
      </c>
      <c r="F1024" s="4">
        <f>53.3235 * CHOOSE(CONTROL!$C$15, $D$11, 100%, $F$11)</f>
        <v>53.323500000000003</v>
      </c>
      <c r="G1024" s="8">
        <f>51.018 * CHOOSE( CONTROL!$C$15, $D$11, 100%, $F$11)</f>
        <v>51.018000000000001</v>
      </c>
      <c r="H1024" s="4">
        <f>51.9019 * CHOOSE(CONTROL!$C$15, $D$11, 100%, $F$11)</f>
        <v>51.901899999999998</v>
      </c>
      <c r="I1024" s="8">
        <f>50.2618 * CHOOSE(CONTROL!$C$15, $D$11, 100%, $F$11)</f>
        <v>50.261800000000001</v>
      </c>
      <c r="J1024" s="4">
        <f>50.1346 * CHOOSE(CONTROL!$C$15, $D$11, 100%, $F$11)</f>
        <v>50.134599999999999</v>
      </c>
      <c r="K1024" s="4"/>
      <c r="L1024" s="9">
        <v>27.3993</v>
      </c>
      <c r="M1024" s="9">
        <v>12.063700000000001</v>
      </c>
      <c r="N1024" s="9">
        <v>4.9444999999999997</v>
      </c>
      <c r="O1024" s="9">
        <v>0.37459999999999999</v>
      </c>
      <c r="P1024" s="9">
        <v>1.2939000000000001</v>
      </c>
      <c r="Q1024" s="9">
        <v>19.688099999999999</v>
      </c>
      <c r="R1024" s="9"/>
      <c r="S1024" s="11"/>
    </row>
    <row r="1025" spans="1:19" ht="15.75">
      <c r="A1025" s="13">
        <v>73081</v>
      </c>
      <c r="B1025" s="8">
        <f>54.3263 * CHOOSE(CONTROL!$C$15, $D$11, 100%, $F$11)</f>
        <v>54.326300000000003</v>
      </c>
      <c r="C1025" s="8">
        <f>54.3368 * CHOOSE(CONTROL!$C$15, $D$11, 100%, $F$11)</f>
        <v>54.336799999999997</v>
      </c>
      <c r="D1025" s="8">
        <f>54.3353 * CHOOSE( CONTROL!$C$15, $D$11, 100%, $F$11)</f>
        <v>54.335299999999997</v>
      </c>
      <c r="E1025" s="12">
        <f>54.3347 * CHOOSE( CONTROL!$C$15, $D$11, 100%, $F$11)</f>
        <v>54.334699999999998</v>
      </c>
      <c r="F1025" s="4">
        <f>55.3492 * CHOOSE(CONTROL!$C$15, $D$11, 100%, $F$11)</f>
        <v>55.349200000000003</v>
      </c>
      <c r="G1025" s="8">
        <f>52.9841 * CHOOSE( CONTROL!$C$15, $D$11, 100%, $F$11)</f>
        <v>52.984099999999998</v>
      </c>
      <c r="H1025" s="4">
        <f>53.8766 * CHOOSE(CONTROL!$C$15, $D$11, 100%, $F$11)</f>
        <v>53.876600000000003</v>
      </c>
      <c r="I1025" s="8">
        <f>52.1854 * CHOOSE(CONTROL!$C$15, $D$11, 100%, $F$11)</f>
        <v>52.185400000000001</v>
      </c>
      <c r="J1025" s="4">
        <f>52.0507 * CHOOSE(CONTROL!$C$15, $D$11, 100%, $F$11)</f>
        <v>52.050699999999999</v>
      </c>
      <c r="K1025" s="4"/>
      <c r="L1025" s="9">
        <v>27.3993</v>
      </c>
      <c r="M1025" s="9">
        <v>12.063700000000001</v>
      </c>
      <c r="N1025" s="9">
        <v>4.9444999999999997</v>
      </c>
      <c r="O1025" s="9">
        <v>0.37459999999999999</v>
      </c>
      <c r="P1025" s="9">
        <v>1.2939000000000001</v>
      </c>
      <c r="Q1025" s="9">
        <v>19.688099999999999</v>
      </c>
      <c r="R1025" s="9"/>
      <c r="S1025" s="11"/>
    </row>
    <row r="1026" spans="1:19" ht="15.75">
      <c r="A1026" s="13">
        <v>73109</v>
      </c>
      <c r="B1026" s="8">
        <f>50.8146 * CHOOSE(CONTROL!$C$15, $D$11, 100%, $F$11)</f>
        <v>50.814599999999999</v>
      </c>
      <c r="C1026" s="8">
        <f>50.825 * CHOOSE(CONTROL!$C$15, $D$11, 100%, $F$11)</f>
        <v>50.825000000000003</v>
      </c>
      <c r="D1026" s="8">
        <f>50.8258 * CHOOSE( CONTROL!$C$15, $D$11, 100%, $F$11)</f>
        <v>50.825800000000001</v>
      </c>
      <c r="E1026" s="12">
        <f>50.8244 * CHOOSE( CONTROL!$C$15, $D$11, 100%, $F$11)</f>
        <v>50.824399999999997</v>
      </c>
      <c r="F1026" s="4">
        <f>51.8296 * CHOOSE(CONTROL!$C$15, $D$11, 100%, $F$11)</f>
        <v>51.829599999999999</v>
      </c>
      <c r="G1026" s="8">
        <f>49.5607 * CHOOSE( CONTROL!$C$15, $D$11, 100%, $F$11)</f>
        <v>49.560699999999997</v>
      </c>
      <c r="H1026" s="4">
        <f>50.4458 * CHOOSE(CONTROL!$C$15, $D$11, 100%, $F$11)</f>
        <v>50.445799999999998</v>
      </c>
      <c r="I1026" s="8">
        <f>48.8078 * CHOOSE(CONTROL!$C$15, $D$11, 100%, $F$11)</f>
        <v>48.8078</v>
      </c>
      <c r="J1026" s="4">
        <f>48.6857 * CHOOSE(CONTROL!$C$15, $D$11, 100%, $F$11)</f>
        <v>48.685699999999997</v>
      </c>
      <c r="K1026" s="4"/>
      <c r="L1026" s="9">
        <v>24.747800000000002</v>
      </c>
      <c r="M1026" s="9">
        <v>10.8962</v>
      </c>
      <c r="N1026" s="9">
        <v>4.4660000000000002</v>
      </c>
      <c r="O1026" s="9">
        <v>0.33829999999999999</v>
      </c>
      <c r="P1026" s="9">
        <v>1.1687000000000001</v>
      </c>
      <c r="Q1026" s="9">
        <v>17.782800000000002</v>
      </c>
      <c r="R1026" s="9"/>
      <c r="S1026" s="11"/>
    </row>
    <row r="1027" spans="1:19" ht="15.75">
      <c r="A1027" s="13">
        <v>73140</v>
      </c>
      <c r="B1027" s="8">
        <f>49.7329 * CHOOSE(CONTROL!$C$15, $D$11, 100%, $F$11)</f>
        <v>49.732900000000001</v>
      </c>
      <c r="C1027" s="8">
        <f>49.7434 * CHOOSE(CONTROL!$C$15, $D$11, 100%, $F$11)</f>
        <v>49.743400000000001</v>
      </c>
      <c r="D1027" s="8">
        <f>49.7239 * CHOOSE( CONTROL!$C$15, $D$11, 100%, $F$11)</f>
        <v>49.7239</v>
      </c>
      <c r="E1027" s="12">
        <f>49.7299 * CHOOSE( CONTROL!$C$15, $D$11, 100%, $F$11)</f>
        <v>49.729900000000001</v>
      </c>
      <c r="F1027" s="4">
        <f>50.7318 * CHOOSE(CONTROL!$C$15, $D$11, 100%, $F$11)</f>
        <v>50.7318</v>
      </c>
      <c r="G1027" s="8">
        <f>48.4857 * CHOOSE( CONTROL!$C$15, $D$11, 100%, $F$11)</f>
        <v>48.485700000000001</v>
      </c>
      <c r="H1027" s="4">
        <f>49.3757 * CHOOSE(CONTROL!$C$15, $D$11, 100%, $F$11)</f>
        <v>49.375700000000002</v>
      </c>
      <c r="I1027" s="8">
        <f>47.7313 * CHOOSE(CONTROL!$C$15, $D$11, 100%, $F$11)</f>
        <v>47.731299999999997</v>
      </c>
      <c r="J1027" s="4">
        <f>47.6493 * CHOOSE(CONTROL!$C$15, $D$11, 100%, $F$11)</f>
        <v>47.649299999999997</v>
      </c>
      <c r="K1027" s="4"/>
      <c r="L1027" s="9">
        <v>27.3993</v>
      </c>
      <c r="M1027" s="9">
        <v>12.063700000000001</v>
      </c>
      <c r="N1027" s="9">
        <v>4.9444999999999997</v>
      </c>
      <c r="O1027" s="9">
        <v>0.37459999999999999</v>
      </c>
      <c r="P1027" s="9">
        <v>1.2939000000000001</v>
      </c>
      <c r="Q1027" s="9">
        <v>19.688099999999999</v>
      </c>
      <c r="R1027" s="9"/>
      <c r="S1027" s="11"/>
    </row>
    <row r="1028" spans="1:19" ht="15.75">
      <c r="A1028" s="13">
        <v>73170</v>
      </c>
      <c r="B1028" s="8">
        <f>50.4887 * CHOOSE(CONTROL!$C$15, $D$11, 100%, $F$11)</f>
        <v>50.488700000000001</v>
      </c>
      <c r="C1028" s="8">
        <f>50.4992 * CHOOSE(CONTROL!$C$15, $D$11, 100%, $F$11)</f>
        <v>50.499200000000002</v>
      </c>
      <c r="D1028" s="8">
        <f>50.503 * CHOOSE( CONTROL!$C$15, $D$11, 100%, $F$11)</f>
        <v>50.503</v>
      </c>
      <c r="E1028" s="12">
        <f>50.5005 * CHOOSE( CONTROL!$C$15, $D$11, 100%, $F$11)</f>
        <v>50.500500000000002</v>
      </c>
      <c r="F1028" s="4">
        <f>51.496 * CHOOSE(CONTROL!$C$15, $D$11, 100%, $F$11)</f>
        <v>51.496000000000002</v>
      </c>
      <c r="G1028" s="8">
        <f>49.2104 * CHOOSE( CONTROL!$C$15, $D$11, 100%, $F$11)</f>
        <v>49.2104</v>
      </c>
      <c r="H1028" s="4">
        <f>50.1206 * CHOOSE(CONTROL!$C$15, $D$11, 100%, $F$11)</f>
        <v>50.120600000000003</v>
      </c>
      <c r="I1028" s="8">
        <f>48.446 * CHOOSE(CONTROL!$C$15, $D$11, 100%, $F$11)</f>
        <v>48.445999999999998</v>
      </c>
      <c r="J1028" s="4">
        <f>48.3736 * CHOOSE(CONTROL!$C$15, $D$11, 100%, $F$11)</f>
        <v>48.373600000000003</v>
      </c>
      <c r="K1028" s="4"/>
      <c r="L1028" s="9">
        <v>27.988800000000001</v>
      </c>
      <c r="M1028" s="9">
        <v>11.6745</v>
      </c>
      <c r="N1028" s="9">
        <v>4.7850000000000001</v>
      </c>
      <c r="O1028" s="9">
        <v>0.36249999999999999</v>
      </c>
      <c r="P1028" s="9">
        <v>1.1798</v>
      </c>
      <c r="Q1028" s="9">
        <v>19.053000000000001</v>
      </c>
      <c r="R1028" s="9"/>
      <c r="S1028" s="11"/>
    </row>
    <row r="1029" spans="1:19" ht="15.75">
      <c r="A1029" s="13">
        <v>73201</v>
      </c>
      <c r="B1029" s="8">
        <f>CHOOSE( CONTROL!$C$32, 51.8389, 51.8339) * CHOOSE(CONTROL!$C$15, $D$11, 100%, $F$11)</f>
        <v>51.838900000000002</v>
      </c>
      <c r="C1029" s="8">
        <f>CHOOSE( CONTROL!$C$32, 51.8493, 51.8444) * CHOOSE(CONTROL!$C$15, $D$11, 100%, $F$11)</f>
        <v>51.849299999999999</v>
      </c>
      <c r="D1029" s="8">
        <f>CHOOSE( CONTROL!$C$32, 51.8279, 51.823) * CHOOSE( CONTROL!$C$15, $D$11, 100%, $F$11)</f>
        <v>51.8279</v>
      </c>
      <c r="E1029" s="12">
        <f>CHOOSE( CONTROL!$C$32, 51.8341, 51.8292) * CHOOSE( CONTROL!$C$15, $D$11, 100%, $F$11)</f>
        <v>51.834099999999999</v>
      </c>
      <c r="F1029" s="4">
        <f>CHOOSE( CONTROL!$C$32, 52.8138, 52.8088) * CHOOSE(CONTROL!$C$15, $D$11, 100%, $F$11)</f>
        <v>52.813800000000001</v>
      </c>
      <c r="G1029" s="8">
        <f>CHOOSE( CONTROL!$C$32, 50.5078, 50.503) * CHOOSE( CONTROL!$C$15, $D$11, 100%, $F$11)</f>
        <v>50.507800000000003</v>
      </c>
      <c r="H1029" s="4">
        <f>CHOOSE( CONTROL!$C$32, 51.4051, 51.4003) * CHOOSE(CONTROL!$C$15, $D$11, 100%, $F$11)</f>
        <v>51.405099999999997</v>
      </c>
      <c r="I1029" s="8">
        <f>CHOOSE( CONTROL!$C$32, 49.7188, 49.714) * CHOOSE(CONTROL!$C$15, $D$11, 100%, $F$11)</f>
        <v>49.718800000000002</v>
      </c>
      <c r="J1029" s="4">
        <f>CHOOSE( CONTROL!$C$32, 49.6672, 49.6625) * CHOOSE(CONTROL!$C$15, $D$11, 100%, $F$11)</f>
        <v>49.667200000000001</v>
      </c>
      <c r="K1029" s="4"/>
      <c r="L1029" s="9">
        <v>29.520499999999998</v>
      </c>
      <c r="M1029" s="9">
        <v>12.063700000000001</v>
      </c>
      <c r="N1029" s="9">
        <v>4.9444999999999997</v>
      </c>
      <c r="O1029" s="9">
        <v>0.37459999999999999</v>
      </c>
      <c r="P1029" s="9">
        <v>1.2192000000000001</v>
      </c>
      <c r="Q1029" s="9">
        <v>19.688099999999999</v>
      </c>
      <c r="R1029" s="9"/>
      <c r="S1029" s="11"/>
    </row>
    <row r="1030" spans="1:19" ht="15.75">
      <c r="A1030" s="13">
        <v>73231</v>
      </c>
      <c r="B1030" s="8">
        <f>CHOOSE( CONTROL!$C$32, 51.0056, 51.0006) * CHOOSE(CONTROL!$C$15, $D$11, 100%, $F$11)</f>
        <v>51.005600000000001</v>
      </c>
      <c r="C1030" s="8">
        <f>CHOOSE( CONTROL!$C$32, 51.016, 51.0111) * CHOOSE(CONTROL!$C$15, $D$11, 100%, $F$11)</f>
        <v>51.015999999999998</v>
      </c>
      <c r="D1030" s="8">
        <f>CHOOSE( CONTROL!$C$32, 51.0081, 51.0032) * CHOOSE( CONTROL!$C$15, $D$11, 100%, $F$11)</f>
        <v>51.008099999999999</v>
      </c>
      <c r="E1030" s="12">
        <f>CHOOSE( CONTROL!$C$32, 51.0094, 51.0045) * CHOOSE( CONTROL!$C$15, $D$11, 100%, $F$11)</f>
        <v>51.009399999999999</v>
      </c>
      <c r="F1030" s="4">
        <f>CHOOSE( CONTROL!$C$32, 51.9998, 51.9948) * CHOOSE(CONTROL!$C$15, $D$11, 100%, $F$11)</f>
        <v>51.9998</v>
      </c>
      <c r="G1030" s="8">
        <f>CHOOSE( CONTROL!$C$32, 49.706, 49.7012) * CHOOSE( CONTROL!$C$15, $D$11, 100%, $F$11)</f>
        <v>49.706000000000003</v>
      </c>
      <c r="H1030" s="4">
        <f>CHOOSE( CONTROL!$C$32, 50.6116, 50.6068) * CHOOSE(CONTROL!$C$15, $D$11, 100%, $F$11)</f>
        <v>50.611600000000003</v>
      </c>
      <c r="I1030" s="8">
        <f>CHOOSE( CONTROL!$C$32, 48.9377, 48.933) * CHOOSE(CONTROL!$C$15, $D$11, 100%, $F$11)</f>
        <v>48.9377</v>
      </c>
      <c r="J1030" s="4">
        <f>CHOOSE( CONTROL!$C$32, 48.8688, 48.864) * CHOOSE(CONTROL!$C$15, $D$11, 100%, $F$11)</f>
        <v>48.8688</v>
      </c>
      <c r="K1030" s="4"/>
      <c r="L1030" s="9">
        <v>28.568200000000001</v>
      </c>
      <c r="M1030" s="9">
        <v>11.6745</v>
      </c>
      <c r="N1030" s="9">
        <v>4.7850000000000001</v>
      </c>
      <c r="O1030" s="9">
        <v>0.36249999999999999</v>
      </c>
      <c r="P1030" s="9">
        <v>1.1798</v>
      </c>
      <c r="Q1030" s="9">
        <v>19.053000000000001</v>
      </c>
      <c r="R1030" s="9"/>
      <c r="S1030" s="11"/>
    </row>
    <row r="1031" spans="1:19" ht="15.75">
      <c r="A1031" s="13">
        <v>73262</v>
      </c>
      <c r="B1031" s="8">
        <f>CHOOSE( CONTROL!$C$32, 53.1999, 53.195) * CHOOSE(CONTROL!$C$15, $D$11, 100%, $F$11)</f>
        <v>53.1999</v>
      </c>
      <c r="C1031" s="8">
        <f>CHOOSE( CONTROL!$C$32, 53.2104, 53.2054) * CHOOSE(CONTROL!$C$15, $D$11, 100%, $F$11)</f>
        <v>53.2104</v>
      </c>
      <c r="D1031" s="8">
        <f>CHOOSE( CONTROL!$C$32, 53.2094, 53.2044) * CHOOSE( CONTROL!$C$15, $D$11, 100%, $F$11)</f>
        <v>53.209400000000002</v>
      </c>
      <c r="E1031" s="12">
        <f>CHOOSE( CONTROL!$C$32, 53.2082, 53.2032) * CHOOSE( CONTROL!$C$15, $D$11, 100%, $F$11)</f>
        <v>53.208199999999998</v>
      </c>
      <c r="F1031" s="4">
        <f>CHOOSE( CONTROL!$C$32, 54.2046, 54.1996) * CHOOSE(CONTROL!$C$15, $D$11, 100%, $F$11)</f>
        <v>54.204599999999999</v>
      </c>
      <c r="G1031" s="8">
        <f>CHOOSE( CONTROL!$C$32, 51.8491, 51.8443) * CHOOSE( CONTROL!$C$15, $D$11, 100%, $F$11)</f>
        <v>51.8491</v>
      </c>
      <c r="H1031" s="4">
        <f>CHOOSE( CONTROL!$C$32, 52.7608, 52.756) * CHOOSE(CONTROL!$C$15, $D$11, 100%, $F$11)</f>
        <v>52.760800000000003</v>
      </c>
      <c r="I1031" s="8">
        <f>CHOOSE( CONTROL!$C$32, 51.0491, 51.0443) * CHOOSE(CONTROL!$C$15, $D$11, 100%, $F$11)</f>
        <v>51.049100000000003</v>
      </c>
      <c r="J1031" s="4">
        <f>CHOOSE( CONTROL!$C$32, 50.9714, 50.9667) * CHOOSE(CONTROL!$C$15, $D$11, 100%, $F$11)</f>
        <v>50.971400000000003</v>
      </c>
      <c r="K1031" s="4"/>
      <c r="L1031" s="9">
        <v>29.520499999999998</v>
      </c>
      <c r="M1031" s="9">
        <v>12.063700000000001</v>
      </c>
      <c r="N1031" s="9">
        <v>4.9444999999999997</v>
      </c>
      <c r="O1031" s="9">
        <v>0.37459999999999999</v>
      </c>
      <c r="P1031" s="9">
        <v>1.2192000000000001</v>
      </c>
      <c r="Q1031" s="9">
        <v>19.688099999999999</v>
      </c>
      <c r="R1031" s="9"/>
      <c r="S1031" s="11"/>
    </row>
    <row r="1032" spans="1:19" ht="15.75">
      <c r="A1032" s="13">
        <v>73293</v>
      </c>
      <c r="B1032" s="8">
        <f>CHOOSE( CONTROL!$C$32, 49.094, 49.0891) * CHOOSE(CONTROL!$C$15, $D$11, 100%, $F$11)</f>
        <v>49.094000000000001</v>
      </c>
      <c r="C1032" s="8">
        <f>CHOOSE( CONTROL!$C$32, 49.1045, 49.0995) * CHOOSE(CONTROL!$C$15, $D$11, 100%, $F$11)</f>
        <v>49.104500000000002</v>
      </c>
      <c r="D1032" s="8">
        <f>CHOOSE( CONTROL!$C$32, 49.1046, 49.0997) * CHOOSE( CONTROL!$C$15, $D$11, 100%, $F$11)</f>
        <v>49.104599999999998</v>
      </c>
      <c r="E1032" s="12">
        <f>CHOOSE( CONTROL!$C$32, 49.103, 49.098) * CHOOSE( CONTROL!$C$15, $D$11, 100%, $F$11)</f>
        <v>49.103000000000002</v>
      </c>
      <c r="F1032" s="4">
        <f>CHOOSE( CONTROL!$C$32, 50.1065, 50.1016) * CHOOSE(CONTROL!$C$15, $D$11, 100%, $F$11)</f>
        <v>50.106499999999997</v>
      </c>
      <c r="G1032" s="8">
        <f>CHOOSE( CONTROL!$C$32, 47.842, 47.8372) * CHOOSE( CONTROL!$C$15, $D$11, 100%, $F$11)</f>
        <v>47.841999999999999</v>
      </c>
      <c r="H1032" s="4">
        <f>CHOOSE( CONTROL!$C$32, 48.7661, 48.7613) * CHOOSE(CONTROL!$C$15, $D$11, 100%, $F$11)</f>
        <v>48.766100000000002</v>
      </c>
      <c r="I1032" s="8">
        <f>CHOOSE( CONTROL!$C$32, 47.1038, 47.0991) * CHOOSE(CONTROL!$C$15, $D$11, 100%, $F$11)</f>
        <v>47.1038</v>
      </c>
      <c r="J1032" s="4">
        <f>CHOOSE( CONTROL!$C$32, 47.0372, 47.0324) * CHOOSE(CONTROL!$C$15, $D$11, 100%, $F$11)</f>
        <v>47.037199999999999</v>
      </c>
      <c r="K1032" s="4"/>
      <c r="L1032" s="9">
        <v>29.520499999999998</v>
      </c>
      <c r="M1032" s="9">
        <v>12.063700000000001</v>
      </c>
      <c r="N1032" s="9">
        <v>4.9444999999999997</v>
      </c>
      <c r="O1032" s="9">
        <v>0.37459999999999999</v>
      </c>
      <c r="P1032" s="9">
        <v>1.2192000000000001</v>
      </c>
      <c r="Q1032" s="9">
        <v>19.688099999999999</v>
      </c>
      <c r="R1032" s="9"/>
      <c r="S1032" s="11"/>
    </row>
    <row r="1033" spans="1:19" ht="15.75">
      <c r="A1033" s="13">
        <v>73323</v>
      </c>
      <c r="B1033" s="8">
        <f>CHOOSE( CONTROL!$C$32, 48.0659, 48.0609) * CHOOSE(CONTROL!$C$15, $D$11, 100%, $F$11)</f>
        <v>48.065899999999999</v>
      </c>
      <c r="C1033" s="8">
        <f>CHOOSE( CONTROL!$C$32, 48.0763, 48.0714) * CHOOSE(CONTROL!$C$15, $D$11, 100%, $F$11)</f>
        <v>48.076300000000003</v>
      </c>
      <c r="D1033" s="8">
        <f>CHOOSE( CONTROL!$C$32, 48.0768, 48.0718) * CHOOSE( CONTROL!$C$15, $D$11, 100%, $F$11)</f>
        <v>48.076799999999999</v>
      </c>
      <c r="E1033" s="12">
        <f>CHOOSE( CONTROL!$C$32, 48.075, 48.0701) * CHOOSE( CONTROL!$C$15, $D$11, 100%, $F$11)</f>
        <v>48.075000000000003</v>
      </c>
      <c r="F1033" s="4">
        <f>CHOOSE( CONTROL!$C$32, 49.0784, 49.0734) * CHOOSE(CONTROL!$C$15, $D$11, 100%, $F$11)</f>
        <v>49.078400000000002</v>
      </c>
      <c r="G1033" s="8">
        <f>CHOOSE( CONTROL!$C$32, 46.8402, 46.8354) * CHOOSE( CONTROL!$C$15, $D$11, 100%, $F$11)</f>
        <v>46.840200000000003</v>
      </c>
      <c r="H1033" s="4">
        <f>CHOOSE( CONTROL!$C$32, 47.7639, 47.7591) * CHOOSE(CONTROL!$C$15, $D$11, 100%, $F$11)</f>
        <v>47.7639</v>
      </c>
      <c r="I1033" s="8">
        <f>CHOOSE( CONTROL!$C$32, 46.1195, 46.1148) * CHOOSE(CONTROL!$C$15, $D$11, 100%, $F$11)</f>
        <v>46.119500000000002</v>
      </c>
      <c r="J1033" s="4">
        <f>CHOOSE( CONTROL!$C$32, 46.052, 46.0472) * CHOOSE(CONTROL!$C$15, $D$11, 100%, $F$11)</f>
        <v>46.052</v>
      </c>
      <c r="K1033" s="4"/>
      <c r="L1033" s="9">
        <v>28.568200000000001</v>
      </c>
      <c r="M1033" s="9">
        <v>11.6745</v>
      </c>
      <c r="N1033" s="9">
        <v>4.7850000000000001</v>
      </c>
      <c r="O1033" s="9">
        <v>0.36249999999999999</v>
      </c>
      <c r="P1033" s="9">
        <v>1.1798</v>
      </c>
      <c r="Q1033" s="9">
        <v>19.053000000000001</v>
      </c>
      <c r="R1033" s="9"/>
      <c r="S1033" s="11"/>
    </row>
    <row r="1034" spans="1:19" ht="15.75">
      <c r="A1034" s="13">
        <v>73354</v>
      </c>
      <c r="B1034" s="8">
        <f>50.1958 * CHOOSE(CONTROL!$C$15, $D$11, 100%, $F$11)</f>
        <v>50.195799999999998</v>
      </c>
      <c r="C1034" s="8">
        <f>50.2062 * CHOOSE(CONTROL!$C$15, $D$11, 100%, $F$11)</f>
        <v>50.206200000000003</v>
      </c>
      <c r="D1034" s="8">
        <f>50.2079 * CHOOSE( CONTROL!$C$15, $D$11, 100%, $F$11)</f>
        <v>50.207900000000002</v>
      </c>
      <c r="E1034" s="12">
        <f>50.2062 * CHOOSE( CONTROL!$C$15, $D$11, 100%, $F$11)</f>
        <v>50.206200000000003</v>
      </c>
      <c r="F1034" s="4">
        <f>51.2082 * CHOOSE(CONTROL!$C$15, $D$11, 100%, $F$11)</f>
        <v>51.208199999999998</v>
      </c>
      <c r="G1034" s="8">
        <f>48.916 * CHOOSE( CONTROL!$C$15, $D$11, 100%, $F$11)</f>
        <v>48.915999999999997</v>
      </c>
      <c r="H1034" s="4">
        <f>49.8401 * CHOOSE(CONTROL!$C$15, $D$11, 100%, $F$11)</f>
        <v>49.8401</v>
      </c>
      <c r="I1034" s="8">
        <f>48.1637 * CHOOSE(CONTROL!$C$15, $D$11, 100%, $F$11)</f>
        <v>48.163699999999999</v>
      </c>
      <c r="J1034" s="4">
        <f>48.0928 * CHOOSE(CONTROL!$C$15, $D$11, 100%, $F$11)</f>
        <v>48.092799999999997</v>
      </c>
      <c r="K1034" s="4"/>
      <c r="L1034" s="9">
        <v>28.921800000000001</v>
      </c>
      <c r="M1034" s="9">
        <v>12.063700000000001</v>
      </c>
      <c r="N1034" s="9">
        <v>4.9444999999999997</v>
      </c>
      <c r="O1034" s="9">
        <v>0.37459999999999999</v>
      </c>
      <c r="P1034" s="9">
        <v>1.2192000000000001</v>
      </c>
      <c r="Q1034" s="9">
        <v>19.688099999999999</v>
      </c>
      <c r="R1034" s="9"/>
      <c r="S1034" s="11"/>
    </row>
    <row r="1035" spans="1:19" ht="15.75">
      <c r="A1035" s="13">
        <v>73384</v>
      </c>
      <c r="B1035" s="8">
        <f>54.1362 * CHOOSE(CONTROL!$C$15, $D$11, 100%, $F$11)</f>
        <v>54.136200000000002</v>
      </c>
      <c r="C1035" s="8">
        <f>54.1466 * CHOOSE(CONTROL!$C$15, $D$11, 100%, $F$11)</f>
        <v>54.146599999999999</v>
      </c>
      <c r="D1035" s="8">
        <f>54.1277 * CHOOSE( CONTROL!$C$15, $D$11, 100%, $F$11)</f>
        <v>54.127699999999997</v>
      </c>
      <c r="E1035" s="12">
        <f>54.1335 * CHOOSE( CONTROL!$C$15, $D$11, 100%, $F$11)</f>
        <v>54.133499999999998</v>
      </c>
      <c r="F1035" s="4">
        <f>55.133 * CHOOSE(CONTROL!$C$15, $D$11, 100%, $F$11)</f>
        <v>55.133000000000003</v>
      </c>
      <c r="G1035" s="8">
        <f>52.7799 * CHOOSE( CONTROL!$C$15, $D$11, 100%, $F$11)</f>
        <v>52.779899999999998</v>
      </c>
      <c r="H1035" s="4">
        <f>53.6658 * CHOOSE(CONTROL!$C$15, $D$11, 100%, $F$11)</f>
        <v>53.665799999999997</v>
      </c>
      <c r="I1035" s="8">
        <f>51.9878 * CHOOSE(CONTROL!$C$15, $D$11, 100%, $F$11)</f>
        <v>51.9878</v>
      </c>
      <c r="J1035" s="4">
        <f>51.8686 * CHOOSE(CONTROL!$C$15, $D$11, 100%, $F$11)</f>
        <v>51.868600000000001</v>
      </c>
      <c r="K1035" s="4"/>
      <c r="L1035" s="9">
        <v>26.515499999999999</v>
      </c>
      <c r="M1035" s="9">
        <v>11.6745</v>
      </c>
      <c r="N1035" s="9">
        <v>4.7850000000000001</v>
      </c>
      <c r="O1035" s="9">
        <v>0.36249999999999999</v>
      </c>
      <c r="P1035" s="9">
        <v>1.2522</v>
      </c>
      <c r="Q1035" s="9">
        <v>19.053000000000001</v>
      </c>
      <c r="R1035" s="9"/>
      <c r="S1035" s="11"/>
    </row>
    <row r="1036" spans="1:19" ht="15.75">
      <c r="A1036" s="13">
        <v>73415</v>
      </c>
      <c r="B1036" s="8">
        <f>54.0378 * CHOOSE(CONTROL!$C$15, $D$11, 100%, $F$11)</f>
        <v>54.037799999999997</v>
      </c>
      <c r="C1036" s="8">
        <f>54.0482 * CHOOSE(CONTROL!$C$15, $D$11, 100%, $F$11)</f>
        <v>54.048200000000001</v>
      </c>
      <c r="D1036" s="8">
        <f>54.0318 * CHOOSE( CONTROL!$C$15, $D$11, 100%, $F$11)</f>
        <v>54.031799999999997</v>
      </c>
      <c r="E1036" s="12">
        <f>54.0367 * CHOOSE( CONTROL!$C$15, $D$11, 100%, $F$11)</f>
        <v>54.036700000000003</v>
      </c>
      <c r="F1036" s="4">
        <f>55.0346 * CHOOSE(CONTROL!$C$15, $D$11, 100%, $F$11)</f>
        <v>55.034599999999998</v>
      </c>
      <c r="G1036" s="8">
        <f>52.686 * CHOOSE( CONTROL!$C$15, $D$11, 100%, $F$11)</f>
        <v>52.686</v>
      </c>
      <c r="H1036" s="4">
        <f>53.5699 * CHOOSE(CONTROL!$C$15, $D$11, 100%, $F$11)</f>
        <v>53.569899999999997</v>
      </c>
      <c r="I1036" s="8">
        <f>51.9022 * CHOOSE(CONTROL!$C$15, $D$11, 100%, $F$11)</f>
        <v>51.902200000000001</v>
      </c>
      <c r="J1036" s="4">
        <f>51.7742 * CHOOSE(CONTROL!$C$15, $D$11, 100%, $F$11)</f>
        <v>51.7742</v>
      </c>
      <c r="K1036" s="4"/>
      <c r="L1036" s="9">
        <v>27.3993</v>
      </c>
      <c r="M1036" s="9">
        <v>12.063700000000001</v>
      </c>
      <c r="N1036" s="9">
        <v>4.9444999999999997</v>
      </c>
      <c r="O1036" s="9">
        <v>0.37459999999999999</v>
      </c>
      <c r="P1036" s="9">
        <v>1.2939000000000001</v>
      </c>
      <c r="Q1036" s="9">
        <v>19.688099999999999</v>
      </c>
      <c r="R1036" s="9"/>
      <c r="S1036" s="11"/>
    </row>
    <row r="1037" spans="1:19">
      <c r="A1037" s="10"/>
      <c r="F1037" s="1"/>
      <c r="H1037" s="1"/>
      <c r="Q1037" s="9"/>
    </row>
    <row r="1038" spans="1:19" ht="15" customHeight="1">
      <c r="A1038" s="3">
        <v>2016</v>
      </c>
      <c r="B1038" s="8">
        <f t="shared" ref="B1038:H1038" si="1">AVERAGE(B17:B28)</f>
        <v>2.3728333333333333</v>
      </c>
      <c r="C1038" s="8">
        <f t="shared" si="1"/>
        <v>2.3832583333333335</v>
      </c>
      <c r="D1038" s="8">
        <f t="shared" si="1"/>
        <v>2.3704083333333332</v>
      </c>
      <c r="E1038" s="8">
        <f t="shared" si="1"/>
        <v>2.3735333333333331</v>
      </c>
      <c r="F1038" s="4">
        <f t="shared" si="1"/>
        <v>3.3768999999999996</v>
      </c>
      <c r="G1038" s="8">
        <f t="shared" si="1"/>
        <v>2.3127999999999997</v>
      </c>
      <c r="H1038" s="4">
        <f t="shared" si="1"/>
        <v>3.2154583333333338</v>
      </c>
      <c r="I1038" s="8"/>
      <c r="J1038" s="4">
        <f>AVERAGE(J17:J28)</f>
        <v>2.268875</v>
      </c>
      <c r="K1038" s="5"/>
      <c r="L1038" s="5">
        <f>SUM(L17:L28)</f>
        <v>376.69149999999996</v>
      </c>
      <c r="M1038" s="5">
        <f>SUM(M17:M28)</f>
        <v>142.42920000000001</v>
      </c>
      <c r="N1038" s="5">
        <f>SUM(N17:N28)</f>
        <v>58.377000000000002</v>
      </c>
      <c r="O1038" s="5">
        <f>SUM(O17:O28)</f>
        <v>5.3671999999999995</v>
      </c>
      <c r="P1038" s="5">
        <f>SUM(P17:P28)</f>
        <v>16.520199999999999</v>
      </c>
      <c r="Q1038" s="5"/>
      <c r="R1038" s="5">
        <f>SUM(R17:R28)</f>
        <v>4.8</v>
      </c>
      <c r="S1038" s="5"/>
    </row>
    <row r="1039" spans="1:19" ht="15" customHeight="1">
      <c r="A1039" s="3">
        <v>2017</v>
      </c>
      <c r="B1039" s="8">
        <f t="shared" ref="B1039:J1039" si="2">AVERAGE(B29:B40)</f>
        <v>3.1097166666666669</v>
      </c>
      <c r="C1039" s="8">
        <f t="shared" si="2"/>
        <v>3.1201416666666666</v>
      </c>
      <c r="D1039" s="8">
        <f t="shared" si="2"/>
        <v>3.1049166666666665</v>
      </c>
      <c r="E1039" s="8">
        <f t="shared" si="2"/>
        <v>3.1090499999999999</v>
      </c>
      <c r="F1039" s="4">
        <f t="shared" si="2"/>
        <v>4.1137916666666667</v>
      </c>
      <c r="G1039" s="8">
        <f t="shared" si="2"/>
        <v>3.0309166666666663</v>
      </c>
      <c r="H1039" s="4">
        <f t="shared" si="2"/>
        <v>3.9337666666666671</v>
      </c>
      <c r="I1039" s="8">
        <f t="shared" si="2"/>
        <v>3.010475</v>
      </c>
      <c r="J1039" s="4">
        <f t="shared" si="2"/>
        <v>2.9749583333333334</v>
      </c>
      <c r="K1039" s="4"/>
      <c r="L1039" s="5">
        <f t="shared" ref="L1039:Q1039" si="3">SUM(L29:L40)</f>
        <v>353.74759999999998</v>
      </c>
      <c r="M1039" s="5">
        <f t="shared" si="3"/>
        <v>142.0401</v>
      </c>
      <c r="N1039" s="5">
        <f t="shared" si="3"/>
        <v>58.217499999999994</v>
      </c>
      <c r="O1039" s="5">
        <f t="shared" si="3"/>
        <v>4.4104999999999999</v>
      </c>
      <c r="P1039" s="5">
        <f t="shared" si="3"/>
        <v>20.8202</v>
      </c>
      <c r="Q1039" s="5">
        <f t="shared" si="3"/>
        <v>198.18529999999998</v>
      </c>
      <c r="R1039" s="5"/>
      <c r="S1039" s="4"/>
    </row>
    <row r="1040" spans="1:19" ht="15" customHeight="1">
      <c r="A1040" s="3">
        <v>2018</v>
      </c>
      <c r="B1040" s="8">
        <f t="shared" ref="B1040:J1040" si="4">AVERAGE(B41:B52)</f>
        <v>3.1516333333333333</v>
      </c>
      <c r="C1040" s="8">
        <f t="shared" si="4"/>
        <v>3.1620666666666666</v>
      </c>
      <c r="D1040" s="8">
        <f t="shared" si="4"/>
        <v>3.155416666666667</v>
      </c>
      <c r="E1040" s="8">
        <f t="shared" si="4"/>
        <v>3.1565499999999997</v>
      </c>
      <c r="F1040" s="4">
        <f t="shared" si="4"/>
        <v>4.1557166666666667</v>
      </c>
      <c r="G1040" s="8">
        <f t="shared" si="4"/>
        <v>3.0717666666666665</v>
      </c>
      <c r="H1040" s="4">
        <f t="shared" si="4"/>
        <v>3.9746250000000001</v>
      </c>
      <c r="I1040" s="8">
        <f t="shared" si="4"/>
        <v>3.0804750000000003</v>
      </c>
      <c r="J1040" s="4">
        <f t="shared" si="4"/>
        <v>3.0151249999999998</v>
      </c>
      <c r="K1040" s="4"/>
      <c r="L1040" s="5">
        <f t="shared" ref="L1040:Q1040" si="5">SUM(L41:L52)</f>
        <v>353.74759999999998</v>
      </c>
      <c r="M1040" s="5">
        <f t="shared" si="5"/>
        <v>142.0401</v>
      </c>
      <c r="N1040" s="5">
        <f t="shared" si="5"/>
        <v>58.217499999999994</v>
      </c>
      <c r="O1040" s="5">
        <f t="shared" si="5"/>
        <v>4.4104999999999999</v>
      </c>
      <c r="P1040" s="5">
        <f t="shared" si="5"/>
        <v>14.718800000000003</v>
      </c>
      <c r="Q1040" s="5">
        <f t="shared" si="5"/>
        <v>293.19730000000004</v>
      </c>
      <c r="R1040" s="5"/>
      <c r="S1040" s="4"/>
    </row>
    <row r="1041" spans="1:19" ht="15" customHeight="1">
      <c r="A1041" s="3">
        <v>2019</v>
      </c>
      <c r="B1041" s="8">
        <f t="shared" ref="B1041:J1041" si="6">AVERAGE(B53:B64)</f>
        <v>3.7840999999999991</v>
      </c>
      <c r="C1041" s="8">
        <f t="shared" si="6"/>
        <v>3.7945249999999997</v>
      </c>
      <c r="D1041" s="8">
        <f t="shared" si="6"/>
        <v>3.7879083333333328</v>
      </c>
      <c r="E1041" s="8">
        <f t="shared" si="6"/>
        <v>3.7890166666666665</v>
      </c>
      <c r="F1041" s="4">
        <f t="shared" si="6"/>
        <v>4.7881749999999998</v>
      </c>
      <c r="G1041" s="8">
        <f t="shared" si="6"/>
        <v>3.6882916666666667</v>
      </c>
      <c r="H1041" s="4">
        <f t="shared" si="6"/>
        <v>4.5911333333333335</v>
      </c>
      <c r="I1041" s="8">
        <f t="shared" si="6"/>
        <v>3.6868083333333335</v>
      </c>
      <c r="J1041" s="4">
        <f t="shared" si="6"/>
        <v>3.6211666666666669</v>
      </c>
      <c r="K1041" s="4"/>
      <c r="L1041" s="5">
        <f t="shared" ref="L1041:Q1041" si="7">SUM(L53:L64)</f>
        <v>353.74759999999998</v>
      </c>
      <c r="M1041" s="5">
        <f t="shared" si="7"/>
        <v>142.0401</v>
      </c>
      <c r="N1041" s="5">
        <f t="shared" si="7"/>
        <v>58.217499999999994</v>
      </c>
      <c r="O1041" s="5">
        <f t="shared" si="7"/>
        <v>4.4104999999999999</v>
      </c>
      <c r="P1041" s="5">
        <f t="shared" si="7"/>
        <v>14.718800000000003</v>
      </c>
      <c r="Q1041" s="5">
        <f t="shared" si="7"/>
        <v>290.24799999999999</v>
      </c>
      <c r="R1041" s="5"/>
      <c r="S1041" s="4"/>
    </row>
    <row r="1042" spans="1:19" ht="15" customHeight="1">
      <c r="A1042" s="3">
        <v>2020</v>
      </c>
      <c r="B1042" s="8">
        <f t="shared" ref="B1042:J1042" si="8">AVERAGE(B65:B76)</f>
        <v>3.7823500000000005</v>
      </c>
      <c r="C1042" s="8">
        <f t="shared" si="8"/>
        <v>3.7927750000000002</v>
      </c>
      <c r="D1042" s="8">
        <f t="shared" si="8"/>
        <v>3.7861583333333324</v>
      </c>
      <c r="E1042" s="8">
        <f t="shared" si="8"/>
        <v>3.7872666666666657</v>
      </c>
      <c r="F1042" s="4">
        <f t="shared" si="8"/>
        <v>4.7864250000000004</v>
      </c>
      <c r="G1042" s="8">
        <f t="shared" si="8"/>
        <v>3.6865833333333331</v>
      </c>
      <c r="H1042" s="4">
        <f t="shared" si="8"/>
        <v>4.589433333333333</v>
      </c>
      <c r="I1042" s="8">
        <f t="shared" si="8"/>
        <v>3.6851249999999998</v>
      </c>
      <c r="J1042" s="4">
        <f t="shared" si="8"/>
        <v>3.6194833333333332</v>
      </c>
      <c r="K1042" s="4"/>
      <c r="L1042" s="5">
        <f t="shared" ref="L1042:Q1042" si="9">SUM(L65:L76)</f>
        <v>354.68099999999998</v>
      </c>
      <c r="M1042" s="5">
        <f t="shared" si="9"/>
        <v>142.42920000000001</v>
      </c>
      <c r="N1042" s="5">
        <f t="shared" si="9"/>
        <v>58.377000000000002</v>
      </c>
      <c r="O1042" s="5">
        <f t="shared" si="9"/>
        <v>4.4226000000000001</v>
      </c>
      <c r="P1042" s="5">
        <f t="shared" si="9"/>
        <v>14.760600000000004</v>
      </c>
      <c r="Q1042" s="5">
        <f t="shared" si="9"/>
        <v>349.04309999999998</v>
      </c>
      <c r="R1042" s="5"/>
      <c r="S1042" s="4"/>
    </row>
    <row r="1043" spans="1:19" ht="15" customHeight="1">
      <c r="A1043" s="3">
        <v>2021</v>
      </c>
      <c r="B1043" s="8">
        <f t="shared" ref="B1043:J1043" si="10">AVERAGE(B77:B88)</f>
        <v>4.2307166666666669</v>
      </c>
      <c r="C1043" s="8">
        <f t="shared" si="10"/>
        <v>4.2411750000000001</v>
      </c>
      <c r="D1043" s="8">
        <f t="shared" si="10"/>
        <v>4.2345333333333341</v>
      </c>
      <c r="E1043" s="8">
        <f t="shared" si="10"/>
        <v>4.2356333333333334</v>
      </c>
      <c r="F1043" s="4">
        <f t="shared" si="10"/>
        <v>5.2347916666666663</v>
      </c>
      <c r="G1043" s="8">
        <f t="shared" si="10"/>
        <v>4.1236500000000005</v>
      </c>
      <c r="H1043" s="4">
        <f t="shared" si="10"/>
        <v>5.0264916666666659</v>
      </c>
      <c r="I1043" s="8">
        <f t="shared" si="10"/>
        <v>4.1149666666666667</v>
      </c>
      <c r="J1043" s="4">
        <f t="shared" si="10"/>
        <v>4.0491250000000001</v>
      </c>
      <c r="K1043" s="4"/>
      <c r="L1043" s="5">
        <f t="shared" ref="L1043:Q1043" si="11">SUM(L77:L88)</f>
        <v>353.74759999999998</v>
      </c>
      <c r="M1043" s="5">
        <f t="shared" si="11"/>
        <v>142.0401</v>
      </c>
      <c r="N1043" s="5">
        <f t="shared" si="11"/>
        <v>58.217499999999994</v>
      </c>
      <c r="O1043" s="5">
        <f t="shared" si="11"/>
        <v>4.4104999999999999</v>
      </c>
      <c r="P1043" s="5">
        <f t="shared" si="11"/>
        <v>14.718800000000003</v>
      </c>
      <c r="Q1043" s="5">
        <f t="shared" si="11"/>
        <v>388.68129999999996</v>
      </c>
      <c r="R1043" s="5"/>
      <c r="S1043" s="4"/>
    </row>
    <row r="1044" spans="1:19" ht="15" customHeight="1">
      <c r="A1044" s="3">
        <v>2022</v>
      </c>
      <c r="B1044" s="8">
        <f t="shared" ref="B1044:J1044" si="12">AVERAGE(B89:B100)</f>
        <v>4.1955249999999999</v>
      </c>
      <c r="C1044" s="8">
        <f t="shared" si="12"/>
        <v>4.2059500000000005</v>
      </c>
      <c r="D1044" s="8">
        <f t="shared" si="12"/>
        <v>4.1993166666666664</v>
      </c>
      <c r="E1044" s="8">
        <f t="shared" si="12"/>
        <v>4.2004333333333337</v>
      </c>
      <c r="F1044" s="4">
        <f t="shared" si="12"/>
        <v>5.1996083333333338</v>
      </c>
      <c r="G1044" s="8">
        <f t="shared" si="12"/>
        <v>4.0893499999999996</v>
      </c>
      <c r="H1044" s="4">
        <f t="shared" si="12"/>
        <v>4.9922000000000004</v>
      </c>
      <c r="I1044" s="8">
        <f t="shared" si="12"/>
        <v>4.0812250000000008</v>
      </c>
      <c r="J1044" s="4">
        <f t="shared" si="12"/>
        <v>4.0153833333333342</v>
      </c>
      <c r="K1044" s="4"/>
      <c r="L1044" s="5">
        <f t="shared" ref="L1044:Q1044" si="13">SUM(L89:L100)</f>
        <v>346.2867</v>
      </c>
      <c r="M1044" s="5">
        <f t="shared" si="13"/>
        <v>142.0401</v>
      </c>
      <c r="N1044" s="5">
        <f t="shared" si="13"/>
        <v>58.217499999999994</v>
      </c>
      <c r="O1044" s="5">
        <f t="shared" si="13"/>
        <v>4.4104999999999999</v>
      </c>
      <c r="P1044" s="5">
        <f t="shared" si="13"/>
        <v>14.718800000000003</v>
      </c>
      <c r="Q1044" s="5">
        <f t="shared" si="13"/>
        <v>386.33820000000003</v>
      </c>
      <c r="R1044" s="5"/>
      <c r="S1044" s="4"/>
    </row>
    <row r="1045" spans="1:19" ht="15" customHeight="1">
      <c r="A1045" s="3">
        <v>2023</v>
      </c>
      <c r="B1045" s="8">
        <f t="shared" ref="B1045:J1045" si="14">AVERAGE(B101:B112)</f>
        <v>4.5234250000000005</v>
      </c>
      <c r="C1045" s="8">
        <f t="shared" si="14"/>
        <v>4.5338416666666665</v>
      </c>
      <c r="D1045" s="8">
        <f t="shared" si="14"/>
        <v>4.5272250000000005</v>
      </c>
      <c r="E1045" s="8">
        <f t="shared" si="14"/>
        <v>4.5283333333333333</v>
      </c>
      <c r="F1045" s="4">
        <f t="shared" si="14"/>
        <v>5.5274999999999999</v>
      </c>
      <c r="G1045" s="8">
        <f t="shared" si="14"/>
        <v>4.4089749999999999</v>
      </c>
      <c r="H1045" s="4">
        <f t="shared" si="14"/>
        <v>5.3118083333333326</v>
      </c>
      <c r="I1045" s="8">
        <f t="shared" si="14"/>
        <v>4.3955833333333336</v>
      </c>
      <c r="J1045" s="4">
        <f t="shared" si="14"/>
        <v>4.3295916666666665</v>
      </c>
      <c r="K1045" s="4"/>
      <c r="L1045" s="5">
        <f t="shared" ref="L1045:Q1045" si="15">SUM(L101:L112)</f>
        <v>336.06969999999995</v>
      </c>
      <c r="M1045" s="5">
        <f t="shared" si="15"/>
        <v>142.0401</v>
      </c>
      <c r="N1045" s="5">
        <f t="shared" si="15"/>
        <v>58.217499999999994</v>
      </c>
      <c r="O1045" s="5">
        <f t="shared" si="15"/>
        <v>4.4104999999999999</v>
      </c>
      <c r="P1045" s="5">
        <f t="shared" si="15"/>
        <v>14.718800000000003</v>
      </c>
      <c r="Q1045" s="5">
        <f t="shared" si="15"/>
        <v>384.12599999999998</v>
      </c>
      <c r="R1045" s="5"/>
      <c r="S1045" s="4"/>
    </row>
    <row r="1046" spans="1:19" ht="15" customHeight="1">
      <c r="A1046" s="3">
        <v>2024</v>
      </c>
      <c r="B1046" s="8">
        <f t="shared" ref="B1046:J1046" si="16">AVERAGE(B113:B124)</f>
        <v>4.8005166666666659</v>
      </c>
      <c r="C1046" s="8">
        <f t="shared" si="16"/>
        <v>4.8109416666666664</v>
      </c>
      <c r="D1046" s="8">
        <f t="shared" si="16"/>
        <v>4.8043083333333341</v>
      </c>
      <c r="E1046" s="8">
        <f t="shared" si="16"/>
        <v>4.8054249999999996</v>
      </c>
      <c r="F1046" s="4">
        <f t="shared" si="16"/>
        <v>5.8045999999999998</v>
      </c>
      <c r="G1046" s="8">
        <f t="shared" si="16"/>
        <v>4.6790583333333338</v>
      </c>
      <c r="H1046" s="4">
        <f t="shared" si="16"/>
        <v>5.5819083333333337</v>
      </c>
      <c r="I1046" s="8">
        <f t="shared" si="16"/>
        <v>4.6612249999999991</v>
      </c>
      <c r="J1046" s="4">
        <f t="shared" si="16"/>
        <v>4.5950999999999995</v>
      </c>
      <c r="K1046" s="4"/>
      <c r="L1046" s="5">
        <f t="shared" ref="L1046:Q1046" si="17">SUM(L113:L124)</f>
        <v>336.95349999999996</v>
      </c>
      <c r="M1046" s="5">
        <f t="shared" si="17"/>
        <v>142.42920000000001</v>
      </c>
      <c r="N1046" s="5">
        <f t="shared" si="17"/>
        <v>58.377000000000002</v>
      </c>
      <c r="O1046" s="5">
        <f t="shared" si="17"/>
        <v>4.4226000000000001</v>
      </c>
      <c r="P1046" s="5">
        <f t="shared" si="17"/>
        <v>14.760600000000004</v>
      </c>
      <c r="Q1046" s="5">
        <f t="shared" si="17"/>
        <v>383.00459999999998</v>
      </c>
      <c r="R1046" s="5"/>
      <c r="S1046" s="4"/>
    </row>
    <row r="1047" spans="1:19" ht="15" customHeight="1">
      <c r="A1047" s="3">
        <v>2025</v>
      </c>
      <c r="B1047" s="8">
        <f t="shared" ref="B1047:J1047" si="18">AVERAGE(B125:B136)</f>
        <v>5.0233750000000006</v>
      </c>
      <c r="C1047" s="8">
        <f t="shared" si="18"/>
        <v>5.033808333333333</v>
      </c>
      <c r="D1047" s="8">
        <f t="shared" si="18"/>
        <v>5.0271916666666669</v>
      </c>
      <c r="E1047" s="8">
        <f t="shared" si="18"/>
        <v>5.0282916666666662</v>
      </c>
      <c r="F1047" s="4">
        <f t="shared" si="18"/>
        <v>6.0274583333333345</v>
      </c>
      <c r="G1047" s="8">
        <f t="shared" si="18"/>
        <v>4.896325</v>
      </c>
      <c r="H1047" s="4">
        <f t="shared" si="18"/>
        <v>5.7991583333333336</v>
      </c>
      <c r="I1047" s="8">
        <f t="shared" si="18"/>
        <v>4.874883333333333</v>
      </c>
      <c r="J1047" s="4">
        <f t="shared" si="18"/>
        <v>4.8086416666666665</v>
      </c>
      <c r="K1047" s="4"/>
      <c r="L1047" s="5">
        <f t="shared" ref="L1047:Q1047" si="19">SUM(L125:L136)</f>
        <v>336.06969999999995</v>
      </c>
      <c r="M1047" s="5">
        <f t="shared" si="19"/>
        <v>142.0401</v>
      </c>
      <c r="N1047" s="5">
        <f t="shared" si="19"/>
        <v>58.217499999999994</v>
      </c>
      <c r="O1047" s="5">
        <f t="shared" si="19"/>
        <v>4.4104999999999999</v>
      </c>
      <c r="P1047" s="5">
        <f t="shared" si="19"/>
        <v>14.718800000000003</v>
      </c>
      <c r="Q1047" s="5">
        <f t="shared" si="19"/>
        <v>379.76819999999998</v>
      </c>
      <c r="R1047" s="5"/>
      <c r="S1047" s="4"/>
    </row>
    <row r="1048" spans="1:19" ht="15" customHeight="1">
      <c r="A1048" s="3">
        <v>2026</v>
      </c>
      <c r="B1048" s="8">
        <f t="shared" ref="B1048:J1048" si="20">AVERAGE(B137:B148)</f>
        <v>5.1884666666666668</v>
      </c>
      <c r="C1048" s="8">
        <f t="shared" si="20"/>
        <v>5.1989166666666664</v>
      </c>
      <c r="D1048" s="8">
        <f t="shared" si="20"/>
        <v>5.1922833333333331</v>
      </c>
      <c r="E1048" s="8">
        <f t="shared" si="20"/>
        <v>5.1933999999999996</v>
      </c>
      <c r="F1048" s="4">
        <f t="shared" si="20"/>
        <v>6.1925499999999998</v>
      </c>
      <c r="G1048" s="8">
        <f t="shared" si="20"/>
        <v>5.0572166666666662</v>
      </c>
      <c r="H1048" s="4">
        <f t="shared" si="20"/>
        <v>5.9600833333333334</v>
      </c>
      <c r="I1048" s="8">
        <f t="shared" si="20"/>
        <v>5.03315</v>
      </c>
      <c r="J1048" s="4">
        <f t="shared" si="20"/>
        <v>4.9668416666666673</v>
      </c>
      <c r="K1048" s="4"/>
      <c r="L1048" s="5">
        <f t="shared" ref="L1048:Q1048" si="21">SUM(L137:L148)</f>
        <v>336.06969999999995</v>
      </c>
      <c r="M1048" s="5">
        <f t="shared" si="21"/>
        <v>142.0401</v>
      </c>
      <c r="N1048" s="5">
        <f t="shared" si="21"/>
        <v>58.217499999999994</v>
      </c>
      <c r="O1048" s="5">
        <f t="shared" si="21"/>
        <v>4.4104999999999999</v>
      </c>
      <c r="P1048" s="5">
        <f t="shared" si="21"/>
        <v>14.718800000000003</v>
      </c>
      <c r="Q1048" s="5">
        <f t="shared" si="21"/>
        <v>377.59969999999987</v>
      </c>
      <c r="R1048" s="5"/>
      <c r="S1048" s="4"/>
    </row>
    <row r="1049" spans="1:19" ht="15" customHeight="1">
      <c r="A1049" s="3">
        <v>2027</v>
      </c>
      <c r="B1049" s="8">
        <f t="shared" ref="B1049:J1049" si="22">AVERAGE(B149:B160)</f>
        <v>5.3581666666666665</v>
      </c>
      <c r="C1049" s="8">
        <f t="shared" si="22"/>
        <v>5.3685916666666671</v>
      </c>
      <c r="D1049" s="8">
        <f t="shared" si="22"/>
        <v>5.3619750000000002</v>
      </c>
      <c r="E1049" s="8">
        <f t="shared" si="22"/>
        <v>5.363083333333333</v>
      </c>
      <c r="F1049" s="4">
        <f t="shared" si="22"/>
        <v>6.362241666666665</v>
      </c>
      <c r="G1049" s="8">
        <f t="shared" si="22"/>
        <v>5.2226499999999998</v>
      </c>
      <c r="H1049" s="4">
        <f t="shared" si="22"/>
        <v>6.1254750000000007</v>
      </c>
      <c r="I1049" s="8">
        <f t="shared" si="22"/>
        <v>5.1958166666666674</v>
      </c>
      <c r="J1049" s="4">
        <f t="shared" si="22"/>
        <v>5.1294250000000003</v>
      </c>
      <c r="K1049" s="4"/>
      <c r="L1049" s="5">
        <f t="shared" ref="L1049:Q1049" si="23">SUM(L149:L160)</f>
        <v>336.06969999999995</v>
      </c>
      <c r="M1049" s="5">
        <f t="shared" si="23"/>
        <v>142.0401</v>
      </c>
      <c r="N1049" s="5">
        <f t="shared" si="23"/>
        <v>58.217499999999994</v>
      </c>
      <c r="O1049" s="5">
        <f t="shared" si="23"/>
        <v>4.4104999999999999</v>
      </c>
      <c r="P1049" s="5">
        <f t="shared" si="23"/>
        <v>14.718800000000003</v>
      </c>
      <c r="Q1049" s="5">
        <f t="shared" si="23"/>
        <v>375.43180000000001</v>
      </c>
      <c r="R1049" s="5"/>
      <c r="S1049" s="4"/>
    </row>
    <row r="1050" spans="1:19" ht="15" customHeight="1">
      <c r="A1050" s="3">
        <v>2028</v>
      </c>
      <c r="B1050" s="8">
        <f t="shared" ref="B1050:J1050" si="24">AVERAGE(B161:B172)</f>
        <v>5.5325750000000005</v>
      </c>
      <c r="C1050" s="8">
        <f t="shared" si="24"/>
        <v>5.5430166666666665</v>
      </c>
      <c r="D1050" s="8">
        <f t="shared" si="24"/>
        <v>5.5363666666666669</v>
      </c>
      <c r="E1050" s="8">
        <f t="shared" si="24"/>
        <v>5.5374916666666669</v>
      </c>
      <c r="F1050" s="4">
        <f t="shared" si="24"/>
        <v>6.536649999999999</v>
      </c>
      <c r="G1050" s="8">
        <f t="shared" si="24"/>
        <v>5.3926499999999997</v>
      </c>
      <c r="H1050" s="4">
        <f t="shared" si="24"/>
        <v>6.2954916666666669</v>
      </c>
      <c r="I1050" s="8">
        <f t="shared" si="24"/>
        <v>5.3630333333333331</v>
      </c>
      <c r="J1050" s="4">
        <f t="shared" si="24"/>
        <v>5.2965333333333335</v>
      </c>
      <c r="K1050" s="4"/>
      <c r="L1050" s="5">
        <f t="shared" ref="L1050:Q1050" si="25">SUM(L161:L172)</f>
        <v>336.95349999999996</v>
      </c>
      <c r="M1050" s="5">
        <f t="shared" si="25"/>
        <v>142.42920000000001</v>
      </c>
      <c r="N1050" s="5">
        <f t="shared" si="25"/>
        <v>58.377000000000002</v>
      </c>
      <c r="O1050" s="5">
        <f t="shared" si="25"/>
        <v>4.4226000000000001</v>
      </c>
      <c r="P1050" s="5">
        <f t="shared" si="25"/>
        <v>14.760600000000004</v>
      </c>
      <c r="Q1050" s="5">
        <f t="shared" si="25"/>
        <v>374.28599999999994</v>
      </c>
      <c r="R1050" s="5"/>
      <c r="S1050" s="4"/>
    </row>
    <row r="1051" spans="1:19" ht="15" customHeight="1">
      <c r="A1051" s="3">
        <v>2029</v>
      </c>
      <c r="B1051" s="8">
        <f t="shared" ref="B1051:J1051" si="26">AVERAGE(B173:B184)</f>
        <v>5.6430833333333341</v>
      </c>
      <c r="C1051" s="8">
        <f t="shared" si="26"/>
        <v>5.6535249999999992</v>
      </c>
      <c r="D1051" s="8">
        <f t="shared" si="26"/>
        <v>5.6468999999999996</v>
      </c>
      <c r="E1051" s="8">
        <f t="shared" si="26"/>
        <v>5.6480166666666669</v>
      </c>
      <c r="F1051" s="4">
        <f t="shared" si="26"/>
        <v>6.6471500000000008</v>
      </c>
      <c r="G1051" s="8">
        <f t="shared" si="26"/>
        <v>5.5003750000000009</v>
      </c>
      <c r="H1051" s="4">
        <f t="shared" si="26"/>
        <v>6.4032166666666654</v>
      </c>
      <c r="I1051" s="8">
        <f t="shared" si="26"/>
        <v>5.4689750000000004</v>
      </c>
      <c r="J1051" s="4">
        <f t="shared" si="26"/>
        <v>5.4024499999999982</v>
      </c>
      <c r="K1051" s="4"/>
      <c r="L1051" s="5">
        <f t="shared" ref="L1051:Q1051" si="27">SUM(L173:L184)</f>
        <v>336.06969999999995</v>
      </c>
      <c r="M1051" s="5">
        <f t="shared" si="27"/>
        <v>142.0401</v>
      </c>
      <c r="N1051" s="5">
        <f t="shared" si="27"/>
        <v>58.217499999999994</v>
      </c>
      <c r="O1051" s="5">
        <f t="shared" si="27"/>
        <v>4.4104999999999999</v>
      </c>
      <c r="P1051" s="5">
        <f t="shared" si="27"/>
        <v>14.718800000000003</v>
      </c>
      <c r="Q1051" s="5">
        <f t="shared" si="27"/>
        <v>371.09549999999996</v>
      </c>
      <c r="R1051" s="5"/>
      <c r="S1051" s="4"/>
    </row>
    <row r="1052" spans="1:19" ht="15" customHeight="1">
      <c r="A1052" s="3">
        <v>2030</v>
      </c>
      <c r="B1052" s="8">
        <f t="shared" ref="B1052:J1052" si="28">AVERAGE(B185:B196)</f>
        <v>5.7558083333333343</v>
      </c>
      <c r="C1052" s="8">
        <f t="shared" si="28"/>
        <v>5.7662333333333331</v>
      </c>
      <c r="D1052" s="8">
        <f t="shared" si="28"/>
        <v>5.7596000000000016</v>
      </c>
      <c r="E1052" s="8">
        <f t="shared" si="28"/>
        <v>5.7607250000000008</v>
      </c>
      <c r="F1052" s="4">
        <f t="shared" si="28"/>
        <v>6.7598916666666673</v>
      </c>
      <c r="G1052" s="8">
        <f t="shared" si="28"/>
        <v>5.6102499999999997</v>
      </c>
      <c r="H1052" s="4">
        <f t="shared" si="28"/>
        <v>6.5130833333333316</v>
      </c>
      <c r="I1052" s="8">
        <f t="shared" si="28"/>
        <v>5.5770416666666662</v>
      </c>
      <c r="J1052" s="4">
        <f t="shared" si="28"/>
        <v>5.5104499999999996</v>
      </c>
      <c r="K1052" s="4"/>
      <c r="L1052" s="5">
        <f t="shared" ref="L1052:Q1052" si="29">SUM(L185:L196)</f>
        <v>336.06969999999995</v>
      </c>
      <c r="M1052" s="5">
        <f t="shared" si="29"/>
        <v>142.0401</v>
      </c>
      <c r="N1052" s="5">
        <f t="shared" si="29"/>
        <v>58.217499999999994</v>
      </c>
      <c r="O1052" s="5">
        <f t="shared" si="29"/>
        <v>4.4104999999999999</v>
      </c>
      <c r="P1052" s="5">
        <f t="shared" si="29"/>
        <v>14.718800000000003</v>
      </c>
      <c r="Q1052" s="5">
        <f t="shared" si="29"/>
        <v>368.9276999999999</v>
      </c>
      <c r="R1052" s="5"/>
      <c r="S1052" s="4"/>
    </row>
    <row r="1053" spans="1:19" ht="15" customHeight="1">
      <c r="A1053" s="3">
        <v>2031</v>
      </c>
      <c r="B1053" s="8">
        <f t="shared" ref="B1053:J1053" si="30">AVERAGE(B197:B208)</f>
        <v>5.8707916666666664</v>
      </c>
      <c r="C1053" s="8">
        <f t="shared" si="30"/>
        <v>5.8812000000000006</v>
      </c>
      <c r="D1053" s="8">
        <f t="shared" si="30"/>
        <v>5.8745916666666664</v>
      </c>
      <c r="E1053" s="8">
        <f t="shared" si="30"/>
        <v>5.8756916666666656</v>
      </c>
      <c r="F1053" s="4">
        <f t="shared" si="30"/>
        <v>6.8748749999999994</v>
      </c>
      <c r="G1053" s="8">
        <f t="shared" si="30"/>
        <v>5.7223250000000005</v>
      </c>
      <c r="H1053" s="4">
        <f t="shared" si="30"/>
        <v>6.6251749999999987</v>
      </c>
      <c r="I1053" s="8">
        <f t="shared" si="30"/>
        <v>5.6872583333333324</v>
      </c>
      <c r="J1053" s="4">
        <f t="shared" si="30"/>
        <v>5.6206249999999995</v>
      </c>
      <c r="K1053" s="4"/>
      <c r="L1053" s="5">
        <f t="shared" ref="L1053:Q1053" si="31">SUM(L197:L208)</f>
        <v>336.06969999999995</v>
      </c>
      <c r="M1053" s="5">
        <f t="shared" si="31"/>
        <v>142.0401</v>
      </c>
      <c r="N1053" s="5">
        <f t="shared" si="31"/>
        <v>58.217499999999994</v>
      </c>
      <c r="O1053" s="5">
        <f t="shared" si="31"/>
        <v>4.4104999999999999</v>
      </c>
      <c r="P1053" s="5">
        <f t="shared" si="31"/>
        <v>14.718800000000003</v>
      </c>
      <c r="Q1053" s="5">
        <f t="shared" si="31"/>
        <v>365.31420000000003</v>
      </c>
      <c r="R1053" s="5"/>
      <c r="S1053" s="4"/>
    </row>
    <row r="1054" spans="1:19" ht="15" customHeight="1">
      <c r="A1054" s="3">
        <v>2032</v>
      </c>
      <c r="B1054" s="8">
        <f t="shared" ref="B1054:J1054" si="32">AVERAGE(B209:B220)</f>
        <v>5.9880499999999985</v>
      </c>
      <c r="C1054" s="8">
        <f t="shared" si="32"/>
        <v>5.9984833333333327</v>
      </c>
      <c r="D1054" s="8">
        <f t="shared" si="32"/>
        <v>5.9918583333333331</v>
      </c>
      <c r="E1054" s="8">
        <f t="shared" si="32"/>
        <v>5.9929750000000004</v>
      </c>
      <c r="F1054" s="4">
        <f t="shared" si="32"/>
        <v>6.9921250000000006</v>
      </c>
      <c r="G1054" s="8">
        <f t="shared" si="32"/>
        <v>5.8366583333333333</v>
      </c>
      <c r="H1054" s="4">
        <f t="shared" si="32"/>
        <v>6.739491666666666</v>
      </c>
      <c r="I1054" s="8">
        <f t="shared" si="32"/>
        <v>5.7996916666666669</v>
      </c>
      <c r="J1054" s="4">
        <f t="shared" si="32"/>
        <v>5.7329833333333342</v>
      </c>
      <c r="K1054" s="4"/>
      <c r="L1054" s="5">
        <f t="shared" ref="L1054:Q1054" si="33">SUM(L209:L220)</f>
        <v>336.95349999999996</v>
      </c>
      <c r="M1054" s="5">
        <f t="shared" si="33"/>
        <v>142.42920000000001</v>
      </c>
      <c r="N1054" s="5">
        <f t="shared" si="33"/>
        <v>58.377000000000002</v>
      </c>
      <c r="O1054" s="5">
        <f t="shared" si="33"/>
        <v>4.4226000000000001</v>
      </c>
      <c r="P1054" s="5">
        <f t="shared" si="33"/>
        <v>14.760600000000004</v>
      </c>
      <c r="Q1054" s="5">
        <f t="shared" si="33"/>
        <v>364.46999999999997</v>
      </c>
      <c r="R1054" s="5"/>
      <c r="S1054" s="4"/>
    </row>
    <row r="1055" spans="1:19" ht="15" customHeight="1">
      <c r="A1055" s="3">
        <v>2033</v>
      </c>
      <c r="B1055" s="8">
        <f t="shared" ref="B1055:J1055" si="34">AVERAGE(B221:B232)</f>
        <v>6.107683333333334</v>
      </c>
      <c r="C1055" s="8">
        <f t="shared" si="34"/>
        <v>6.1181083333333319</v>
      </c>
      <c r="D1055" s="8">
        <f t="shared" si="34"/>
        <v>6.1114749999999987</v>
      </c>
      <c r="E1055" s="8">
        <f t="shared" si="34"/>
        <v>6.112591666666666</v>
      </c>
      <c r="F1055" s="4">
        <f t="shared" si="34"/>
        <v>7.1117583333333334</v>
      </c>
      <c r="G1055" s="8">
        <f t="shared" si="34"/>
        <v>5.9532500000000006</v>
      </c>
      <c r="H1055" s="4">
        <f t="shared" si="34"/>
        <v>6.8561000000000005</v>
      </c>
      <c r="I1055" s="8">
        <f t="shared" si="34"/>
        <v>5.914366666666667</v>
      </c>
      <c r="J1055" s="4">
        <f t="shared" si="34"/>
        <v>5.8476166666666662</v>
      </c>
      <c r="K1055" s="4"/>
      <c r="L1055" s="5">
        <f t="shared" ref="L1055:Q1055" si="35">SUM(L221:L232)</f>
        <v>336.06969999999995</v>
      </c>
      <c r="M1055" s="5">
        <f t="shared" si="35"/>
        <v>142.0401</v>
      </c>
      <c r="N1055" s="5">
        <f t="shared" si="35"/>
        <v>58.217499999999994</v>
      </c>
      <c r="O1055" s="5">
        <f t="shared" si="35"/>
        <v>4.4104999999999999</v>
      </c>
      <c r="P1055" s="5">
        <f t="shared" si="35"/>
        <v>14.718800000000003</v>
      </c>
      <c r="Q1055" s="5">
        <f t="shared" si="35"/>
        <v>362.33550000000002</v>
      </c>
      <c r="R1055" s="5"/>
      <c r="S1055" s="4"/>
    </row>
    <row r="1056" spans="1:19" ht="15" customHeight="1">
      <c r="A1056" s="3">
        <v>2034</v>
      </c>
      <c r="B1056" s="8">
        <f t="shared" ref="B1056:J1056" si="36">AVERAGE(B233:B244)</f>
        <v>6.2296750000000003</v>
      </c>
      <c r="C1056" s="8">
        <f t="shared" si="36"/>
        <v>6.2401249999999999</v>
      </c>
      <c r="D1056" s="8">
        <f t="shared" si="36"/>
        <v>6.2334916666666658</v>
      </c>
      <c r="E1056" s="8">
        <f t="shared" si="36"/>
        <v>6.2346166666666667</v>
      </c>
      <c r="F1056" s="4">
        <f t="shared" si="36"/>
        <v>7.2337666666666678</v>
      </c>
      <c r="G1056" s="8">
        <f t="shared" si="36"/>
        <v>6.0721999999999996</v>
      </c>
      <c r="H1056" s="4">
        <f t="shared" si="36"/>
        <v>6.9750333333333332</v>
      </c>
      <c r="I1056" s="8">
        <f t="shared" si="36"/>
        <v>6.0313333333333325</v>
      </c>
      <c r="J1056" s="4">
        <f t="shared" si="36"/>
        <v>5.9645333333333319</v>
      </c>
      <c r="K1056" s="4"/>
      <c r="L1056" s="5">
        <f t="shared" ref="L1056:Q1056" si="37">SUM(L233:L244)</f>
        <v>336.06969999999995</v>
      </c>
      <c r="M1056" s="5">
        <f t="shared" si="37"/>
        <v>142.0401</v>
      </c>
      <c r="N1056" s="5">
        <f t="shared" si="37"/>
        <v>58.217499999999994</v>
      </c>
      <c r="O1056" s="5">
        <f t="shared" si="37"/>
        <v>4.4104999999999999</v>
      </c>
      <c r="P1056" s="5">
        <f t="shared" si="37"/>
        <v>14.718800000000003</v>
      </c>
      <c r="Q1056" s="5">
        <f t="shared" si="37"/>
        <v>361.59120000000007</v>
      </c>
      <c r="R1056" s="5"/>
      <c r="S1056" s="4"/>
    </row>
    <row r="1057" spans="1:19" ht="15" customHeight="1">
      <c r="A1057" s="3">
        <v>2035</v>
      </c>
      <c r="B1057" s="8">
        <f t="shared" ref="B1057:J1057" si="38">AVERAGE(B245:B256)</f>
        <v>6.3541333333333325</v>
      </c>
      <c r="C1057" s="8">
        <f t="shared" si="38"/>
        <v>6.364583333333333</v>
      </c>
      <c r="D1057" s="8">
        <f t="shared" si="38"/>
        <v>6.3579499999999998</v>
      </c>
      <c r="E1057" s="8">
        <f t="shared" si="38"/>
        <v>6.3590666666666671</v>
      </c>
      <c r="F1057" s="4">
        <f t="shared" si="38"/>
        <v>7.3582166666666646</v>
      </c>
      <c r="G1057" s="8">
        <f t="shared" si="38"/>
        <v>6.1935083333333338</v>
      </c>
      <c r="H1057" s="4">
        <f t="shared" si="38"/>
        <v>7.0963416666666665</v>
      </c>
      <c r="I1057" s="8">
        <f t="shared" si="38"/>
        <v>6.1506499999999997</v>
      </c>
      <c r="J1057" s="4">
        <f t="shared" si="38"/>
        <v>6.0837750000000002</v>
      </c>
      <c r="K1057" s="4"/>
      <c r="L1057" s="5">
        <f t="shared" ref="L1057:Q1057" si="39">SUM(L245:L256)</f>
        <v>336.06969999999995</v>
      </c>
      <c r="M1057" s="5">
        <f t="shared" si="39"/>
        <v>142.0401</v>
      </c>
      <c r="N1057" s="5">
        <f t="shared" si="39"/>
        <v>58.217499999999994</v>
      </c>
      <c r="O1057" s="5">
        <f t="shared" si="39"/>
        <v>4.4104999999999999</v>
      </c>
      <c r="P1057" s="5">
        <f t="shared" si="39"/>
        <v>14.718800000000003</v>
      </c>
      <c r="Q1057" s="5">
        <f t="shared" si="39"/>
        <v>360.82469999999995</v>
      </c>
      <c r="R1057" s="5"/>
      <c r="S1057" s="4"/>
    </row>
    <row r="1058" spans="1:19" ht="15" customHeight="1">
      <c r="A1058" s="3">
        <v>2036</v>
      </c>
      <c r="B1058" s="8">
        <f t="shared" ref="B1058:J1058" si="40">AVERAGE(B257:B268)</f>
        <v>6.5617083333333328</v>
      </c>
      <c r="C1058" s="8">
        <f t="shared" si="40"/>
        <v>6.5721666666666669</v>
      </c>
      <c r="D1058" s="8">
        <f t="shared" si="40"/>
        <v>6.5655166666666647</v>
      </c>
      <c r="E1058" s="8">
        <f t="shared" si="40"/>
        <v>6.5666500000000001</v>
      </c>
      <c r="F1058" s="4">
        <f t="shared" si="40"/>
        <v>7.5657833333333331</v>
      </c>
      <c r="G1058" s="8">
        <f t="shared" si="40"/>
        <v>6.3958333333333321</v>
      </c>
      <c r="H1058" s="4">
        <f t="shared" si="40"/>
        <v>7.2986833333333339</v>
      </c>
      <c r="I1058" s="8">
        <f t="shared" si="40"/>
        <v>6.3496499999999996</v>
      </c>
      <c r="J1058" s="4">
        <f t="shared" si="40"/>
        <v>6.2826666666666666</v>
      </c>
      <c r="K1058" s="4"/>
      <c r="L1058" s="5">
        <f t="shared" ref="L1058:Q1058" si="41">SUM(L257:L268)</f>
        <v>336.95349999999996</v>
      </c>
      <c r="M1058" s="5">
        <f t="shared" si="41"/>
        <v>142.42920000000001</v>
      </c>
      <c r="N1058" s="5">
        <f t="shared" si="41"/>
        <v>58.377000000000002</v>
      </c>
      <c r="O1058" s="5">
        <f t="shared" si="41"/>
        <v>4.4226000000000001</v>
      </c>
      <c r="P1058" s="5">
        <f t="shared" si="41"/>
        <v>14.760600000000004</v>
      </c>
      <c r="Q1058" s="5">
        <f t="shared" si="41"/>
        <v>361.0446</v>
      </c>
      <c r="R1058" s="5"/>
      <c r="S1058" s="4"/>
    </row>
    <row r="1059" spans="1:19" ht="15" customHeight="1">
      <c r="A1059" s="3">
        <v>2037</v>
      </c>
      <c r="B1059" s="8">
        <f t="shared" ref="B1059:J1059" si="42">AVERAGE(B269:B280)</f>
        <v>6.7760666666666651</v>
      </c>
      <c r="C1059" s="8">
        <f t="shared" si="42"/>
        <v>6.7865166666666665</v>
      </c>
      <c r="D1059" s="8">
        <f t="shared" si="42"/>
        <v>6.7798749999999997</v>
      </c>
      <c r="E1059" s="8">
        <f t="shared" si="42"/>
        <v>6.7809999999999997</v>
      </c>
      <c r="F1059" s="4">
        <f t="shared" si="42"/>
        <v>7.7801666666666671</v>
      </c>
      <c r="G1059" s="8">
        <f t="shared" si="42"/>
        <v>6.6047833333333328</v>
      </c>
      <c r="H1059" s="4">
        <f t="shared" si="42"/>
        <v>7.5076333333333336</v>
      </c>
      <c r="I1059" s="8">
        <f t="shared" si="42"/>
        <v>6.5551583333333339</v>
      </c>
      <c r="J1059" s="4">
        <f t="shared" si="42"/>
        <v>6.488100000000002</v>
      </c>
      <c r="K1059" s="4"/>
      <c r="L1059" s="5">
        <f t="shared" ref="L1059:Q1059" si="43">SUM(L269:L280)</f>
        <v>336.06969999999995</v>
      </c>
      <c r="M1059" s="5">
        <f t="shared" si="43"/>
        <v>142.0401</v>
      </c>
      <c r="N1059" s="5">
        <f t="shared" si="43"/>
        <v>58.217499999999994</v>
      </c>
      <c r="O1059" s="5">
        <f t="shared" si="43"/>
        <v>4.4104999999999999</v>
      </c>
      <c r="P1059" s="5">
        <f t="shared" si="43"/>
        <v>14.718800000000003</v>
      </c>
      <c r="Q1059" s="5">
        <f t="shared" si="43"/>
        <v>359.29169999999999</v>
      </c>
      <c r="R1059" s="5"/>
      <c r="S1059" s="4"/>
    </row>
    <row r="1060" spans="1:19" ht="15" customHeight="1">
      <c r="A1060" s="3">
        <f t="shared" ref="A1060:A1091" si="44">A1059+1</f>
        <v>2038</v>
      </c>
      <c r="B1060" s="8">
        <f t="shared" ref="B1060:J1060" si="45">AVERAGE(B281:B292)</f>
        <v>6.9974583333333342</v>
      </c>
      <c r="C1060" s="8">
        <f t="shared" si="45"/>
        <v>7.0078916666666657</v>
      </c>
      <c r="D1060" s="8">
        <f t="shared" si="45"/>
        <v>7.0012749999999997</v>
      </c>
      <c r="E1060" s="8">
        <f t="shared" si="45"/>
        <v>7.0023749999999998</v>
      </c>
      <c r="F1060" s="4">
        <f t="shared" si="45"/>
        <v>8.0015416666666663</v>
      </c>
      <c r="G1060" s="8">
        <f t="shared" si="45"/>
        <v>6.8205666666666653</v>
      </c>
      <c r="H1060" s="4">
        <f t="shared" si="45"/>
        <v>7.7234249999999989</v>
      </c>
      <c r="I1060" s="8">
        <f t="shared" si="45"/>
        <v>6.7674000000000012</v>
      </c>
      <c r="J1060" s="4">
        <f t="shared" si="45"/>
        <v>6.7001999999999997</v>
      </c>
      <c r="K1060" s="4"/>
      <c r="L1060" s="5">
        <f t="shared" ref="L1060:Q1060" si="46">SUM(L281:L292)</f>
        <v>336.06969999999995</v>
      </c>
      <c r="M1060" s="5">
        <f t="shared" si="46"/>
        <v>142.0401</v>
      </c>
      <c r="N1060" s="5">
        <f t="shared" si="46"/>
        <v>58.217499999999994</v>
      </c>
      <c r="O1060" s="5">
        <f t="shared" si="46"/>
        <v>4.4104999999999999</v>
      </c>
      <c r="P1060" s="5">
        <f t="shared" si="46"/>
        <v>14.718800000000003</v>
      </c>
      <c r="Q1060" s="5">
        <f t="shared" si="46"/>
        <v>358.54670000000004</v>
      </c>
      <c r="R1060" s="5"/>
      <c r="S1060" s="4"/>
    </row>
    <row r="1061" spans="1:19" ht="15" customHeight="1">
      <c r="A1061" s="3">
        <f t="shared" si="44"/>
        <v>2039</v>
      </c>
      <c r="B1061" s="8">
        <f t="shared" ref="B1061:J1061" si="47">AVERAGE(B293:B304)</f>
        <v>7.226066666666668</v>
      </c>
      <c r="C1061" s="8">
        <f t="shared" si="47"/>
        <v>7.2364999999999995</v>
      </c>
      <c r="D1061" s="8">
        <f t="shared" si="47"/>
        <v>7.2298833333333334</v>
      </c>
      <c r="E1061" s="8">
        <f t="shared" si="47"/>
        <v>7.2309833333333335</v>
      </c>
      <c r="F1061" s="4">
        <f t="shared" si="47"/>
        <v>8.2301750000000027</v>
      </c>
      <c r="G1061" s="8">
        <f t="shared" si="47"/>
        <v>7.0434333333333328</v>
      </c>
      <c r="H1061" s="4">
        <f t="shared" si="47"/>
        <v>7.9462666666666664</v>
      </c>
      <c r="I1061" s="8">
        <f t="shared" si="47"/>
        <v>6.9865416666666649</v>
      </c>
      <c r="J1061" s="4">
        <f t="shared" si="47"/>
        <v>6.9192583333333326</v>
      </c>
      <c r="K1061" s="7"/>
      <c r="L1061" s="5">
        <f t="shared" ref="L1061:Q1061" si="48">SUM(L293:L304)</f>
        <v>336.06969999999995</v>
      </c>
      <c r="M1061" s="5">
        <f t="shared" si="48"/>
        <v>142.0401</v>
      </c>
      <c r="N1061" s="5">
        <f t="shared" si="48"/>
        <v>58.217499999999994</v>
      </c>
      <c r="O1061" s="5">
        <f t="shared" si="48"/>
        <v>4.4104999999999999</v>
      </c>
      <c r="P1061" s="5">
        <f t="shared" si="48"/>
        <v>14.718800000000003</v>
      </c>
      <c r="Q1061" s="5">
        <f t="shared" si="48"/>
        <v>357.78019999999998</v>
      </c>
      <c r="R1061" s="5"/>
      <c r="S1061" s="6"/>
    </row>
    <row r="1062" spans="1:19" ht="15" customHeight="1">
      <c r="A1062" s="3">
        <f t="shared" si="44"/>
        <v>2040</v>
      </c>
      <c r="B1062" s="8">
        <f t="shared" ref="B1062:J1062" si="49">AVERAGE(B305:B316)</f>
        <v>7.4621583333333321</v>
      </c>
      <c r="C1062" s="8">
        <f t="shared" si="49"/>
        <v>7.4725833333333336</v>
      </c>
      <c r="D1062" s="8">
        <f t="shared" si="49"/>
        <v>7.465958333333333</v>
      </c>
      <c r="E1062" s="8">
        <f t="shared" si="49"/>
        <v>7.4670750000000004</v>
      </c>
      <c r="F1062" s="4">
        <f t="shared" si="49"/>
        <v>8.4662416666666669</v>
      </c>
      <c r="G1062" s="8">
        <f t="shared" si="49"/>
        <v>7.2735666666666665</v>
      </c>
      <c r="H1062" s="4">
        <f t="shared" si="49"/>
        <v>8.1763916666666656</v>
      </c>
      <c r="I1062" s="8">
        <f t="shared" si="49"/>
        <v>7.2128583333333331</v>
      </c>
      <c r="J1062" s="4">
        <f t="shared" si="49"/>
        <v>7.1454833333333321</v>
      </c>
      <c r="K1062" s="7"/>
      <c r="L1062" s="5">
        <f t="shared" ref="L1062:Q1062" si="50">SUM(L305:L316)</f>
        <v>336.95349999999996</v>
      </c>
      <c r="M1062" s="5">
        <f t="shared" si="50"/>
        <v>142.42920000000001</v>
      </c>
      <c r="N1062" s="5">
        <f t="shared" si="50"/>
        <v>58.377000000000002</v>
      </c>
      <c r="O1062" s="5">
        <f t="shared" si="50"/>
        <v>4.4226000000000001</v>
      </c>
      <c r="P1062" s="5">
        <f t="shared" si="50"/>
        <v>14.760600000000004</v>
      </c>
      <c r="Q1062" s="5">
        <f t="shared" si="50"/>
        <v>357.99180000000001</v>
      </c>
      <c r="R1062" s="5"/>
      <c r="S1062" s="6"/>
    </row>
    <row r="1063" spans="1:19" ht="15" customHeight="1">
      <c r="A1063" s="3">
        <f t="shared" si="44"/>
        <v>2041</v>
      </c>
      <c r="B1063" s="8">
        <f t="shared" ref="B1063:J1063" si="51">AVERAGE(B317:B328)</f>
        <v>7.7059583333333324</v>
      </c>
      <c r="C1063" s="8">
        <f t="shared" si="51"/>
        <v>7.7164166666666665</v>
      </c>
      <c r="D1063" s="8">
        <f t="shared" si="51"/>
        <v>7.7097666666666669</v>
      </c>
      <c r="E1063" s="8">
        <f t="shared" si="51"/>
        <v>7.7108916666666678</v>
      </c>
      <c r="F1063" s="4">
        <f t="shared" si="51"/>
        <v>8.7100249999999999</v>
      </c>
      <c r="G1063" s="8">
        <f t="shared" si="51"/>
        <v>7.5112249999999996</v>
      </c>
      <c r="H1063" s="4">
        <f t="shared" si="51"/>
        <v>8.4140666666666668</v>
      </c>
      <c r="I1063" s="8">
        <f t="shared" si="51"/>
        <v>7.4466166666666664</v>
      </c>
      <c r="J1063" s="4">
        <f t="shared" si="51"/>
        <v>7.3791083333333347</v>
      </c>
      <c r="K1063" s="7"/>
      <c r="L1063" s="5">
        <f t="shared" ref="L1063:Q1063" si="52">SUM(L317:L328)</f>
        <v>336.06969999999995</v>
      </c>
      <c r="M1063" s="5">
        <f t="shared" si="52"/>
        <v>142.0401</v>
      </c>
      <c r="N1063" s="5">
        <f t="shared" si="52"/>
        <v>58.217499999999994</v>
      </c>
      <c r="O1063" s="5">
        <f t="shared" si="52"/>
        <v>4.4104999999999999</v>
      </c>
      <c r="P1063" s="5">
        <f t="shared" si="52"/>
        <v>14.718800000000003</v>
      </c>
      <c r="Q1063" s="5">
        <f t="shared" si="52"/>
        <v>356.26930000000004</v>
      </c>
      <c r="R1063" s="5"/>
      <c r="S1063" s="6"/>
    </row>
    <row r="1064" spans="1:19" ht="15" customHeight="1">
      <c r="A1064" s="3">
        <f t="shared" si="44"/>
        <v>2042</v>
      </c>
      <c r="B1064" s="8">
        <f t="shared" ref="B1064:J1064" si="53">AVERAGE(B329:B340)</f>
        <v>7.9577499999999999</v>
      </c>
      <c r="C1064" s="8">
        <f t="shared" si="53"/>
        <v>7.9681833333333323</v>
      </c>
      <c r="D1064" s="8">
        <f t="shared" si="53"/>
        <v>7.9615666666666671</v>
      </c>
      <c r="E1064" s="8">
        <f t="shared" si="53"/>
        <v>7.9626749999999999</v>
      </c>
      <c r="F1064" s="4">
        <f t="shared" si="53"/>
        <v>8.9618416666666665</v>
      </c>
      <c r="G1064" s="8">
        <f t="shared" si="53"/>
        <v>7.7566416666666678</v>
      </c>
      <c r="H1064" s="4">
        <f t="shared" si="53"/>
        <v>8.6594916666666659</v>
      </c>
      <c r="I1064" s="8">
        <f t="shared" si="53"/>
        <v>7.6880166666666669</v>
      </c>
      <c r="J1064" s="4">
        <f t="shared" si="53"/>
        <v>7.620350000000002</v>
      </c>
      <c r="K1064" s="7"/>
      <c r="L1064" s="5">
        <f t="shared" ref="L1064:Q1064" si="54">SUM(L329:L340)</f>
        <v>336.06969999999995</v>
      </c>
      <c r="M1064" s="5">
        <f t="shared" si="54"/>
        <v>142.0401</v>
      </c>
      <c r="N1064" s="5">
        <f t="shared" si="54"/>
        <v>58.217499999999994</v>
      </c>
      <c r="O1064" s="5">
        <f t="shared" si="54"/>
        <v>4.4104999999999999</v>
      </c>
      <c r="P1064" s="5">
        <f t="shared" si="54"/>
        <v>14.718800000000003</v>
      </c>
      <c r="Q1064" s="5">
        <f t="shared" si="54"/>
        <v>242.47669999999997</v>
      </c>
      <c r="R1064" s="5"/>
      <c r="S1064" s="6"/>
    </row>
    <row r="1065" spans="1:19" ht="15" customHeight="1">
      <c r="A1065" s="3">
        <f t="shared" si="44"/>
        <v>2043</v>
      </c>
      <c r="B1065" s="8">
        <f t="shared" ref="B1065:J1065" si="55">AVERAGE(B341:B352)</f>
        <v>8.2177666666666678</v>
      </c>
      <c r="C1065" s="8">
        <f t="shared" si="55"/>
        <v>8.2282083333333329</v>
      </c>
      <c r="D1065" s="8">
        <f t="shared" si="55"/>
        <v>8.2215749999999996</v>
      </c>
      <c r="E1065" s="8">
        <f t="shared" si="55"/>
        <v>8.2227083333333333</v>
      </c>
      <c r="F1065" s="4">
        <f t="shared" si="55"/>
        <v>9.2218583333333335</v>
      </c>
      <c r="G1065" s="8">
        <f t="shared" si="55"/>
        <v>8.0100999999999996</v>
      </c>
      <c r="H1065" s="4">
        <f t="shared" si="55"/>
        <v>8.9129500000000004</v>
      </c>
      <c r="I1065" s="8">
        <f t="shared" si="55"/>
        <v>7.9372583333333333</v>
      </c>
      <c r="J1065" s="4">
        <f t="shared" si="55"/>
        <v>7.8695166666666667</v>
      </c>
      <c r="K1065" s="7"/>
      <c r="L1065" s="5">
        <f t="shared" ref="L1065:Q1065" si="56">SUM(L341:L352)</f>
        <v>336.06969999999995</v>
      </c>
      <c r="M1065" s="5">
        <f t="shared" si="56"/>
        <v>142.0401</v>
      </c>
      <c r="N1065" s="5">
        <f t="shared" si="56"/>
        <v>58.217499999999994</v>
      </c>
      <c r="O1065" s="5">
        <f t="shared" si="56"/>
        <v>4.4104999999999999</v>
      </c>
      <c r="P1065" s="5">
        <f t="shared" si="56"/>
        <v>14.718800000000003</v>
      </c>
      <c r="Q1065" s="5">
        <f t="shared" si="56"/>
        <v>241.71019999999996</v>
      </c>
      <c r="R1065" s="5"/>
      <c r="S1065" s="6"/>
    </row>
    <row r="1066" spans="1:19" ht="15" customHeight="1">
      <c r="A1066" s="3">
        <f t="shared" si="44"/>
        <v>2044</v>
      </c>
      <c r="B1066" s="8">
        <f t="shared" ref="B1066:J1066" si="57">AVERAGE(B353:B364)</f>
        <v>8.4862833333333327</v>
      </c>
      <c r="C1066" s="8">
        <f t="shared" si="57"/>
        <v>8.4967250000000014</v>
      </c>
      <c r="D1066" s="8">
        <f t="shared" si="57"/>
        <v>8.4900916666666664</v>
      </c>
      <c r="E1066" s="8">
        <f t="shared" si="57"/>
        <v>8.4912083333333346</v>
      </c>
      <c r="F1066" s="4">
        <f t="shared" si="57"/>
        <v>9.4903666666666648</v>
      </c>
      <c r="G1066" s="8">
        <f t="shared" si="57"/>
        <v>8.2718500000000006</v>
      </c>
      <c r="H1066" s="4">
        <f t="shared" si="57"/>
        <v>9.1746999999999996</v>
      </c>
      <c r="I1066" s="8">
        <f t="shared" si="57"/>
        <v>8.1946999999999992</v>
      </c>
      <c r="J1066" s="4">
        <f t="shared" si="57"/>
        <v>8.1268000000000011</v>
      </c>
      <c r="K1066" s="7"/>
      <c r="L1066" s="5">
        <f t="shared" ref="L1066:Q1066" si="58">SUM(L353:L364)</f>
        <v>336.95349999999996</v>
      </c>
      <c r="M1066" s="5">
        <f t="shared" si="58"/>
        <v>142.42920000000001</v>
      </c>
      <c r="N1066" s="5">
        <f t="shared" si="58"/>
        <v>58.377000000000002</v>
      </c>
      <c r="O1066" s="5">
        <f t="shared" si="58"/>
        <v>4.4226000000000001</v>
      </c>
      <c r="P1066" s="5">
        <f t="shared" si="58"/>
        <v>14.760600000000004</v>
      </c>
      <c r="Q1066" s="5">
        <f t="shared" si="58"/>
        <v>241.58220000000006</v>
      </c>
      <c r="R1066" s="5"/>
      <c r="S1066" s="6"/>
    </row>
    <row r="1067" spans="1:19" ht="15" customHeight="1">
      <c r="A1067" s="3">
        <f t="shared" si="44"/>
        <v>2045</v>
      </c>
      <c r="B1067" s="8">
        <f t="shared" ref="B1067:J1067" si="59">AVERAGE(B365:B376)</f>
        <v>8.7636000000000003</v>
      </c>
      <c r="C1067" s="8">
        <f t="shared" si="59"/>
        <v>8.7740333333333336</v>
      </c>
      <c r="D1067" s="8">
        <f t="shared" si="59"/>
        <v>8.7673916666666667</v>
      </c>
      <c r="E1067" s="8">
        <f t="shared" si="59"/>
        <v>8.7685000000000013</v>
      </c>
      <c r="F1067" s="4">
        <f t="shared" si="59"/>
        <v>9.767691666666666</v>
      </c>
      <c r="G1067" s="8">
        <f t="shared" si="59"/>
        <v>8.5421666666666649</v>
      </c>
      <c r="H1067" s="4">
        <f t="shared" si="59"/>
        <v>9.4450083333333339</v>
      </c>
      <c r="I1067" s="8">
        <f t="shared" si="59"/>
        <v>8.4605499999999996</v>
      </c>
      <c r="J1067" s="4">
        <f t="shared" si="59"/>
        <v>8.3925249999999991</v>
      </c>
      <c r="K1067" s="7"/>
      <c r="L1067" s="5">
        <f t="shared" ref="L1067:Q1067" si="60">SUM(L365:L376)</f>
        <v>336.06969999999995</v>
      </c>
      <c r="M1067" s="5">
        <f t="shared" si="60"/>
        <v>142.0401</v>
      </c>
      <c r="N1067" s="5">
        <f t="shared" si="60"/>
        <v>58.217499999999994</v>
      </c>
      <c r="O1067" s="5">
        <f t="shared" si="60"/>
        <v>4.4104999999999999</v>
      </c>
      <c r="P1067" s="5">
        <f t="shared" si="60"/>
        <v>14.718800000000003</v>
      </c>
      <c r="Q1067" s="5">
        <f t="shared" si="60"/>
        <v>240.15570000000002</v>
      </c>
      <c r="R1067" s="5"/>
      <c r="S1067" s="6"/>
    </row>
    <row r="1068" spans="1:19" ht="15" customHeight="1">
      <c r="A1068" s="3">
        <f t="shared" si="44"/>
        <v>2046</v>
      </c>
      <c r="B1068" s="8">
        <f t="shared" ref="B1068:J1068" si="61">AVERAGE(B377:B388)</f>
        <v>9.049966666666668</v>
      </c>
      <c r="C1068" s="8">
        <f t="shared" si="61"/>
        <v>9.0603999999999996</v>
      </c>
      <c r="D1068" s="8">
        <f t="shared" si="61"/>
        <v>9.0537583333333327</v>
      </c>
      <c r="E1068" s="8">
        <f t="shared" si="61"/>
        <v>9.054883333333331</v>
      </c>
      <c r="F1068" s="4">
        <f t="shared" si="61"/>
        <v>10.05405</v>
      </c>
      <c r="G1068" s="8">
        <f t="shared" si="61"/>
        <v>8.8213083333333344</v>
      </c>
      <c r="H1068" s="4">
        <f t="shared" si="61"/>
        <v>9.7241583333333335</v>
      </c>
      <c r="I1068" s="8">
        <f t="shared" si="61"/>
        <v>8.7350750000000001</v>
      </c>
      <c r="J1068" s="4">
        <f t="shared" si="61"/>
        <v>8.6669416666666681</v>
      </c>
      <c r="K1068" s="7"/>
      <c r="L1068" s="5">
        <f t="shared" ref="L1068:Q1068" si="62">SUM(L377:L388)</f>
        <v>336.06969999999995</v>
      </c>
      <c r="M1068" s="5">
        <f t="shared" si="62"/>
        <v>142.0401</v>
      </c>
      <c r="N1068" s="5">
        <f t="shared" si="62"/>
        <v>58.217499999999994</v>
      </c>
      <c r="O1068" s="5">
        <f t="shared" si="62"/>
        <v>4.4104999999999999</v>
      </c>
      <c r="P1068" s="5">
        <f t="shared" si="62"/>
        <v>14.718800000000003</v>
      </c>
      <c r="Q1068" s="5">
        <f t="shared" si="62"/>
        <v>239.38920000000005</v>
      </c>
      <c r="R1068" s="5"/>
      <c r="S1068" s="6"/>
    </row>
    <row r="1069" spans="1:19" ht="15" customHeight="1">
      <c r="A1069" s="3">
        <f t="shared" si="44"/>
        <v>2047</v>
      </c>
      <c r="B1069" s="8">
        <f t="shared" ref="B1069:J1069" si="63">AVERAGE(B389:B400)</f>
        <v>9.3457083333333326</v>
      </c>
      <c r="C1069" s="8">
        <f t="shared" si="63"/>
        <v>9.3561333333333341</v>
      </c>
      <c r="D1069" s="8">
        <f t="shared" si="63"/>
        <v>9.3495083333333344</v>
      </c>
      <c r="E1069" s="8">
        <f t="shared" si="63"/>
        <v>9.3506166666666655</v>
      </c>
      <c r="F1069" s="4">
        <f t="shared" si="63"/>
        <v>10.349791666666665</v>
      </c>
      <c r="G1069" s="8">
        <f t="shared" si="63"/>
        <v>9.1095750000000013</v>
      </c>
      <c r="H1069" s="4">
        <f t="shared" si="63"/>
        <v>10.012416666666665</v>
      </c>
      <c r="I1069" s="8">
        <f t="shared" si="63"/>
        <v>9.0186166666666647</v>
      </c>
      <c r="J1069" s="4">
        <f t="shared" si="63"/>
        <v>8.950308333333334</v>
      </c>
      <c r="K1069" s="7"/>
      <c r="L1069" s="5">
        <f t="shared" ref="L1069:Q1069" si="64">SUM(L389:L400)</f>
        <v>336.06969999999995</v>
      </c>
      <c r="M1069" s="5">
        <f t="shared" si="64"/>
        <v>142.0401</v>
      </c>
      <c r="N1069" s="5">
        <f t="shared" si="64"/>
        <v>58.217499999999994</v>
      </c>
      <c r="O1069" s="5">
        <f t="shared" si="64"/>
        <v>4.4104999999999999</v>
      </c>
      <c r="P1069" s="5">
        <f t="shared" si="64"/>
        <v>14.718800000000003</v>
      </c>
      <c r="Q1069" s="5">
        <f t="shared" si="64"/>
        <v>238.62270000000004</v>
      </c>
      <c r="R1069" s="5"/>
      <c r="S1069" s="6"/>
    </row>
    <row r="1070" spans="1:19" ht="15" customHeight="1">
      <c r="A1070" s="3">
        <f t="shared" si="44"/>
        <v>2048</v>
      </c>
      <c r="B1070" s="8">
        <f t="shared" ref="B1070:J1070" si="65">AVERAGE(B401:B412)</f>
        <v>9.6511166666666686</v>
      </c>
      <c r="C1070" s="8">
        <f t="shared" si="65"/>
        <v>9.6615499999999983</v>
      </c>
      <c r="D1070" s="8">
        <f t="shared" si="65"/>
        <v>9.6549083333333332</v>
      </c>
      <c r="E1070" s="8">
        <f t="shared" si="65"/>
        <v>9.656016666666666</v>
      </c>
      <c r="F1070" s="4">
        <f t="shared" si="65"/>
        <v>10.655216666666666</v>
      </c>
      <c r="G1070" s="8">
        <f t="shared" si="65"/>
        <v>9.4072666666666667</v>
      </c>
      <c r="H1070" s="4">
        <f t="shared" si="65"/>
        <v>10.310133333333333</v>
      </c>
      <c r="I1070" s="8">
        <f t="shared" si="65"/>
        <v>9.3113916666666636</v>
      </c>
      <c r="J1070" s="4">
        <f t="shared" si="65"/>
        <v>9.2429499999999987</v>
      </c>
      <c r="K1070" s="7"/>
      <c r="L1070" s="5">
        <f t="shared" ref="L1070:Q1070" si="66">SUM(L401:L412)</f>
        <v>336.95349999999996</v>
      </c>
      <c r="M1070" s="5">
        <f t="shared" si="66"/>
        <v>142.42920000000001</v>
      </c>
      <c r="N1070" s="5">
        <f t="shared" si="66"/>
        <v>58.377000000000002</v>
      </c>
      <c r="O1070" s="5">
        <f t="shared" si="66"/>
        <v>4.4226000000000001</v>
      </c>
      <c r="P1070" s="5">
        <f t="shared" si="66"/>
        <v>14.760600000000004</v>
      </c>
      <c r="Q1070" s="5">
        <f t="shared" si="66"/>
        <v>238.50780000000003</v>
      </c>
      <c r="R1070" s="5"/>
      <c r="S1070" s="6"/>
    </row>
    <row r="1071" spans="1:19" ht="15" customHeight="1">
      <c r="A1071" s="3">
        <f t="shared" si="44"/>
        <v>2049</v>
      </c>
      <c r="B1071" s="8">
        <f t="shared" ref="B1071:J1071" si="67">AVERAGE(B413:B424)</f>
        <v>9.966524999999999</v>
      </c>
      <c r="C1071" s="8">
        <f t="shared" si="67"/>
        <v>9.9769499999999987</v>
      </c>
      <c r="D1071" s="8">
        <f t="shared" si="67"/>
        <v>9.9703166666666672</v>
      </c>
      <c r="E1071" s="8">
        <f t="shared" si="67"/>
        <v>9.971441666666669</v>
      </c>
      <c r="F1071" s="4">
        <f t="shared" si="67"/>
        <v>10.970591666666666</v>
      </c>
      <c r="G1071" s="8">
        <f t="shared" si="67"/>
        <v>9.7147249999999996</v>
      </c>
      <c r="H1071" s="4">
        <f t="shared" si="67"/>
        <v>10.617583333333332</v>
      </c>
      <c r="I1071" s="8">
        <f t="shared" si="67"/>
        <v>9.6137666666666668</v>
      </c>
      <c r="J1071" s="4">
        <f t="shared" si="67"/>
        <v>9.5451583333333314</v>
      </c>
      <c r="K1071" s="7"/>
      <c r="L1071" s="5">
        <f t="shared" ref="L1071:Q1071" si="68">SUM(L413:L424)</f>
        <v>336.06969999999995</v>
      </c>
      <c r="M1071" s="5">
        <f t="shared" si="68"/>
        <v>142.0401</v>
      </c>
      <c r="N1071" s="5">
        <f t="shared" si="68"/>
        <v>58.217499999999994</v>
      </c>
      <c r="O1071" s="5">
        <f t="shared" si="68"/>
        <v>4.4104999999999999</v>
      </c>
      <c r="P1071" s="5">
        <f t="shared" si="68"/>
        <v>14.718800000000003</v>
      </c>
      <c r="Q1071" s="5">
        <f t="shared" si="68"/>
        <v>237.08969999999999</v>
      </c>
      <c r="R1071" s="5"/>
      <c r="S1071" s="6"/>
    </row>
    <row r="1072" spans="1:19" ht="15" customHeight="1">
      <c r="A1072" s="3">
        <f t="shared" si="44"/>
        <v>2050</v>
      </c>
      <c r="B1072" s="8">
        <f t="shared" ref="B1072:J1072" si="69">AVERAGE(B425:B436)</f>
        <v>10.292241666666667</v>
      </c>
      <c r="C1072" s="8">
        <f t="shared" si="69"/>
        <v>10.302666666666665</v>
      </c>
      <c r="D1072" s="8">
        <f t="shared" si="69"/>
        <v>10.296033333333332</v>
      </c>
      <c r="E1072" s="8">
        <f t="shared" si="69"/>
        <v>10.297149999999998</v>
      </c>
      <c r="F1072" s="4">
        <f t="shared" si="69"/>
        <v>11.296291666666667</v>
      </c>
      <c r="G1072" s="8">
        <f t="shared" si="69"/>
        <v>10.032216666666667</v>
      </c>
      <c r="H1072" s="4">
        <f t="shared" si="69"/>
        <v>10.935058333333332</v>
      </c>
      <c r="I1072" s="8">
        <f t="shared" si="69"/>
        <v>9.9260083333333338</v>
      </c>
      <c r="J1072" s="4">
        <f t="shared" si="69"/>
        <v>9.8572666666666677</v>
      </c>
      <c r="K1072" s="7"/>
      <c r="L1072" s="5">
        <f t="shared" ref="L1072:Q1072" si="70">SUM(L425:L436)</f>
        <v>336.06969999999995</v>
      </c>
      <c r="M1072" s="5">
        <f t="shared" si="70"/>
        <v>142.0401</v>
      </c>
      <c r="N1072" s="5">
        <f t="shared" si="70"/>
        <v>58.217499999999994</v>
      </c>
      <c r="O1072" s="5">
        <f t="shared" si="70"/>
        <v>4.4104999999999999</v>
      </c>
      <c r="P1072" s="5">
        <f t="shared" si="70"/>
        <v>14.718800000000003</v>
      </c>
      <c r="Q1072" s="5">
        <f t="shared" si="70"/>
        <v>236.32320000000004</v>
      </c>
      <c r="R1072" s="5"/>
      <c r="S1072" s="6"/>
    </row>
    <row r="1073" spans="1:19" ht="15" customHeight="1">
      <c r="A1073" s="3">
        <f t="shared" si="44"/>
        <v>2051</v>
      </c>
      <c r="B1073" s="8">
        <f t="shared" ref="B1073:J1073" si="71">AVERAGE(B437:B448)</f>
        <v>10.628575</v>
      </c>
      <c r="C1073" s="8">
        <f t="shared" si="71"/>
        <v>10.639033333333332</v>
      </c>
      <c r="D1073" s="8">
        <f t="shared" si="71"/>
        <v>10.632408333333334</v>
      </c>
      <c r="E1073" s="8">
        <f t="shared" si="71"/>
        <v>10.633516666666667</v>
      </c>
      <c r="F1073" s="4">
        <f t="shared" si="71"/>
        <v>11.632683333333333</v>
      </c>
      <c r="G1073" s="8">
        <f t="shared" si="71"/>
        <v>10.360108333333333</v>
      </c>
      <c r="H1073" s="4">
        <f t="shared" si="71"/>
        <v>11.262950000000002</v>
      </c>
      <c r="I1073" s="8">
        <f t="shared" si="71"/>
        <v>10.248483333333334</v>
      </c>
      <c r="J1073" s="4">
        <f t="shared" si="71"/>
        <v>10.179558333333334</v>
      </c>
      <c r="K1073" s="7"/>
      <c r="L1073" s="5">
        <f t="shared" ref="L1073:Q1073" si="72">SUM(L437:L448)</f>
        <v>336.06969999999995</v>
      </c>
      <c r="M1073" s="5">
        <f t="shared" si="72"/>
        <v>142.0401</v>
      </c>
      <c r="N1073" s="5">
        <f t="shared" si="72"/>
        <v>58.217499999999994</v>
      </c>
      <c r="O1073" s="5">
        <f t="shared" si="72"/>
        <v>4.4104999999999999</v>
      </c>
      <c r="P1073" s="5">
        <f t="shared" si="72"/>
        <v>14.718800000000003</v>
      </c>
      <c r="Q1073" s="5">
        <f t="shared" si="72"/>
        <v>235.57820000000007</v>
      </c>
      <c r="R1073" s="5"/>
      <c r="S1073" s="6"/>
    </row>
    <row r="1074" spans="1:19" ht="15" customHeight="1">
      <c r="A1074" s="3">
        <f t="shared" si="44"/>
        <v>2052</v>
      </c>
      <c r="B1074" s="8">
        <f t="shared" ref="B1074:J1074" si="73">AVERAGE(B449:B460)</f>
        <v>10.975949999999999</v>
      </c>
      <c r="C1074" s="8">
        <f t="shared" si="73"/>
        <v>10.986400000000001</v>
      </c>
      <c r="D1074" s="8">
        <f t="shared" si="73"/>
        <v>10.979758333333331</v>
      </c>
      <c r="E1074" s="8">
        <f t="shared" si="73"/>
        <v>10.980891666666666</v>
      </c>
      <c r="F1074" s="4">
        <f t="shared" si="73"/>
        <v>11.980033333333333</v>
      </c>
      <c r="G1074" s="8">
        <f t="shared" si="73"/>
        <v>10.698708333333334</v>
      </c>
      <c r="H1074" s="4">
        <f t="shared" si="73"/>
        <v>11.601549999999998</v>
      </c>
      <c r="I1074" s="8">
        <f t="shared" si="73"/>
        <v>10.5815</v>
      </c>
      <c r="J1074" s="4">
        <f t="shared" si="73"/>
        <v>10.512416666666667</v>
      </c>
      <c r="K1074" s="7"/>
      <c r="L1074" s="5">
        <f t="shared" ref="L1074:Q1074" si="74">SUM(L449:L460)</f>
        <v>336.95349999999996</v>
      </c>
      <c r="M1074" s="5">
        <f t="shared" si="74"/>
        <v>142.42920000000001</v>
      </c>
      <c r="N1074" s="5">
        <f t="shared" si="74"/>
        <v>58.377000000000002</v>
      </c>
      <c r="O1074" s="5">
        <f t="shared" si="74"/>
        <v>4.4226000000000001</v>
      </c>
      <c r="P1074" s="5">
        <f t="shared" si="74"/>
        <v>14.760600000000004</v>
      </c>
      <c r="Q1074" s="5">
        <f t="shared" si="74"/>
        <v>235.45500000000004</v>
      </c>
      <c r="R1074" s="5"/>
      <c r="S1074" s="6"/>
    </row>
    <row r="1075" spans="1:19" ht="15" customHeight="1">
      <c r="A1075" s="3">
        <f t="shared" si="44"/>
        <v>2053</v>
      </c>
      <c r="B1075" s="8">
        <f t="shared" ref="B1075:J1075" si="75">AVERAGE(B461:B472)</f>
        <v>11.334683333333333</v>
      </c>
      <c r="C1075" s="8">
        <f t="shared" si="75"/>
        <v>11.345116666666668</v>
      </c>
      <c r="D1075" s="8">
        <f t="shared" si="75"/>
        <v>11.338475000000001</v>
      </c>
      <c r="E1075" s="8">
        <f t="shared" si="75"/>
        <v>11.339591666666665</v>
      </c>
      <c r="F1075" s="4">
        <f t="shared" si="75"/>
        <v>12.338749999999999</v>
      </c>
      <c r="G1075" s="8">
        <f t="shared" si="75"/>
        <v>11.048383333333334</v>
      </c>
      <c r="H1075" s="4">
        <f t="shared" si="75"/>
        <v>11.951224999999999</v>
      </c>
      <c r="I1075" s="8">
        <f t="shared" si="75"/>
        <v>10.925383333333334</v>
      </c>
      <c r="J1075" s="4">
        <f t="shared" si="75"/>
        <v>10.856141666666666</v>
      </c>
      <c r="K1075" s="7"/>
      <c r="L1075" s="5">
        <f t="shared" ref="L1075:Q1075" si="76">SUM(L461:L472)</f>
        <v>336.06969999999995</v>
      </c>
      <c r="M1075" s="5">
        <f t="shared" si="76"/>
        <v>142.0401</v>
      </c>
      <c r="N1075" s="5">
        <f t="shared" si="76"/>
        <v>58.217499999999994</v>
      </c>
      <c r="O1075" s="5">
        <f t="shared" si="76"/>
        <v>4.4104999999999999</v>
      </c>
      <c r="P1075" s="5">
        <f t="shared" si="76"/>
        <v>14.718800000000003</v>
      </c>
      <c r="Q1075" s="5">
        <f t="shared" si="76"/>
        <v>234.04520000000002</v>
      </c>
      <c r="R1075" s="5"/>
      <c r="S1075" s="6"/>
    </row>
    <row r="1076" spans="1:19" ht="15" customHeight="1">
      <c r="A1076" s="3">
        <f t="shared" si="44"/>
        <v>2054</v>
      </c>
      <c r="B1076" s="8">
        <f t="shared" ref="B1076:J1076" si="77">AVERAGE(B473:B484)</f>
        <v>11.705125000000001</v>
      </c>
      <c r="C1076" s="8">
        <f t="shared" si="77"/>
        <v>11.715566666666668</v>
      </c>
      <c r="D1076" s="8">
        <f t="shared" si="77"/>
        <v>11.708933333333334</v>
      </c>
      <c r="E1076" s="8">
        <f t="shared" si="77"/>
        <v>11.710050000000001</v>
      </c>
      <c r="F1076" s="4">
        <f t="shared" si="77"/>
        <v>12.709216666666668</v>
      </c>
      <c r="G1076" s="8">
        <f t="shared" si="77"/>
        <v>11.409483333333334</v>
      </c>
      <c r="H1076" s="4">
        <f t="shared" si="77"/>
        <v>12.312341666666669</v>
      </c>
      <c r="I1076" s="8">
        <f t="shared" si="77"/>
        <v>11.280533333333333</v>
      </c>
      <c r="J1076" s="4">
        <f t="shared" si="77"/>
        <v>11.211091666666666</v>
      </c>
      <c r="K1076" s="7"/>
      <c r="L1076" s="5">
        <f t="shared" ref="L1076:Q1076" si="78">SUM(L473:L484)</f>
        <v>336.06969999999995</v>
      </c>
      <c r="M1076" s="5">
        <f t="shared" si="78"/>
        <v>142.0401</v>
      </c>
      <c r="N1076" s="5">
        <f t="shared" si="78"/>
        <v>58.217499999999994</v>
      </c>
      <c r="O1076" s="5">
        <f t="shared" si="78"/>
        <v>4.4104999999999999</v>
      </c>
      <c r="P1076" s="5">
        <f t="shared" si="78"/>
        <v>14.718800000000003</v>
      </c>
      <c r="Q1076" s="5">
        <f t="shared" si="78"/>
        <v>233.30079999999998</v>
      </c>
      <c r="R1076" s="5"/>
      <c r="S1076" s="6"/>
    </row>
    <row r="1077" spans="1:19" ht="15" customHeight="1">
      <c r="A1077" s="3">
        <f t="shared" si="44"/>
        <v>2055</v>
      </c>
      <c r="B1077" s="8">
        <f t="shared" ref="B1077:J1077" si="79">AVERAGE(B485:B496)</f>
        <v>12.087708333333332</v>
      </c>
      <c r="C1077" s="8">
        <f t="shared" si="79"/>
        <v>12.098133333333331</v>
      </c>
      <c r="D1077" s="8">
        <f t="shared" si="79"/>
        <v>12.091524999999999</v>
      </c>
      <c r="E1077" s="8">
        <f t="shared" si="79"/>
        <v>12.092625</v>
      </c>
      <c r="F1077" s="4">
        <f t="shared" si="79"/>
        <v>13.091791666666666</v>
      </c>
      <c r="G1077" s="8">
        <f t="shared" si="79"/>
        <v>11.782408333333331</v>
      </c>
      <c r="H1077" s="4">
        <f t="shared" si="79"/>
        <v>12.685258333333332</v>
      </c>
      <c r="I1077" s="8">
        <f t="shared" si="79"/>
        <v>11.647308333333333</v>
      </c>
      <c r="J1077" s="4">
        <f t="shared" si="79"/>
        <v>11.577691666666668</v>
      </c>
      <c r="K1077" s="7"/>
      <c r="L1077" s="5">
        <f t="shared" ref="L1077:Q1077" si="80">SUM(L485:L496)</f>
        <v>336.06969999999995</v>
      </c>
      <c r="M1077" s="5">
        <f t="shared" si="80"/>
        <v>142.0401</v>
      </c>
      <c r="N1077" s="5">
        <f t="shared" si="80"/>
        <v>58.217499999999994</v>
      </c>
      <c r="O1077" s="5">
        <f t="shared" si="80"/>
        <v>4.4104999999999999</v>
      </c>
      <c r="P1077" s="5">
        <f t="shared" si="80"/>
        <v>14.718800000000003</v>
      </c>
      <c r="Q1077" s="5">
        <f t="shared" si="80"/>
        <v>232.55579999999998</v>
      </c>
      <c r="R1077" s="5"/>
      <c r="S1077" s="6"/>
    </row>
    <row r="1078" spans="1:19" ht="15" customHeight="1">
      <c r="A1078" s="3">
        <f t="shared" si="44"/>
        <v>2056</v>
      </c>
      <c r="B1078" s="8">
        <f t="shared" ref="B1078:J1078" si="81">AVERAGE(B497:B508)</f>
        <v>12.482791666666666</v>
      </c>
      <c r="C1078" s="8">
        <f t="shared" si="81"/>
        <v>12.493225000000001</v>
      </c>
      <c r="D1078" s="8">
        <f t="shared" si="81"/>
        <v>12.486591666666664</v>
      </c>
      <c r="E1078" s="8">
        <f t="shared" si="81"/>
        <v>12.487708333333336</v>
      </c>
      <c r="F1078" s="4">
        <f t="shared" si="81"/>
        <v>13.486883333333333</v>
      </c>
      <c r="G1078" s="8">
        <f t="shared" si="81"/>
        <v>12.167525000000003</v>
      </c>
      <c r="H1078" s="4">
        <f t="shared" si="81"/>
        <v>13.070366666666667</v>
      </c>
      <c r="I1078" s="8">
        <f t="shared" si="81"/>
        <v>12.026066666666667</v>
      </c>
      <c r="J1078" s="4">
        <f t="shared" si="81"/>
        <v>11.956250000000002</v>
      </c>
      <c r="K1078" s="7"/>
      <c r="L1078" s="5">
        <f t="shared" ref="L1078:Q1078" si="82">SUM(L497:L508)</f>
        <v>336.95349999999996</v>
      </c>
      <c r="M1078" s="5">
        <f t="shared" si="82"/>
        <v>142.42920000000001</v>
      </c>
      <c r="N1078" s="5">
        <f t="shared" si="82"/>
        <v>58.377000000000002</v>
      </c>
      <c r="O1078" s="5">
        <f t="shared" si="82"/>
        <v>4.4226000000000001</v>
      </c>
      <c r="P1078" s="5">
        <f t="shared" si="82"/>
        <v>14.760600000000004</v>
      </c>
      <c r="Q1078" s="5">
        <f t="shared" si="82"/>
        <v>232.44659999999996</v>
      </c>
      <c r="R1078" s="5"/>
      <c r="S1078" s="6"/>
    </row>
    <row r="1079" spans="1:19" ht="15" customHeight="1">
      <c r="A1079" s="3">
        <f t="shared" si="44"/>
        <v>2057</v>
      </c>
      <c r="B1079" s="8">
        <f t="shared" ref="B1079:J1079" si="83">AVERAGE(B509:B520)</f>
        <v>12.890791666666667</v>
      </c>
      <c r="C1079" s="8">
        <f t="shared" si="83"/>
        <v>12.90123333333333</v>
      </c>
      <c r="D1079" s="8">
        <f t="shared" si="83"/>
        <v>12.894608333333332</v>
      </c>
      <c r="E1079" s="8">
        <f t="shared" si="83"/>
        <v>12.895725000000001</v>
      </c>
      <c r="F1079" s="4">
        <f t="shared" si="83"/>
        <v>13.894874999999999</v>
      </c>
      <c r="G1079" s="8">
        <f t="shared" si="83"/>
        <v>12.565233333333332</v>
      </c>
      <c r="H1079" s="4">
        <f t="shared" si="83"/>
        <v>13.468091666666668</v>
      </c>
      <c r="I1079" s="8">
        <f t="shared" si="83"/>
        <v>12.417200000000001</v>
      </c>
      <c r="J1079" s="4">
        <f t="shared" si="83"/>
        <v>12.347191666666665</v>
      </c>
      <c r="K1079" s="7"/>
      <c r="L1079" s="5">
        <f t="shared" ref="L1079:Q1079" si="84">SUM(L509:L520)</f>
        <v>336.06969999999995</v>
      </c>
      <c r="M1079" s="5">
        <f t="shared" si="84"/>
        <v>142.0401</v>
      </c>
      <c r="N1079" s="5">
        <f t="shared" si="84"/>
        <v>58.217499999999994</v>
      </c>
      <c r="O1079" s="5">
        <f t="shared" si="84"/>
        <v>4.4104999999999999</v>
      </c>
      <c r="P1079" s="5">
        <f t="shared" si="84"/>
        <v>14.718800000000003</v>
      </c>
      <c r="Q1079" s="5">
        <f t="shared" si="84"/>
        <v>231.81149999999997</v>
      </c>
      <c r="R1079" s="5"/>
      <c r="S1079" s="6"/>
    </row>
    <row r="1080" spans="1:19" ht="15" customHeight="1">
      <c r="A1080" s="3">
        <f t="shared" si="44"/>
        <v>2058</v>
      </c>
      <c r="B1080" s="8">
        <f t="shared" ref="B1080:J1080" si="85">AVERAGE(B521:B532)</f>
        <v>13.312141666666667</v>
      </c>
      <c r="C1080" s="8">
        <f t="shared" si="85"/>
        <v>13.322566666666667</v>
      </c>
      <c r="D1080" s="8">
        <f t="shared" si="85"/>
        <v>13.315949999999999</v>
      </c>
      <c r="E1080" s="8">
        <f t="shared" si="85"/>
        <v>13.317066666666664</v>
      </c>
      <c r="F1080" s="4">
        <f t="shared" si="85"/>
        <v>14.316208333333334</v>
      </c>
      <c r="G1080" s="8">
        <f t="shared" si="85"/>
        <v>12.975958333333333</v>
      </c>
      <c r="H1080" s="4">
        <f t="shared" si="85"/>
        <v>13.878808333333337</v>
      </c>
      <c r="I1080" s="8">
        <f t="shared" si="85"/>
        <v>12.821150000000001</v>
      </c>
      <c r="J1080" s="4">
        <f t="shared" si="85"/>
        <v>12.750958333333331</v>
      </c>
      <c r="K1080" s="7"/>
      <c r="L1080" s="5">
        <f t="shared" ref="L1080:Q1080" si="86">SUM(L521:L532)</f>
        <v>336.06969999999995</v>
      </c>
      <c r="M1080" s="5">
        <f t="shared" si="86"/>
        <v>142.0401</v>
      </c>
      <c r="N1080" s="5">
        <f t="shared" si="86"/>
        <v>58.217499999999994</v>
      </c>
      <c r="O1080" s="5">
        <f t="shared" si="86"/>
        <v>4.4104999999999999</v>
      </c>
      <c r="P1080" s="5">
        <f t="shared" si="86"/>
        <v>14.718800000000003</v>
      </c>
      <c r="Q1080" s="5">
        <f t="shared" si="86"/>
        <v>231.81149999999997</v>
      </c>
      <c r="R1080" s="5"/>
      <c r="S1080" s="6"/>
    </row>
    <row r="1081" spans="1:19" ht="15" customHeight="1">
      <c r="A1081" s="3">
        <f t="shared" si="44"/>
        <v>2059</v>
      </c>
      <c r="B1081" s="8">
        <f t="shared" ref="B1081:J1081" si="87">AVERAGE(B533:B544)</f>
        <v>13.747258333333329</v>
      </c>
      <c r="C1081" s="8">
        <f t="shared" si="87"/>
        <v>13.757716666666667</v>
      </c>
      <c r="D1081" s="8">
        <f t="shared" si="87"/>
        <v>13.751058333333333</v>
      </c>
      <c r="E1081" s="8">
        <f t="shared" si="87"/>
        <v>13.752183333333333</v>
      </c>
      <c r="F1081" s="4">
        <f t="shared" si="87"/>
        <v>14.751333333333333</v>
      </c>
      <c r="G1081" s="8">
        <f t="shared" si="87"/>
        <v>13.4001</v>
      </c>
      <c r="H1081" s="4">
        <f t="shared" si="87"/>
        <v>14.302941666666667</v>
      </c>
      <c r="I1081" s="8">
        <f t="shared" si="87"/>
        <v>13.238291666666663</v>
      </c>
      <c r="J1081" s="4">
        <f t="shared" si="87"/>
        <v>13.167875000000002</v>
      </c>
      <c r="K1081" s="4"/>
      <c r="L1081" s="5">
        <f>SUM(L533:L544)</f>
        <v>336.06969999999995</v>
      </c>
      <c r="M1081" s="5">
        <f>SUM(M533:M544)</f>
        <v>142.0401</v>
      </c>
      <c r="N1081" s="5">
        <f>SUM(N533:N544)</f>
        <v>58.217499999999994</v>
      </c>
      <c r="O1081" s="5">
        <f>SUM(O522:O533)</f>
        <v>4.4104999999999999</v>
      </c>
      <c r="P1081" s="5">
        <f>SUM(P533:P544)</f>
        <v>14.718800000000003</v>
      </c>
      <c r="Q1081" s="5">
        <f>SUM(Q533:Q544)</f>
        <v>231.81149999999997</v>
      </c>
      <c r="R1081" s="5"/>
      <c r="S1081" s="4"/>
    </row>
    <row r="1082" spans="1:19" ht="15" customHeight="1">
      <c r="A1082" s="3">
        <f t="shared" si="44"/>
        <v>2060</v>
      </c>
      <c r="B1082" s="8">
        <f t="shared" ref="B1082:J1082" si="88">AVERAGE(B545:B556)</f>
        <v>14.196624999999999</v>
      </c>
      <c r="C1082" s="8">
        <f t="shared" si="88"/>
        <v>14.207066666666668</v>
      </c>
      <c r="D1082" s="8">
        <f t="shared" si="88"/>
        <v>14.200425000000001</v>
      </c>
      <c r="E1082" s="8">
        <f t="shared" si="88"/>
        <v>14.201550000000003</v>
      </c>
      <c r="F1082" s="4">
        <f t="shared" si="88"/>
        <v>15.200708333333331</v>
      </c>
      <c r="G1082" s="8">
        <f t="shared" si="88"/>
        <v>13.83811666666667</v>
      </c>
      <c r="H1082" s="4">
        <f t="shared" si="88"/>
        <v>14.740958333333333</v>
      </c>
      <c r="I1082" s="8">
        <f t="shared" si="88"/>
        <v>13.669083333333335</v>
      </c>
      <c r="J1082" s="4">
        <f t="shared" si="88"/>
        <v>13.59845</v>
      </c>
      <c r="K1082" s="7"/>
      <c r="L1082" s="5">
        <f>SUM(L545:L556)</f>
        <v>336.95349999999996</v>
      </c>
      <c r="M1082" s="5">
        <f>SUM(M545:M556)</f>
        <v>142.42920000000001</v>
      </c>
      <c r="N1082" s="5">
        <f>SUM(N545:N556)</f>
        <v>58.377000000000002</v>
      </c>
      <c r="O1082" s="5">
        <f>SUM(O523:O534)</f>
        <v>4.4104999999999999</v>
      </c>
      <c r="P1082" s="5">
        <f>SUM(P545:P556)</f>
        <v>14.760600000000004</v>
      </c>
      <c r="Q1082" s="5">
        <f>SUM(Q545:Q556)</f>
        <v>232.44659999999996</v>
      </c>
      <c r="R1082" s="5"/>
      <c r="S1082" s="6"/>
    </row>
    <row r="1083" spans="1:19" ht="15" customHeight="1">
      <c r="A1083" s="3">
        <f t="shared" si="44"/>
        <v>2061</v>
      </c>
      <c r="B1083" s="8">
        <f t="shared" ref="B1083:J1083" si="89">AVERAGE(B557:B568)</f>
        <v>14.660683333333337</v>
      </c>
      <c r="C1083" s="8">
        <f t="shared" si="89"/>
        <v>14.671108333333335</v>
      </c>
      <c r="D1083" s="8">
        <f t="shared" si="89"/>
        <v>14.664483333333337</v>
      </c>
      <c r="E1083" s="8">
        <f t="shared" si="89"/>
        <v>14.665600000000003</v>
      </c>
      <c r="F1083" s="4">
        <f t="shared" si="89"/>
        <v>15.664766666666665</v>
      </c>
      <c r="G1083" s="8">
        <f t="shared" si="89"/>
        <v>14.290474999999999</v>
      </c>
      <c r="H1083" s="4">
        <f t="shared" si="89"/>
        <v>15.193325000000002</v>
      </c>
      <c r="I1083" s="8">
        <f t="shared" si="89"/>
        <v>14.113958333333334</v>
      </c>
      <c r="J1083" s="4">
        <f t="shared" si="89"/>
        <v>14.043108333333331</v>
      </c>
      <c r="K1083" s="7"/>
      <c r="L1083" s="5">
        <f>SUM(L557:L568)</f>
        <v>336.06969999999995</v>
      </c>
      <c r="M1083" s="5">
        <f>SUM(M557:M568)</f>
        <v>142.0401</v>
      </c>
      <c r="N1083" s="5">
        <f>SUM(N557:N568)</f>
        <v>58.217499999999994</v>
      </c>
      <c r="O1083" s="5">
        <f>SUM(O524:O535)</f>
        <v>4.4104999999999999</v>
      </c>
      <c r="P1083" s="5">
        <f>SUM(P557:P568)</f>
        <v>14.718800000000003</v>
      </c>
      <c r="Q1083" s="5">
        <f>SUM(Q557:Q568)</f>
        <v>231.81149999999997</v>
      </c>
      <c r="R1083" s="5"/>
      <c r="S1083" s="6"/>
    </row>
    <row r="1084" spans="1:19" ht="15" customHeight="1">
      <c r="A1084" s="3">
        <f t="shared" si="44"/>
        <v>2062</v>
      </c>
      <c r="B1084" s="4">
        <f t="shared" ref="B1084:J1093" ca="1" si="90">AVERAGE(OFFSET(B$569,($A1084-$A$1084)*12,0,12,1))</f>
        <v>15.139908333333329</v>
      </c>
      <c r="C1084" s="4">
        <f t="shared" ca="1" si="90"/>
        <v>15.150350000000001</v>
      </c>
      <c r="D1084" s="4">
        <f t="shared" ca="1" si="90"/>
        <v>15.143708333333331</v>
      </c>
      <c r="E1084" s="4">
        <f t="shared" ca="1" si="90"/>
        <v>15.144824999999999</v>
      </c>
      <c r="F1084" s="4">
        <f t="shared" ca="1" si="90"/>
        <v>16.143983333333335</v>
      </c>
      <c r="G1084" s="4">
        <f t="shared" ca="1" si="90"/>
        <v>14.757608333333332</v>
      </c>
      <c r="H1084" s="4">
        <f t="shared" ca="1" si="90"/>
        <v>15.660458333333333</v>
      </c>
      <c r="I1084" s="4">
        <f t="shared" ca="1" si="90"/>
        <v>14.573374999999999</v>
      </c>
      <c r="J1084" s="4">
        <f t="shared" ca="1" si="90"/>
        <v>14.502316666666665</v>
      </c>
      <c r="K1084" s="4"/>
      <c r="L1084" s="5">
        <f t="shared" ref="L1084:Q1093" ca="1" si="91">SUM(OFFSET(L$569,($A1084-$A$1084)*12,0,12,1))</f>
        <v>336.06969999999995</v>
      </c>
      <c r="M1084" s="5">
        <f t="shared" ca="1" si="91"/>
        <v>142.0401</v>
      </c>
      <c r="N1084" s="5">
        <f t="shared" ca="1" si="91"/>
        <v>58.217499999999994</v>
      </c>
      <c r="O1084" s="5">
        <f t="shared" ca="1" si="91"/>
        <v>4.4104999999999999</v>
      </c>
      <c r="P1084" s="5">
        <f t="shared" ca="1" si="91"/>
        <v>14.718800000000003</v>
      </c>
      <c r="Q1084" s="5">
        <f t="shared" ca="1" si="91"/>
        <v>231.81149999999997</v>
      </c>
      <c r="R1084" s="4"/>
      <c r="S1084" s="4"/>
    </row>
    <row r="1085" spans="1:19" ht="15" customHeight="1">
      <c r="A1085" s="3">
        <f t="shared" si="44"/>
        <v>2063</v>
      </c>
      <c r="B1085" s="4">
        <f t="shared" ca="1" si="90"/>
        <v>15.634808333333334</v>
      </c>
      <c r="C1085" s="4">
        <f t="shared" ca="1" si="90"/>
        <v>15.645241666666669</v>
      </c>
      <c r="D1085" s="4">
        <f t="shared" ca="1" si="90"/>
        <v>15.638624999999999</v>
      </c>
      <c r="E1085" s="4">
        <f t="shared" ca="1" si="90"/>
        <v>15.639733333333334</v>
      </c>
      <c r="F1085" s="4">
        <f t="shared" ca="1" si="90"/>
        <v>16.638891666666666</v>
      </c>
      <c r="G1085" s="4">
        <f t="shared" ca="1" si="90"/>
        <v>15.240025000000001</v>
      </c>
      <c r="H1085" s="4">
        <f t="shared" ca="1" si="90"/>
        <v>16.142866666666666</v>
      </c>
      <c r="I1085" s="4">
        <f t="shared" ca="1" si="90"/>
        <v>15.047841666666665</v>
      </c>
      <c r="J1085" s="4">
        <f t="shared" ca="1" si="90"/>
        <v>14.976525000000001</v>
      </c>
      <c r="K1085" s="4"/>
      <c r="L1085" s="5">
        <f t="shared" ca="1" si="91"/>
        <v>336.06969999999995</v>
      </c>
      <c r="M1085" s="5">
        <f t="shared" ca="1" si="91"/>
        <v>142.0401</v>
      </c>
      <c r="N1085" s="5">
        <f t="shared" ca="1" si="91"/>
        <v>58.217499999999994</v>
      </c>
      <c r="O1085" s="5">
        <f t="shared" ca="1" si="91"/>
        <v>4.4104999999999999</v>
      </c>
      <c r="P1085" s="5">
        <f t="shared" ca="1" si="91"/>
        <v>14.718800000000003</v>
      </c>
      <c r="Q1085" s="5">
        <f t="shared" ca="1" si="91"/>
        <v>231.81149999999997</v>
      </c>
      <c r="R1085" s="4"/>
      <c r="S1085" s="4"/>
    </row>
    <row r="1086" spans="1:19" ht="15" customHeight="1">
      <c r="A1086" s="3">
        <f t="shared" si="44"/>
        <v>2064</v>
      </c>
      <c r="B1086" s="4">
        <f t="shared" ca="1" si="90"/>
        <v>16.145900000000001</v>
      </c>
      <c r="C1086" s="4">
        <f t="shared" ca="1" si="90"/>
        <v>16.15634166666667</v>
      </c>
      <c r="D1086" s="4">
        <f t="shared" ca="1" si="90"/>
        <v>16.149699999999999</v>
      </c>
      <c r="E1086" s="4">
        <f t="shared" ca="1" si="90"/>
        <v>16.150825000000001</v>
      </c>
      <c r="F1086" s="4">
        <f t="shared" ca="1" si="90"/>
        <v>17.149983333333335</v>
      </c>
      <c r="G1086" s="4">
        <f t="shared" ca="1" si="90"/>
        <v>15.738216666666666</v>
      </c>
      <c r="H1086" s="4">
        <f t="shared" ca="1" si="90"/>
        <v>16.641066666666664</v>
      </c>
      <c r="I1086" s="4">
        <f t="shared" ca="1" si="90"/>
        <v>15.537808333333336</v>
      </c>
      <c r="J1086" s="4">
        <f t="shared" ca="1" si="90"/>
        <v>15.466241666666667</v>
      </c>
      <c r="K1086" s="4"/>
      <c r="L1086" s="5">
        <f t="shared" ca="1" si="91"/>
        <v>336.95349999999996</v>
      </c>
      <c r="M1086" s="5">
        <f t="shared" ca="1" si="91"/>
        <v>142.42920000000001</v>
      </c>
      <c r="N1086" s="5">
        <f t="shared" ca="1" si="91"/>
        <v>58.377000000000002</v>
      </c>
      <c r="O1086" s="5">
        <f t="shared" ca="1" si="91"/>
        <v>4.4226000000000001</v>
      </c>
      <c r="P1086" s="5">
        <f t="shared" ca="1" si="91"/>
        <v>14.760600000000004</v>
      </c>
      <c r="Q1086" s="5">
        <f t="shared" ca="1" si="91"/>
        <v>232.44659999999996</v>
      </c>
      <c r="R1086" s="4"/>
      <c r="S1086" s="4"/>
    </row>
    <row r="1087" spans="1:19" ht="15" customHeight="1">
      <c r="A1087" s="3">
        <f t="shared" si="44"/>
        <v>2065</v>
      </c>
      <c r="B1087" s="4">
        <f t="shared" ca="1" si="90"/>
        <v>16.6737</v>
      </c>
      <c r="C1087" s="4">
        <f t="shared" ca="1" si="90"/>
        <v>16.684133333333335</v>
      </c>
      <c r="D1087" s="4">
        <f t="shared" ca="1" si="90"/>
        <v>16.677491666666665</v>
      </c>
      <c r="E1087" s="4">
        <f t="shared" ca="1" si="90"/>
        <v>16.678616666666667</v>
      </c>
      <c r="F1087" s="4">
        <f t="shared" ca="1" si="90"/>
        <v>17.677775000000004</v>
      </c>
      <c r="G1087" s="4">
        <f t="shared" ca="1" si="90"/>
        <v>16.252708333333331</v>
      </c>
      <c r="H1087" s="4">
        <f t="shared" ca="1" si="90"/>
        <v>17.155558333333335</v>
      </c>
      <c r="I1087" s="4">
        <f t="shared" ca="1" si="90"/>
        <v>16.043800000000001</v>
      </c>
      <c r="J1087" s="4">
        <f t="shared" ca="1" si="90"/>
        <v>15.971991666666666</v>
      </c>
      <c r="K1087" s="4"/>
      <c r="L1087" s="5">
        <f t="shared" ca="1" si="91"/>
        <v>336.06969999999995</v>
      </c>
      <c r="M1087" s="5">
        <f t="shared" ca="1" si="91"/>
        <v>142.0401</v>
      </c>
      <c r="N1087" s="5">
        <f t="shared" ca="1" si="91"/>
        <v>58.217499999999994</v>
      </c>
      <c r="O1087" s="5">
        <f t="shared" ca="1" si="91"/>
        <v>4.4104999999999999</v>
      </c>
      <c r="P1087" s="5">
        <f t="shared" ca="1" si="91"/>
        <v>14.718800000000003</v>
      </c>
      <c r="Q1087" s="5">
        <f t="shared" ca="1" si="91"/>
        <v>231.81149999999997</v>
      </c>
      <c r="R1087" s="4"/>
      <c r="S1087" s="4"/>
    </row>
    <row r="1088" spans="1:19" ht="15" customHeight="1">
      <c r="A1088" s="3">
        <f t="shared" si="44"/>
        <v>2066</v>
      </c>
      <c r="B1088" s="4">
        <f t="shared" ca="1" si="90"/>
        <v>17.218766666666671</v>
      </c>
      <c r="C1088" s="4">
        <f t="shared" ca="1" si="90"/>
        <v>17.229183333333335</v>
      </c>
      <c r="D1088" s="4">
        <f t="shared" ca="1" si="90"/>
        <v>17.222558333333335</v>
      </c>
      <c r="E1088" s="4">
        <f t="shared" ca="1" si="90"/>
        <v>17.223666666666666</v>
      </c>
      <c r="F1088" s="4">
        <f t="shared" ca="1" si="90"/>
        <v>18.222833333333334</v>
      </c>
      <c r="G1088" s="4">
        <f t="shared" ca="1" si="90"/>
        <v>16.784016666666663</v>
      </c>
      <c r="H1088" s="4">
        <f t="shared" ca="1" si="90"/>
        <v>17.68685833333333</v>
      </c>
      <c r="I1088" s="4">
        <f t="shared" ca="1" si="90"/>
        <v>16.56635</v>
      </c>
      <c r="J1088" s="4">
        <f t="shared" ca="1" si="90"/>
        <v>16.494249999999997</v>
      </c>
      <c r="K1088" s="4"/>
      <c r="L1088" s="5">
        <f t="shared" ca="1" si="91"/>
        <v>336.06969999999995</v>
      </c>
      <c r="M1088" s="5">
        <f t="shared" ca="1" si="91"/>
        <v>142.0401</v>
      </c>
      <c r="N1088" s="5">
        <f t="shared" ca="1" si="91"/>
        <v>58.217499999999994</v>
      </c>
      <c r="O1088" s="5">
        <f t="shared" ca="1" si="91"/>
        <v>4.4104999999999999</v>
      </c>
      <c r="P1088" s="5">
        <f t="shared" ca="1" si="91"/>
        <v>14.718800000000003</v>
      </c>
      <c r="Q1088" s="5">
        <f t="shared" ca="1" si="91"/>
        <v>231.81149999999997</v>
      </c>
      <c r="R1088" s="4"/>
      <c r="S1088" s="4"/>
    </row>
    <row r="1089" spans="1:19" ht="15" customHeight="1">
      <c r="A1089" s="3">
        <f t="shared" si="44"/>
        <v>2067</v>
      </c>
      <c r="B1089" s="4">
        <f t="shared" ca="1" si="90"/>
        <v>17.781641666666669</v>
      </c>
      <c r="C1089" s="4">
        <f t="shared" ca="1" si="90"/>
        <v>17.792091666666668</v>
      </c>
      <c r="D1089" s="4">
        <f t="shared" ca="1" si="90"/>
        <v>17.785450000000001</v>
      </c>
      <c r="E1089" s="4">
        <f t="shared" ca="1" si="90"/>
        <v>17.786574999999996</v>
      </c>
      <c r="F1089" s="4">
        <f t="shared" ca="1" si="90"/>
        <v>18.785708333333332</v>
      </c>
      <c r="G1089" s="4">
        <f t="shared" ca="1" si="90"/>
        <v>17.332708333333333</v>
      </c>
      <c r="H1089" s="4">
        <f t="shared" ca="1" si="90"/>
        <v>18.23555</v>
      </c>
      <c r="I1089" s="4">
        <f t="shared" ca="1" si="90"/>
        <v>17.105958333333334</v>
      </c>
      <c r="J1089" s="4">
        <f t="shared" ca="1" si="90"/>
        <v>17.033616666666667</v>
      </c>
      <c r="K1089" s="4"/>
      <c r="L1089" s="5">
        <f t="shared" ca="1" si="91"/>
        <v>336.06969999999995</v>
      </c>
      <c r="M1089" s="5">
        <f t="shared" ca="1" si="91"/>
        <v>142.0401</v>
      </c>
      <c r="N1089" s="5">
        <f t="shared" ca="1" si="91"/>
        <v>58.217499999999994</v>
      </c>
      <c r="O1089" s="5">
        <f t="shared" ca="1" si="91"/>
        <v>4.4104999999999999</v>
      </c>
      <c r="P1089" s="5">
        <f t="shared" ca="1" si="91"/>
        <v>14.718800000000003</v>
      </c>
      <c r="Q1089" s="5">
        <f t="shared" ca="1" si="91"/>
        <v>231.81149999999997</v>
      </c>
      <c r="R1089" s="4"/>
      <c r="S1089" s="4"/>
    </row>
    <row r="1090" spans="1:19" ht="15" customHeight="1">
      <c r="A1090" s="3">
        <f t="shared" si="44"/>
        <v>2068</v>
      </c>
      <c r="B1090" s="4">
        <f t="shared" ca="1" si="90"/>
        <v>18.362949999999998</v>
      </c>
      <c r="C1090" s="4">
        <f t="shared" ca="1" si="90"/>
        <v>18.373383333333333</v>
      </c>
      <c r="D1090" s="4">
        <f t="shared" ca="1" si="90"/>
        <v>18.366725000000002</v>
      </c>
      <c r="E1090" s="4">
        <f t="shared" ca="1" si="90"/>
        <v>18.367858333333331</v>
      </c>
      <c r="F1090" s="4">
        <f t="shared" ca="1" si="90"/>
        <v>19.367016666666668</v>
      </c>
      <c r="G1090" s="4">
        <f t="shared" ca="1" si="90"/>
        <v>17.899341666666672</v>
      </c>
      <c r="H1090" s="4">
        <f t="shared" ca="1" si="90"/>
        <v>18.802174999999998</v>
      </c>
      <c r="I1090" s="4">
        <f t="shared" ca="1" si="90"/>
        <v>17.663241666666668</v>
      </c>
      <c r="J1090" s="4">
        <f t="shared" ca="1" si="90"/>
        <v>17.590624999999999</v>
      </c>
      <c r="K1090" s="4"/>
      <c r="L1090" s="5">
        <f t="shared" ca="1" si="91"/>
        <v>336.95349999999996</v>
      </c>
      <c r="M1090" s="5">
        <f t="shared" ca="1" si="91"/>
        <v>142.42920000000001</v>
      </c>
      <c r="N1090" s="5">
        <f t="shared" ca="1" si="91"/>
        <v>58.377000000000002</v>
      </c>
      <c r="O1090" s="5">
        <f t="shared" ca="1" si="91"/>
        <v>4.4226000000000001</v>
      </c>
      <c r="P1090" s="5">
        <f t="shared" ca="1" si="91"/>
        <v>14.760600000000004</v>
      </c>
      <c r="Q1090" s="5">
        <f t="shared" ca="1" si="91"/>
        <v>232.44659999999996</v>
      </c>
      <c r="R1090" s="4"/>
      <c r="S1090" s="4"/>
    </row>
    <row r="1091" spans="1:19" ht="15" customHeight="1">
      <c r="A1091" s="3">
        <f t="shared" si="44"/>
        <v>2069</v>
      </c>
      <c r="B1091" s="4">
        <f t="shared" ca="1" si="90"/>
        <v>18.963258333333332</v>
      </c>
      <c r="C1091" s="4">
        <f t="shared" ca="1" si="90"/>
        <v>18.973683333333337</v>
      </c>
      <c r="D1091" s="4">
        <f t="shared" ca="1" si="90"/>
        <v>18.96705833333333</v>
      </c>
      <c r="E1091" s="4">
        <f t="shared" ca="1" si="90"/>
        <v>18.968166666666665</v>
      </c>
      <c r="F1091" s="4">
        <f t="shared" ca="1" si="90"/>
        <v>19.967324999999999</v>
      </c>
      <c r="G1091" s="4">
        <f t="shared" ca="1" si="90"/>
        <v>18.484508333333334</v>
      </c>
      <c r="H1091" s="4">
        <f t="shared" ca="1" si="90"/>
        <v>19.387341666666668</v>
      </c>
      <c r="I1091" s="4">
        <f t="shared" ca="1" si="90"/>
        <v>18.238733333333332</v>
      </c>
      <c r="J1091" s="4">
        <f t="shared" ca="1" si="90"/>
        <v>18.165825000000002</v>
      </c>
      <c r="K1091" s="4"/>
      <c r="L1091" s="5">
        <f t="shared" ca="1" si="91"/>
        <v>336.06969999999995</v>
      </c>
      <c r="M1091" s="5">
        <f t="shared" ca="1" si="91"/>
        <v>142.0401</v>
      </c>
      <c r="N1091" s="5">
        <f t="shared" ca="1" si="91"/>
        <v>58.217499999999994</v>
      </c>
      <c r="O1091" s="5">
        <f t="shared" ca="1" si="91"/>
        <v>4.4104999999999999</v>
      </c>
      <c r="P1091" s="5">
        <f t="shared" ca="1" si="91"/>
        <v>14.718800000000003</v>
      </c>
      <c r="Q1091" s="5">
        <f t="shared" ca="1" si="91"/>
        <v>231.81149999999997</v>
      </c>
      <c r="R1091" s="4"/>
      <c r="S1091" s="4"/>
    </row>
    <row r="1092" spans="1:19" ht="15" customHeight="1">
      <c r="A1092" s="3">
        <f t="shared" ref="A1092:A1122" si="92">A1091+1</f>
        <v>2070</v>
      </c>
      <c r="B1092" s="4">
        <f t="shared" ca="1" si="90"/>
        <v>19.583191666666664</v>
      </c>
      <c r="C1092" s="4">
        <f t="shared" ca="1" si="90"/>
        <v>19.593633333333333</v>
      </c>
      <c r="D1092" s="4">
        <f t="shared" ca="1" si="90"/>
        <v>19.586991666666666</v>
      </c>
      <c r="E1092" s="4">
        <f t="shared" ca="1" si="90"/>
        <v>19.588116666666664</v>
      </c>
      <c r="F1092" s="4">
        <f t="shared" ca="1" si="90"/>
        <v>20.587258333333335</v>
      </c>
      <c r="G1092" s="4">
        <f t="shared" ca="1" si="90"/>
        <v>19.088791666666669</v>
      </c>
      <c r="H1092" s="4">
        <f t="shared" ca="1" si="90"/>
        <v>19.991633333333336</v>
      </c>
      <c r="I1092" s="4">
        <f t="shared" ca="1" si="90"/>
        <v>18.833066666666664</v>
      </c>
      <c r="J1092" s="4">
        <f t="shared" ca="1" si="90"/>
        <v>18.759866666666667</v>
      </c>
      <c r="K1092" s="4"/>
      <c r="L1092" s="5">
        <f t="shared" ca="1" si="91"/>
        <v>336.06969999999995</v>
      </c>
      <c r="M1092" s="5">
        <f t="shared" ca="1" si="91"/>
        <v>142.0401</v>
      </c>
      <c r="N1092" s="5">
        <f t="shared" ca="1" si="91"/>
        <v>58.217499999999994</v>
      </c>
      <c r="O1092" s="5">
        <f t="shared" ca="1" si="91"/>
        <v>4.4104999999999999</v>
      </c>
      <c r="P1092" s="5">
        <f t="shared" ca="1" si="91"/>
        <v>14.718800000000003</v>
      </c>
      <c r="Q1092" s="5">
        <f t="shared" ca="1" si="91"/>
        <v>231.81149999999997</v>
      </c>
      <c r="R1092" s="4"/>
      <c r="S1092" s="4"/>
    </row>
    <row r="1093" spans="1:19" ht="15" customHeight="1">
      <c r="A1093" s="3">
        <f t="shared" si="92"/>
        <v>2071</v>
      </c>
      <c r="B1093" s="4">
        <f t="shared" ca="1" si="90"/>
        <v>20.223425000000002</v>
      </c>
      <c r="C1093" s="4">
        <f t="shared" ca="1" si="90"/>
        <v>20.233841666666667</v>
      </c>
      <c r="D1093" s="4">
        <f t="shared" ca="1" si="90"/>
        <v>20.227216666666667</v>
      </c>
      <c r="E1093" s="4">
        <f t="shared" ca="1" si="90"/>
        <v>20.228333333333335</v>
      </c>
      <c r="F1093" s="4">
        <f t="shared" ca="1" si="90"/>
        <v>21.227508333333333</v>
      </c>
      <c r="G1093" s="4">
        <f t="shared" ca="1" si="90"/>
        <v>19.712849999999996</v>
      </c>
      <c r="H1093" s="4">
        <f t="shared" ca="1" si="90"/>
        <v>20.615691666666667</v>
      </c>
      <c r="I1093" s="4">
        <f t="shared" ca="1" si="90"/>
        <v>19.446825</v>
      </c>
      <c r="J1093" s="4">
        <f t="shared" ca="1" si="90"/>
        <v>19.37330833333333</v>
      </c>
      <c r="K1093" s="4"/>
      <c r="L1093" s="5">
        <f t="shared" ca="1" si="91"/>
        <v>336.06969999999995</v>
      </c>
      <c r="M1093" s="5">
        <f t="shared" ca="1" si="91"/>
        <v>142.0401</v>
      </c>
      <c r="N1093" s="5">
        <f t="shared" ca="1" si="91"/>
        <v>58.217499999999994</v>
      </c>
      <c r="O1093" s="5">
        <f t="shared" ca="1" si="91"/>
        <v>4.4104999999999999</v>
      </c>
      <c r="P1093" s="5">
        <f t="shared" ca="1" si="91"/>
        <v>14.718800000000003</v>
      </c>
      <c r="Q1093" s="5">
        <f t="shared" ca="1" si="91"/>
        <v>231.81149999999997</v>
      </c>
      <c r="R1093" s="4"/>
      <c r="S1093" s="4"/>
    </row>
    <row r="1094" spans="1:19" ht="15" customHeight="1">
      <c r="A1094" s="3">
        <f t="shared" si="92"/>
        <v>2072</v>
      </c>
      <c r="B1094" s="4">
        <f t="shared" ref="B1094:J1103" ca="1" si="93">AVERAGE(OFFSET(B$569,($A1094-$A$1084)*12,0,12,1))</f>
        <v>20.884541666666667</v>
      </c>
      <c r="C1094" s="4">
        <f t="shared" ca="1" si="93"/>
        <v>20.895008333333333</v>
      </c>
      <c r="D1094" s="4">
        <f t="shared" ca="1" si="93"/>
        <v>20.888366666666666</v>
      </c>
      <c r="E1094" s="4">
        <f t="shared" ca="1" si="93"/>
        <v>20.889483333333335</v>
      </c>
      <c r="F1094" s="4">
        <f t="shared" ca="1" si="93"/>
        <v>21.888641666666668</v>
      </c>
      <c r="G1094" s="4">
        <f t="shared" ca="1" si="93"/>
        <v>20.357333333333333</v>
      </c>
      <c r="H1094" s="4">
        <f t="shared" ca="1" si="93"/>
        <v>21.260166666666667</v>
      </c>
      <c r="I1094" s="4">
        <f t="shared" ca="1" si="93"/>
        <v>20.080658333333336</v>
      </c>
      <c r="J1094" s="4">
        <f t="shared" ca="1" si="93"/>
        <v>20.006833333333336</v>
      </c>
      <c r="K1094" s="4"/>
      <c r="L1094" s="5">
        <f t="shared" ref="L1094:Q1103" ca="1" si="94">SUM(OFFSET(L$569,($A1094-$A$1084)*12,0,12,1))</f>
        <v>336.95349999999996</v>
      </c>
      <c r="M1094" s="5">
        <f t="shared" ca="1" si="94"/>
        <v>142.42920000000001</v>
      </c>
      <c r="N1094" s="5">
        <f t="shared" ca="1" si="94"/>
        <v>58.377000000000002</v>
      </c>
      <c r="O1094" s="5">
        <f t="shared" ca="1" si="94"/>
        <v>4.4226000000000001</v>
      </c>
      <c r="P1094" s="5">
        <f t="shared" ca="1" si="94"/>
        <v>14.760600000000004</v>
      </c>
      <c r="Q1094" s="5">
        <f t="shared" ca="1" si="94"/>
        <v>232.44659999999996</v>
      </c>
      <c r="R1094" s="4"/>
      <c r="S1094" s="4"/>
    </row>
    <row r="1095" spans="1:19" ht="15" customHeight="1">
      <c r="A1095" s="3">
        <f t="shared" si="92"/>
        <v>2073</v>
      </c>
      <c r="B1095" s="4">
        <f t="shared" ca="1" si="93"/>
        <v>21.567341666666668</v>
      </c>
      <c r="C1095" s="4">
        <f t="shared" ca="1" si="93"/>
        <v>21.577749999999998</v>
      </c>
      <c r="D1095" s="4">
        <f t="shared" ca="1" si="93"/>
        <v>21.571141666666666</v>
      </c>
      <c r="E1095" s="4">
        <f t="shared" ca="1" si="93"/>
        <v>21.572258333333334</v>
      </c>
      <c r="F1095" s="4">
        <f t="shared" ca="1" si="93"/>
        <v>22.571408333333334</v>
      </c>
      <c r="G1095" s="4">
        <f t="shared" ca="1" si="93"/>
        <v>21.022866666666669</v>
      </c>
      <c r="H1095" s="4">
        <f t="shared" ca="1" si="93"/>
        <v>21.925708333333333</v>
      </c>
      <c r="I1095" s="4">
        <f t="shared" ca="1" si="93"/>
        <v>20.735208333333333</v>
      </c>
      <c r="J1095" s="4">
        <f t="shared" ca="1" si="93"/>
        <v>20.661066666666667</v>
      </c>
      <c r="K1095" s="4"/>
      <c r="L1095" s="5">
        <f t="shared" ca="1" si="94"/>
        <v>336.06969999999995</v>
      </c>
      <c r="M1095" s="5">
        <f t="shared" ca="1" si="94"/>
        <v>142.0401</v>
      </c>
      <c r="N1095" s="5">
        <f t="shared" ca="1" si="94"/>
        <v>58.217499999999994</v>
      </c>
      <c r="O1095" s="5">
        <f t="shared" ca="1" si="94"/>
        <v>4.4104999999999999</v>
      </c>
      <c r="P1095" s="5">
        <f t="shared" ca="1" si="94"/>
        <v>14.718800000000003</v>
      </c>
      <c r="Q1095" s="5">
        <f t="shared" ca="1" si="94"/>
        <v>231.81149999999997</v>
      </c>
      <c r="R1095" s="4"/>
      <c r="S1095" s="4"/>
    </row>
    <row r="1096" spans="1:19" ht="15" customHeight="1">
      <c r="A1096" s="3">
        <f t="shared" si="92"/>
        <v>2074</v>
      </c>
      <c r="B1096" s="4">
        <f t="shared" ca="1" si="93"/>
        <v>22.272441666666666</v>
      </c>
      <c r="C1096" s="4">
        <f t="shared" ca="1" si="93"/>
        <v>22.282875000000001</v>
      </c>
      <c r="D1096" s="4">
        <f t="shared" ca="1" si="93"/>
        <v>22.276233333333337</v>
      </c>
      <c r="E1096" s="4">
        <f t="shared" ca="1" si="93"/>
        <v>22.277358333333336</v>
      </c>
      <c r="F1096" s="4">
        <f t="shared" ca="1" si="93"/>
        <v>23.276516666666669</v>
      </c>
      <c r="G1096" s="4">
        <f t="shared" ca="1" si="93"/>
        <v>21.710183333333333</v>
      </c>
      <c r="H1096" s="4">
        <f t="shared" ca="1" si="93"/>
        <v>22.613033333333334</v>
      </c>
      <c r="I1096" s="4">
        <f t="shared" ca="1" si="93"/>
        <v>21.411191666666667</v>
      </c>
      <c r="J1096" s="4">
        <f t="shared" ca="1" si="93"/>
        <v>21.336691666666663</v>
      </c>
      <c r="K1096" s="4"/>
      <c r="L1096" s="5">
        <f t="shared" ca="1" si="94"/>
        <v>336.06969999999995</v>
      </c>
      <c r="M1096" s="5">
        <f t="shared" ca="1" si="94"/>
        <v>142.0401</v>
      </c>
      <c r="N1096" s="5">
        <f t="shared" ca="1" si="94"/>
        <v>58.217499999999994</v>
      </c>
      <c r="O1096" s="5">
        <f t="shared" ca="1" si="94"/>
        <v>4.4104999999999999</v>
      </c>
      <c r="P1096" s="5">
        <f t="shared" ca="1" si="94"/>
        <v>14.718800000000003</v>
      </c>
      <c r="Q1096" s="5">
        <f t="shared" ca="1" si="94"/>
        <v>231.81149999999997</v>
      </c>
      <c r="R1096" s="4"/>
      <c r="S1096" s="4"/>
    </row>
    <row r="1097" spans="1:19" ht="15" customHeight="1">
      <c r="A1097" s="3">
        <f t="shared" si="92"/>
        <v>2075</v>
      </c>
      <c r="B1097" s="4">
        <f t="shared" ca="1" si="93"/>
        <v>23.000600000000002</v>
      </c>
      <c r="C1097" s="4">
        <f t="shared" ca="1" si="93"/>
        <v>23.011033333333334</v>
      </c>
      <c r="D1097" s="4">
        <f t="shared" ca="1" si="93"/>
        <v>23.004391666666667</v>
      </c>
      <c r="E1097" s="4">
        <f t="shared" ca="1" si="93"/>
        <v>23.005516666666669</v>
      </c>
      <c r="F1097" s="4">
        <f t="shared" ca="1" si="93"/>
        <v>24.004683333333336</v>
      </c>
      <c r="G1097" s="4">
        <f t="shared" ca="1" si="93"/>
        <v>22.419983333333334</v>
      </c>
      <c r="H1097" s="4">
        <f t="shared" ca="1" si="93"/>
        <v>23.322816666666668</v>
      </c>
      <c r="I1097" s="4">
        <f t="shared" ca="1" si="93"/>
        <v>22.109266666666667</v>
      </c>
      <c r="J1097" s="4">
        <f t="shared" ca="1" si="93"/>
        <v>22.034408333333335</v>
      </c>
      <c r="K1097" s="4"/>
      <c r="L1097" s="5">
        <f t="shared" ca="1" si="94"/>
        <v>336.06969999999995</v>
      </c>
      <c r="M1097" s="5">
        <f t="shared" ca="1" si="94"/>
        <v>142.0401</v>
      </c>
      <c r="N1097" s="5">
        <f t="shared" ca="1" si="94"/>
        <v>58.217499999999994</v>
      </c>
      <c r="O1097" s="5">
        <f t="shared" ca="1" si="94"/>
        <v>4.4104999999999999</v>
      </c>
      <c r="P1097" s="5">
        <f t="shared" ca="1" si="94"/>
        <v>14.718800000000003</v>
      </c>
      <c r="Q1097" s="5">
        <f t="shared" ca="1" si="94"/>
        <v>231.81149999999997</v>
      </c>
      <c r="R1097" s="4"/>
      <c r="S1097" s="4"/>
    </row>
    <row r="1098" spans="1:19" ht="15" customHeight="1">
      <c r="A1098" s="3">
        <f t="shared" si="92"/>
        <v>2076</v>
      </c>
      <c r="B1098" s="4">
        <f t="shared" ca="1" si="93"/>
        <v>23.75258333333333</v>
      </c>
      <c r="C1098" s="4">
        <f t="shared" ca="1" si="93"/>
        <v>23.763000000000002</v>
      </c>
      <c r="D1098" s="4">
        <f t="shared" ca="1" si="93"/>
        <v>23.756366666666665</v>
      </c>
      <c r="E1098" s="4">
        <f t="shared" ca="1" si="93"/>
        <v>23.757483333333337</v>
      </c>
      <c r="F1098" s="4">
        <f t="shared" ca="1" si="93"/>
        <v>24.756650000000004</v>
      </c>
      <c r="G1098" s="4">
        <f t="shared" ca="1" si="93"/>
        <v>23.152975000000001</v>
      </c>
      <c r="H1098" s="4">
        <f t="shared" ca="1" si="93"/>
        <v>24.055833333333336</v>
      </c>
      <c r="I1098" s="4">
        <f t="shared" ca="1" si="93"/>
        <v>22.83015</v>
      </c>
      <c r="J1098" s="4">
        <f t="shared" ca="1" si="93"/>
        <v>22.754949999999997</v>
      </c>
      <c r="K1098" s="4"/>
      <c r="L1098" s="5">
        <f t="shared" ca="1" si="94"/>
        <v>336.95349999999996</v>
      </c>
      <c r="M1098" s="5">
        <f t="shared" ca="1" si="94"/>
        <v>142.42920000000001</v>
      </c>
      <c r="N1098" s="5">
        <f t="shared" ca="1" si="94"/>
        <v>58.377000000000002</v>
      </c>
      <c r="O1098" s="5">
        <f t="shared" ca="1" si="94"/>
        <v>4.4226000000000001</v>
      </c>
      <c r="P1098" s="5">
        <f t="shared" ca="1" si="94"/>
        <v>14.760600000000004</v>
      </c>
      <c r="Q1098" s="5">
        <f t="shared" ca="1" si="94"/>
        <v>232.44659999999996</v>
      </c>
      <c r="R1098" s="4"/>
      <c r="S1098" s="4"/>
    </row>
    <row r="1099" spans="1:19" ht="15" customHeight="1">
      <c r="A1099" s="3">
        <f t="shared" si="92"/>
        <v>2077</v>
      </c>
      <c r="B1099" s="4">
        <f t="shared" ca="1" si="93"/>
        <v>24.529150000000001</v>
      </c>
      <c r="C1099" s="4">
        <f t="shared" ca="1" si="93"/>
        <v>24.539583333333329</v>
      </c>
      <c r="D1099" s="4">
        <f t="shared" ca="1" si="93"/>
        <v>24.532941666666662</v>
      </c>
      <c r="E1099" s="4">
        <f t="shared" ca="1" si="93"/>
        <v>24.534049999999997</v>
      </c>
      <c r="F1099" s="4">
        <f t="shared" ca="1" si="93"/>
        <v>25.533216666666664</v>
      </c>
      <c r="G1099" s="4">
        <f t="shared" ca="1" si="93"/>
        <v>23.909949999999998</v>
      </c>
      <c r="H1099" s="4">
        <f t="shared" ca="1" si="93"/>
        <v>24.812799999999999</v>
      </c>
      <c r="I1099" s="4">
        <f t="shared" ca="1" si="93"/>
        <v>23.574658333333332</v>
      </c>
      <c r="J1099" s="4">
        <f t="shared" ca="1" si="93"/>
        <v>23.499075000000001</v>
      </c>
      <c r="K1099" s="4"/>
      <c r="L1099" s="5">
        <f t="shared" ca="1" si="94"/>
        <v>336.06969999999995</v>
      </c>
      <c r="M1099" s="5">
        <f t="shared" ca="1" si="94"/>
        <v>142.0401</v>
      </c>
      <c r="N1099" s="5">
        <f t="shared" ca="1" si="94"/>
        <v>58.217499999999994</v>
      </c>
      <c r="O1099" s="5">
        <f t="shared" ca="1" si="94"/>
        <v>4.4104999999999999</v>
      </c>
      <c r="P1099" s="5">
        <f t="shared" ca="1" si="94"/>
        <v>14.718800000000003</v>
      </c>
      <c r="Q1099" s="5">
        <f t="shared" ca="1" si="94"/>
        <v>231.81149999999997</v>
      </c>
      <c r="R1099" s="4"/>
      <c r="S1099" s="4"/>
    </row>
    <row r="1100" spans="1:19" ht="15" customHeight="1">
      <c r="A1100" s="3">
        <f t="shared" si="92"/>
        <v>2078</v>
      </c>
      <c r="B1100" s="4">
        <f t="shared" ca="1" si="93"/>
        <v>25.331091666666666</v>
      </c>
      <c r="C1100" s="4">
        <f t="shared" ca="1" si="93"/>
        <v>25.341550000000002</v>
      </c>
      <c r="D1100" s="4">
        <f t="shared" ca="1" si="93"/>
        <v>25.334900000000001</v>
      </c>
      <c r="E1100" s="4">
        <f t="shared" ca="1" si="93"/>
        <v>25.336025000000003</v>
      </c>
      <c r="F1100" s="4">
        <f t="shared" ca="1" si="93"/>
        <v>26.335174999999996</v>
      </c>
      <c r="G1100" s="4">
        <f t="shared" ca="1" si="93"/>
        <v>24.691683333333341</v>
      </c>
      <c r="H1100" s="4">
        <f t="shared" ca="1" si="93"/>
        <v>25.594533333333331</v>
      </c>
      <c r="I1100" s="4">
        <f t="shared" ca="1" si="93"/>
        <v>24.343458333333334</v>
      </c>
      <c r="J1100" s="4">
        <f t="shared" ca="1" si="93"/>
        <v>24.267516666666669</v>
      </c>
      <c r="K1100" s="4"/>
      <c r="L1100" s="5">
        <f t="shared" ca="1" si="94"/>
        <v>336.06969999999995</v>
      </c>
      <c r="M1100" s="5">
        <f t="shared" ca="1" si="94"/>
        <v>142.0401</v>
      </c>
      <c r="N1100" s="5">
        <f t="shared" ca="1" si="94"/>
        <v>58.217499999999994</v>
      </c>
      <c r="O1100" s="5">
        <f t="shared" ca="1" si="94"/>
        <v>4.4104999999999999</v>
      </c>
      <c r="P1100" s="5">
        <f t="shared" ca="1" si="94"/>
        <v>14.718800000000003</v>
      </c>
      <c r="Q1100" s="5">
        <f t="shared" ca="1" si="94"/>
        <v>231.81149999999997</v>
      </c>
      <c r="R1100" s="4"/>
      <c r="S1100" s="4"/>
    </row>
    <row r="1101" spans="1:19" ht="15" customHeight="1">
      <c r="A1101" s="3">
        <f t="shared" si="92"/>
        <v>2079</v>
      </c>
      <c r="B1101" s="4">
        <f t="shared" ca="1" si="93"/>
        <v>26.159291666666665</v>
      </c>
      <c r="C1101" s="4">
        <f t="shared" ca="1" si="93"/>
        <v>26.169733333333337</v>
      </c>
      <c r="D1101" s="4">
        <f t="shared" ca="1" si="93"/>
        <v>26.16309166666667</v>
      </c>
      <c r="E1101" s="4">
        <f t="shared" ca="1" si="93"/>
        <v>26.164216666666672</v>
      </c>
      <c r="F1101" s="4">
        <f t="shared" ca="1" si="93"/>
        <v>27.163375000000002</v>
      </c>
      <c r="G1101" s="4">
        <f t="shared" ca="1" si="93"/>
        <v>25.498974999999998</v>
      </c>
      <c r="H1101" s="4">
        <f t="shared" ca="1" si="93"/>
        <v>26.401833333333329</v>
      </c>
      <c r="I1101" s="4">
        <f t="shared" ca="1" si="93"/>
        <v>25.137466666666665</v>
      </c>
      <c r="J1101" s="4">
        <f t="shared" ca="1" si="93"/>
        <v>25.061066666666665</v>
      </c>
      <c r="K1101" s="4"/>
      <c r="L1101" s="5">
        <f t="shared" ca="1" si="94"/>
        <v>336.06969999999995</v>
      </c>
      <c r="M1101" s="5">
        <f t="shared" ca="1" si="94"/>
        <v>142.0401</v>
      </c>
      <c r="N1101" s="5">
        <f t="shared" ca="1" si="94"/>
        <v>58.217499999999994</v>
      </c>
      <c r="O1101" s="5">
        <f t="shared" ca="1" si="94"/>
        <v>4.4104999999999999</v>
      </c>
      <c r="P1101" s="5">
        <f t="shared" ca="1" si="94"/>
        <v>14.718800000000003</v>
      </c>
      <c r="Q1101" s="5">
        <f t="shared" ca="1" si="94"/>
        <v>231.81149999999997</v>
      </c>
      <c r="R1101" s="4"/>
      <c r="S1101" s="4"/>
    </row>
    <row r="1102" spans="1:19" ht="15" customHeight="1">
      <c r="A1102" s="3">
        <f t="shared" si="92"/>
        <v>2080</v>
      </c>
      <c r="B1102" s="4">
        <f t="shared" ca="1" si="93"/>
        <v>27.014550000000003</v>
      </c>
      <c r="C1102" s="4">
        <f t="shared" ca="1" si="93"/>
        <v>27.025024999999999</v>
      </c>
      <c r="D1102" s="4">
        <f t="shared" ca="1" si="93"/>
        <v>27.018374999999995</v>
      </c>
      <c r="E1102" s="4">
        <f t="shared" ca="1" si="93"/>
        <v>27.019508333333334</v>
      </c>
      <c r="F1102" s="4">
        <f t="shared" ca="1" si="93"/>
        <v>28.018650000000004</v>
      </c>
      <c r="G1102" s="4">
        <f t="shared" ca="1" si="93"/>
        <v>26.332699999999999</v>
      </c>
      <c r="H1102" s="4">
        <f t="shared" ca="1" si="93"/>
        <v>27.235524999999999</v>
      </c>
      <c r="I1102" s="4">
        <f t="shared" ca="1" si="93"/>
        <v>25.957375000000003</v>
      </c>
      <c r="J1102" s="4">
        <f t="shared" ca="1" si="93"/>
        <v>25.880608333333331</v>
      </c>
      <c r="K1102" s="4"/>
      <c r="L1102" s="5">
        <f t="shared" ca="1" si="94"/>
        <v>336.95349999999996</v>
      </c>
      <c r="M1102" s="5">
        <f t="shared" ca="1" si="94"/>
        <v>142.42920000000001</v>
      </c>
      <c r="N1102" s="5">
        <f t="shared" ca="1" si="94"/>
        <v>58.377000000000002</v>
      </c>
      <c r="O1102" s="5">
        <f t="shared" ca="1" si="94"/>
        <v>4.4226000000000001</v>
      </c>
      <c r="P1102" s="5">
        <f t="shared" ca="1" si="94"/>
        <v>14.760600000000004</v>
      </c>
      <c r="Q1102" s="5">
        <f t="shared" ca="1" si="94"/>
        <v>232.44659999999996</v>
      </c>
      <c r="R1102" s="4"/>
      <c r="S1102" s="4"/>
    </row>
    <row r="1103" spans="1:19" ht="15" customHeight="1">
      <c r="A1103" s="3">
        <f t="shared" si="92"/>
        <v>2081</v>
      </c>
      <c r="B1103" s="4">
        <f t="shared" ca="1" si="93"/>
        <v>27.897824999999994</v>
      </c>
      <c r="C1103" s="4">
        <f t="shared" ca="1" si="93"/>
        <v>27.908241666666665</v>
      </c>
      <c r="D1103" s="4">
        <f t="shared" ca="1" si="93"/>
        <v>27.901616666666666</v>
      </c>
      <c r="E1103" s="4">
        <f t="shared" ca="1" si="93"/>
        <v>27.902733333333334</v>
      </c>
      <c r="F1103" s="4">
        <f t="shared" ca="1" si="93"/>
        <v>28.901899999999998</v>
      </c>
      <c r="G1103" s="4">
        <f t="shared" ca="1" si="93"/>
        <v>27.193641666666664</v>
      </c>
      <c r="H1103" s="4">
        <f t="shared" ca="1" si="93"/>
        <v>28.096483333333335</v>
      </c>
      <c r="I1103" s="4">
        <f t="shared" ca="1" si="93"/>
        <v>26.804124999999996</v>
      </c>
      <c r="J1103" s="4">
        <f t="shared" ca="1" si="93"/>
        <v>26.726933333333335</v>
      </c>
      <c r="K1103" s="4"/>
      <c r="L1103" s="5">
        <f t="shared" ca="1" si="94"/>
        <v>336.06969999999995</v>
      </c>
      <c r="M1103" s="5">
        <f t="shared" ca="1" si="94"/>
        <v>142.0401</v>
      </c>
      <c r="N1103" s="5">
        <f t="shared" ca="1" si="94"/>
        <v>58.217499999999994</v>
      </c>
      <c r="O1103" s="5">
        <f t="shared" ca="1" si="94"/>
        <v>4.4104999999999999</v>
      </c>
      <c r="P1103" s="5">
        <f t="shared" ca="1" si="94"/>
        <v>14.718800000000003</v>
      </c>
      <c r="Q1103" s="5">
        <f t="shared" ca="1" si="94"/>
        <v>231.81149999999997</v>
      </c>
      <c r="R1103" s="4"/>
      <c r="S1103" s="4"/>
    </row>
    <row r="1104" spans="1:19" ht="15" customHeight="1">
      <c r="A1104" s="3">
        <f t="shared" si="92"/>
        <v>2082</v>
      </c>
      <c r="B1104" s="4">
        <f t="shared" ref="B1104:J1113" ca="1" si="95">AVERAGE(OFFSET(B$569,($A1104-$A$1084)*12,0,12,1))</f>
        <v>28.809958333333338</v>
      </c>
      <c r="C1104" s="4">
        <f t="shared" ca="1" si="95"/>
        <v>28.820391666666666</v>
      </c>
      <c r="D1104" s="4">
        <f t="shared" ca="1" si="95"/>
        <v>28.813758333333329</v>
      </c>
      <c r="E1104" s="4">
        <f t="shared" ca="1" si="95"/>
        <v>28.814875000000004</v>
      </c>
      <c r="F1104" s="4">
        <f t="shared" ca="1" si="95"/>
        <v>29.814016666666671</v>
      </c>
      <c r="G1104" s="4">
        <f t="shared" ca="1" si="95"/>
        <v>28.082766666666668</v>
      </c>
      <c r="H1104" s="4">
        <f t="shared" ca="1" si="95"/>
        <v>28.985616666666669</v>
      </c>
      <c r="I1104" s="4">
        <f t="shared" ca="1" si="95"/>
        <v>27.678574999999999</v>
      </c>
      <c r="J1104" s="4">
        <f t="shared" ca="1" si="95"/>
        <v>27.600941666666667</v>
      </c>
      <c r="K1104" s="4"/>
      <c r="L1104" s="5">
        <f t="shared" ref="L1104:Q1113" ca="1" si="96">SUM(OFFSET(L$569,($A1104-$A$1084)*12,0,12,1))</f>
        <v>336.06969999999995</v>
      </c>
      <c r="M1104" s="5">
        <f t="shared" ca="1" si="96"/>
        <v>142.0401</v>
      </c>
      <c r="N1104" s="5">
        <f t="shared" ca="1" si="96"/>
        <v>58.217499999999994</v>
      </c>
      <c r="O1104" s="5">
        <f t="shared" ca="1" si="96"/>
        <v>4.4104999999999999</v>
      </c>
      <c r="P1104" s="5">
        <f t="shared" ca="1" si="96"/>
        <v>14.718800000000003</v>
      </c>
      <c r="Q1104" s="5">
        <f t="shared" ca="1" si="96"/>
        <v>231.81149999999997</v>
      </c>
      <c r="R1104" s="4"/>
      <c r="S1104" s="4"/>
    </row>
    <row r="1105" spans="1:19" ht="15" customHeight="1">
      <c r="A1105" s="3">
        <f t="shared" si="92"/>
        <v>2083</v>
      </c>
      <c r="B1105" s="4">
        <f t="shared" ca="1" si="95"/>
        <v>29.751925</v>
      </c>
      <c r="C1105" s="4">
        <f t="shared" ca="1" si="95"/>
        <v>29.762341666666668</v>
      </c>
      <c r="D1105" s="4">
        <f t="shared" ca="1" si="95"/>
        <v>29.755700000000001</v>
      </c>
      <c r="E1105" s="4">
        <f t="shared" ca="1" si="95"/>
        <v>29.756816666666666</v>
      </c>
      <c r="F1105" s="4">
        <f t="shared" ca="1" si="95"/>
        <v>30.755991666666663</v>
      </c>
      <c r="G1105" s="4">
        <f t="shared" ca="1" si="95"/>
        <v>29.000966666666667</v>
      </c>
      <c r="H1105" s="4">
        <f t="shared" ca="1" si="95"/>
        <v>29.903833333333328</v>
      </c>
      <c r="I1105" s="4">
        <f t="shared" ca="1" si="95"/>
        <v>28.581608333333335</v>
      </c>
      <c r="J1105" s="4">
        <f t="shared" ca="1" si="95"/>
        <v>28.503524999999996</v>
      </c>
      <c r="K1105" s="4"/>
      <c r="L1105" s="5">
        <f t="shared" ca="1" si="96"/>
        <v>336.06969999999995</v>
      </c>
      <c r="M1105" s="5">
        <f t="shared" ca="1" si="96"/>
        <v>142.0401</v>
      </c>
      <c r="N1105" s="5">
        <f t="shared" ca="1" si="96"/>
        <v>58.217499999999994</v>
      </c>
      <c r="O1105" s="5">
        <f t="shared" ca="1" si="96"/>
        <v>4.4104999999999999</v>
      </c>
      <c r="P1105" s="5">
        <f t="shared" ca="1" si="96"/>
        <v>14.718800000000003</v>
      </c>
      <c r="Q1105" s="5">
        <f t="shared" ca="1" si="96"/>
        <v>231.81149999999997</v>
      </c>
      <c r="R1105" s="4"/>
      <c r="S1105" s="4"/>
    </row>
    <row r="1106" spans="1:19" ht="15" customHeight="1">
      <c r="A1106" s="3">
        <f t="shared" si="92"/>
        <v>2084</v>
      </c>
      <c r="B1106" s="4">
        <f t="shared" ca="1" si="95"/>
        <v>30.724675000000001</v>
      </c>
      <c r="C1106" s="4">
        <f t="shared" ca="1" si="95"/>
        <v>30.735125</v>
      </c>
      <c r="D1106" s="4">
        <f t="shared" ca="1" si="95"/>
        <v>30.728483333333333</v>
      </c>
      <c r="E1106" s="4">
        <f t="shared" ca="1" si="95"/>
        <v>30.729591666666664</v>
      </c>
      <c r="F1106" s="4">
        <f t="shared" ca="1" si="95"/>
        <v>31.728758333333335</v>
      </c>
      <c r="G1106" s="4">
        <f t="shared" ca="1" si="95"/>
        <v>29.949174999999997</v>
      </c>
      <c r="H1106" s="4">
        <f t="shared" ca="1" si="95"/>
        <v>30.852025000000008</v>
      </c>
      <c r="I1106" s="4">
        <f t="shared" ca="1" si="95"/>
        <v>29.514183333333335</v>
      </c>
      <c r="J1106" s="4">
        <f t="shared" ca="1" si="95"/>
        <v>29.435625000000002</v>
      </c>
      <c r="K1106" s="4"/>
      <c r="L1106" s="5">
        <f t="shared" ca="1" si="96"/>
        <v>336.95349999999996</v>
      </c>
      <c r="M1106" s="5">
        <f t="shared" ca="1" si="96"/>
        <v>142.42920000000001</v>
      </c>
      <c r="N1106" s="5">
        <f t="shared" ca="1" si="96"/>
        <v>58.377000000000002</v>
      </c>
      <c r="O1106" s="5">
        <f t="shared" ca="1" si="96"/>
        <v>4.4226000000000001</v>
      </c>
      <c r="P1106" s="5">
        <f t="shared" ca="1" si="96"/>
        <v>14.760600000000004</v>
      </c>
      <c r="Q1106" s="5">
        <f t="shared" ca="1" si="96"/>
        <v>232.44659999999996</v>
      </c>
      <c r="R1106" s="4"/>
      <c r="S1106" s="4"/>
    </row>
    <row r="1107" spans="1:19" ht="15" customHeight="1">
      <c r="A1107" s="3">
        <f t="shared" si="92"/>
        <v>2085</v>
      </c>
      <c r="B1107" s="4">
        <f t="shared" ca="1" si="95"/>
        <v>31.72925833333333</v>
      </c>
      <c r="C1107" s="4">
        <f t="shared" ca="1" si="95"/>
        <v>31.739691666666669</v>
      </c>
      <c r="D1107" s="4">
        <f t="shared" ca="1" si="95"/>
        <v>31.733058333333336</v>
      </c>
      <c r="E1107" s="4">
        <f t="shared" ca="1" si="95"/>
        <v>31.734175000000004</v>
      </c>
      <c r="F1107" s="4">
        <f t="shared" ca="1" si="95"/>
        <v>32.733341666666654</v>
      </c>
      <c r="G1107" s="4">
        <f t="shared" ca="1" si="95"/>
        <v>30.928425000000001</v>
      </c>
      <c r="H1107" s="4">
        <f t="shared" ca="1" si="95"/>
        <v>31.831266666666661</v>
      </c>
      <c r="I1107" s="4">
        <f t="shared" ca="1" si="95"/>
        <v>30.477249999999998</v>
      </c>
      <c r="J1107" s="4">
        <f t="shared" ca="1" si="95"/>
        <v>30.398224999999996</v>
      </c>
      <c r="K1107" s="4"/>
      <c r="L1107" s="5">
        <f t="shared" ca="1" si="96"/>
        <v>336.06969999999995</v>
      </c>
      <c r="M1107" s="5">
        <f t="shared" ca="1" si="96"/>
        <v>142.0401</v>
      </c>
      <c r="N1107" s="5">
        <f t="shared" ca="1" si="96"/>
        <v>58.217499999999994</v>
      </c>
      <c r="O1107" s="5">
        <f t="shared" ca="1" si="96"/>
        <v>4.4104999999999999</v>
      </c>
      <c r="P1107" s="5">
        <f t="shared" ca="1" si="96"/>
        <v>14.718800000000003</v>
      </c>
      <c r="Q1107" s="5">
        <f t="shared" ca="1" si="96"/>
        <v>231.81149999999997</v>
      </c>
      <c r="R1107" s="4"/>
      <c r="S1107" s="4"/>
    </row>
    <row r="1108" spans="1:19" ht="15" customHeight="1">
      <c r="A1108" s="3">
        <f t="shared" si="92"/>
        <v>2086</v>
      </c>
      <c r="B1108" s="4">
        <f t="shared" ca="1" si="95"/>
        <v>32.7667</v>
      </c>
      <c r="C1108" s="4">
        <f t="shared" ca="1" si="95"/>
        <v>32.777141666666672</v>
      </c>
      <c r="D1108" s="4">
        <f t="shared" ca="1" si="95"/>
        <v>32.770499999999998</v>
      </c>
      <c r="E1108" s="4">
        <f t="shared" ca="1" si="95"/>
        <v>32.771625</v>
      </c>
      <c r="F1108" s="4">
        <f t="shared" ca="1" si="95"/>
        <v>33.770766666666667</v>
      </c>
      <c r="G1108" s="4">
        <f t="shared" ca="1" si="95"/>
        <v>31.939691666666665</v>
      </c>
      <c r="H1108" s="4">
        <f t="shared" ca="1" si="95"/>
        <v>32.842541666666669</v>
      </c>
      <c r="I1108" s="4">
        <f t="shared" ca="1" si="95"/>
        <v>31.471833333333333</v>
      </c>
      <c r="J1108" s="4">
        <f t="shared" ca="1" si="95"/>
        <v>31.392291666666665</v>
      </c>
      <c r="K1108" s="4"/>
      <c r="L1108" s="5">
        <f t="shared" ca="1" si="96"/>
        <v>336.06969999999995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4.4104999999999999</v>
      </c>
      <c r="P1108" s="5">
        <f t="shared" ca="1" si="96"/>
        <v>14.718800000000003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2"/>
        <v>2087</v>
      </c>
      <c r="B1109" s="4">
        <f t="shared" ca="1" si="95"/>
        <v>33.838066666666663</v>
      </c>
      <c r="C1109" s="4">
        <f t="shared" ca="1" si="95"/>
        <v>33.848499999999994</v>
      </c>
      <c r="D1109" s="4">
        <f t="shared" ca="1" si="95"/>
        <v>33.841850000000001</v>
      </c>
      <c r="E1109" s="4">
        <f t="shared" ca="1" si="95"/>
        <v>33.842975000000003</v>
      </c>
      <c r="F1109" s="4">
        <f t="shared" ca="1" si="95"/>
        <v>34.84214166666667</v>
      </c>
      <c r="G1109" s="4">
        <f t="shared" ca="1" si="95"/>
        <v>32.984025000000003</v>
      </c>
      <c r="H1109" s="4">
        <f t="shared" ca="1" si="95"/>
        <v>33.886883333333337</v>
      </c>
      <c r="I1109" s="4">
        <f t="shared" ca="1" si="95"/>
        <v>32.498916666666666</v>
      </c>
      <c r="J1109" s="4">
        <f t="shared" ca="1" si="95"/>
        <v>32.418866666666666</v>
      </c>
      <c r="K1109" s="4"/>
      <c r="L1109" s="5">
        <f t="shared" ca="1" si="96"/>
        <v>336.06969999999995</v>
      </c>
      <c r="M1109" s="5">
        <f t="shared" ca="1" si="96"/>
        <v>142.0401</v>
      </c>
      <c r="N1109" s="5">
        <f t="shared" ca="1" si="96"/>
        <v>58.217499999999994</v>
      </c>
      <c r="O1109" s="5">
        <f t="shared" ca="1" si="96"/>
        <v>4.4104999999999999</v>
      </c>
      <c r="P1109" s="5">
        <f t="shared" ca="1" si="96"/>
        <v>14.718800000000003</v>
      </c>
      <c r="Q1109" s="5">
        <f t="shared" ca="1" si="96"/>
        <v>231.81149999999997</v>
      </c>
      <c r="R1109" s="4"/>
      <c r="S1109" s="4"/>
    </row>
    <row r="1110" spans="1:19" ht="15" customHeight="1">
      <c r="A1110" s="3">
        <f t="shared" si="92"/>
        <v>2088</v>
      </c>
      <c r="B1110" s="4">
        <f t="shared" ca="1" si="95"/>
        <v>34.944466666666663</v>
      </c>
      <c r="C1110" s="4">
        <f t="shared" ca="1" si="95"/>
        <v>34.954900000000002</v>
      </c>
      <c r="D1110" s="4">
        <f t="shared" ca="1" si="95"/>
        <v>34.948266666666662</v>
      </c>
      <c r="E1110" s="4">
        <f t="shared" ca="1" si="95"/>
        <v>34.949374999999996</v>
      </c>
      <c r="F1110" s="4">
        <f t="shared" ca="1" si="95"/>
        <v>35.948550000000004</v>
      </c>
      <c r="G1110" s="4">
        <f t="shared" ca="1" si="95"/>
        <v>34.062516666666667</v>
      </c>
      <c r="H1110" s="4">
        <f t="shared" ca="1" si="95"/>
        <v>34.965358333333334</v>
      </c>
      <c r="I1110" s="4">
        <f t="shared" ca="1" si="95"/>
        <v>33.559608333333337</v>
      </c>
      <c r="J1110" s="4">
        <f t="shared" ca="1" si="95"/>
        <v>33.479016666666674</v>
      </c>
      <c r="K1110" s="4"/>
      <c r="L1110" s="5">
        <f t="shared" ca="1" si="96"/>
        <v>336.95349999999996</v>
      </c>
      <c r="M1110" s="5">
        <f t="shared" ca="1" si="96"/>
        <v>142.42920000000001</v>
      </c>
      <c r="N1110" s="5">
        <f t="shared" ca="1" si="96"/>
        <v>58.377000000000002</v>
      </c>
      <c r="O1110" s="5">
        <f t="shared" ca="1" si="96"/>
        <v>4.4226000000000001</v>
      </c>
      <c r="P1110" s="5">
        <f t="shared" ca="1" si="96"/>
        <v>14.760600000000004</v>
      </c>
      <c r="Q1110" s="5">
        <f t="shared" ca="1" si="96"/>
        <v>232.44659999999996</v>
      </c>
      <c r="R1110" s="4"/>
      <c r="S1110" s="4"/>
    </row>
    <row r="1111" spans="1:19" ht="15" customHeight="1">
      <c r="A1111" s="3">
        <f t="shared" si="92"/>
        <v>2089</v>
      </c>
      <c r="B1111" s="4">
        <f t="shared" ca="1" si="95"/>
        <v>36.087033333333331</v>
      </c>
      <c r="C1111" s="4">
        <f t="shared" ca="1" si="95"/>
        <v>36.097483333333336</v>
      </c>
      <c r="D1111" s="4">
        <f t="shared" ca="1" si="95"/>
        <v>36.09084166666667</v>
      </c>
      <c r="E1111" s="4">
        <f t="shared" ca="1" si="95"/>
        <v>36.091958333333331</v>
      </c>
      <c r="F1111" s="4">
        <f t="shared" ca="1" si="95"/>
        <v>37.091133333333339</v>
      </c>
      <c r="G1111" s="4">
        <f t="shared" ca="1" si="95"/>
        <v>35.17625833333333</v>
      </c>
      <c r="H1111" s="4">
        <f t="shared" ca="1" si="95"/>
        <v>36.079116666666664</v>
      </c>
      <c r="I1111" s="4">
        <f t="shared" ca="1" si="95"/>
        <v>34.654975000000007</v>
      </c>
      <c r="J1111" s="4">
        <f t="shared" ca="1" si="95"/>
        <v>34.57385</v>
      </c>
      <c r="K1111" s="4"/>
      <c r="L1111" s="5">
        <f t="shared" ca="1" si="96"/>
        <v>336.06969999999995</v>
      </c>
      <c r="M1111" s="5">
        <f t="shared" ca="1" si="96"/>
        <v>142.0401</v>
      </c>
      <c r="N1111" s="5">
        <f t="shared" ca="1" si="96"/>
        <v>58.217499999999994</v>
      </c>
      <c r="O1111" s="5">
        <f t="shared" ca="1" si="96"/>
        <v>4.4104999999999999</v>
      </c>
      <c r="P1111" s="5">
        <f t="shared" ca="1" si="96"/>
        <v>14.718800000000003</v>
      </c>
      <c r="Q1111" s="5">
        <f t="shared" ca="1" si="96"/>
        <v>231.81149999999997</v>
      </c>
      <c r="R1111" s="4"/>
      <c r="S1111" s="4"/>
    </row>
    <row r="1112" spans="1:19" ht="15" customHeight="1">
      <c r="A1112" s="3">
        <f t="shared" si="92"/>
        <v>2090</v>
      </c>
      <c r="B1112" s="4">
        <f t="shared" ca="1" si="95"/>
        <v>37.266983333333329</v>
      </c>
      <c r="C1112" s="4">
        <f t="shared" ca="1" si="95"/>
        <v>37.277433333333327</v>
      </c>
      <c r="D1112" s="4">
        <f t="shared" ca="1" si="95"/>
        <v>37.270791666666668</v>
      </c>
      <c r="E1112" s="4">
        <f t="shared" ca="1" si="95"/>
        <v>37.271916666666662</v>
      </c>
      <c r="F1112" s="4">
        <f t="shared" ca="1" si="95"/>
        <v>38.271058333333336</v>
      </c>
      <c r="G1112" s="4">
        <f t="shared" ca="1" si="95"/>
        <v>36.326450000000001</v>
      </c>
      <c r="H1112" s="4">
        <f t="shared" ca="1" si="95"/>
        <v>37.229291666666668</v>
      </c>
      <c r="I1112" s="4">
        <f t="shared" ca="1" si="95"/>
        <v>35.786166666666666</v>
      </c>
      <c r="J1112" s="4">
        <f t="shared" ca="1" si="95"/>
        <v>35.704466666666669</v>
      </c>
      <c r="K1112" s="4"/>
      <c r="L1112" s="5">
        <f t="shared" ca="1" si="96"/>
        <v>336.06969999999995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4.4104999999999999</v>
      </c>
      <c r="P1112" s="5">
        <f t="shared" ca="1" si="96"/>
        <v>14.718800000000003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2"/>
        <v>2091</v>
      </c>
      <c r="B1113" s="4">
        <f t="shared" ca="1" si="95"/>
        <v>38.48554166666667</v>
      </c>
      <c r="C1113" s="4">
        <f t="shared" ca="1" si="95"/>
        <v>38.495966666666668</v>
      </c>
      <c r="D1113" s="4">
        <f t="shared" ca="1" si="95"/>
        <v>38.489333333333335</v>
      </c>
      <c r="E1113" s="4">
        <f t="shared" ca="1" si="95"/>
        <v>38.490450000000003</v>
      </c>
      <c r="F1113" s="4">
        <f t="shared" ca="1" si="95"/>
        <v>39.489599999999996</v>
      </c>
      <c r="G1113" s="4">
        <f t="shared" ca="1" si="95"/>
        <v>37.514249999999997</v>
      </c>
      <c r="H1113" s="4">
        <f t="shared" ca="1" si="95"/>
        <v>38.417108333333331</v>
      </c>
      <c r="I1113" s="4">
        <f t="shared" ca="1" si="95"/>
        <v>36.954358333333325</v>
      </c>
      <c r="J1113" s="4">
        <f t="shared" ca="1" si="95"/>
        <v>36.87209166666667</v>
      </c>
      <c r="K1113" s="4"/>
      <c r="L1113" s="5">
        <f t="shared" ca="1" si="96"/>
        <v>336.06969999999995</v>
      </c>
      <c r="M1113" s="5">
        <f t="shared" ca="1" si="96"/>
        <v>142.0401</v>
      </c>
      <c r="N1113" s="5">
        <f t="shared" ca="1" si="96"/>
        <v>58.217499999999994</v>
      </c>
      <c r="O1113" s="5">
        <f t="shared" ca="1" si="96"/>
        <v>4.4104999999999999</v>
      </c>
      <c r="P1113" s="5">
        <f t="shared" ca="1" si="96"/>
        <v>14.718800000000003</v>
      </c>
      <c r="Q1113" s="5">
        <f t="shared" ca="1" si="96"/>
        <v>231.81149999999997</v>
      </c>
      <c r="R1113" s="4"/>
      <c r="S1113" s="4"/>
    </row>
    <row r="1114" spans="1:19" ht="15" customHeight="1">
      <c r="A1114" s="3">
        <f t="shared" si="92"/>
        <v>2092</v>
      </c>
      <c r="B1114" s="4">
        <f t="shared" ref="B1114:J1122" ca="1" si="97">AVERAGE(OFFSET(B$569,($A1114-$A$1084)*12,0,12,1))</f>
        <v>39.743925000000011</v>
      </c>
      <c r="C1114" s="4">
        <f t="shared" ca="1" si="97"/>
        <v>39.75436666666667</v>
      </c>
      <c r="D1114" s="4">
        <f t="shared" ca="1" si="97"/>
        <v>39.747725000000003</v>
      </c>
      <c r="E1114" s="4">
        <f t="shared" ca="1" si="97"/>
        <v>39.748849999999997</v>
      </c>
      <c r="F1114" s="4">
        <f t="shared" ca="1" si="97"/>
        <v>40.747999999999998</v>
      </c>
      <c r="G1114" s="4">
        <f t="shared" ca="1" si="97"/>
        <v>38.740883333333322</v>
      </c>
      <c r="H1114" s="4">
        <f t="shared" ca="1" si="97"/>
        <v>39.643733333333337</v>
      </c>
      <c r="I1114" s="4">
        <f t="shared" ca="1" si="97"/>
        <v>38.160741666666659</v>
      </c>
      <c r="J1114" s="4">
        <f t="shared" ca="1" si="97"/>
        <v>38.077858333333339</v>
      </c>
      <c r="K1114" s="4"/>
      <c r="L1114" s="5">
        <f t="shared" ref="L1114:Q1122" ca="1" si="98">SUM(OFFSET(L$569,($A1114-$A$1084)*12,0,12,1))</f>
        <v>336.95349999999996</v>
      </c>
      <c r="M1114" s="5">
        <f t="shared" ca="1" si="98"/>
        <v>142.42920000000001</v>
      </c>
      <c r="N1114" s="5">
        <f t="shared" ca="1" si="98"/>
        <v>58.377000000000002</v>
      </c>
      <c r="O1114" s="5">
        <f t="shared" ca="1" si="98"/>
        <v>4.4226000000000001</v>
      </c>
      <c r="P1114" s="5">
        <f t="shared" ca="1" si="98"/>
        <v>14.760600000000004</v>
      </c>
      <c r="Q1114" s="5">
        <f t="shared" ca="1" si="98"/>
        <v>232.44659999999996</v>
      </c>
      <c r="R1114" s="4"/>
      <c r="S1114" s="4"/>
    </row>
    <row r="1115" spans="1:19" ht="15" customHeight="1">
      <c r="A1115" s="3">
        <f t="shared" si="92"/>
        <v>2093</v>
      </c>
      <c r="B1115" s="4">
        <f t="shared" ca="1" si="97"/>
        <v>41.043466666666667</v>
      </c>
      <c r="C1115" s="4">
        <f t="shared" ca="1" si="97"/>
        <v>41.053891666666665</v>
      </c>
      <c r="D1115" s="4">
        <f t="shared" ca="1" si="97"/>
        <v>41.047274999999999</v>
      </c>
      <c r="E1115" s="4">
        <f t="shared" ca="1" si="97"/>
        <v>41.048391666666667</v>
      </c>
      <c r="F1115" s="4">
        <f t="shared" ca="1" si="97"/>
        <v>42.047550000000001</v>
      </c>
      <c r="G1115" s="4">
        <f t="shared" ca="1" si="97"/>
        <v>40.007658333333332</v>
      </c>
      <c r="H1115" s="4">
        <f t="shared" ca="1" si="97"/>
        <v>40.910499999999999</v>
      </c>
      <c r="I1115" s="4">
        <f t="shared" ca="1" si="97"/>
        <v>39.406600000000005</v>
      </c>
      <c r="J1115" s="4">
        <f t="shared" ca="1" si="97"/>
        <v>39.323091666666663</v>
      </c>
      <c r="K1115" s="4"/>
      <c r="L1115" s="5">
        <f t="shared" ca="1" si="98"/>
        <v>336.06969999999995</v>
      </c>
      <c r="M1115" s="5">
        <f t="shared" ca="1" si="98"/>
        <v>142.0401</v>
      </c>
      <c r="N1115" s="5">
        <f t="shared" ca="1" si="98"/>
        <v>58.217499999999994</v>
      </c>
      <c r="O1115" s="5">
        <f t="shared" ca="1" si="98"/>
        <v>4.4104999999999999</v>
      </c>
      <c r="P1115" s="5">
        <f t="shared" ca="1" si="98"/>
        <v>14.718800000000003</v>
      </c>
      <c r="Q1115" s="5">
        <f t="shared" ca="1" si="98"/>
        <v>231.81149999999997</v>
      </c>
      <c r="R1115" s="4"/>
      <c r="S1115" s="4"/>
    </row>
    <row r="1116" spans="1:19" ht="15" customHeight="1">
      <c r="A1116" s="3">
        <f t="shared" si="92"/>
        <v>2094</v>
      </c>
      <c r="B1116" s="4">
        <f t="shared" ca="1" si="97"/>
        <v>42.385508333333341</v>
      </c>
      <c r="C1116" s="4">
        <f t="shared" ca="1" si="97"/>
        <v>42.395966666666659</v>
      </c>
      <c r="D1116" s="4">
        <f t="shared" ca="1" si="97"/>
        <v>42.389316666666666</v>
      </c>
      <c r="E1116" s="4">
        <f t="shared" ca="1" si="97"/>
        <v>42.390433333333341</v>
      </c>
      <c r="F1116" s="4">
        <f t="shared" ca="1" si="97"/>
        <v>43.389600000000002</v>
      </c>
      <c r="G1116" s="4">
        <f t="shared" ca="1" si="97"/>
        <v>41.31583333333333</v>
      </c>
      <c r="H1116" s="4">
        <f t="shared" ca="1" si="97"/>
        <v>42.218683333333331</v>
      </c>
      <c r="I1116" s="4">
        <f t="shared" ca="1" si="97"/>
        <v>40.693191666666671</v>
      </c>
      <c r="J1116" s="4">
        <f t="shared" ca="1" si="97"/>
        <v>40.609041666666663</v>
      </c>
      <c r="K1116" s="4"/>
      <c r="L1116" s="5">
        <f t="shared" ca="1" si="98"/>
        <v>336.06969999999995</v>
      </c>
      <c r="M1116" s="5">
        <f t="shared" ca="1" si="98"/>
        <v>142.0401</v>
      </c>
      <c r="N1116" s="5">
        <f t="shared" ca="1" si="98"/>
        <v>58.217499999999994</v>
      </c>
      <c r="O1116" s="5">
        <f t="shared" ca="1" si="98"/>
        <v>4.4104999999999999</v>
      </c>
      <c r="P1116" s="5">
        <f t="shared" ca="1" si="98"/>
        <v>14.718800000000003</v>
      </c>
      <c r="Q1116" s="5">
        <f t="shared" ca="1" si="98"/>
        <v>231.81149999999997</v>
      </c>
      <c r="R1116" s="4"/>
      <c r="S1116" s="4"/>
    </row>
    <row r="1117" spans="1:19" ht="15" customHeight="1">
      <c r="A1117" s="3">
        <f t="shared" si="92"/>
        <v>2095</v>
      </c>
      <c r="B1117" s="4">
        <f t="shared" ca="1" si="97"/>
        <v>43.771458333333328</v>
      </c>
      <c r="C1117" s="4">
        <f t="shared" ca="1" si="97"/>
        <v>43.781883333333326</v>
      </c>
      <c r="D1117" s="4">
        <f t="shared" ca="1" si="97"/>
        <v>43.77525</v>
      </c>
      <c r="E1117" s="4">
        <f t="shared" ca="1" si="97"/>
        <v>43.776366666666668</v>
      </c>
      <c r="F1117" s="4">
        <f t="shared" ca="1" si="97"/>
        <v>44.775533333333328</v>
      </c>
      <c r="G1117" s="4">
        <f t="shared" ca="1" si="97"/>
        <v>42.666800000000002</v>
      </c>
      <c r="H1117" s="4">
        <f t="shared" ca="1" si="97"/>
        <v>43.569658333333336</v>
      </c>
      <c r="I1117" s="4">
        <f t="shared" ca="1" si="97"/>
        <v>42.021850000000001</v>
      </c>
      <c r="J1117" s="4">
        <f t="shared" ca="1" si="97"/>
        <v>41.937041666666666</v>
      </c>
      <c r="K1117" s="4"/>
      <c r="L1117" s="5">
        <f t="shared" ca="1" si="98"/>
        <v>336.06969999999995</v>
      </c>
      <c r="M1117" s="5">
        <f t="shared" ca="1" si="98"/>
        <v>142.0401</v>
      </c>
      <c r="N1117" s="5">
        <f t="shared" ca="1" si="98"/>
        <v>58.217499999999994</v>
      </c>
      <c r="O1117" s="5">
        <f t="shared" ca="1" si="98"/>
        <v>4.4104999999999999</v>
      </c>
      <c r="P1117" s="5">
        <f t="shared" ca="1" si="98"/>
        <v>14.718800000000003</v>
      </c>
      <c r="Q1117" s="5">
        <f t="shared" ca="1" si="98"/>
        <v>231.81149999999997</v>
      </c>
      <c r="R1117" s="4"/>
      <c r="S1117" s="4"/>
    </row>
    <row r="1118" spans="1:19" ht="15" customHeight="1">
      <c r="A1118" s="3">
        <f t="shared" si="92"/>
        <v>2096</v>
      </c>
      <c r="B1118" s="4">
        <f t="shared" ca="1" si="97"/>
        <v>45.202708333333334</v>
      </c>
      <c r="C1118" s="4">
        <f t="shared" ca="1" si="97"/>
        <v>45.213150000000006</v>
      </c>
      <c r="D1118" s="4">
        <f t="shared" ca="1" si="97"/>
        <v>45.206524999999999</v>
      </c>
      <c r="E1118" s="4">
        <f t="shared" ca="1" si="97"/>
        <v>45.207641666666667</v>
      </c>
      <c r="F1118" s="4">
        <f t="shared" ca="1" si="97"/>
        <v>46.206783333333334</v>
      </c>
      <c r="G1118" s="4">
        <f t="shared" ca="1" si="97"/>
        <v>44.061950000000003</v>
      </c>
      <c r="H1118" s="4">
        <f t="shared" ca="1" si="97"/>
        <v>44.964799999999997</v>
      </c>
      <c r="I1118" s="4">
        <f t="shared" ca="1" si="97"/>
        <v>43.393975000000005</v>
      </c>
      <c r="J1118" s="4">
        <f t="shared" ca="1" si="97"/>
        <v>43.308466666666668</v>
      </c>
      <c r="K1118" s="4"/>
      <c r="L1118" s="5">
        <f t="shared" ca="1" si="98"/>
        <v>336.95349999999996</v>
      </c>
      <c r="M1118" s="5">
        <f t="shared" ca="1" si="98"/>
        <v>142.42920000000001</v>
      </c>
      <c r="N1118" s="5">
        <f t="shared" ca="1" si="98"/>
        <v>58.377000000000002</v>
      </c>
      <c r="O1118" s="5">
        <f t="shared" ca="1" si="98"/>
        <v>4.4226000000000001</v>
      </c>
      <c r="P1118" s="5">
        <f t="shared" ca="1" si="98"/>
        <v>14.760600000000004</v>
      </c>
      <c r="Q1118" s="5">
        <f t="shared" ca="1" si="98"/>
        <v>232.44659999999996</v>
      </c>
      <c r="R1118" s="4"/>
      <c r="S1118" s="4"/>
    </row>
    <row r="1119" spans="1:19" ht="15" customHeight="1">
      <c r="A1119" s="3">
        <f t="shared" si="92"/>
        <v>2097</v>
      </c>
      <c r="B1119" s="4">
        <f t="shared" ca="1" si="97"/>
        <v>46.680783333333331</v>
      </c>
      <c r="C1119" s="4">
        <f t="shared" ca="1" si="97"/>
        <v>46.691208333333343</v>
      </c>
      <c r="D1119" s="4">
        <f t="shared" ca="1" si="97"/>
        <v>46.684566666666662</v>
      </c>
      <c r="E1119" s="4">
        <f t="shared" ca="1" si="97"/>
        <v>46.685691666666663</v>
      </c>
      <c r="F1119" s="4">
        <f t="shared" ca="1" si="97"/>
        <v>47.684858333333324</v>
      </c>
      <c r="G1119" s="4">
        <f t="shared" ca="1" si="97"/>
        <v>45.502741666666672</v>
      </c>
      <c r="H1119" s="4">
        <f t="shared" ca="1" si="97"/>
        <v>46.405574999999999</v>
      </c>
      <c r="I1119" s="4">
        <f t="shared" ca="1" si="97"/>
        <v>44.810966666666666</v>
      </c>
      <c r="J1119" s="4">
        <f t="shared" ca="1" si="97"/>
        <v>44.72476666666666</v>
      </c>
      <c r="K1119" s="4"/>
      <c r="L1119" s="5">
        <f t="shared" ca="1" si="98"/>
        <v>336.06969999999995</v>
      </c>
      <c r="M1119" s="5">
        <f t="shared" ca="1" si="98"/>
        <v>142.0401</v>
      </c>
      <c r="N1119" s="5">
        <f t="shared" ca="1" si="98"/>
        <v>58.217499999999994</v>
      </c>
      <c r="O1119" s="5">
        <f t="shared" ca="1" si="98"/>
        <v>4.4104999999999999</v>
      </c>
      <c r="P1119" s="5">
        <f t="shared" ca="1" si="98"/>
        <v>14.718800000000003</v>
      </c>
      <c r="Q1119" s="5">
        <f t="shared" ca="1" si="98"/>
        <v>231.81149999999997</v>
      </c>
      <c r="R1119" s="4"/>
      <c r="S1119" s="4"/>
    </row>
    <row r="1120" spans="1:19" ht="15" customHeight="1">
      <c r="A1120" s="3">
        <f t="shared" si="92"/>
        <v>2098</v>
      </c>
      <c r="B1120" s="4">
        <f t="shared" ca="1" si="97"/>
        <v>48.207166666666666</v>
      </c>
      <c r="C1120" s="4">
        <f t="shared" ca="1" si="97"/>
        <v>48.217616666666679</v>
      </c>
      <c r="D1120" s="4">
        <f t="shared" ca="1" si="97"/>
        <v>48.211000000000006</v>
      </c>
      <c r="E1120" s="4">
        <f t="shared" ca="1" si="97"/>
        <v>48.2121</v>
      </c>
      <c r="F1120" s="4">
        <f t="shared" ca="1" si="97"/>
        <v>49.21125</v>
      </c>
      <c r="G1120" s="4">
        <f t="shared" ca="1" si="97"/>
        <v>46.990641666666676</v>
      </c>
      <c r="H1120" s="4">
        <f t="shared" ca="1" si="97"/>
        <v>47.893466666666662</v>
      </c>
      <c r="I1120" s="4">
        <f t="shared" ca="1" si="97"/>
        <v>46.27430833333333</v>
      </c>
      <c r="J1120" s="4">
        <f t="shared" ca="1" si="97"/>
        <v>46.187366666666669</v>
      </c>
      <c r="K1120" s="4"/>
      <c r="L1120" s="5">
        <f t="shared" ca="1" si="98"/>
        <v>336.06969999999995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4.4104999999999999</v>
      </c>
      <c r="P1120" s="5">
        <f t="shared" ca="1" si="98"/>
        <v>14.718800000000003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2"/>
        <v>2099</v>
      </c>
      <c r="B1121" s="4">
        <f t="shared" ca="1" si="97"/>
        <v>49.783483333333329</v>
      </c>
      <c r="C1121" s="4">
        <f t="shared" ca="1" si="97"/>
        <v>49.793949999999995</v>
      </c>
      <c r="D1121" s="4">
        <f t="shared" ca="1" si="97"/>
        <v>49.787308333333328</v>
      </c>
      <c r="E1121" s="4">
        <f t="shared" ca="1" si="97"/>
        <v>49.788441666666671</v>
      </c>
      <c r="F1121" s="4">
        <f t="shared" ca="1" si="97"/>
        <v>50.787583333333338</v>
      </c>
      <c r="G1121" s="4">
        <f t="shared" ca="1" si="97"/>
        <v>48.52719166666666</v>
      </c>
      <c r="H1121" s="4">
        <f t="shared" ca="1" si="97"/>
        <v>49.430024999999993</v>
      </c>
      <c r="I1121" s="4">
        <f t="shared" ca="1" si="97"/>
        <v>47.785474999999998</v>
      </c>
      <c r="J1121" s="4">
        <f t="shared" ca="1" si="97"/>
        <v>47.697791666666667</v>
      </c>
      <c r="K1121" s="4"/>
      <c r="L1121" s="5">
        <f t="shared" ca="1" si="98"/>
        <v>336.06969999999995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4.4104999999999999</v>
      </c>
      <c r="P1121" s="5">
        <f t="shared" ca="1" si="98"/>
        <v>14.718800000000003</v>
      </c>
      <c r="Q1121" s="5">
        <f t="shared" ca="1" si="98"/>
        <v>231.81149999999997</v>
      </c>
      <c r="R1121" s="4"/>
      <c r="S1121" s="4"/>
    </row>
    <row r="1122" spans="1:19" ht="15" customHeight="1">
      <c r="A1122" s="3">
        <f t="shared" si="92"/>
        <v>2100</v>
      </c>
      <c r="B1122" s="4">
        <f t="shared" ca="1" si="97"/>
        <v>51.411383333333333</v>
      </c>
      <c r="C1122" s="4">
        <f t="shared" ca="1" si="97"/>
        <v>51.421825000000005</v>
      </c>
      <c r="D1122" s="4">
        <f t="shared" ca="1" si="97"/>
        <v>51.415183333333324</v>
      </c>
      <c r="E1122" s="4">
        <f t="shared" ca="1" si="97"/>
        <v>51.4163</v>
      </c>
      <c r="F1122" s="4">
        <f t="shared" ca="1" si="97"/>
        <v>52.415458333333333</v>
      </c>
      <c r="G1122" s="4">
        <f t="shared" ca="1" si="97"/>
        <v>50.113991666666671</v>
      </c>
      <c r="H1122" s="4">
        <f t="shared" ca="1" si="97"/>
        <v>51.016833333333331</v>
      </c>
      <c r="I1122" s="4">
        <f t="shared" ca="1" si="97"/>
        <v>49.346091666666666</v>
      </c>
      <c r="J1122" s="4">
        <f t="shared" ca="1" si="97"/>
        <v>49.257624999999997</v>
      </c>
      <c r="K1122" s="4"/>
      <c r="L1122" s="5">
        <f t="shared" ca="1" si="98"/>
        <v>336.06969999999995</v>
      </c>
      <c r="M1122" s="5">
        <f t="shared" ca="1" si="98"/>
        <v>142.0401</v>
      </c>
      <c r="N1122" s="5">
        <f t="shared" ca="1" si="98"/>
        <v>58.217499999999994</v>
      </c>
      <c r="O1122" s="5">
        <f t="shared" ca="1" si="98"/>
        <v>4.4104999999999999</v>
      </c>
      <c r="P1122" s="5">
        <f t="shared" ca="1" si="98"/>
        <v>14.718800000000003</v>
      </c>
      <c r="Q1122" s="5">
        <f t="shared" ca="1" si="98"/>
        <v>231.81149999999997</v>
      </c>
      <c r="R1122" s="4"/>
      <c r="S1122" s="4"/>
    </row>
    <row r="1123" spans="1:19">
      <c r="A1123" s="3"/>
    </row>
    <row r="1124" spans="1:19">
      <c r="A1124" s="3"/>
    </row>
    <row r="1125" spans="1:19">
      <c r="A1125" s="3"/>
    </row>
    <row r="1126" spans="1:19">
      <c r="A1126" s="3"/>
    </row>
    <row r="1127" spans="1:19">
      <c r="A1127" s="3"/>
    </row>
    <row r="1128" spans="1:19">
      <c r="A1128" s="3"/>
    </row>
    <row r="1129" spans="1:19">
      <c r="A1129" s="3"/>
    </row>
    <row r="1130" spans="1:19">
      <c r="A1130" s="3"/>
    </row>
    <row r="1131" spans="1:19">
      <c r="A1131" s="3"/>
    </row>
    <row r="1132" spans="1:19">
      <c r="A1132" s="3"/>
    </row>
    <row r="1133" spans="1:19">
      <c r="A1133" s="3"/>
    </row>
    <row r="1134" spans="1:19">
      <c r="A1134" s="3"/>
    </row>
    <row r="1135" spans="1:19">
      <c r="A1135" s="3"/>
    </row>
    <row r="1136" spans="1:19">
      <c r="A1136" s="3"/>
    </row>
    <row r="1137" spans="1:1">
      <c r="A1137" s="3"/>
    </row>
  </sheetData>
  <mergeCells count="2">
    <mergeCell ref="L13:S13"/>
    <mergeCell ref="L14:S14"/>
  </mergeCells>
  <pageMargins left="0.25" right="0.25" top="0.5" bottom="0.5" header="0.25" footer="0.25"/>
  <pageSetup paperSize="119" scale="90" orientation="landscape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42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7.88671875" style="30" customWidth="1"/>
    <col min="3" max="7" width="11.33203125" style="29" customWidth="1"/>
    <col min="8" max="8" width="12.77734375" style="29" bestFit="1" customWidth="1"/>
    <col min="9" max="9" width="13.21875" style="29" customWidth="1"/>
    <col min="10" max="10" width="12.77734375" style="29" customWidth="1"/>
    <col min="11" max="11" width="7.77734375" style="29" customWidth="1"/>
    <col min="12" max="16384" width="7.109375" style="29"/>
  </cols>
  <sheetData>
    <row r="1" spans="1:10" ht="15.75">
      <c r="A1" s="81" t="s">
        <v>64</v>
      </c>
    </row>
    <row r="2" spans="1:10" ht="15.75">
      <c r="A2" s="81" t="s">
        <v>65</v>
      </c>
    </row>
    <row r="3" spans="1:10" ht="15.75">
      <c r="A3" s="81" t="s">
        <v>66</v>
      </c>
    </row>
    <row r="4" spans="1:10" ht="15.75">
      <c r="A4" s="81" t="s">
        <v>67</v>
      </c>
    </row>
    <row r="5" spans="1:10" ht="15.75">
      <c r="A5" s="81" t="s">
        <v>69</v>
      </c>
    </row>
    <row r="6" spans="1:10" ht="15.75">
      <c r="A6" s="81" t="s">
        <v>70</v>
      </c>
    </row>
    <row r="8" spans="1:10" ht="20.25">
      <c r="A8" s="28" t="s">
        <v>35</v>
      </c>
    </row>
    <row r="9" spans="1:10" ht="15.75">
      <c r="A9" s="27" t="s">
        <v>25</v>
      </c>
    </row>
    <row r="11" spans="1:10">
      <c r="A11" s="29"/>
    </row>
    <row r="12" spans="1:10" ht="15.75">
      <c r="A12" s="29"/>
      <c r="B12" s="27"/>
      <c r="C12" s="50"/>
      <c r="I12" s="21"/>
    </row>
    <row r="13" spans="1:10" ht="15.75">
      <c r="A13" s="27"/>
      <c r="B13" s="27"/>
      <c r="C13" s="50"/>
      <c r="I13" s="21"/>
    </row>
    <row r="14" spans="1:10" ht="15.75">
      <c r="A14" s="27"/>
      <c r="C14" s="83" t="s">
        <v>34</v>
      </c>
      <c r="D14" s="83"/>
      <c r="E14" s="83"/>
      <c r="F14" s="49"/>
      <c r="G14" s="48"/>
      <c r="H14" s="47"/>
      <c r="I14" s="46"/>
    </row>
    <row r="15" spans="1:10" ht="97.9" customHeight="1">
      <c r="A15" s="15"/>
      <c r="B15" s="15"/>
      <c r="C15" s="18" t="s">
        <v>20</v>
      </c>
      <c r="D15" s="45" t="s">
        <v>19</v>
      </c>
      <c r="E15" s="18" t="s">
        <v>33</v>
      </c>
      <c r="F15" s="18" t="s">
        <v>32</v>
      </c>
      <c r="G15" s="18" t="s">
        <v>16</v>
      </c>
      <c r="H15" s="44" t="s">
        <v>31</v>
      </c>
      <c r="I15" s="18" t="s">
        <v>30</v>
      </c>
      <c r="J15" s="18" t="s">
        <v>29</v>
      </c>
    </row>
    <row r="16" spans="1:10" ht="15.75">
      <c r="A16" s="17" t="s">
        <v>2</v>
      </c>
      <c r="B16" s="17" t="s">
        <v>28</v>
      </c>
      <c r="C16" s="17" t="s">
        <v>27</v>
      </c>
      <c r="D16" s="17" t="s">
        <v>27</v>
      </c>
      <c r="E16" s="17" t="s">
        <v>27</v>
      </c>
      <c r="F16" s="17" t="s">
        <v>27</v>
      </c>
      <c r="G16" s="17" t="s">
        <v>27</v>
      </c>
      <c r="H16" s="43" t="s">
        <v>27</v>
      </c>
      <c r="I16" s="17" t="s">
        <v>27</v>
      </c>
      <c r="J16" s="17" t="s">
        <v>27</v>
      </c>
    </row>
    <row r="17" spans="1:20" ht="15.75">
      <c r="A17" s="13">
        <v>42370</v>
      </c>
      <c r="B17" s="41">
        <v>31</v>
      </c>
      <c r="C17" s="32">
        <v>122.58</v>
      </c>
      <c r="D17" s="32">
        <v>297.94099999999997</v>
      </c>
      <c r="E17" s="38">
        <v>729.47900000000004</v>
      </c>
      <c r="F17" s="32">
        <v>1150</v>
      </c>
      <c r="G17" s="32">
        <v>100</v>
      </c>
      <c r="H17" s="40"/>
      <c r="I17" s="32">
        <v>695</v>
      </c>
      <c r="J17" s="32">
        <v>50</v>
      </c>
      <c r="K17" s="33"/>
      <c r="L17" s="42"/>
      <c r="M17" s="33"/>
      <c r="N17" s="33"/>
      <c r="O17" s="33"/>
      <c r="P17" s="33"/>
      <c r="Q17" s="33"/>
      <c r="R17" s="33"/>
      <c r="S17" s="33"/>
      <c r="T17" s="33"/>
    </row>
    <row r="18" spans="1:20" ht="15.75">
      <c r="A18" s="13">
        <v>42401</v>
      </c>
      <c r="B18" s="41">
        <v>29</v>
      </c>
      <c r="C18" s="32">
        <v>122.58</v>
      </c>
      <c r="D18" s="32">
        <v>297.94099999999997</v>
      </c>
      <c r="E18" s="38">
        <v>729.47900000000004</v>
      </c>
      <c r="F18" s="32">
        <v>1150</v>
      </c>
      <c r="G18" s="32">
        <v>100</v>
      </c>
      <c r="H18" s="40"/>
      <c r="I18" s="32">
        <v>695</v>
      </c>
      <c r="J18" s="32">
        <v>50</v>
      </c>
      <c r="K18" s="33"/>
      <c r="L18" s="42"/>
      <c r="M18" s="33"/>
      <c r="N18" s="33"/>
      <c r="O18" s="33"/>
      <c r="P18" s="33"/>
      <c r="Q18" s="33"/>
      <c r="R18" s="33"/>
      <c r="S18" s="33"/>
      <c r="T18" s="33"/>
    </row>
    <row r="19" spans="1:20" ht="15.75">
      <c r="A19" s="13">
        <v>42430</v>
      </c>
      <c r="B19" s="41">
        <v>31</v>
      </c>
      <c r="C19" s="32">
        <v>122.58</v>
      </c>
      <c r="D19" s="32">
        <v>297.94099999999997</v>
      </c>
      <c r="E19" s="38">
        <v>729.47900000000004</v>
      </c>
      <c r="F19" s="32">
        <v>1150</v>
      </c>
      <c r="G19" s="32">
        <v>100</v>
      </c>
      <c r="H19" s="40"/>
      <c r="I19" s="32">
        <v>695</v>
      </c>
      <c r="J19" s="32">
        <v>50</v>
      </c>
      <c r="K19" s="33"/>
      <c r="L19" s="42"/>
      <c r="M19" s="33"/>
      <c r="N19" s="33"/>
      <c r="O19" s="33"/>
      <c r="P19" s="33"/>
      <c r="Q19" s="33"/>
      <c r="R19" s="33"/>
      <c r="S19" s="33"/>
      <c r="T19" s="33"/>
    </row>
    <row r="20" spans="1:20" ht="15.75">
      <c r="A20" s="13">
        <v>42461</v>
      </c>
      <c r="B20" s="41">
        <v>30</v>
      </c>
      <c r="C20" s="32">
        <v>141.29300000000001</v>
      </c>
      <c r="D20" s="32">
        <v>267.99299999999999</v>
      </c>
      <c r="E20" s="38">
        <v>829.71400000000006</v>
      </c>
      <c r="F20" s="32">
        <v>1239</v>
      </c>
      <c r="G20" s="32">
        <v>100</v>
      </c>
      <c r="H20" s="40"/>
      <c r="I20" s="32">
        <v>695</v>
      </c>
      <c r="J20" s="32">
        <v>50</v>
      </c>
      <c r="K20" s="33"/>
      <c r="L20" s="42"/>
      <c r="M20" s="33"/>
      <c r="N20" s="33"/>
      <c r="O20" s="33"/>
      <c r="P20" s="33"/>
      <c r="Q20" s="33"/>
      <c r="R20" s="33"/>
      <c r="S20" s="33"/>
      <c r="T20" s="33"/>
    </row>
    <row r="21" spans="1:20" ht="15.75">
      <c r="A21" s="13">
        <v>42491</v>
      </c>
      <c r="B21" s="41">
        <v>31</v>
      </c>
      <c r="C21" s="32">
        <v>194.20500000000001</v>
      </c>
      <c r="D21" s="32">
        <v>267.46600000000001</v>
      </c>
      <c r="E21" s="38">
        <v>932.32899999999995</v>
      </c>
      <c r="F21" s="32">
        <v>1394</v>
      </c>
      <c r="G21" s="32">
        <v>75</v>
      </c>
      <c r="H21" s="40"/>
      <c r="I21" s="32">
        <v>695</v>
      </c>
      <c r="J21" s="32">
        <v>50</v>
      </c>
      <c r="K21" s="33"/>
      <c r="L21" s="42"/>
      <c r="M21" s="33"/>
      <c r="N21" s="33"/>
      <c r="O21" s="33"/>
      <c r="P21" s="33"/>
      <c r="Q21" s="33"/>
      <c r="R21" s="33"/>
      <c r="S21" s="33"/>
      <c r="T21" s="33"/>
    </row>
    <row r="22" spans="1:20" ht="15.75">
      <c r="A22" s="13">
        <v>42522</v>
      </c>
      <c r="B22" s="41">
        <v>30</v>
      </c>
      <c r="C22" s="32">
        <v>194.20500000000001</v>
      </c>
      <c r="D22" s="32">
        <v>267.46600000000001</v>
      </c>
      <c r="E22" s="38">
        <v>932.32899999999995</v>
      </c>
      <c r="F22" s="32">
        <v>1394</v>
      </c>
      <c r="G22" s="32">
        <v>50</v>
      </c>
      <c r="H22" s="40"/>
      <c r="I22" s="32">
        <v>695</v>
      </c>
      <c r="J22" s="32">
        <v>50</v>
      </c>
      <c r="K22" s="33"/>
      <c r="L22" s="42"/>
      <c r="M22" s="33"/>
      <c r="N22" s="33"/>
      <c r="O22" s="33"/>
      <c r="P22" s="33"/>
      <c r="Q22" s="33"/>
      <c r="R22" s="33"/>
      <c r="S22" s="33"/>
      <c r="T22" s="33"/>
    </row>
    <row r="23" spans="1:20" ht="15.75">
      <c r="A23" s="13">
        <v>42552</v>
      </c>
      <c r="B23" s="41">
        <v>31</v>
      </c>
      <c r="C23" s="32">
        <v>194.20500000000001</v>
      </c>
      <c r="D23" s="32">
        <v>267.46600000000001</v>
      </c>
      <c r="E23" s="38">
        <v>932.32899999999995</v>
      </c>
      <c r="F23" s="32">
        <v>1394</v>
      </c>
      <c r="G23" s="32">
        <v>50</v>
      </c>
      <c r="H23" s="40"/>
      <c r="I23" s="32">
        <v>695</v>
      </c>
      <c r="J23" s="32">
        <v>0</v>
      </c>
      <c r="K23" s="33"/>
      <c r="L23" s="42"/>
      <c r="M23" s="33"/>
      <c r="N23" s="33"/>
      <c r="O23" s="33"/>
      <c r="P23" s="33"/>
      <c r="Q23" s="33"/>
      <c r="R23" s="33"/>
      <c r="S23" s="33"/>
      <c r="T23" s="33"/>
    </row>
    <row r="24" spans="1:20" ht="15.75">
      <c r="A24" s="13">
        <v>42583</v>
      </c>
      <c r="B24" s="41">
        <v>31</v>
      </c>
      <c r="C24" s="32">
        <v>194.20500000000001</v>
      </c>
      <c r="D24" s="32">
        <v>267.46600000000001</v>
      </c>
      <c r="E24" s="38">
        <v>932.32899999999995</v>
      </c>
      <c r="F24" s="32">
        <v>1394</v>
      </c>
      <c r="G24" s="32">
        <v>50</v>
      </c>
      <c r="H24" s="40"/>
      <c r="I24" s="32">
        <v>695</v>
      </c>
      <c r="J24" s="32">
        <v>0</v>
      </c>
      <c r="K24" s="33"/>
      <c r="L24" s="42"/>
      <c r="M24" s="33"/>
      <c r="N24" s="33"/>
      <c r="O24" s="33"/>
      <c r="P24" s="33"/>
      <c r="Q24" s="33"/>
      <c r="R24" s="33"/>
      <c r="S24" s="33"/>
      <c r="T24" s="33"/>
    </row>
    <row r="25" spans="1:20" ht="15.75">
      <c r="A25" s="13">
        <v>42614</v>
      </c>
      <c r="B25" s="41">
        <v>30</v>
      </c>
      <c r="C25" s="32">
        <v>194.20500000000001</v>
      </c>
      <c r="D25" s="32">
        <v>267.46600000000001</v>
      </c>
      <c r="E25" s="38">
        <v>932.32899999999995</v>
      </c>
      <c r="F25" s="32">
        <v>1394</v>
      </c>
      <c r="G25" s="32">
        <v>50</v>
      </c>
      <c r="H25" s="40"/>
      <c r="I25" s="32">
        <v>695</v>
      </c>
      <c r="J25" s="32">
        <v>0</v>
      </c>
      <c r="K25" s="33"/>
      <c r="L25" s="42"/>
      <c r="M25" s="33"/>
      <c r="N25" s="33"/>
      <c r="O25" s="33"/>
      <c r="P25" s="33"/>
      <c r="Q25" s="33"/>
      <c r="R25" s="33"/>
      <c r="S25" s="33"/>
      <c r="T25" s="33"/>
    </row>
    <row r="26" spans="1:20" ht="15.75">
      <c r="A26" s="13">
        <v>42644</v>
      </c>
      <c r="B26" s="41">
        <v>31</v>
      </c>
      <c r="C26" s="32">
        <v>131.881</v>
      </c>
      <c r="D26" s="32">
        <v>277.16699999999997</v>
      </c>
      <c r="E26" s="38">
        <v>949.952</v>
      </c>
      <c r="F26" s="32">
        <v>1359</v>
      </c>
      <c r="G26" s="32">
        <v>75</v>
      </c>
      <c r="H26" s="40"/>
      <c r="I26" s="32">
        <v>695</v>
      </c>
      <c r="J26" s="32">
        <v>0</v>
      </c>
      <c r="K26" s="33"/>
      <c r="L26" s="42"/>
      <c r="M26" s="33"/>
      <c r="N26" s="33"/>
      <c r="O26" s="33"/>
      <c r="P26" s="33"/>
      <c r="Q26" s="33"/>
      <c r="R26" s="33"/>
      <c r="S26" s="33"/>
      <c r="T26" s="33"/>
    </row>
    <row r="27" spans="1:20" ht="15.75">
      <c r="A27" s="13">
        <v>42675</v>
      </c>
      <c r="B27" s="41">
        <v>30</v>
      </c>
      <c r="C27" s="32">
        <v>122.58</v>
      </c>
      <c r="D27" s="32">
        <v>297.94099999999997</v>
      </c>
      <c r="E27" s="38">
        <v>729.47900000000004</v>
      </c>
      <c r="F27" s="32">
        <v>1150</v>
      </c>
      <c r="G27" s="32">
        <v>100</v>
      </c>
      <c r="H27" s="40"/>
      <c r="I27" s="32">
        <v>695</v>
      </c>
      <c r="J27" s="32">
        <v>50</v>
      </c>
      <c r="K27" s="33"/>
      <c r="L27" s="42"/>
      <c r="M27" s="33"/>
      <c r="N27" s="33"/>
      <c r="O27" s="33"/>
      <c r="P27" s="33"/>
      <c r="Q27" s="33"/>
      <c r="R27" s="33"/>
      <c r="S27" s="33"/>
      <c r="T27" s="33"/>
    </row>
    <row r="28" spans="1:20" ht="15.75">
      <c r="A28" s="13">
        <v>42705</v>
      </c>
      <c r="B28" s="41">
        <v>31</v>
      </c>
      <c r="C28" s="32">
        <v>122.58</v>
      </c>
      <c r="D28" s="32">
        <v>297.94099999999997</v>
      </c>
      <c r="E28" s="38">
        <v>729.47900000000004</v>
      </c>
      <c r="F28" s="32">
        <v>1150</v>
      </c>
      <c r="G28" s="32">
        <v>100</v>
      </c>
      <c r="H28" s="40"/>
      <c r="I28" s="32">
        <v>695</v>
      </c>
      <c r="J28" s="32">
        <v>50</v>
      </c>
      <c r="K28" s="33"/>
      <c r="L28" s="42"/>
      <c r="M28" s="33"/>
      <c r="N28" s="33"/>
      <c r="O28" s="33"/>
      <c r="P28" s="33"/>
      <c r="Q28" s="33"/>
      <c r="R28" s="33"/>
      <c r="S28" s="33"/>
      <c r="T28" s="33"/>
    </row>
    <row r="29" spans="1:20" ht="15.75">
      <c r="A29" s="13">
        <v>42736</v>
      </c>
      <c r="B29" s="41">
        <v>31</v>
      </c>
      <c r="C29" s="32">
        <v>122.58</v>
      </c>
      <c r="D29" s="32">
        <v>297.94099999999997</v>
      </c>
      <c r="E29" s="38">
        <v>729.47900000000004</v>
      </c>
      <c r="F29" s="32">
        <v>1150</v>
      </c>
      <c r="G29" s="32">
        <v>100</v>
      </c>
      <c r="H29" s="40"/>
      <c r="I29" s="32">
        <v>695</v>
      </c>
      <c r="J29" s="32">
        <v>50</v>
      </c>
      <c r="K29" s="33"/>
      <c r="L29" s="42"/>
      <c r="M29" s="33"/>
      <c r="N29" s="33"/>
      <c r="O29" s="33"/>
      <c r="P29" s="33"/>
      <c r="Q29" s="33"/>
      <c r="R29" s="33"/>
      <c r="S29" s="33"/>
      <c r="T29" s="33"/>
    </row>
    <row r="30" spans="1:20" ht="15.75">
      <c r="A30" s="13">
        <v>42767</v>
      </c>
      <c r="B30" s="41">
        <v>28</v>
      </c>
      <c r="C30" s="32">
        <v>122.58</v>
      </c>
      <c r="D30" s="32">
        <v>297.94099999999997</v>
      </c>
      <c r="E30" s="38">
        <v>729.47900000000004</v>
      </c>
      <c r="F30" s="32">
        <v>1150</v>
      </c>
      <c r="G30" s="32">
        <v>100</v>
      </c>
      <c r="H30" s="40"/>
      <c r="I30" s="32">
        <v>695</v>
      </c>
      <c r="J30" s="32">
        <v>50</v>
      </c>
      <c r="K30" s="33"/>
      <c r="L30" s="42"/>
      <c r="M30" s="33"/>
      <c r="N30" s="33"/>
      <c r="O30" s="33"/>
      <c r="P30" s="33"/>
      <c r="Q30" s="33"/>
      <c r="R30" s="33"/>
      <c r="S30" s="33"/>
      <c r="T30" s="33"/>
    </row>
    <row r="31" spans="1:20" ht="15.75">
      <c r="A31" s="13">
        <v>42795</v>
      </c>
      <c r="B31" s="41">
        <v>31</v>
      </c>
      <c r="C31" s="32">
        <v>122.58</v>
      </c>
      <c r="D31" s="32">
        <v>297.94099999999997</v>
      </c>
      <c r="E31" s="38">
        <v>729.47900000000004</v>
      </c>
      <c r="F31" s="32">
        <v>1150</v>
      </c>
      <c r="G31" s="32">
        <v>100</v>
      </c>
      <c r="H31" s="40"/>
      <c r="I31" s="32">
        <v>695</v>
      </c>
      <c r="J31" s="32">
        <v>50</v>
      </c>
      <c r="K31" s="33"/>
      <c r="L31" s="42"/>
      <c r="M31" s="33"/>
      <c r="N31" s="33"/>
      <c r="O31" s="33"/>
      <c r="P31" s="33"/>
      <c r="Q31" s="33"/>
      <c r="R31" s="33"/>
      <c r="S31" s="33"/>
      <c r="T31" s="33"/>
    </row>
    <row r="32" spans="1:20" ht="15.75">
      <c r="A32" s="13">
        <v>42826</v>
      </c>
      <c r="B32" s="41">
        <v>30</v>
      </c>
      <c r="C32" s="32">
        <v>141.29300000000001</v>
      </c>
      <c r="D32" s="32">
        <v>267.99299999999999</v>
      </c>
      <c r="E32" s="38">
        <v>829.71400000000006</v>
      </c>
      <c r="F32" s="32">
        <v>1239</v>
      </c>
      <c r="G32" s="32">
        <v>100</v>
      </c>
      <c r="H32" s="40"/>
      <c r="I32" s="32">
        <v>695</v>
      </c>
      <c r="J32" s="32">
        <v>50</v>
      </c>
      <c r="K32" s="33"/>
      <c r="L32" s="42"/>
      <c r="M32" s="33"/>
      <c r="N32" s="33"/>
      <c r="O32" s="33"/>
      <c r="P32" s="33"/>
      <c r="Q32" s="33"/>
      <c r="R32" s="33"/>
      <c r="S32" s="33"/>
      <c r="T32" s="33"/>
    </row>
    <row r="33" spans="1:20" ht="15.75">
      <c r="A33" s="13">
        <v>42856</v>
      </c>
      <c r="B33" s="41">
        <v>31</v>
      </c>
      <c r="C33" s="32">
        <v>194.20500000000001</v>
      </c>
      <c r="D33" s="32">
        <v>267.46600000000001</v>
      </c>
      <c r="E33" s="38">
        <v>812.32899999999995</v>
      </c>
      <c r="F33" s="32">
        <v>1274</v>
      </c>
      <c r="G33" s="32">
        <v>75</v>
      </c>
      <c r="H33" s="40">
        <v>400</v>
      </c>
      <c r="I33" s="32">
        <v>695</v>
      </c>
      <c r="J33" s="32">
        <v>50</v>
      </c>
      <c r="K33" s="33"/>
      <c r="L33" s="42"/>
      <c r="M33" s="33"/>
      <c r="N33" s="33"/>
      <c r="O33" s="33"/>
      <c r="P33" s="33"/>
      <c r="Q33" s="33"/>
      <c r="R33" s="33"/>
      <c r="S33" s="33"/>
      <c r="T33" s="33"/>
    </row>
    <row r="34" spans="1:20" ht="15.75">
      <c r="A34" s="13">
        <v>42887</v>
      </c>
      <c r="B34" s="41">
        <v>30</v>
      </c>
      <c r="C34" s="32">
        <v>194.20500000000001</v>
      </c>
      <c r="D34" s="32">
        <v>267.46600000000001</v>
      </c>
      <c r="E34" s="38">
        <v>812.32899999999995</v>
      </c>
      <c r="F34" s="32">
        <v>1274</v>
      </c>
      <c r="G34" s="32">
        <v>50</v>
      </c>
      <c r="H34" s="40">
        <v>400</v>
      </c>
      <c r="I34" s="32">
        <v>695</v>
      </c>
      <c r="J34" s="32">
        <v>50</v>
      </c>
      <c r="K34" s="33"/>
      <c r="L34" s="42"/>
      <c r="M34" s="33"/>
      <c r="N34" s="33"/>
      <c r="O34" s="33"/>
      <c r="P34" s="33"/>
      <c r="Q34" s="33"/>
      <c r="R34" s="33"/>
      <c r="S34" s="33"/>
      <c r="T34" s="33"/>
    </row>
    <row r="35" spans="1:20" ht="15.75">
      <c r="A35" s="13">
        <v>42917</v>
      </c>
      <c r="B35" s="41">
        <v>31</v>
      </c>
      <c r="C35" s="32">
        <v>194.20500000000001</v>
      </c>
      <c r="D35" s="32">
        <v>267.46600000000001</v>
      </c>
      <c r="E35" s="38">
        <v>812.32899999999995</v>
      </c>
      <c r="F35" s="32">
        <v>1274</v>
      </c>
      <c r="G35" s="32">
        <v>50</v>
      </c>
      <c r="H35" s="40">
        <v>400</v>
      </c>
      <c r="I35" s="32">
        <v>695</v>
      </c>
      <c r="J35" s="32">
        <v>0</v>
      </c>
      <c r="K35" s="33"/>
      <c r="L35" s="42"/>
      <c r="M35" s="33"/>
      <c r="N35" s="33"/>
      <c r="O35" s="33"/>
      <c r="P35" s="33"/>
      <c r="Q35" s="33"/>
      <c r="R35" s="33"/>
      <c r="S35" s="33"/>
      <c r="T35" s="33"/>
    </row>
    <row r="36" spans="1:20" ht="15.75">
      <c r="A36" s="13">
        <v>42948</v>
      </c>
      <c r="B36" s="41">
        <v>31</v>
      </c>
      <c r="C36" s="32">
        <v>194.20500000000001</v>
      </c>
      <c r="D36" s="32">
        <v>267.46600000000001</v>
      </c>
      <c r="E36" s="38">
        <v>812.32899999999995</v>
      </c>
      <c r="F36" s="32">
        <v>1274</v>
      </c>
      <c r="G36" s="32">
        <v>50</v>
      </c>
      <c r="H36" s="40">
        <v>400</v>
      </c>
      <c r="I36" s="32">
        <v>695</v>
      </c>
      <c r="J36" s="32">
        <v>0</v>
      </c>
      <c r="K36" s="33"/>
      <c r="L36" s="42"/>
      <c r="M36" s="33"/>
      <c r="N36" s="33"/>
      <c r="O36" s="33"/>
      <c r="P36" s="33"/>
      <c r="Q36" s="33"/>
      <c r="R36" s="33"/>
      <c r="S36" s="33"/>
      <c r="T36" s="33"/>
    </row>
    <row r="37" spans="1:20" ht="15.75">
      <c r="A37" s="13">
        <v>42979</v>
      </c>
      <c r="B37" s="41">
        <v>30</v>
      </c>
      <c r="C37" s="32">
        <v>194.20500000000001</v>
      </c>
      <c r="D37" s="32">
        <v>267.46600000000001</v>
      </c>
      <c r="E37" s="38">
        <v>812.32899999999995</v>
      </c>
      <c r="F37" s="32">
        <v>1274</v>
      </c>
      <c r="G37" s="32">
        <v>50</v>
      </c>
      <c r="H37" s="40">
        <v>400</v>
      </c>
      <c r="I37" s="32">
        <v>695</v>
      </c>
      <c r="J37" s="32">
        <v>0</v>
      </c>
      <c r="K37" s="33"/>
      <c r="L37" s="42"/>
      <c r="M37" s="33"/>
      <c r="N37" s="33"/>
      <c r="O37" s="33"/>
      <c r="P37" s="33"/>
      <c r="Q37" s="33"/>
      <c r="R37" s="33"/>
      <c r="S37" s="33"/>
      <c r="T37" s="33"/>
    </row>
    <row r="38" spans="1:20" ht="15.75">
      <c r="A38" s="13">
        <v>43009</v>
      </c>
      <c r="B38" s="41">
        <v>31</v>
      </c>
      <c r="C38" s="32">
        <v>131.881</v>
      </c>
      <c r="D38" s="32">
        <v>277.16699999999997</v>
      </c>
      <c r="E38" s="38">
        <v>829.952</v>
      </c>
      <c r="F38" s="32">
        <v>1239</v>
      </c>
      <c r="G38" s="32">
        <v>75</v>
      </c>
      <c r="H38" s="40">
        <v>400</v>
      </c>
      <c r="I38" s="32">
        <v>695</v>
      </c>
      <c r="J38" s="32">
        <v>0</v>
      </c>
      <c r="K38" s="33"/>
      <c r="L38" s="42"/>
      <c r="M38" s="33"/>
      <c r="N38" s="33"/>
      <c r="O38" s="33"/>
      <c r="P38" s="33"/>
      <c r="Q38" s="33"/>
      <c r="R38" s="33"/>
      <c r="S38" s="33"/>
      <c r="T38" s="33"/>
    </row>
    <row r="39" spans="1:20" ht="15.75">
      <c r="A39" s="13">
        <v>43040</v>
      </c>
      <c r="B39" s="41">
        <v>30</v>
      </c>
      <c r="C39" s="32">
        <v>122.58</v>
      </c>
      <c r="D39" s="32">
        <v>297.94099999999997</v>
      </c>
      <c r="E39" s="38">
        <v>729.47900000000004</v>
      </c>
      <c r="F39" s="32">
        <v>1150</v>
      </c>
      <c r="G39" s="32">
        <v>100</v>
      </c>
      <c r="H39" s="40">
        <v>400</v>
      </c>
      <c r="I39" s="32">
        <v>695</v>
      </c>
      <c r="J39" s="32">
        <v>50</v>
      </c>
      <c r="K39" s="33"/>
      <c r="L39" s="42"/>
      <c r="M39" s="33"/>
      <c r="N39" s="33"/>
      <c r="O39" s="33"/>
      <c r="P39" s="33"/>
      <c r="Q39" s="33"/>
      <c r="R39" s="33"/>
      <c r="S39" s="33"/>
      <c r="T39" s="33"/>
    </row>
    <row r="40" spans="1:20" ht="15.75">
      <c r="A40" s="13">
        <v>43070</v>
      </c>
      <c r="B40" s="41">
        <v>31</v>
      </c>
      <c r="C40" s="32">
        <v>122.58</v>
      </c>
      <c r="D40" s="32">
        <v>297.94099999999997</v>
      </c>
      <c r="E40" s="38">
        <v>729.47900000000004</v>
      </c>
      <c r="F40" s="32">
        <v>1150</v>
      </c>
      <c r="G40" s="32">
        <v>100</v>
      </c>
      <c r="H40" s="40">
        <v>400</v>
      </c>
      <c r="I40" s="32">
        <v>695</v>
      </c>
      <c r="J40" s="32">
        <v>50</v>
      </c>
      <c r="K40" s="33"/>
      <c r="L40" s="42"/>
      <c r="M40" s="33"/>
      <c r="N40" s="33"/>
      <c r="O40" s="33"/>
      <c r="P40" s="33"/>
      <c r="Q40" s="33"/>
      <c r="R40" s="33"/>
      <c r="S40" s="33"/>
      <c r="T40" s="33"/>
    </row>
    <row r="41" spans="1:20" ht="15.75">
      <c r="A41" s="13">
        <v>43101</v>
      </c>
      <c r="B41" s="41">
        <v>31</v>
      </c>
      <c r="C41" s="32">
        <v>122.58</v>
      </c>
      <c r="D41" s="32">
        <v>297.94099999999997</v>
      </c>
      <c r="E41" s="38">
        <v>729.47900000000004</v>
      </c>
      <c r="F41" s="32">
        <v>1150</v>
      </c>
      <c r="G41" s="32">
        <v>100</v>
      </c>
      <c r="H41" s="40">
        <v>400</v>
      </c>
      <c r="I41" s="32">
        <v>695</v>
      </c>
      <c r="J41" s="32">
        <v>50</v>
      </c>
      <c r="K41" s="33"/>
      <c r="L41" s="42"/>
      <c r="M41" s="33"/>
      <c r="N41" s="33"/>
      <c r="O41" s="33"/>
      <c r="P41" s="33"/>
      <c r="Q41" s="33"/>
      <c r="R41" s="33"/>
      <c r="S41" s="33"/>
      <c r="T41" s="33"/>
    </row>
    <row r="42" spans="1:20" ht="15.75">
      <c r="A42" s="13">
        <v>43132</v>
      </c>
      <c r="B42" s="41">
        <v>28</v>
      </c>
      <c r="C42" s="32">
        <v>122.58</v>
      </c>
      <c r="D42" s="32">
        <v>297.94099999999997</v>
      </c>
      <c r="E42" s="38">
        <v>729.47900000000004</v>
      </c>
      <c r="F42" s="32">
        <v>1150</v>
      </c>
      <c r="G42" s="32">
        <v>100</v>
      </c>
      <c r="H42" s="40">
        <v>400</v>
      </c>
      <c r="I42" s="32">
        <v>695</v>
      </c>
      <c r="J42" s="32">
        <v>50</v>
      </c>
      <c r="K42" s="33"/>
      <c r="L42" s="42"/>
      <c r="M42" s="33"/>
      <c r="N42" s="33"/>
      <c r="O42" s="33"/>
      <c r="P42" s="33"/>
      <c r="Q42" s="33"/>
      <c r="R42" s="33"/>
      <c r="S42" s="33"/>
      <c r="T42" s="33"/>
    </row>
    <row r="43" spans="1:20" ht="15.75">
      <c r="A43" s="13">
        <v>43160</v>
      </c>
      <c r="B43" s="41">
        <v>31</v>
      </c>
      <c r="C43" s="32">
        <v>122.58</v>
      </c>
      <c r="D43" s="32">
        <v>297.94099999999997</v>
      </c>
      <c r="E43" s="38">
        <v>729.47900000000004</v>
      </c>
      <c r="F43" s="32">
        <v>1150</v>
      </c>
      <c r="G43" s="32">
        <v>100</v>
      </c>
      <c r="H43" s="40">
        <v>400</v>
      </c>
      <c r="I43" s="32">
        <v>695</v>
      </c>
      <c r="J43" s="32">
        <v>50</v>
      </c>
      <c r="K43" s="33"/>
      <c r="L43" s="42"/>
      <c r="M43" s="33"/>
      <c r="N43" s="33"/>
      <c r="O43" s="33"/>
      <c r="P43" s="33"/>
      <c r="Q43" s="33"/>
      <c r="R43" s="33"/>
      <c r="S43" s="33"/>
      <c r="T43" s="33"/>
    </row>
    <row r="44" spans="1:20" ht="15.75">
      <c r="A44" s="13">
        <v>43191</v>
      </c>
      <c r="B44" s="41">
        <v>30</v>
      </c>
      <c r="C44" s="32">
        <v>141.29300000000001</v>
      </c>
      <c r="D44" s="32">
        <v>267.99299999999999</v>
      </c>
      <c r="E44" s="38">
        <v>829.71400000000006</v>
      </c>
      <c r="F44" s="32">
        <v>1239</v>
      </c>
      <c r="G44" s="32">
        <v>100</v>
      </c>
      <c r="H44" s="40">
        <v>400</v>
      </c>
      <c r="I44" s="32">
        <v>695</v>
      </c>
      <c r="J44" s="32">
        <v>50</v>
      </c>
      <c r="K44" s="33"/>
      <c r="L44" s="42"/>
      <c r="M44" s="33"/>
      <c r="N44" s="33"/>
      <c r="O44" s="33"/>
      <c r="P44" s="33"/>
      <c r="Q44" s="33"/>
      <c r="R44" s="33"/>
      <c r="S44" s="33"/>
      <c r="T44" s="33"/>
    </row>
    <row r="45" spans="1:20" ht="15.75">
      <c r="A45" s="13">
        <v>43221</v>
      </c>
      <c r="B45" s="41">
        <v>31</v>
      </c>
      <c r="C45" s="32">
        <v>194.20500000000001</v>
      </c>
      <c r="D45" s="32">
        <v>267.46600000000001</v>
      </c>
      <c r="E45" s="38">
        <v>812.32899999999995</v>
      </c>
      <c r="F45" s="32">
        <v>1274</v>
      </c>
      <c r="G45" s="32">
        <v>75</v>
      </c>
      <c r="H45" s="40">
        <v>400</v>
      </c>
      <c r="I45" s="32">
        <v>695</v>
      </c>
      <c r="J45" s="32">
        <v>50</v>
      </c>
      <c r="K45" s="33"/>
      <c r="L45" s="42"/>
      <c r="M45" s="33"/>
      <c r="N45" s="33"/>
      <c r="O45" s="33"/>
      <c r="P45" s="33"/>
      <c r="Q45" s="33"/>
      <c r="R45" s="33"/>
      <c r="S45" s="33"/>
      <c r="T45" s="33"/>
    </row>
    <row r="46" spans="1:20" ht="15.75">
      <c r="A46" s="13">
        <v>43252</v>
      </c>
      <c r="B46" s="41">
        <v>30</v>
      </c>
      <c r="C46" s="32">
        <v>194.20500000000001</v>
      </c>
      <c r="D46" s="32">
        <v>267.46600000000001</v>
      </c>
      <c r="E46" s="38">
        <v>812.32899999999995</v>
      </c>
      <c r="F46" s="32">
        <v>1274</v>
      </c>
      <c r="G46" s="32">
        <v>50</v>
      </c>
      <c r="H46" s="40">
        <v>400</v>
      </c>
      <c r="I46" s="32">
        <v>695</v>
      </c>
      <c r="J46" s="32">
        <v>50</v>
      </c>
      <c r="K46" s="33"/>
      <c r="L46" s="42"/>
      <c r="M46" s="33"/>
      <c r="N46" s="33"/>
      <c r="O46" s="33"/>
      <c r="P46" s="33"/>
      <c r="Q46" s="33"/>
      <c r="R46" s="33"/>
      <c r="S46" s="33"/>
      <c r="T46" s="33"/>
    </row>
    <row r="47" spans="1:20" ht="15.75">
      <c r="A47" s="13">
        <v>43282</v>
      </c>
      <c r="B47" s="41">
        <v>31</v>
      </c>
      <c r="C47" s="32">
        <v>194.20500000000001</v>
      </c>
      <c r="D47" s="32">
        <v>267.46600000000001</v>
      </c>
      <c r="E47" s="38">
        <v>812.32899999999995</v>
      </c>
      <c r="F47" s="32">
        <v>1274</v>
      </c>
      <c r="G47" s="32">
        <v>50</v>
      </c>
      <c r="H47" s="40">
        <v>400</v>
      </c>
      <c r="I47" s="32">
        <v>695</v>
      </c>
      <c r="J47" s="32">
        <v>0</v>
      </c>
      <c r="K47" s="33"/>
      <c r="L47" s="42"/>
      <c r="M47" s="33"/>
      <c r="N47" s="33"/>
      <c r="O47" s="33"/>
      <c r="P47" s="33"/>
      <c r="Q47" s="33"/>
      <c r="R47" s="33"/>
      <c r="S47" s="33"/>
      <c r="T47" s="33"/>
    </row>
    <row r="48" spans="1:20" ht="15.75">
      <c r="A48" s="13">
        <v>43313</v>
      </c>
      <c r="B48" s="41">
        <v>31</v>
      </c>
      <c r="C48" s="32">
        <v>194.20500000000001</v>
      </c>
      <c r="D48" s="32">
        <v>267.46600000000001</v>
      </c>
      <c r="E48" s="38">
        <v>812.32899999999995</v>
      </c>
      <c r="F48" s="32">
        <v>1274</v>
      </c>
      <c r="G48" s="32">
        <v>50</v>
      </c>
      <c r="H48" s="40">
        <v>400</v>
      </c>
      <c r="I48" s="32">
        <v>695</v>
      </c>
      <c r="J48" s="32">
        <v>0</v>
      </c>
      <c r="K48" s="33"/>
      <c r="L48" s="42"/>
      <c r="M48" s="33"/>
      <c r="N48" s="33"/>
      <c r="O48" s="33"/>
      <c r="P48" s="33"/>
      <c r="Q48" s="33"/>
      <c r="R48" s="33"/>
      <c r="S48" s="33"/>
      <c r="T48" s="33"/>
    </row>
    <row r="49" spans="1:20" ht="15.75">
      <c r="A49" s="13">
        <v>43344</v>
      </c>
      <c r="B49" s="41">
        <v>30</v>
      </c>
      <c r="C49" s="32">
        <v>194.20500000000001</v>
      </c>
      <c r="D49" s="32">
        <v>267.46600000000001</v>
      </c>
      <c r="E49" s="38">
        <v>812.32899999999995</v>
      </c>
      <c r="F49" s="32">
        <v>1274</v>
      </c>
      <c r="G49" s="32">
        <v>50</v>
      </c>
      <c r="H49" s="40">
        <v>400</v>
      </c>
      <c r="I49" s="32">
        <v>695</v>
      </c>
      <c r="J49" s="32">
        <v>0</v>
      </c>
      <c r="K49" s="33"/>
      <c r="L49" s="42"/>
      <c r="M49" s="33"/>
      <c r="N49" s="33"/>
      <c r="O49" s="33"/>
      <c r="P49" s="33"/>
      <c r="Q49" s="33"/>
      <c r="R49" s="33"/>
      <c r="S49" s="33"/>
      <c r="T49" s="33"/>
    </row>
    <row r="50" spans="1:20" ht="15.75">
      <c r="A50" s="13">
        <v>43374</v>
      </c>
      <c r="B50" s="41">
        <v>31</v>
      </c>
      <c r="C50" s="32">
        <v>131.881</v>
      </c>
      <c r="D50" s="32">
        <v>277.16699999999997</v>
      </c>
      <c r="E50" s="38">
        <v>829.952</v>
      </c>
      <c r="F50" s="32">
        <v>1239</v>
      </c>
      <c r="G50" s="32">
        <v>75</v>
      </c>
      <c r="H50" s="40">
        <v>400</v>
      </c>
      <c r="I50" s="32">
        <v>695</v>
      </c>
      <c r="J50" s="32">
        <v>0</v>
      </c>
      <c r="K50" s="33"/>
      <c r="L50" s="42"/>
      <c r="M50" s="33"/>
      <c r="N50" s="33"/>
      <c r="O50" s="33"/>
      <c r="P50" s="33"/>
      <c r="Q50" s="33"/>
      <c r="R50" s="33"/>
      <c r="S50" s="33"/>
      <c r="T50" s="33"/>
    </row>
    <row r="51" spans="1:20" ht="15.75">
      <c r="A51" s="13">
        <v>43405</v>
      </c>
      <c r="B51" s="41">
        <v>30</v>
      </c>
      <c r="C51" s="32">
        <v>122.58</v>
      </c>
      <c r="D51" s="32">
        <v>297.94099999999997</v>
      </c>
      <c r="E51" s="38">
        <v>729.47900000000004</v>
      </c>
      <c r="F51" s="32">
        <v>1150</v>
      </c>
      <c r="G51" s="32">
        <v>100</v>
      </c>
      <c r="H51" s="40">
        <v>400</v>
      </c>
      <c r="I51" s="32">
        <v>695</v>
      </c>
      <c r="J51" s="32">
        <v>50</v>
      </c>
      <c r="K51" s="33"/>
      <c r="L51" s="42"/>
      <c r="M51" s="33"/>
      <c r="N51" s="33"/>
      <c r="O51" s="33"/>
      <c r="P51" s="33"/>
      <c r="Q51" s="33"/>
      <c r="R51" s="33"/>
      <c r="S51" s="33"/>
      <c r="T51" s="33"/>
    </row>
    <row r="52" spans="1:20" ht="15.75">
      <c r="A52" s="13">
        <v>43435</v>
      </c>
      <c r="B52" s="41">
        <v>31</v>
      </c>
      <c r="C52" s="32">
        <v>122.58</v>
      </c>
      <c r="D52" s="32">
        <v>297.94099999999997</v>
      </c>
      <c r="E52" s="38">
        <v>729.47900000000004</v>
      </c>
      <c r="F52" s="32">
        <v>1150</v>
      </c>
      <c r="G52" s="32">
        <v>100</v>
      </c>
      <c r="H52" s="40">
        <v>400</v>
      </c>
      <c r="I52" s="32">
        <v>695</v>
      </c>
      <c r="J52" s="32">
        <v>50</v>
      </c>
      <c r="K52" s="33"/>
      <c r="L52" s="42"/>
      <c r="M52" s="33"/>
      <c r="N52" s="33"/>
      <c r="O52" s="33"/>
      <c r="P52" s="33"/>
      <c r="Q52" s="33"/>
      <c r="R52" s="33"/>
      <c r="S52" s="33"/>
      <c r="T52" s="33"/>
    </row>
    <row r="53" spans="1:20" ht="15.75">
      <c r="A53" s="13">
        <v>43466</v>
      </c>
      <c r="B53" s="41">
        <v>31</v>
      </c>
      <c r="C53" s="32">
        <v>122.58</v>
      </c>
      <c r="D53" s="32">
        <v>297.94099999999997</v>
      </c>
      <c r="E53" s="38">
        <v>729.47900000000004</v>
      </c>
      <c r="F53" s="32">
        <v>1150</v>
      </c>
      <c r="G53" s="32">
        <v>100</v>
      </c>
      <c r="H53" s="40">
        <v>400</v>
      </c>
      <c r="I53" s="32">
        <v>695</v>
      </c>
      <c r="J53" s="32">
        <v>50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5.75">
      <c r="A54" s="13">
        <v>43497</v>
      </c>
      <c r="B54" s="41">
        <v>28</v>
      </c>
      <c r="C54" s="32">
        <v>122.58</v>
      </c>
      <c r="D54" s="32">
        <v>297.94099999999997</v>
      </c>
      <c r="E54" s="38">
        <v>729.47900000000004</v>
      </c>
      <c r="F54" s="32">
        <v>1150</v>
      </c>
      <c r="G54" s="32">
        <v>100</v>
      </c>
      <c r="H54" s="40">
        <v>400</v>
      </c>
      <c r="I54" s="32">
        <v>695</v>
      </c>
      <c r="J54" s="32">
        <v>50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5.75">
      <c r="A55" s="13">
        <v>43525</v>
      </c>
      <c r="B55" s="41">
        <v>31</v>
      </c>
      <c r="C55" s="32">
        <v>122.58</v>
      </c>
      <c r="D55" s="32">
        <v>297.94099999999997</v>
      </c>
      <c r="E55" s="38">
        <v>729.47900000000004</v>
      </c>
      <c r="F55" s="32">
        <v>1150</v>
      </c>
      <c r="G55" s="32">
        <v>100</v>
      </c>
      <c r="H55" s="40">
        <v>400</v>
      </c>
      <c r="I55" s="32">
        <v>695</v>
      </c>
      <c r="J55" s="32">
        <v>50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5.75">
      <c r="A56" s="13">
        <v>43556</v>
      </c>
      <c r="B56" s="41">
        <v>30</v>
      </c>
      <c r="C56" s="32">
        <v>141.29300000000001</v>
      </c>
      <c r="D56" s="32">
        <v>267.99299999999999</v>
      </c>
      <c r="E56" s="38">
        <v>829.71400000000006</v>
      </c>
      <c r="F56" s="32">
        <v>1239</v>
      </c>
      <c r="G56" s="32">
        <v>100</v>
      </c>
      <c r="H56" s="40">
        <v>400</v>
      </c>
      <c r="I56" s="32">
        <v>695</v>
      </c>
      <c r="J56" s="32">
        <v>50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15.75">
      <c r="A57" s="13">
        <v>43586</v>
      </c>
      <c r="B57" s="41">
        <v>31</v>
      </c>
      <c r="C57" s="32">
        <v>194.20500000000001</v>
      </c>
      <c r="D57" s="32">
        <v>267.46600000000001</v>
      </c>
      <c r="E57" s="38">
        <v>812.32899999999995</v>
      </c>
      <c r="F57" s="32">
        <v>1274</v>
      </c>
      <c r="G57" s="32">
        <v>75</v>
      </c>
      <c r="H57" s="40">
        <v>400</v>
      </c>
      <c r="I57" s="32">
        <v>695</v>
      </c>
      <c r="J57" s="32">
        <v>50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5.75">
      <c r="A58" s="13">
        <v>43617</v>
      </c>
      <c r="B58" s="41">
        <v>30</v>
      </c>
      <c r="C58" s="32">
        <v>194.20500000000001</v>
      </c>
      <c r="D58" s="32">
        <v>267.46600000000001</v>
      </c>
      <c r="E58" s="38">
        <v>812.32899999999995</v>
      </c>
      <c r="F58" s="32">
        <v>1274</v>
      </c>
      <c r="G58" s="32">
        <v>50</v>
      </c>
      <c r="H58" s="40">
        <v>400</v>
      </c>
      <c r="I58" s="32">
        <v>695</v>
      </c>
      <c r="J58" s="32">
        <v>50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5.75">
      <c r="A59" s="13">
        <v>43647</v>
      </c>
      <c r="B59" s="41">
        <v>31</v>
      </c>
      <c r="C59" s="32">
        <v>194.20500000000001</v>
      </c>
      <c r="D59" s="32">
        <v>267.46600000000001</v>
      </c>
      <c r="E59" s="38">
        <v>812.32899999999995</v>
      </c>
      <c r="F59" s="32">
        <v>1274</v>
      </c>
      <c r="G59" s="32">
        <v>50</v>
      </c>
      <c r="H59" s="40">
        <v>400</v>
      </c>
      <c r="I59" s="32">
        <v>695</v>
      </c>
      <c r="J59" s="32">
        <v>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5.75">
      <c r="A60" s="13">
        <v>43678</v>
      </c>
      <c r="B60" s="41">
        <v>31</v>
      </c>
      <c r="C60" s="32">
        <v>194.20500000000001</v>
      </c>
      <c r="D60" s="32">
        <v>267.46600000000001</v>
      </c>
      <c r="E60" s="38">
        <v>812.32899999999995</v>
      </c>
      <c r="F60" s="32">
        <v>1274</v>
      </c>
      <c r="G60" s="32">
        <v>50</v>
      </c>
      <c r="H60" s="40">
        <v>400</v>
      </c>
      <c r="I60" s="32">
        <v>695</v>
      </c>
      <c r="J60" s="32">
        <v>0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5.75">
      <c r="A61" s="13">
        <v>43709</v>
      </c>
      <c r="B61" s="41">
        <v>30</v>
      </c>
      <c r="C61" s="32">
        <v>194.20500000000001</v>
      </c>
      <c r="D61" s="32">
        <v>267.46600000000001</v>
      </c>
      <c r="E61" s="38">
        <v>812.32899999999995</v>
      </c>
      <c r="F61" s="32">
        <v>1274</v>
      </c>
      <c r="G61" s="32">
        <v>50</v>
      </c>
      <c r="H61" s="40">
        <v>400</v>
      </c>
      <c r="I61" s="32">
        <v>695</v>
      </c>
      <c r="J61" s="32"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5.75">
      <c r="A62" s="13">
        <v>43739</v>
      </c>
      <c r="B62" s="41">
        <v>31</v>
      </c>
      <c r="C62" s="32">
        <v>131.881</v>
      </c>
      <c r="D62" s="32">
        <v>277.16699999999997</v>
      </c>
      <c r="E62" s="38">
        <v>829.952</v>
      </c>
      <c r="F62" s="32">
        <v>1239</v>
      </c>
      <c r="G62" s="32">
        <v>75</v>
      </c>
      <c r="H62" s="40">
        <v>400</v>
      </c>
      <c r="I62" s="32">
        <v>695</v>
      </c>
      <c r="J62" s="32">
        <v>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5.75">
      <c r="A63" s="13">
        <v>43770</v>
      </c>
      <c r="B63" s="41">
        <v>30</v>
      </c>
      <c r="C63" s="32">
        <v>122.58</v>
      </c>
      <c r="D63" s="32">
        <v>297.94099999999997</v>
      </c>
      <c r="E63" s="38">
        <v>729.47900000000004</v>
      </c>
      <c r="F63" s="32">
        <v>1150</v>
      </c>
      <c r="G63" s="32">
        <v>100</v>
      </c>
      <c r="H63" s="40">
        <v>400</v>
      </c>
      <c r="I63" s="32">
        <v>695</v>
      </c>
      <c r="J63" s="32">
        <v>50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15.75">
      <c r="A64" s="13">
        <v>43800</v>
      </c>
      <c r="B64" s="41">
        <v>31</v>
      </c>
      <c r="C64" s="32">
        <v>122.58</v>
      </c>
      <c r="D64" s="32">
        <v>297.94099999999997</v>
      </c>
      <c r="E64" s="38">
        <v>729.47900000000004</v>
      </c>
      <c r="F64" s="32">
        <v>1150</v>
      </c>
      <c r="G64" s="32">
        <v>100</v>
      </c>
      <c r="H64" s="40">
        <v>400</v>
      </c>
      <c r="I64" s="32">
        <v>695</v>
      </c>
      <c r="J64" s="32">
        <v>50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15.75">
      <c r="A65" s="13">
        <v>43831</v>
      </c>
      <c r="B65" s="41">
        <v>31</v>
      </c>
      <c r="C65" s="32">
        <v>122.58</v>
      </c>
      <c r="D65" s="32">
        <v>297.94099999999997</v>
      </c>
      <c r="E65" s="38">
        <v>729.47900000000004</v>
      </c>
      <c r="F65" s="32">
        <v>1150</v>
      </c>
      <c r="G65" s="32">
        <v>100</v>
      </c>
      <c r="H65" s="40">
        <v>400</v>
      </c>
      <c r="I65" s="32">
        <v>695</v>
      </c>
      <c r="J65" s="32">
        <v>50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5.75">
      <c r="A66" s="13">
        <v>43862</v>
      </c>
      <c r="B66" s="41">
        <v>29</v>
      </c>
      <c r="C66" s="32">
        <v>122.58</v>
      </c>
      <c r="D66" s="32">
        <v>297.94099999999997</v>
      </c>
      <c r="E66" s="38">
        <v>729.47900000000004</v>
      </c>
      <c r="F66" s="32">
        <v>1150</v>
      </c>
      <c r="G66" s="32">
        <v>100</v>
      </c>
      <c r="H66" s="40">
        <v>400</v>
      </c>
      <c r="I66" s="32">
        <v>695</v>
      </c>
      <c r="J66" s="32">
        <v>50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15.75">
      <c r="A67" s="13">
        <v>43891</v>
      </c>
      <c r="B67" s="41">
        <v>31</v>
      </c>
      <c r="C67" s="32">
        <v>122.58</v>
      </c>
      <c r="D67" s="32">
        <v>297.94099999999997</v>
      </c>
      <c r="E67" s="38">
        <v>729.47900000000004</v>
      </c>
      <c r="F67" s="32">
        <v>1150</v>
      </c>
      <c r="G67" s="32">
        <v>100</v>
      </c>
      <c r="H67" s="40">
        <v>400</v>
      </c>
      <c r="I67" s="32">
        <v>695</v>
      </c>
      <c r="J67" s="32">
        <v>50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5.75">
      <c r="A68" s="13">
        <v>43922</v>
      </c>
      <c r="B68" s="41">
        <v>30</v>
      </c>
      <c r="C68" s="32">
        <v>141.29300000000001</v>
      </c>
      <c r="D68" s="32">
        <v>267.99299999999999</v>
      </c>
      <c r="E68" s="38">
        <v>829.71400000000006</v>
      </c>
      <c r="F68" s="32">
        <v>1239</v>
      </c>
      <c r="G68" s="32">
        <v>100</v>
      </c>
      <c r="H68" s="40">
        <v>400</v>
      </c>
      <c r="I68" s="32">
        <v>695</v>
      </c>
      <c r="J68" s="32">
        <v>50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5.75">
      <c r="A69" s="13">
        <v>43952</v>
      </c>
      <c r="B69" s="41">
        <v>31</v>
      </c>
      <c r="C69" s="32">
        <v>194.20500000000001</v>
      </c>
      <c r="D69" s="32">
        <v>267.46600000000001</v>
      </c>
      <c r="E69" s="38">
        <v>812.32899999999995</v>
      </c>
      <c r="F69" s="32">
        <v>1274</v>
      </c>
      <c r="G69" s="32">
        <v>75</v>
      </c>
      <c r="H69" s="40">
        <v>600</v>
      </c>
      <c r="I69" s="32">
        <v>695</v>
      </c>
      <c r="J69" s="32">
        <v>50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5.75">
      <c r="A70" s="13">
        <v>43983</v>
      </c>
      <c r="B70" s="41">
        <v>30</v>
      </c>
      <c r="C70" s="32">
        <v>194.20500000000001</v>
      </c>
      <c r="D70" s="32">
        <v>267.46600000000001</v>
      </c>
      <c r="E70" s="38">
        <v>812.32899999999995</v>
      </c>
      <c r="F70" s="32">
        <v>1274</v>
      </c>
      <c r="G70" s="32">
        <v>50</v>
      </c>
      <c r="H70" s="40">
        <v>600</v>
      </c>
      <c r="I70" s="32">
        <v>695</v>
      </c>
      <c r="J70" s="32">
        <v>50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5.75">
      <c r="A71" s="13">
        <v>44013</v>
      </c>
      <c r="B71" s="41">
        <v>31</v>
      </c>
      <c r="C71" s="32">
        <v>194.20500000000001</v>
      </c>
      <c r="D71" s="32">
        <v>267.46600000000001</v>
      </c>
      <c r="E71" s="38">
        <v>812.32899999999995</v>
      </c>
      <c r="F71" s="32">
        <v>1274</v>
      </c>
      <c r="G71" s="32">
        <v>50</v>
      </c>
      <c r="H71" s="40">
        <v>600</v>
      </c>
      <c r="I71" s="32">
        <v>695</v>
      </c>
      <c r="J71" s="32">
        <v>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5.75">
      <c r="A72" s="13">
        <v>44044</v>
      </c>
      <c r="B72" s="41">
        <v>31</v>
      </c>
      <c r="C72" s="32">
        <v>194.20500000000001</v>
      </c>
      <c r="D72" s="32">
        <v>267.46600000000001</v>
      </c>
      <c r="E72" s="38">
        <v>812.32899999999995</v>
      </c>
      <c r="F72" s="32">
        <v>1274</v>
      </c>
      <c r="G72" s="32">
        <v>50</v>
      </c>
      <c r="H72" s="40">
        <v>600</v>
      </c>
      <c r="I72" s="32">
        <v>695</v>
      </c>
      <c r="J72" s="32">
        <v>0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15.75">
      <c r="A73" s="13">
        <v>44075</v>
      </c>
      <c r="B73" s="41">
        <v>30</v>
      </c>
      <c r="C73" s="32">
        <v>194.20500000000001</v>
      </c>
      <c r="D73" s="32">
        <v>267.46600000000001</v>
      </c>
      <c r="E73" s="38">
        <v>812.32899999999995</v>
      </c>
      <c r="F73" s="32">
        <v>1274</v>
      </c>
      <c r="G73" s="32">
        <v>50</v>
      </c>
      <c r="H73" s="40">
        <v>600</v>
      </c>
      <c r="I73" s="32">
        <v>695</v>
      </c>
      <c r="J73" s="32">
        <v>0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15.75">
      <c r="A74" s="13">
        <v>44105</v>
      </c>
      <c r="B74" s="41">
        <v>31</v>
      </c>
      <c r="C74" s="32">
        <v>131.881</v>
      </c>
      <c r="D74" s="32">
        <v>277.16699999999997</v>
      </c>
      <c r="E74" s="38">
        <v>829.952</v>
      </c>
      <c r="F74" s="32">
        <v>1239</v>
      </c>
      <c r="G74" s="32">
        <v>75</v>
      </c>
      <c r="H74" s="40">
        <v>600</v>
      </c>
      <c r="I74" s="32">
        <v>695</v>
      </c>
      <c r="J74" s="32">
        <v>0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15.75">
      <c r="A75" s="13">
        <v>44136</v>
      </c>
      <c r="B75" s="41">
        <v>30</v>
      </c>
      <c r="C75" s="32">
        <v>122.58</v>
      </c>
      <c r="D75" s="32">
        <v>297.94099999999997</v>
      </c>
      <c r="E75" s="38">
        <v>729.47900000000004</v>
      </c>
      <c r="F75" s="32">
        <v>1150</v>
      </c>
      <c r="G75" s="32">
        <v>100</v>
      </c>
      <c r="H75" s="40">
        <v>600</v>
      </c>
      <c r="I75" s="32">
        <v>695</v>
      </c>
      <c r="J75" s="32">
        <v>50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15.75">
      <c r="A76" s="13">
        <v>44166</v>
      </c>
      <c r="B76" s="41">
        <v>31</v>
      </c>
      <c r="C76" s="32">
        <v>122.58</v>
      </c>
      <c r="D76" s="32">
        <v>297.94099999999997</v>
      </c>
      <c r="E76" s="38">
        <v>729.47900000000004</v>
      </c>
      <c r="F76" s="32">
        <v>1150</v>
      </c>
      <c r="G76" s="32">
        <v>100</v>
      </c>
      <c r="H76" s="40">
        <v>600</v>
      </c>
      <c r="I76" s="32">
        <v>695</v>
      </c>
      <c r="J76" s="32">
        <v>50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5.75">
      <c r="A77" s="13">
        <v>44197</v>
      </c>
      <c r="B77" s="41">
        <v>31</v>
      </c>
      <c r="C77" s="32">
        <v>122.58</v>
      </c>
      <c r="D77" s="32">
        <v>297.94099999999997</v>
      </c>
      <c r="E77" s="38">
        <v>729.47900000000004</v>
      </c>
      <c r="F77" s="32">
        <v>1150</v>
      </c>
      <c r="G77" s="32">
        <v>100</v>
      </c>
      <c r="H77" s="40">
        <v>600</v>
      </c>
      <c r="I77" s="32">
        <v>695</v>
      </c>
      <c r="J77" s="32">
        <v>50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5.75">
      <c r="A78" s="13">
        <v>44228</v>
      </c>
      <c r="B78" s="41">
        <v>28</v>
      </c>
      <c r="C78" s="32">
        <v>122.58</v>
      </c>
      <c r="D78" s="32">
        <v>297.94099999999997</v>
      </c>
      <c r="E78" s="38">
        <v>729.47900000000004</v>
      </c>
      <c r="F78" s="32">
        <v>1150</v>
      </c>
      <c r="G78" s="32">
        <v>100</v>
      </c>
      <c r="H78" s="40">
        <v>600</v>
      </c>
      <c r="I78" s="32">
        <v>695</v>
      </c>
      <c r="J78" s="32">
        <v>50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5.75">
      <c r="A79" s="13">
        <v>44256</v>
      </c>
      <c r="B79" s="41">
        <v>31</v>
      </c>
      <c r="C79" s="32">
        <v>122.58</v>
      </c>
      <c r="D79" s="32">
        <v>297.94099999999997</v>
      </c>
      <c r="E79" s="38">
        <v>729.47900000000004</v>
      </c>
      <c r="F79" s="32">
        <v>1150</v>
      </c>
      <c r="G79" s="32">
        <v>100</v>
      </c>
      <c r="H79" s="40">
        <v>600</v>
      </c>
      <c r="I79" s="32">
        <v>695</v>
      </c>
      <c r="J79" s="32">
        <v>50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5.75">
      <c r="A80" s="13">
        <v>44287</v>
      </c>
      <c r="B80" s="41">
        <v>30</v>
      </c>
      <c r="C80" s="32">
        <v>141.29300000000001</v>
      </c>
      <c r="D80" s="32">
        <v>267.99299999999999</v>
      </c>
      <c r="E80" s="38">
        <v>829.71400000000006</v>
      </c>
      <c r="F80" s="32">
        <v>1239</v>
      </c>
      <c r="G80" s="32">
        <v>100</v>
      </c>
      <c r="H80" s="40">
        <v>600</v>
      </c>
      <c r="I80" s="32">
        <v>695</v>
      </c>
      <c r="J80" s="32">
        <v>50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5.75">
      <c r="A81" s="13">
        <v>44317</v>
      </c>
      <c r="B81" s="41">
        <v>31</v>
      </c>
      <c r="C81" s="32">
        <v>194.20500000000001</v>
      </c>
      <c r="D81" s="32">
        <v>267.46600000000001</v>
      </c>
      <c r="E81" s="38">
        <v>812.32899999999995</v>
      </c>
      <c r="F81" s="32">
        <v>1274</v>
      </c>
      <c r="G81" s="32">
        <v>75</v>
      </c>
      <c r="H81" s="40">
        <v>600</v>
      </c>
      <c r="I81" s="32">
        <v>695</v>
      </c>
      <c r="J81" s="32">
        <v>50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5.75">
      <c r="A82" s="13">
        <v>44348</v>
      </c>
      <c r="B82" s="41">
        <v>30</v>
      </c>
      <c r="C82" s="32">
        <v>194.20500000000001</v>
      </c>
      <c r="D82" s="32">
        <v>267.46600000000001</v>
      </c>
      <c r="E82" s="38">
        <v>812.32899999999995</v>
      </c>
      <c r="F82" s="32">
        <v>1274</v>
      </c>
      <c r="G82" s="32">
        <v>50</v>
      </c>
      <c r="H82" s="40">
        <v>600</v>
      </c>
      <c r="I82" s="32">
        <v>695</v>
      </c>
      <c r="J82" s="32">
        <v>50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5.75">
      <c r="A83" s="13">
        <v>44378</v>
      </c>
      <c r="B83" s="41">
        <v>31</v>
      </c>
      <c r="C83" s="32">
        <v>194.20500000000001</v>
      </c>
      <c r="D83" s="32">
        <v>267.46600000000001</v>
      </c>
      <c r="E83" s="38">
        <v>812.32899999999995</v>
      </c>
      <c r="F83" s="32">
        <v>1274</v>
      </c>
      <c r="G83" s="32">
        <v>50</v>
      </c>
      <c r="H83" s="40">
        <v>600</v>
      </c>
      <c r="I83" s="32">
        <v>695</v>
      </c>
      <c r="J83" s="32">
        <v>0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5.75">
      <c r="A84" s="13">
        <v>44409</v>
      </c>
      <c r="B84" s="41">
        <v>31</v>
      </c>
      <c r="C84" s="32">
        <v>194.20500000000001</v>
      </c>
      <c r="D84" s="32">
        <v>267.46600000000001</v>
      </c>
      <c r="E84" s="38">
        <v>812.32899999999995</v>
      </c>
      <c r="F84" s="32">
        <v>1274</v>
      </c>
      <c r="G84" s="32">
        <v>50</v>
      </c>
      <c r="H84" s="40">
        <v>600</v>
      </c>
      <c r="I84" s="32">
        <v>695</v>
      </c>
      <c r="J84" s="32"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5.75">
      <c r="A85" s="13">
        <v>44440</v>
      </c>
      <c r="B85" s="41">
        <v>30</v>
      </c>
      <c r="C85" s="32">
        <v>194.20500000000001</v>
      </c>
      <c r="D85" s="32">
        <v>267.46600000000001</v>
      </c>
      <c r="E85" s="38">
        <v>812.32899999999995</v>
      </c>
      <c r="F85" s="32">
        <v>1274</v>
      </c>
      <c r="G85" s="32">
        <v>50</v>
      </c>
      <c r="H85" s="40">
        <v>600</v>
      </c>
      <c r="I85" s="32">
        <v>695</v>
      </c>
      <c r="J85" s="32">
        <v>0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5.75">
      <c r="A86" s="13">
        <v>44470</v>
      </c>
      <c r="B86" s="41">
        <v>31</v>
      </c>
      <c r="C86" s="32">
        <v>131.881</v>
      </c>
      <c r="D86" s="32">
        <v>277.16699999999997</v>
      </c>
      <c r="E86" s="38">
        <v>829.952</v>
      </c>
      <c r="F86" s="32">
        <v>1239</v>
      </c>
      <c r="G86" s="32">
        <v>75</v>
      </c>
      <c r="H86" s="40">
        <v>600</v>
      </c>
      <c r="I86" s="32">
        <v>695</v>
      </c>
      <c r="J86" s="32">
        <v>0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5.75">
      <c r="A87" s="13">
        <v>44501</v>
      </c>
      <c r="B87" s="41">
        <v>30</v>
      </c>
      <c r="C87" s="32">
        <v>122.58</v>
      </c>
      <c r="D87" s="32">
        <v>297.94099999999997</v>
      </c>
      <c r="E87" s="38">
        <v>729.47900000000004</v>
      </c>
      <c r="F87" s="32">
        <v>1150</v>
      </c>
      <c r="G87" s="32">
        <v>100</v>
      </c>
      <c r="H87" s="40">
        <v>600</v>
      </c>
      <c r="I87" s="32">
        <v>695</v>
      </c>
      <c r="J87" s="32">
        <v>50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5.75">
      <c r="A88" s="13">
        <v>44531</v>
      </c>
      <c r="B88" s="41">
        <v>31</v>
      </c>
      <c r="C88" s="32">
        <v>122.58</v>
      </c>
      <c r="D88" s="32">
        <v>297.94099999999997</v>
      </c>
      <c r="E88" s="38">
        <v>729.47900000000004</v>
      </c>
      <c r="F88" s="32">
        <v>1150</v>
      </c>
      <c r="G88" s="32">
        <v>100</v>
      </c>
      <c r="H88" s="40">
        <v>600</v>
      </c>
      <c r="I88" s="32">
        <v>695</v>
      </c>
      <c r="J88" s="32">
        <v>50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15.75">
      <c r="A89" s="13">
        <v>44562</v>
      </c>
      <c r="B89" s="41">
        <v>31</v>
      </c>
      <c r="C89" s="32">
        <v>122.58</v>
      </c>
      <c r="D89" s="32">
        <v>297.94099999999997</v>
      </c>
      <c r="E89" s="38">
        <v>729.47900000000004</v>
      </c>
      <c r="F89" s="32">
        <v>1150</v>
      </c>
      <c r="G89" s="32">
        <v>100</v>
      </c>
      <c r="H89" s="40">
        <v>600</v>
      </c>
      <c r="I89" s="32">
        <v>695</v>
      </c>
      <c r="J89" s="32">
        <v>50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15.75">
      <c r="A90" s="13">
        <v>44593</v>
      </c>
      <c r="B90" s="41">
        <v>28</v>
      </c>
      <c r="C90" s="32">
        <v>122.58</v>
      </c>
      <c r="D90" s="32">
        <v>297.94099999999997</v>
      </c>
      <c r="E90" s="38">
        <v>729.47900000000004</v>
      </c>
      <c r="F90" s="32">
        <v>1150</v>
      </c>
      <c r="G90" s="32">
        <v>100</v>
      </c>
      <c r="H90" s="40">
        <v>600</v>
      </c>
      <c r="I90" s="32">
        <v>695</v>
      </c>
      <c r="J90" s="32">
        <v>50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15.75">
      <c r="A91" s="13">
        <v>44621</v>
      </c>
      <c r="B91" s="41">
        <v>31</v>
      </c>
      <c r="C91" s="32">
        <v>122.58</v>
      </c>
      <c r="D91" s="32">
        <v>297.94099999999997</v>
      </c>
      <c r="E91" s="38">
        <v>729.47900000000004</v>
      </c>
      <c r="F91" s="32">
        <v>1150</v>
      </c>
      <c r="G91" s="32">
        <v>100</v>
      </c>
      <c r="H91" s="40">
        <v>600</v>
      </c>
      <c r="I91" s="32">
        <v>695</v>
      </c>
      <c r="J91" s="32">
        <v>50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ht="15.75">
      <c r="A92" s="13">
        <v>44652</v>
      </c>
      <c r="B92" s="41">
        <v>30</v>
      </c>
      <c r="C92" s="32">
        <v>141.29300000000001</v>
      </c>
      <c r="D92" s="32">
        <v>267.99299999999999</v>
      </c>
      <c r="E92" s="38">
        <v>829.71400000000006</v>
      </c>
      <c r="F92" s="32">
        <v>1239</v>
      </c>
      <c r="G92" s="32">
        <v>100</v>
      </c>
      <c r="H92" s="40">
        <v>600</v>
      </c>
      <c r="I92" s="32">
        <v>695</v>
      </c>
      <c r="J92" s="32">
        <v>50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15.75">
      <c r="A93" s="13">
        <v>44682</v>
      </c>
      <c r="B93" s="41">
        <v>31</v>
      </c>
      <c r="C93" s="32">
        <v>194.20500000000001</v>
      </c>
      <c r="D93" s="32">
        <v>267.46600000000001</v>
      </c>
      <c r="E93" s="38">
        <v>812.32899999999995</v>
      </c>
      <c r="F93" s="32">
        <v>1274</v>
      </c>
      <c r="G93" s="32">
        <v>75</v>
      </c>
      <c r="H93" s="40">
        <v>600</v>
      </c>
      <c r="I93" s="32">
        <v>695</v>
      </c>
      <c r="J93" s="32">
        <v>50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15.75">
      <c r="A94" s="13">
        <v>44713</v>
      </c>
      <c r="B94" s="41">
        <v>30</v>
      </c>
      <c r="C94" s="32">
        <v>194.20500000000001</v>
      </c>
      <c r="D94" s="32">
        <v>267.46600000000001</v>
      </c>
      <c r="E94" s="38">
        <v>812.32899999999995</v>
      </c>
      <c r="F94" s="32">
        <v>1274</v>
      </c>
      <c r="G94" s="32">
        <v>50</v>
      </c>
      <c r="H94" s="40">
        <v>600</v>
      </c>
      <c r="I94" s="32">
        <v>695</v>
      </c>
      <c r="J94" s="32">
        <v>50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5.75">
      <c r="A95" s="13">
        <v>44743</v>
      </c>
      <c r="B95" s="41">
        <v>31</v>
      </c>
      <c r="C95" s="32">
        <v>194.20500000000001</v>
      </c>
      <c r="D95" s="32">
        <v>267.46600000000001</v>
      </c>
      <c r="E95" s="38">
        <v>812.32899999999995</v>
      </c>
      <c r="F95" s="32">
        <v>1274</v>
      </c>
      <c r="G95" s="32">
        <v>50</v>
      </c>
      <c r="H95" s="40">
        <v>600</v>
      </c>
      <c r="I95" s="32">
        <v>695</v>
      </c>
      <c r="J95" s="32">
        <v>0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5.75">
      <c r="A96" s="13">
        <v>44774</v>
      </c>
      <c r="B96" s="41">
        <v>31</v>
      </c>
      <c r="C96" s="32">
        <v>194.20500000000001</v>
      </c>
      <c r="D96" s="32">
        <v>267.46600000000001</v>
      </c>
      <c r="E96" s="38">
        <v>812.32899999999995</v>
      </c>
      <c r="F96" s="32">
        <v>1274</v>
      </c>
      <c r="G96" s="32">
        <v>50</v>
      </c>
      <c r="H96" s="40">
        <v>600</v>
      </c>
      <c r="I96" s="32">
        <v>695</v>
      </c>
      <c r="J96" s="32">
        <v>0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15.75">
      <c r="A97" s="13">
        <v>44805</v>
      </c>
      <c r="B97" s="41">
        <v>30</v>
      </c>
      <c r="C97" s="32">
        <v>194.20500000000001</v>
      </c>
      <c r="D97" s="32">
        <v>267.46600000000001</v>
      </c>
      <c r="E97" s="38">
        <v>812.32899999999995</v>
      </c>
      <c r="F97" s="32">
        <v>1274</v>
      </c>
      <c r="G97" s="32">
        <v>50</v>
      </c>
      <c r="H97" s="40">
        <v>600</v>
      </c>
      <c r="I97" s="32">
        <v>695</v>
      </c>
      <c r="J97" s="32">
        <v>0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15.75">
      <c r="A98" s="13">
        <v>44835</v>
      </c>
      <c r="B98" s="41">
        <v>31</v>
      </c>
      <c r="C98" s="32">
        <v>131.881</v>
      </c>
      <c r="D98" s="32">
        <v>277.16699999999997</v>
      </c>
      <c r="E98" s="38">
        <v>829.952</v>
      </c>
      <c r="F98" s="32">
        <v>1239</v>
      </c>
      <c r="G98" s="32">
        <v>75</v>
      </c>
      <c r="H98" s="40">
        <v>600</v>
      </c>
      <c r="I98" s="32">
        <v>695</v>
      </c>
      <c r="J98" s="32">
        <v>0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15.75">
      <c r="A99" s="13">
        <v>44866</v>
      </c>
      <c r="B99" s="41">
        <v>30</v>
      </c>
      <c r="C99" s="32">
        <v>122.58</v>
      </c>
      <c r="D99" s="32">
        <v>297.94099999999997</v>
      </c>
      <c r="E99" s="38">
        <v>729.47900000000004</v>
      </c>
      <c r="F99" s="32">
        <v>1150</v>
      </c>
      <c r="G99" s="32">
        <v>100</v>
      </c>
      <c r="H99" s="40">
        <v>600</v>
      </c>
      <c r="I99" s="32">
        <v>695</v>
      </c>
      <c r="J99" s="32">
        <v>50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15.75">
      <c r="A100" s="13">
        <v>44896</v>
      </c>
      <c r="B100" s="41">
        <v>31</v>
      </c>
      <c r="C100" s="32">
        <v>122.58</v>
      </c>
      <c r="D100" s="32">
        <v>297.94099999999997</v>
      </c>
      <c r="E100" s="38">
        <v>729.47900000000004</v>
      </c>
      <c r="F100" s="32">
        <v>1150</v>
      </c>
      <c r="G100" s="32">
        <v>100</v>
      </c>
      <c r="H100" s="40">
        <v>600</v>
      </c>
      <c r="I100" s="32">
        <v>695</v>
      </c>
      <c r="J100" s="32">
        <v>50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5.75">
      <c r="A101" s="13">
        <v>44927</v>
      </c>
      <c r="B101" s="41">
        <v>31</v>
      </c>
      <c r="C101" s="32">
        <v>122.58</v>
      </c>
      <c r="D101" s="32">
        <v>297.94099999999997</v>
      </c>
      <c r="E101" s="38">
        <v>729.47900000000004</v>
      </c>
      <c r="F101" s="32">
        <v>1150</v>
      </c>
      <c r="G101" s="32">
        <v>100</v>
      </c>
      <c r="H101" s="40">
        <v>600</v>
      </c>
      <c r="I101" s="32">
        <v>695</v>
      </c>
      <c r="J101" s="32">
        <v>50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15.75">
      <c r="A102" s="13">
        <v>44958</v>
      </c>
      <c r="B102" s="41">
        <v>28</v>
      </c>
      <c r="C102" s="32">
        <v>122.58</v>
      </c>
      <c r="D102" s="32">
        <v>297.94099999999997</v>
      </c>
      <c r="E102" s="38">
        <v>729.47900000000004</v>
      </c>
      <c r="F102" s="32">
        <v>1150</v>
      </c>
      <c r="G102" s="32">
        <v>100</v>
      </c>
      <c r="H102" s="40">
        <v>600</v>
      </c>
      <c r="I102" s="32">
        <v>695</v>
      </c>
      <c r="J102" s="32">
        <v>50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15.75">
      <c r="A103" s="13">
        <v>44986</v>
      </c>
      <c r="B103" s="41">
        <v>31</v>
      </c>
      <c r="C103" s="32">
        <v>122.58</v>
      </c>
      <c r="D103" s="32">
        <v>297.94099999999997</v>
      </c>
      <c r="E103" s="38">
        <v>729.47900000000004</v>
      </c>
      <c r="F103" s="32">
        <v>1150</v>
      </c>
      <c r="G103" s="32">
        <v>100</v>
      </c>
      <c r="H103" s="40">
        <v>600</v>
      </c>
      <c r="I103" s="32">
        <v>695</v>
      </c>
      <c r="J103" s="32">
        <v>50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15.75">
      <c r="A104" s="13">
        <v>45017</v>
      </c>
      <c r="B104" s="41">
        <v>30</v>
      </c>
      <c r="C104" s="32">
        <v>141.29300000000001</v>
      </c>
      <c r="D104" s="32">
        <v>267.99299999999999</v>
      </c>
      <c r="E104" s="38">
        <v>829.71400000000006</v>
      </c>
      <c r="F104" s="32">
        <v>1239</v>
      </c>
      <c r="G104" s="32">
        <v>100</v>
      </c>
      <c r="H104" s="40">
        <v>600</v>
      </c>
      <c r="I104" s="32">
        <v>695</v>
      </c>
      <c r="J104" s="32">
        <v>50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15.75">
      <c r="A105" s="13">
        <v>45047</v>
      </c>
      <c r="B105" s="41">
        <v>31</v>
      </c>
      <c r="C105" s="32">
        <v>194.20500000000001</v>
      </c>
      <c r="D105" s="32">
        <v>267.46600000000001</v>
      </c>
      <c r="E105" s="38">
        <v>812.32899999999995</v>
      </c>
      <c r="F105" s="32">
        <v>1274</v>
      </c>
      <c r="G105" s="32">
        <v>75</v>
      </c>
      <c r="H105" s="40">
        <v>600</v>
      </c>
      <c r="I105" s="32">
        <v>695</v>
      </c>
      <c r="J105" s="32">
        <v>50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5.75">
      <c r="A106" s="13">
        <v>45078</v>
      </c>
      <c r="B106" s="41">
        <v>30</v>
      </c>
      <c r="C106" s="32">
        <v>194.20500000000001</v>
      </c>
      <c r="D106" s="32">
        <v>267.46600000000001</v>
      </c>
      <c r="E106" s="38">
        <v>812.32899999999995</v>
      </c>
      <c r="F106" s="32">
        <v>1274</v>
      </c>
      <c r="G106" s="32">
        <v>50</v>
      </c>
      <c r="H106" s="40">
        <v>600</v>
      </c>
      <c r="I106" s="32">
        <v>695</v>
      </c>
      <c r="J106" s="32">
        <v>50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15.75">
      <c r="A107" s="13">
        <v>45108</v>
      </c>
      <c r="B107" s="41">
        <v>31</v>
      </c>
      <c r="C107" s="32">
        <v>194.20500000000001</v>
      </c>
      <c r="D107" s="32">
        <v>267.46600000000001</v>
      </c>
      <c r="E107" s="38">
        <v>812.32899999999995</v>
      </c>
      <c r="F107" s="32">
        <v>1274</v>
      </c>
      <c r="G107" s="32">
        <v>50</v>
      </c>
      <c r="H107" s="40">
        <v>600</v>
      </c>
      <c r="I107" s="32">
        <v>695</v>
      </c>
      <c r="J107" s="32">
        <v>0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ht="15.75">
      <c r="A108" s="13">
        <v>45139</v>
      </c>
      <c r="B108" s="41">
        <v>31</v>
      </c>
      <c r="C108" s="32">
        <v>194.20500000000001</v>
      </c>
      <c r="D108" s="32">
        <v>267.46600000000001</v>
      </c>
      <c r="E108" s="38">
        <v>812.32899999999995</v>
      </c>
      <c r="F108" s="32">
        <v>1274</v>
      </c>
      <c r="G108" s="32">
        <v>50</v>
      </c>
      <c r="H108" s="40">
        <v>600</v>
      </c>
      <c r="I108" s="32">
        <v>695</v>
      </c>
      <c r="J108" s="32">
        <v>0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5.75">
      <c r="A109" s="13">
        <v>45170</v>
      </c>
      <c r="B109" s="41">
        <v>30</v>
      </c>
      <c r="C109" s="32">
        <v>194.20500000000001</v>
      </c>
      <c r="D109" s="32">
        <v>267.46600000000001</v>
      </c>
      <c r="E109" s="38">
        <v>812.32899999999995</v>
      </c>
      <c r="F109" s="32">
        <v>1274</v>
      </c>
      <c r="G109" s="32">
        <v>50</v>
      </c>
      <c r="H109" s="40">
        <v>600</v>
      </c>
      <c r="I109" s="32">
        <v>695</v>
      </c>
      <c r="J109" s="32">
        <v>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15.75">
      <c r="A110" s="13">
        <v>45200</v>
      </c>
      <c r="B110" s="41">
        <v>31</v>
      </c>
      <c r="C110" s="32">
        <v>131.881</v>
      </c>
      <c r="D110" s="32">
        <v>277.16699999999997</v>
      </c>
      <c r="E110" s="38">
        <v>829.952</v>
      </c>
      <c r="F110" s="32">
        <v>1239</v>
      </c>
      <c r="G110" s="32">
        <v>75</v>
      </c>
      <c r="H110" s="40">
        <v>600</v>
      </c>
      <c r="I110" s="32">
        <v>695</v>
      </c>
      <c r="J110" s="32">
        <v>0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15.75">
      <c r="A111" s="13">
        <v>45231</v>
      </c>
      <c r="B111" s="41">
        <v>30</v>
      </c>
      <c r="C111" s="32">
        <v>122.58</v>
      </c>
      <c r="D111" s="32">
        <v>297.94099999999997</v>
      </c>
      <c r="E111" s="38">
        <v>729.47900000000004</v>
      </c>
      <c r="F111" s="32">
        <v>1150</v>
      </c>
      <c r="G111" s="32">
        <v>100</v>
      </c>
      <c r="H111" s="40">
        <v>600</v>
      </c>
      <c r="I111" s="32">
        <v>695</v>
      </c>
      <c r="J111" s="32">
        <v>50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15.75">
      <c r="A112" s="13">
        <v>45261</v>
      </c>
      <c r="B112" s="41">
        <v>31</v>
      </c>
      <c r="C112" s="32">
        <v>122.58</v>
      </c>
      <c r="D112" s="32">
        <v>297.94099999999997</v>
      </c>
      <c r="E112" s="38">
        <v>729.47900000000004</v>
      </c>
      <c r="F112" s="32">
        <v>1150</v>
      </c>
      <c r="G112" s="32">
        <v>100</v>
      </c>
      <c r="H112" s="40">
        <v>600</v>
      </c>
      <c r="I112" s="32">
        <v>695</v>
      </c>
      <c r="J112" s="32">
        <v>50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ht="15.75">
      <c r="A113" s="13">
        <v>45292</v>
      </c>
      <c r="B113" s="41">
        <v>31</v>
      </c>
      <c r="C113" s="32">
        <v>122.58</v>
      </c>
      <c r="D113" s="32">
        <v>297.94099999999997</v>
      </c>
      <c r="E113" s="38">
        <v>729.47900000000004</v>
      </c>
      <c r="F113" s="32">
        <v>1150</v>
      </c>
      <c r="G113" s="32">
        <v>100</v>
      </c>
      <c r="H113" s="40">
        <v>600</v>
      </c>
      <c r="I113" s="32">
        <v>695</v>
      </c>
      <c r="J113" s="32">
        <v>50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15.75">
      <c r="A114" s="13">
        <v>45323</v>
      </c>
      <c r="B114" s="41">
        <v>29</v>
      </c>
      <c r="C114" s="32">
        <v>122.58</v>
      </c>
      <c r="D114" s="32">
        <v>297.94099999999997</v>
      </c>
      <c r="E114" s="38">
        <v>729.47900000000004</v>
      </c>
      <c r="F114" s="32">
        <v>1150</v>
      </c>
      <c r="G114" s="32">
        <v>100</v>
      </c>
      <c r="H114" s="40">
        <v>600</v>
      </c>
      <c r="I114" s="32">
        <v>695</v>
      </c>
      <c r="J114" s="32">
        <v>50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15.75">
      <c r="A115" s="13">
        <v>45352</v>
      </c>
      <c r="B115" s="41">
        <v>31</v>
      </c>
      <c r="C115" s="32">
        <v>122.58</v>
      </c>
      <c r="D115" s="32">
        <v>297.94099999999997</v>
      </c>
      <c r="E115" s="38">
        <v>729.47900000000004</v>
      </c>
      <c r="F115" s="32">
        <v>1150</v>
      </c>
      <c r="G115" s="32">
        <v>100</v>
      </c>
      <c r="H115" s="40">
        <v>600</v>
      </c>
      <c r="I115" s="32">
        <v>695</v>
      </c>
      <c r="J115" s="32">
        <v>50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ht="15.75">
      <c r="A116" s="13">
        <v>45383</v>
      </c>
      <c r="B116" s="41">
        <v>30</v>
      </c>
      <c r="C116" s="32">
        <v>141.29300000000001</v>
      </c>
      <c r="D116" s="32">
        <v>267.99299999999999</v>
      </c>
      <c r="E116" s="38">
        <v>829.71400000000006</v>
      </c>
      <c r="F116" s="32">
        <v>1239</v>
      </c>
      <c r="G116" s="32">
        <v>100</v>
      </c>
      <c r="H116" s="40">
        <v>600</v>
      </c>
      <c r="I116" s="32">
        <v>695</v>
      </c>
      <c r="J116" s="32">
        <v>50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5.75">
      <c r="A117" s="13">
        <v>45413</v>
      </c>
      <c r="B117" s="41">
        <v>31</v>
      </c>
      <c r="C117" s="32">
        <v>194.20500000000001</v>
      </c>
      <c r="D117" s="32">
        <v>267.46600000000001</v>
      </c>
      <c r="E117" s="38">
        <v>812.32899999999995</v>
      </c>
      <c r="F117" s="32">
        <v>1274</v>
      </c>
      <c r="G117" s="32">
        <v>75</v>
      </c>
      <c r="H117" s="40">
        <v>600</v>
      </c>
      <c r="I117" s="32">
        <v>695</v>
      </c>
      <c r="J117" s="32">
        <v>50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5.75">
      <c r="A118" s="13">
        <v>45444</v>
      </c>
      <c r="B118" s="41">
        <v>30</v>
      </c>
      <c r="C118" s="32">
        <v>194.20500000000001</v>
      </c>
      <c r="D118" s="32">
        <v>267.46600000000001</v>
      </c>
      <c r="E118" s="38">
        <v>812.32899999999995</v>
      </c>
      <c r="F118" s="32">
        <v>1274</v>
      </c>
      <c r="G118" s="32">
        <v>50</v>
      </c>
      <c r="H118" s="40">
        <v>600</v>
      </c>
      <c r="I118" s="32">
        <v>695</v>
      </c>
      <c r="J118" s="32">
        <v>50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5.75">
      <c r="A119" s="13">
        <v>45474</v>
      </c>
      <c r="B119" s="41">
        <v>31</v>
      </c>
      <c r="C119" s="32">
        <v>194.20500000000001</v>
      </c>
      <c r="D119" s="32">
        <v>267.46600000000001</v>
      </c>
      <c r="E119" s="38">
        <v>812.32899999999995</v>
      </c>
      <c r="F119" s="32">
        <v>1274</v>
      </c>
      <c r="G119" s="32">
        <v>50</v>
      </c>
      <c r="H119" s="40">
        <v>600</v>
      </c>
      <c r="I119" s="32">
        <v>695</v>
      </c>
      <c r="J119" s="32">
        <v>0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5.75">
      <c r="A120" s="13">
        <v>45505</v>
      </c>
      <c r="B120" s="41">
        <v>31</v>
      </c>
      <c r="C120" s="32">
        <v>194.20500000000001</v>
      </c>
      <c r="D120" s="32">
        <v>267.46600000000001</v>
      </c>
      <c r="E120" s="38">
        <v>812.32899999999995</v>
      </c>
      <c r="F120" s="32">
        <v>1274</v>
      </c>
      <c r="G120" s="32">
        <v>50</v>
      </c>
      <c r="H120" s="40">
        <v>600</v>
      </c>
      <c r="I120" s="32">
        <v>695</v>
      </c>
      <c r="J120" s="32">
        <v>0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ht="15.75">
      <c r="A121" s="13">
        <v>45536</v>
      </c>
      <c r="B121" s="41">
        <v>30</v>
      </c>
      <c r="C121" s="32">
        <v>194.20500000000001</v>
      </c>
      <c r="D121" s="32">
        <v>267.46600000000001</v>
      </c>
      <c r="E121" s="38">
        <v>812.32899999999995</v>
      </c>
      <c r="F121" s="32">
        <v>1274</v>
      </c>
      <c r="G121" s="32">
        <v>50</v>
      </c>
      <c r="H121" s="40">
        <v>600</v>
      </c>
      <c r="I121" s="32">
        <v>695</v>
      </c>
      <c r="J121" s="32">
        <v>0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ht="15.75">
      <c r="A122" s="13">
        <v>45566</v>
      </c>
      <c r="B122" s="41">
        <v>31</v>
      </c>
      <c r="C122" s="32">
        <v>131.881</v>
      </c>
      <c r="D122" s="32">
        <v>277.16699999999997</v>
      </c>
      <c r="E122" s="38">
        <v>829.952</v>
      </c>
      <c r="F122" s="32">
        <v>1239</v>
      </c>
      <c r="G122" s="32">
        <v>75</v>
      </c>
      <c r="H122" s="40">
        <v>600</v>
      </c>
      <c r="I122" s="32">
        <v>695</v>
      </c>
      <c r="J122" s="32">
        <v>0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ht="15.75">
      <c r="A123" s="13">
        <v>45597</v>
      </c>
      <c r="B123" s="41">
        <v>30</v>
      </c>
      <c r="C123" s="32">
        <v>122.58</v>
      </c>
      <c r="D123" s="32">
        <v>297.94099999999997</v>
      </c>
      <c r="E123" s="38">
        <v>729.47900000000004</v>
      </c>
      <c r="F123" s="32">
        <v>1150</v>
      </c>
      <c r="G123" s="32">
        <v>100</v>
      </c>
      <c r="H123" s="40">
        <v>600</v>
      </c>
      <c r="I123" s="32">
        <v>695</v>
      </c>
      <c r="J123" s="32">
        <v>50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ht="15.75">
      <c r="A124" s="13">
        <v>45627</v>
      </c>
      <c r="B124" s="41">
        <v>31</v>
      </c>
      <c r="C124" s="32">
        <v>122.58</v>
      </c>
      <c r="D124" s="32">
        <v>297.94099999999997</v>
      </c>
      <c r="E124" s="38">
        <v>729.47900000000004</v>
      </c>
      <c r="F124" s="32">
        <v>1150</v>
      </c>
      <c r="G124" s="32">
        <v>100</v>
      </c>
      <c r="H124" s="40">
        <v>600</v>
      </c>
      <c r="I124" s="32">
        <v>695</v>
      </c>
      <c r="J124" s="32">
        <v>50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15.75">
      <c r="A125" s="13">
        <v>45658</v>
      </c>
      <c r="B125" s="41">
        <v>31</v>
      </c>
      <c r="C125" s="32">
        <v>122.58</v>
      </c>
      <c r="D125" s="32">
        <v>297.94099999999997</v>
      </c>
      <c r="E125" s="38">
        <v>729.47900000000004</v>
      </c>
      <c r="F125" s="32">
        <v>1150</v>
      </c>
      <c r="G125" s="32">
        <v>100</v>
      </c>
      <c r="H125" s="40">
        <v>600</v>
      </c>
      <c r="I125" s="32">
        <v>695</v>
      </c>
      <c r="J125" s="32">
        <v>50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ht="15.75">
      <c r="A126" s="13">
        <v>45689</v>
      </c>
      <c r="B126" s="41">
        <v>28</v>
      </c>
      <c r="C126" s="32">
        <v>122.58</v>
      </c>
      <c r="D126" s="32">
        <v>297.94099999999997</v>
      </c>
      <c r="E126" s="38">
        <v>729.47900000000004</v>
      </c>
      <c r="F126" s="32">
        <v>1150</v>
      </c>
      <c r="G126" s="32">
        <v>100</v>
      </c>
      <c r="H126" s="40">
        <v>600</v>
      </c>
      <c r="I126" s="32">
        <v>695</v>
      </c>
      <c r="J126" s="32">
        <v>50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15.75">
      <c r="A127" s="13">
        <v>45717</v>
      </c>
      <c r="B127" s="41">
        <v>31</v>
      </c>
      <c r="C127" s="32">
        <v>122.58</v>
      </c>
      <c r="D127" s="32">
        <v>297.94099999999997</v>
      </c>
      <c r="E127" s="38">
        <v>729.47900000000004</v>
      </c>
      <c r="F127" s="32">
        <v>1150</v>
      </c>
      <c r="G127" s="32">
        <v>100</v>
      </c>
      <c r="H127" s="40">
        <v>600</v>
      </c>
      <c r="I127" s="32">
        <v>695</v>
      </c>
      <c r="J127" s="32">
        <v>50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ht="15.75">
      <c r="A128" s="13">
        <v>45748</v>
      </c>
      <c r="B128" s="41">
        <v>30</v>
      </c>
      <c r="C128" s="32">
        <v>141.29300000000001</v>
      </c>
      <c r="D128" s="32">
        <v>267.99299999999999</v>
      </c>
      <c r="E128" s="38">
        <v>829.71400000000006</v>
      </c>
      <c r="F128" s="32">
        <v>1239</v>
      </c>
      <c r="G128" s="32">
        <v>100</v>
      </c>
      <c r="H128" s="40">
        <v>600</v>
      </c>
      <c r="I128" s="32">
        <v>695</v>
      </c>
      <c r="J128" s="32">
        <v>50</v>
      </c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ht="15.75">
      <c r="A129" s="13">
        <v>45778</v>
      </c>
      <c r="B129" s="41">
        <v>31</v>
      </c>
      <c r="C129" s="32">
        <v>194.20500000000001</v>
      </c>
      <c r="D129" s="32">
        <v>267.46600000000001</v>
      </c>
      <c r="E129" s="38">
        <v>812.32899999999995</v>
      </c>
      <c r="F129" s="32">
        <v>1274</v>
      </c>
      <c r="G129" s="32">
        <v>75</v>
      </c>
      <c r="H129" s="40">
        <v>600</v>
      </c>
      <c r="I129" s="32">
        <v>695</v>
      </c>
      <c r="J129" s="32">
        <v>50</v>
      </c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ht="15.75">
      <c r="A130" s="13">
        <v>45809</v>
      </c>
      <c r="B130" s="41">
        <v>30</v>
      </c>
      <c r="C130" s="32">
        <v>194.20500000000001</v>
      </c>
      <c r="D130" s="32">
        <v>267.46600000000001</v>
      </c>
      <c r="E130" s="38">
        <v>812.32899999999995</v>
      </c>
      <c r="F130" s="32">
        <v>1274</v>
      </c>
      <c r="G130" s="32">
        <v>50</v>
      </c>
      <c r="H130" s="40">
        <v>600</v>
      </c>
      <c r="I130" s="32">
        <v>695</v>
      </c>
      <c r="J130" s="32">
        <v>50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ht="15.75">
      <c r="A131" s="13">
        <v>45839</v>
      </c>
      <c r="B131" s="41">
        <v>31</v>
      </c>
      <c r="C131" s="32">
        <v>194.20500000000001</v>
      </c>
      <c r="D131" s="32">
        <v>267.46600000000001</v>
      </c>
      <c r="E131" s="38">
        <v>812.32899999999995</v>
      </c>
      <c r="F131" s="32">
        <v>1274</v>
      </c>
      <c r="G131" s="32">
        <v>50</v>
      </c>
      <c r="H131" s="40">
        <v>600</v>
      </c>
      <c r="I131" s="32">
        <v>695</v>
      </c>
      <c r="J131" s="32">
        <v>0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ht="15.75">
      <c r="A132" s="13">
        <v>45870</v>
      </c>
      <c r="B132" s="41">
        <v>31</v>
      </c>
      <c r="C132" s="32">
        <v>194.20500000000001</v>
      </c>
      <c r="D132" s="32">
        <v>267.46600000000001</v>
      </c>
      <c r="E132" s="38">
        <v>812.32899999999995</v>
      </c>
      <c r="F132" s="32">
        <v>1274</v>
      </c>
      <c r="G132" s="32">
        <v>50</v>
      </c>
      <c r="H132" s="40">
        <v>600</v>
      </c>
      <c r="I132" s="32">
        <v>695</v>
      </c>
      <c r="J132" s="32">
        <v>0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ht="15.75">
      <c r="A133" s="13">
        <v>45901</v>
      </c>
      <c r="B133" s="41">
        <v>30</v>
      </c>
      <c r="C133" s="32">
        <v>194.20500000000001</v>
      </c>
      <c r="D133" s="32">
        <v>267.46600000000001</v>
      </c>
      <c r="E133" s="38">
        <v>812.32899999999995</v>
      </c>
      <c r="F133" s="32">
        <v>1274</v>
      </c>
      <c r="G133" s="32">
        <v>50</v>
      </c>
      <c r="H133" s="40">
        <v>600</v>
      </c>
      <c r="I133" s="32">
        <v>695</v>
      </c>
      <c r="J133" s="32">
        <v>0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ht="15.75">
      <c r="A134" s="13">
        <v>45931</v>
      </c>
      <c r="B134" s="41">
        <v>31</v>
      </c>
      <c r="C134" s="32">
        <v>131.881</v>
      </c>
      <c r="D134" s="32">
        <v>277.16699999999997</v>
      </c>
      <c r="E134" s="38">
        <v>829.952</v>
      </c>
      <c r="F134" s="32">
        <v>1239</v>
      </c>
      <c r="G134" s="32">
        <v>75</v>
      </c>
      <c r="H134" s="40">
        <v>600</v>
      </c>
      <c r="I134" s="32">
        <v>695</v>
      </c>
      <c r="J134" s="32">
        <v>0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ht="15.75">
      <c r="A135" s="13">
        <v>45962</v>
      </c>
      <c r="B135" s="41">
        <v>30</v>
      </c>
      <c r="C135" s="32">
        <v>122.58</v>
      </c>
      <c r="D135" s="32">
        <v>297.94099999999997</v>
      </c>
      <c r="E135" s="38">
        <v>729.47900000000004</v>
      </c>
      <c r="F135" s="32">
        <v>1150</v>
      </c>
      <c r="G135" s="32">
        <v>100</v>
      </c>
      <c r="H135" s="40">
        <v>600</v>
      </c>
      <c r="I135" s="32">
        <v>695</v>
      </c>
      <c r="J135" s="32">
        <v>50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5.75">
      <c r="A136" s="13">
        <v>45992</v>
      </c>
      <c r="B136" s="41">
        <v>31</v>
      </c>
      <c r="C136" s="32">
        <v>122.58</v>
      </c>
      <c r="D136" s="32">
        <v>297.94099999999997</v>
      </c>
      <c r="E136" s="38">
        <v>729.47900000000004</v>
      </c>
      <c r="F136" s="32">
        <v>1150</v>
      </c>
      <c r="G136" s="32">
        <v>100</v>
      </c>
      <c r="H136" s="40">
        <v>600</v>
      </c>
      <c r="I136" s="32">
        <v>695</v>
      </c>
      <c r="J136" s="32">
        <v>50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.75">
      <c r="A137" s="13">
        <v>46023</v>
      </c>
      <c r="B137" s="41">
        <v>31</v>
      </c>
      <c r="C137" s="32">
        <v>122.58</v>
      </c>
      <c r="D137" s="32">
        <v>297.94099999999997</v>
      </c>
      <c r="E137" s="38">
        <v>729.47900000000004</v>
      </c>
      <c r="F137" s="32">
        <v>1150</v>
      </c>
      <c r="G137" s="32">
        <v>100</v>
      </c>
      <c r="H137" s="40">
        <v>600</v>
      </c>
      <c r="I137" s="32">
        <v>695</v>
      </c>
      <c r="J137" s="32">
        <v>50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ht="15.75">
      <c r="A138" s="13">
        <v>46054</v>
      </c>
      <c r="B138" s="41">
        <v>28</v>
      </c>
      <c r="C138" s="32">
        <v>122.58</v>
      </c>
      <c r="D138" s="32">
        <v>297.94099999999997</v>
      </c>
      <c r="E138" s="38">
        <v>729.47900000000004</v>
      </c>
      <c r="F138" s="32">
        <v>1150</v>
      </c>
      <c r="G138" s="32">
        <v>100</v>
      </c>
      <c r="H138" s="40">
        <v>600</v>
      </c>
      <c r="I138" s="32">
        <v>695</v>
      </c>
      <c r="J138" s="32">
        <v>50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ht="15.75">
      <c r="A139" s="13">
        <v>46082</v>
      </c>
      <c r="B139" s="41">
        <v>31</v>
      </c>
      <c r="C139" s="32">
        <v>122.58</v>
      </c>
      <c r="D139" s="32">
        <v>297.94099999999997</v>
      </c>
      <c r="E139" s="38">
        <v>729.47900000000004</v>
      </c>
      <c r="F139" s="32">
        <v>1150</v>
      </c>
      <c r="G139" s="32">
        <v>100</v>
      </c>
      <c r="H139" s="40">
        <v>600</v>
      </c>
      <c r="I139" s="32">
        <v>695</v>
      </c>
      <c r="J139" s="32">
        <v>50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ht="15.75">
      <c r="A140" s="13">
        <v>46113</v>
      </c>
      <c r="B140" s="41">
        <v>30</v>
      </c>
      <c r="C140" s="32">
        <v>141.29300000000001</v>
      </c>
      <c r="D140" s="32">
        <v>267.99299999999999</v>
      </c>
      <c r="E140" s="38">
        <v>829.71400000000006</v>
      </c>
      <c r="F140" s="32">
        <v>1239</v>
      </c>
      <c r="G140" s="32">
        <v>100</v>
      </c>
      <c r="H140" s="40">
        <v>600</v>
      </c>
      <c r="I140" s="32">
        <v>695</v>
      </c>
      <c r="J140" s="32">
        <v>50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ht="15.75">
      <c r="A141" s="13">
        <v>46143</v>
      </c>
      <c r="B141" s="41">
        <v>31</v>
      </c>
      <c r="C141" s="32">
        <v>194.20500000000001</v>
      </c>
      <c r="D141" s="32">
        <v>267.46600000000001</v>
      </c>
      <c r="E141" s="38">
        <v>812.32899999999995</v>
      </c>
      <c r="F141" s="32">
        <v>1274</v>
      </c>
      <c r="G141" s="32">
        <v>75</v>
      </c>
      <c r="H141" s="40">
        <v>600</v>
      </c>
      <c r="I141" s="32">
        <v>695</v>
      </c>
      <c r="J141" s="32">
        <v>50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ht="15.75">
      <c r="A142" s="13">
        <v>46174</v>
      </c>
      <c r="B142" s="41">
        <v>30</v>
      </c>
      <c r="C142" s="32">
        <v>194.20500000000001</v>
      </c>
      <c r="D142" s="32">
        <v>267.46600000000001</v>
      </c>
      <c r="E142" s="38">
        <v>812.32899999999995</v>
      </c>
      <c r="F142" s="32">
        <v>1274</v>
      </c>
      <c r="G142" s="32">
        <v>50</v>
      </c>
      <c r="H142" s="40">
        <v>600</v>
      </c>
      <c r="I142" s="32">
        <v>695</v>
      </c>
      <c r="J142" s="32">
        <v>50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ht="15.75">
      <c r="A143" s="13">
        <v>46204</v>
      </c>
      <c r="B143" s="41">
        <v>31</v>
      </c>
      <c r="C143" s="32">
        <v>194.20500000000001</v>
      </c>
      <c r="D143" s="32">
        <v>267.46600000000001</v>
      </c>
      <c r="E143" s="38">
        <v>812.32899999999995</v>
      </c>
      <c r="F143" s="32">
        <v>1274</v>
      </c>
      <c r="G143" s="32">
        <v>50</v>
      </c>
      <c r="H143" s="40">
        <v>600</v>
      </c>
      <c r="I143" s="32">
        <v>695</v>
      </c>
      <c r="J143" s="32">
        <v>0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ht="15.75">
      <c r="A144" s="13">
        <v>46235</v>
      </c>
      <c r="B144" s="41">
        <v>31</v>
      </c>
      <c r="C144" s="32">
        <v>194.20500000000001</v>
      </c>
      <c r="D144" s="32">
        <v>267.46600000000001</v>
      </c>
      <c r="E144" s="38">
        <v>812.32899999999995</v>
      </c>
      <c r="F144" s="32">
        <v>1274</v>
      </c>
      <c r="G144" s="32">
        <v>50</v>
      </c>
      <c r="H144" s="40">
        <v>600</v>
      </c>
      <c r="I144" s="32">
        <v>695</v>
      </c>
      <c r="J144" s="32">
        <v>0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ht="15.75">
      <c r="A145" s="13">
        <v>46266</v>
      </c>
      <c r="B145" s="41">
        <v>30</v>
      </c>
      <c r="C145" s="32">
        <v>194.20500000000001</v>
      </c>
      <c r="D145" s="32">
        <v>267.46600000000001</v>
      </c>
      <c r="E145" s="38">
        <v>812.32899999999995</v>
      </c>
      <c r="F145" s="32">
        <v>1274</v>
      </c>
      <c r="G145" s="32">
        <v>50</v>
      </c>
      <c r="H145" s="40">
        <v>600</v>
      </c>
      <c r="I145" s="32">
        <v>695</v>
      </c>
      <c r="J145" s="32">
        <v>0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ht="15.75">
      <c r="A146" s="13">
        <v>46296</v>
      </c>
      <c r="B146" s="41">
        <v>31</v>
      </c>
      <c r="C146" s="32">
        <v>131.881</v>
      </c>
      <c r="D146" s="32">
        <v>277.16699999999997</v>
      </c>
      <c r="E146" s="38">
        <v>829.952</v>
      </c>
      <c r="F146" s="32">
        <v>1239</v>
      </c>
      <c r="G146" s="32">
        <v>75</v>
      </c>
      <c r="H146" s="40">
        <v>600</v>
      </c>
      <c r="I146" s="32">
        <v>695</v>
      </c>
      <c r="J146" s="32">
        <v>0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ht="15.75">
      <c r="A147" s="13">
        <v>46327</v>
      </c>
      <c r="B147" s="41">
        <v>30</v>
      </c>
      <c r="C147" s="32">
        <v>122.58</v>
      </c>
      <c r="D147" s="32">
        <v>297.94099999999997</v>
      </c>
      <c r="E147" s="38">
        <v>729.47900000000004</v>
      </c>
      <c r="F147" s="32">
        <v>1150</v>
      </c>
      <c r="G147" s="32">
        <v>100</v>
      </c>
      <c r="H147" s="40">
        <v>600</v>
      </c>
      <c r="I147" s="32">
        <v>695</v>
      </c>
      <c r="J147" s="32">
        <v>50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ht="15.75">
      <c r="A148" s="13">
        <v>46357</v>
      </c>
      <c r="B148" s="41">
        <v>31</v>
      </c>
      <c r="C148" s="32">
        <v>122.58</v>
      </c>
      <c r="D148" s="32">
        <v>297.94099999999997</v>
      </c>
      <c r="E148" s="38">
        <v>729.47900000000004</v>
      </c>
      <c r="F148" s="32">
        <v>1150</v>
      </c>
      <c r="G148" s="32">
        <v>100</v>
      </c>
      <c r="H148" s="40">
        <v>600</v>
      </c>
      <c r="I148" s="32">
        <v>695</v>
      </c>
      <c r="J148" s="32">
        <v>50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ht="15.75">
      <c r="A149" s="13">
        <v>46388</v>
      </c>
      <c r="B149" s="41">
        <v>31</v>
      </c>
      <c r="C149" s="32">
        <v>122.58</v>
      </c>
      <c r="D149" s="32">
        <v>297.94099999999997</v>
      </c>
      <c r="E149" s="38">
        <v>729.47900000000004</v>
      </c>
      <c r="F149" s="32">
        <v>1150</v>
      </c>
      <c r="G149" s="32">
        <v>100</v>
      </c>
      <c r="H149" s="40">
        <v>600</v>
      </c>
      <c r="I149" s="32">
        <v>695</v>
      </c>
      <c r="J149" s="32">
        <v>50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ht="15.75">
      <c r="A150" s="13">
        <v>46419</v>
      </c>
      <c r="B150" s="41">
        <v>28</v>
      </c>
      <c r="C150" s="32">
        <v>122.58</v>
      </c>
      <c r="D150" s="32">
        <v>297.94099999999997</v>
      </c>
      <c r="E150" s="38">
        <v>729.47900000000004</v>
      </c>
      <c r="F150" s="32">
        <v>1150</v>
      </c>
      <c r="G150" s="32">
        <v>100</v>
      </c>
      <c r="H150" s="40">
        <v>600</v>
      </c>
      <c r="I150" s="32">
        <v>695</v>
      </c>
      <c r="J150" s="32">
        <v>50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ht="15.75">
      <c r="A151" s="13">
        <v>46447</v>
      </c>
      <c r="B151" s="41">
        <v>31</v>
      </c>
      <c r="C151" s="32">
        <v>122.58</v>
      </c>
      <c r="D151" s="32">
        <v>297.94099999999997</v>
      </c>
      <c r="E151" s="38">
        <v>729.47900000000004</v>
      </c>
      <c r="F151" s="32">
        <v>1150</v>
      </c>
      <c r="G151" s="32">
        <v>100</v>
      </c>
      <c r="H151" s="40">
        <v>600</v>
      </c>
      <c r="I151" s="32">
        <v>695</v>
      </c>
      <c r="J151" s="32">
        <v>50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ht="15.75">
      <c r="A152" s="13">
        <v>46478</v>
      </c>
      <c r="B152" s="41">
        <v>30</v>
      </c>
      <c r="C152" s="32">
        <v>141.29300000000001</v>
      </c>
      <c r="D152" s="32">
        <v>267.99299999999999</v>
      </c>
      <c r="E152" s="38">
        <v>829.71400000000006</v>
      </c>
      <c r="F152" s="32">
        <v>1239</v>
      </c>
      <c r="G152" s="32">
        <v>100</v>
      </c>
      <c r="H152" s="40">
        <v>600</v>
      </c>
      <c r="I152" s="32">
        <v>695</v>
      </c>
      <c r="J152" s="32">
        <v>50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ht="15.75">
      <c r="A153" s="13">
        <v>46508</v>
      </c>
      <c r="B153" s="41">
        <v>31</v>
      </c>
      <c r="C153" s="32">
        <v>194.20500000000001</v>
      </c>
      <c r="D153" s="32">
        <v>267.46600000000001</v>
      </c>
      <c r="E153" s="38">
        <v>812.32899999999995</v>
      </c>
      <c r="F153" s="32">
        <v>1274</v>
      </c>
      <c r="G153" s="32">
        <v>75</v>
      </c>
      <c r="H153" s="40">
        <v>600</v>
      </c>
      <c r="I153" s="32">
        <v>695</v>
      </c>
      <c r="J153" s="32">
        <v>50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ht="15.75">
      <c r="A154" s="13">
        <v>46539</v>
      </c>
      <c r="B154" s="41">
        <v>30</v>
      </c>
      <c r="C154" s="32">
        <v>194.20500000000001</v>
      </c>
      <c r="D154" s="32">
        <v>267.46600000000001</v>
      </c>
      <c r="E154" s="38">
        <v>812.32899999999995</v>
      </c>
      <c r="F154" s="32">
        <v>1274</v>
      </c>
      <c r="G154" s="32">
        <v>50</v>
      </c>
      <c r="H154" s="40">
        <v>600</v>
      </c>
      <c r="I154" s="32">
        <v>695</v>
      </c>
      <c r="J154" s="32">
        <v>50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ht="15.75">
      <c r="A155" s="13">
        <v>46569</v>
      </c>
      <c r="B155" s="41">
        <v>31</v>
      </c>
      <c r="C155" s="32">
        <v>194.20500000000001</v>
      </c>
      <c r="D155" s="32">
        <v>267.46600000000001</v>
      </c>
      <c r="E155" s="38">
        <v>812.32899999999995</v>
      </c>
      <c r="F155" s="32">
        <v>1274</v>
      </c>
      <c r="G155" s="32">
        <v>50</v>
      </c>
      <c r="H155" s="40">
        <v>600</v>
      </c>
      <c r="I155" s="32">
        <v>695</v>
      </c>
      <c r="J155" s="32">
        <v>0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ht="15.75">
      <c r="A156" s="13">
        <v>46600</v>
      </c>
      <c r="B156" s="41">
        <v>31</v>
      </c>
      <c r="C156" s="32">
        <v>194.20500000000001</v>
      </c>
      <c r="D156" s="32">
        <v>267.46600000000001</v>
      </c>
      <c r="E156" s="38">
        <v>812.32899999999995</v>
      </c>
      <c r="F156" s="32">
        <v>1274</v>
      </c>
      <c r="G156" s="32">
        <v>50</v>
      </c>
      <c r="H156" s="40">
        <v>600</v>
      </c>
      <c r="I156" s="32">
        <v>695</v>
      </c>
      <c r="J156" s="32">
        <v>0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ht="15.75">
      <c r="A157" s="13">
        <v>46631</v>
      </c>
      <c r="B157" s="41">
        <v>30</v>
      </c>
      <c r="C157" s="32">
        <v>194.20500000000001</v>
      </c>
      <c r="D157" s="32">
        <v>267.46600000000001</v>
      </c>
      <c r="E157" s="38">
        <v>812.32899999999995</v>
      </c>
      <c r="F157" s="32">
        <v>1274</v>
      </c>
      <c r="G157" s="32">
        <v>50</v>
      </c>
      <c r="H157" s="40">
        <v>600</v>
      </c>
      <c r="I157" s="32">
        <v>695</v>
      </c>
      <c r="J157" s="32">
        <v>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5.75">
      <c r="A158" s="13">
        <v>46661</v>
      </c>
      <c r="B158" s="41">
        <v>31</v>
      </c>
      <c r="C158" s="32">
        <v>131.881</v>
      </c>
      <c r="D158" s="32">
        <v>277.16699999999997</v>
      </c>
      <c r="E158" s="38">
        <v>829.952</v>
      </c>
      <c r="F158" s="32">
        <v>1239</v>
      </c>
      <c r="G158" s="32">
        <v>75</v>
      </c>
      <c r="H158" s="40">
        <v>600</v>
      </c>
      <c r="I158" s="32">
        <v>695</v>
      </c>
      <c r="J158" s="32">
        <v>0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ht="15.75">
      <c r="A159" s="13">
        <v>46692</v>
      </c>
      <c r="B159" s="41">
        <v>30</v>
      </c>
      <c r="C159" s="32">
        <v>122.58</v>
      </c>
      <c r="D159" s="32">
        <v>297.94099999999997</v>
      </c>
      <c r="E159" s="38">
        <v>729.47900000000004</v>
      </c>
      <c r="F159" s="32">
        <v>1150</v>
      </c>
      <c r="G159" s="32">
        <v>100</v>
      </c>
      <c r="H159" s="40">
        <v>600</v>
      </c>
      <c r="I159" s="32">
        <v>695</v>
      </c>
      <c r="J159" s="32">
        <v>50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ht="15.75">
      <c r="A160" s="13">
        <v>46722</v>
      </c>
      <c r="B160" s="41">
        <v>31</v>
      </c>
      <c r="C160" s="32">
        <v>122.58</v>
      </c>
      <c r="D160" s="32">
        <v>297.94099999999997</v>
      </c>
      <c r="E160" s="38">
        <v>729.47900000000004</v>
      </c>
      <c r="F160" s="32">
        <v>1150</v>
      </c>
      <c r="G160" s="32">
        <v>100</v>
      </c>
      <c r="H160" s="40">
        <v>600</v>
      </c>
      <c r="I160" s="32">
        <v>695</v>
      </c>
      <c r="J160" s="32">
        <v>50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ht="15.75">
      <c r="A161" s="13">
        <v>46753</v>
      </c>
      <c r="B161" s="41">
        <v>31</v>
      </c>
      <c r="C161" s="32">
        <v>122.58</v>
      </c>
      <c r="D161" s="32">
        <v>297.94099999999997</v>
      </c>
      <c r="E161" s="38">
        <v>729.47900000000004</v>
      </c>
      <c r="F161" s="32">
        <v>1150</v>
      </c>
      <c r="G161" s="32">
        <v>100</v>
      </c>
      <c r="H161" s="40">
        <v>600</v>
      </c>
      <c r="I161" s="32">
        <v>695</v>
      </c>
      <c r="J161" s="32">
        <v>50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ht="15.75">
      <c r="A162" s="13">
        <v>46784</v>
      </c>
      <c r="B162" s="41">
        <v>29</v>
      </c>
      <c r="C162" s="32">
        <v>122.58</v>
      </c>
      <c r="D162" s="32">
        <v>297.94099999999997</v>
      </c>
      <c r="E162" s="38">
        <v>729.47900000000004</v>
      </c>
      <c r="F162" s="32">
        <v>1150</v>
      </c>
      <c r="G162" s="32">
        <v>100</v>
      </c>
      <c r="H162" s="40">
        <v>600</v>
      </c>
      <c r="I162" s="32">
        <v>695</v>
      </c>
      <c r="J162" s="32">
        <v>50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ht="15.75">
      <c r="A163" s="13">
        <v>46813</v>
      </c>
      <c r="B163" s="41">
        <v>31</v>
      </c>
      <c r="C163" s="32">
        <v>122.58</v>
      </c>
      <c r="D163" s="32">
        <v>297.94099999999997</v>
      </c>
      <c r="E163" s="38">
        <v>729.47900000000004</v>
      </c>
      <c r="F163" s="32">
        <v>1150</v>
      </c>
      <c r="G163" s="32">
        <v>100</v>
      </c>
      <c r="H163" s="40">
        <v>600</v>
      </c>
      <c r="I163" s="32">
        <v>695</v>
      </c>
      <c r="J163" s="32">
        <v>50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ht="15.75">
      <c r="A164" s="13">
        <v>46844</v>
      </c>
      <c r="B164" s="41">
        <v>30</v>
      </c>
      <c r="C164" s="32">
        <v>141.29300000000001</v>
      </c>
      <c r="D164" s="32">
        <v>267.99299999999999</v>
      </c>
      <c r="E164" s="38">
        <v>829.71400000000006</v>
      </c>
      <c r="F164" s="32">
        <v>1239</v>
      </c>
      <c r="G164" s="32">
        <v>100</v>
      </c>
      <c r="H164" s="40">
        <v>600</v>
      </c>
      <c r="I164" s="32">
        <v>695</v>
      </c>
      <c r="J164" s="32">
        <v>50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ht="15.75">
      <c r="A165" s="13">
        <v>46874</v>
      </c>
      <c r="B165" s="41">
        <v>31</v>
      </c>
      <c r="C165" s="32">
        <v>194.20500000000001</v>
      </c>
      <c r="D165" s="32">
        <v>267.46600000000001</v>
      </c>
      <c r="E165" s="38">
        <v>812.32899999999995</v>
      </c>
      <c r="F165" s="32">
        <v>1274</v>
      </c>
      <c r="G165" s="32">
        <v>75</v>
      </c>
      <c r="H165" s="40">
        <v>600</v>
      </c>
      <c r="I165" s="32">
        <v>695</v>
      </c>
      <c r="J165" s="32">
        <v>50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ht="15.75">
      <c r="A166" s="13">
        <v>46905</v>
      </c>
      <c r="B166" s="41">
        <v>30</v>
      </c>
      <c r="C166" s="32">
        <v>194.20500000000001</v>
      </c>
      <c r="D166" s="32">
        <v>267.46600000000001</v>
      </c>
      <c r="E166" s="38">
        <v>812.32899999999995</v>
      </c>
      <c r="F166" s="32">
        <v>1274</v>
      </c>
      <c r="G166" s="32">
        <v>50</v>
      </c>
      <c r="H166" s="40">
        <v>600</v>
      </c>
      <c r="I166" s="32">
        <v>695</v>
      </c>
      <c r="J166" s="32">
        <v>50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ht="15.75">
      <c r="A167" s="13">
        <v>46935</v>
      </c>
      <c r="B167" s="41">
        <v>31</v>
      </c>
      <c r="C167" s="32">
        <v>194.20500000000001</v>
      </c>
      <c r="D167" s="32">
        <v>267.46600000000001</v>
      </c>
      <c r="E167" s="38">
        <v>812.32899999999995</v>
      </c>
      <c r="F167" s="32">
        <v>1274</v>
      </c>
      <c r="G167" s="32">
        <v>50</v>
      </c>
      <c r="H167" s="40">
        <v>600</v>
      </c>
      <c r="I167" s="32">
        <v>695</v>
      </c>
      <c r="J167" s="32">
        <v>0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ht="15.75">
      <c r="A168" s="13">
        <v>46966</v>
      </c>
      <c r="B168" s="41">
        <v>31</v>
      </c>
      <c r="C168" s="32">
        <v>194.20500000000001</v>
      </c>
      <c r="D168" s="32">
        <v>267.46600000000001</v>
      </c>
      <c r="E168" s="38">
        <v>812.32899999999995</v>
      </c>
      <c r="F168" s="32">
        <v>1274</v>
      </c>
      <c r="G168" s="32">
        <v>50</v>
      </c>
      <c r="H168" s="40">
        <v>600</v>
      </c>
      <c r="I168" s="32">
        <v>695</v>
      </c>
      <c r="J168" s="32">
        <v>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ht="15.75">
      <c r="A169" s="13">
        <v>46997</v>
      </c>
      <c r="B169" s="41">
        <v>30</v>
      </c>
      <c r="C169" s="32">
        <v>194.20500000000001</v>
      </c>
      <c r="D169" s="32">
        <v>267.46600000000001</v>
      </c>
      <c r="E169" s="38">
        <v>812.32899999999995</v>
      </c>
      <c r="F169" s="32">
        <v>1274</v>
      </c>
      <c r="G169" s="32">
        <v>50</v>
      </c>
      <c r="H169" s="40">
        <v>600</v>
      </c>
      <c r="I169" s="32">
        <v>695</v>
      </c>
      <c r="J169" s="32">
        <v>0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15.75">
      <c r="A170" s="13">
        <v>47027</v>
      </c>
      <c r="B170" s="41">
        <v>31</v>
      </c>
      <c r="C170" s="32">
        <v>131.881</v>
      </c>
      <c r="D170" s="32">
        <v>277.16699999999997</v>
      </c>
      <c r="E170" s="38">
        <v>829.952</v>
      </c>
      <c r="F170" s="32">
        <v>1239</v>
      </c>
      <c r="G170" s="32">
        <v>75</v>
      </c>
      <c r="H170" s="40">
        <v>600</v>
      </c>
      <c r="I170" s="32">
        <v>695</v>
      </c>
      <c r="J170" s="32">
        <v>0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ht="15.75">
      <c r="A171" s="13">
        <v>47058</v>
      </c>
      <c r="B171" s="41">
        <v>30</v>
      </c>
      <c r="C171" s="32">
        <v>122.58</v>
      </c>
      <c r="D171" s="32">
        <v>297.94099999999997</v>
      </c>
      <c r="E171" s="38">
        <v>729.47900000000004</v>
      </c>
      <c r="F171" s="32">
        <v>1150</v>
      </c>
      <c r="G171" s="32">
        <v>100</v>
      </c>
      <c r="H171" s="40">
        <v>600</v>
      </c>
      <c r="I171" s="32">
        <v>695</v>
      </c>
      <c r="J171" s="32">
        <v>50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ht="15.75">
      <c r="A172" s="13">
        <v>47088</v>
      </c>
      <c r="B172" s="41">
        <v>31</v>
      </c>
      <c r="C172" s="32">
        <v>122.58</v>
      </c>
      <c r="D172" s="32">
        <v>297.94099999999997</v>
      </c>
      <c r="E172" s="38">
        <v>729.47900000000004</v>
      </c>
      <c r="F172" s="32">
        <v>1150</v>
      </c>
      <c r="G172" s="32">
        <v>100</v>
      </c>
      <c r="H172" s="40">
        <v>600</v>
      </c>
      <c r="I172" s="32">
        <v>695</v>
      </c>
      <c r="J172" s="32">
        <v>50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ht="15.75">
      <c r="A173" s="13">
        <v>47119</v>
      </c>
      <c r="B173" s="41">
        <v>31</v>
      </c>
      <c r="C173" s="32">
        <v>122.58</v>
      </c>
      <c r="D173" s="32">
        <v>297.94099999999997</v>
      </c>
      <c r="E173" s="38">
        <v>729.47900000000004</v>
      </c>
      <c r="F173" s="32">
        <v>1150</v>
      </c>
      <c r="G173" s="32">
        <v>100</v>
      </c>
      <c r="H173" s="40">
        <v>600</v>
      </c>
      <c r="I173" s="32">
        <v>695</v>
      </c>
      <c r="J173" s="32">
        <v>50</v>
      </c>
      <c r="K173" s="33"/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ht="15.75">
      <c r="A174" s="13">
        <v>47150</v>
      </c>
      <c r="B174" s="41">
        <v>28</v>
      </c>
      <c r="C174" s="32">
        <v>122.58</v>
      </c>
      <c r="D174" s="32">
        <v>297.94099999999997</v>
      </c>
      <c r="E174" s="38">
        <v>729.47900000000004</v>
      </c>
      <c r="F174" s="32">
        <v>1150</v>
      </c>
      <c r="G174" s="32">
        <v>100</v>
      </c>
      <c r="H174" s="40">
        <v>600</v>
      </c>
      <c r="I174" s="32">
        <v>695</v>
      </c>
      <c r="J174" s="32">
        <v>50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ht="15.75">
      <c r="A175" s="13">
        <v>47178</v>
      </c>
      <c r="B175" s="41">
        <v>31</v>
      </c>
      <c r="C175" s="32">
        <v>122.58</v>
      </c>
      <c r="D175" s="32">
        <v>297.94099999999997</v>
      </c>
      <c r="E175" s="38">
        <v>729.47900000000004</v>
      </c>
      <c r="F175" s="32">
        <v>1150</v>
      </c>
      <c r="G175" s="32">
        <v>100</v>
      </c>
      <c r="H175" s="40">
        <v>600</v>
      </c>
      <c r="I175" s="32">
        <v>695</v>
      </c>
      <c r="J175" s="32">
        <v>50</v>
      </c>
      <c r="K175" s="33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ht="15.75">
      <c r="A176" s="13">
        <v>47209</v>
      </c>
      <c r="B176" s="41">
        <v>30</v>
      </c>
      <c r="C176" s="32">
        <v>141.29300000000001</v>
      </c>
      <c r="D176" s="32">
        <v>267.99299999999999</v>
      </c>
      <c r="E176" s="38">
        <v>829.71400000000006</v>
      </c>
      <c r="F176" s="32">
        <v>1239</v>
      </c>
      <c r="G176" s="32">
        <v>100</v>
      </c>
      <c r="H176" s="40">
        <v>600</v>
      </c>
      <c r="I176" s="32">
        <v>695</v>
      </c>
      <c r="J176" s="32">
        <v>50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ht="15.75">
      <c r="A177" s="13">
        <v>47239</v>
      </c>
      <c r="B177" s="41">
        <v>31</v>
      </c>
      <c r="C177" s="32">
        <v>194.20500000000001</v>
      </c>
      <c r="D177" s="32">
        <v>267.46600000000001</v>
      </c>
      <c r="E177" s="38">
        <v>812.32899999999995</v>
      </c>
      <c r="F177" s="32">
        <v>1274</v>
      </c>
      <c r="G177" s="32">
        <v>75</v>
      </c>
      <c r="H177" s="40">
        <v>600</v>
      </c>
      <c r="I177" s="32">
        <v>695</v>
      </c>
      <c r="J177" s="32">
        <v>50</v>
      </c>
      <c r="K177" s="33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ht="15.75">
      <c r="A178" s="13">
        <v>47270</v>
      </c>
      <c r="B178" s="41">
        <v>30</v>
      </c>
      <c r="C178" s="32">
        <v>194.20500000000001</v>
      </c>
      <c r="D178" s="32">
        <v>267.46600000000001</v>
      </c>
      <c r="E178" s="38">
        <v>812.32899999999995</v>
      </c>
      <c r="F178" s="32">
        <v>1274</v>
      </c>
      <c r="G178" s="32">
        <v>50</v>
      </c>
      <c r="H178" s="40">
        <v>600</v>
      </c>
      <c r="I178" s="32">
        <v>695</v>
      </c>
      <c r="J178" s="32">
        <v>50</v>
      </c>
      <c r="K178" s="33"/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ht="15.75">
      <c r="A179" s="13">
        <v>47300</v>
      </c>
      <c r="B179" s="41">
        <v>31</v>
      </c>
      <c r="C179" s="32">
        <v>194.20500000000001</v>
      </c>
      <c r="D179" s="32">
        <v>267.46600000000001</v>
      </c>
      <c r="E179" s="38">
        <v>812.32899999999995</v>
      </c>
      <c r="F179" s="32">
        <v>1274</v>
      </c>
      <c r="G179" s="32">
        <v>50</v>
      </c>
      <c r="H179" s="40">
        <v>600</v>
      </c>
      <c r="I179" s="32">
        <v>695</v>
      </c>
      <c r="J179" s="32">
        <v>0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ht="15.75">
      <c r="A180" s="13">
        <v>47331</v>
      </c>
      <c r="B180" s="41">
        <v>31</v>
      </c>
      <c r="C180" s="32">
        <v>194.20500000000001</v>
      </c>
      <c r="D180" s="32">
        <v>267.46600000000001</v>
      </c>
      <c r="E180" s="38">
        <v>812.32899999999995</v>
      </c>
      <c r="F180" s="32">
        <v>1274</v>
      </c>
      <c r="G180" s="32">
        <v>50</v>
      </c>
      <c r="H180" s="40">
        <v>600</v>
      </c>
      <c r="I180" s="32">
        <v>695</v>
      </c>
      <c r="J180" s="32">
        <v>0</v>
      </c>
      <c r="K180" s="33"/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ht="15.75">
      <c r="A181" s="13">
        <v>47362</v>
      </c>
      <c r="B181" s="41">
        <v>30</v>
      </c>
      <c r="C181" s="32">
        <v>194.20500000000001</v>
      </c>
      <c r="D181" s="32">
        <v>267.46600000000001</v>
      </c>
      <c r="E181" s="38">
        <v>812.32899999999995</v>
      </c>
      <c r="F181" s="32">
        <v>1274</v>
      </c>
      <c r="G181" s="32">
        <v>50</v>
      </c>
      <c r="H181" s="40">
        <v>600</v>
      </c>
      <c r="I181" s="32">
        <v>695</v>
      </c>
      <c r="J181" s="32">
        <v>0</v>
      </c>
      <c r="K181" s="33"/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ht="15.75">
      <c r="A182" s="13">
        <v>47392</v>
      </c>
      <c r="B182" s="41">
        <v>31</v>
      </c>
      <c r="C182" s="32">
        <v>131.881</v>
      </c>
      <c r="D182" s="32">
        <v>277.16699999999997</v>
      </c>
      <c r="E182" s="38">
        <v>829.952</v>
      </c>
      <c r="F182" s="32">
        <v>1239</v>
      </c>
      <c r="G182" s="32">
        <v>75</v>
      </c>
      <c r="H182" s="40">
        <v>600</v>
      </c>
      <c r="I182" s="32">
        <v>695</v>
      </c>
      <c r="J182" s="32">
        <v>0</v>
      </c>
      <c r="K182" s="33"/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ht="15.75">
      <c r="A183" s="13">
        <v>47423</v>
      </c>
      <c r="B183" s="41">
        <v>30</v>
      </c>
      <c r="C183" s="32">
        <v>122.58</v>
      </c>
      <c r="D183" s="32">
        <v>297.94099999999997</v>
      </c>
      <c r="E183" s="38">
        <v>729.47900000000004</v>
      </c>
      <c r="F183" s="32">
        <v>1150</v>
      </c>
      <c r="G183" s="32">
        <v>100</v>
      </c>
      <c r="H183" s="40">
        <v>600</v>
      </c>
      <c r="I183" s="32">
        <v>695</v>
      </c>
      <c r="J183" s="32">
        <v>50</v>
      </c>
      <c r="K183" s="33"/>
      <c r="L183" s="33"/>
      <c r="M183" s="33"/>
      <c r="N183" s="33"/>
      <c r="O183" s="33"/>
      <c r="P183" s="33"/>
      <c r="Q183" s="33"/>
      <c r="R183" s="33"/>
      <c r="S183" s="33"/>
      <c r="T183" s="33"/>
    </row>
    <row r="184" spans="1:20" ht="15.75">
      <c r="A184" s="13">
        <v>47453</v>
      </c>
      <c r="B184" s="41">
        <v>31</v>
      </c>
      <c r="C184" s="32">
        <v>122.58</v>
      </c>
      <c r="D184" s="32">
        <v>297.94099999999997</v>
      </c>
      <c r="E184" s="38">
        <v>729.47900000000004</v>
      </c>
      <c r="F184" s="32">
        <v>1150</v>
      </c>
      <c r="G184" s="32">
        <v>100</v>
      </c>
      <c r="H184" s="40">
        <v>600</v>
      </c>
      <c r="I184" s="32">
        <v>695</v>
      </c>
      <c r="J184" s="32">
        <v>50</v>
      </c>
      <c r="K184" s="33"/>
      <c r="L184" s="33"/>
      <c r="M184" s="33"/>
      <c r="N184" s="33"/>
      <c r="O184" s="33"/>
      <c r="P184" s="33"/>
      <c r="Q184" s="33"/>
      <c r="R184" s="33"/>
      <c r="S184" s="33"/>
      <c r="T184" s="33"/>
    </row>
    <row r="185" spans="1:20" ht="15.75">
      <c r="A185" s="13">
        <v>47484</v>
      </c>
      <c r="B185" s="41">
        <v>31</v>
      </c>
      <c r="C185" s="32">
        <v>122.58</v>
      </c>
      <c r="D185" s="32">
        <v>297.94099999999997</v>
      </c>
      <c r="E185" s="38">
        <v>729.47900000000004</v>
      </c>
      <c r="F185" s="32">
        <v>1150</v>
      </c>
      <c r="G185" s="32">
        <v>100</v>
      </c>
      <c r="H185" s="40">
        <v>600</v>
      </c>
      <c r="I185" s="32">
        <v>695</v>
      </c>
      <c r="J185" s="32">
        <v>50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ht="15.75">
      <c r="A186" s="13">
        <v>47515</v>
      </c>
      <c r="B186" s="41">
        <v>28</v>
      </c>
      <c r="C186" s="32">
        <v>122.58</v>
      </c>
      <c r="D186" s="32">
        <v>297.94099999999997</v>
      </c>
      <c r="E186" s="38">
        <v>729.47900000000004</v>
      </c>
      <c r="F186" s="32">
        <v>1150</v>
      </c>
      <c r="G186" s="32">
        <v>100</v>
      </c>
      <c r="H186" s="40">
        <v>600</v>
      </c>
      <c r="I186" s="32">
        <v>695</v>
      </c>
      <c r="J186" s="32">
        <v>50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ht="15.75">
      <c r="A187" s="13">
        <v>47543</v>
      </c>
      <c r="B187" s="41">
        <v>31</v>
      </c>
      <c r="C187" s="32">
        <v>122.58</v>
      </c>
      <c r="D187" s="32">
        <v>297.94099999999997</v>
      </c>
      <c r="E187" s="38">
        <v>729.47900000000004</v>
      </c>
      <c r="F187" s="32">
        <v>1150</v>
      </c>
      <c r="G187" s="32">
        <v>100</v>
      </c>
      <c r="H187" s="40">
        <v>600</v>
      </c>
      <c r="I187" s="32">
        <v>695</v>
      </c>
      <c r="J187" s="32">
        <v>50</v>
      </c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5.75">
      <c r="A188" s="13">
        <v>47574</v>
      </c>
      <c r="B188" s="41">
        <v>30</v>
      </c>
      <c r="C188" s="32">
        <v>141.29300000000001</v>
      </c>
      <c r="D188" s="32">
        <v>267.99299999999999</v>
      </c>
      <c r="E188" s="38">
        <v>829.71400000000006</v>
      </c>
      <c r="F188" s="32">
        <v>1239</v>
      </c>
      <c r="G188" s="32">
        <v>100</v>
      </c>
      <c r="H188" s="40">
        <v>600</v>
      </c>
      <c r="I188" s="32">
        <v>695</v>
      </c>
      <c r="J188" s="32">
        <v>50</v>
      </c>
      <c r="K188" s="33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ht="15.75">
      <c r="A189" s="13">
        <v>47604</v>
      </c>
      <c r="B189" s="41">
        <v>31</v>
      </c>
      <c r="C189" s="32">
        <v>194.20500000000001</v>
      </c>
      <c r="D189" s="32">
        <v>267.46600000000001</v>
      </c>
      <c r="E189" s="38">
        <v>812.32899999999995</v>
      </c>
      <c r="F189" s="32">
        <v>1274</v>
      </c>
      <c r="G189" s="32">
        <v>75</v>
      </c>
      <c r="H189" s="40">
        <v>600</v>
      </c>
      <c r="I189" s="32">
        <v>695</v>
      </c>
      <c r="J189" s="32">
        <v>50</v>
      </c>
      <c r="K189" s="33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ht="15.75">
      <c r="A190" s="13">
        <v>47635</v>
      </c>
      <c r="B190" s="41">
        <v>30</v>
      </c>
      <c r="C190" s="32">
        <v>194.20500000000001</v>
      </c>
      <c r="D190" s="32">
        <v>267.46600000000001</v>
      </c>
      <c r="E190" s="38">
        <v>812.32899999999995</v>
      </c>
      <c r="F190" s="32">
        <v>1274</v>
      </c>
      <c r="G190" s="32">
        <v>50</v>
      </c>
      <c r="H190" s="40">
        <v>600</v>
      </c>
      <c r="I190" s="32">
        <v>695</v>
      </c>
      <c r="J190" s="32">
        <v>50</v>
      </c>
      <c r="K190" s="33"/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ht="15.75">
      <c r="A191" s="13">
        <v>47665</v>
      </c>
      <c r="B191" s="41">
        <v>31</v>
      </c>
      <c r="C191" s="32">
        <v>194.20500000000001</v>
      </c>
      <c r="D191" s="32">
        <v>267.46600000000001</v>
      </c>
      <c r="E191" s="38">
        <v>812.32899999999995</v>
      </c>
      <c r="F191" s="32">
        <v>1274</v>
      </c>
      <c r="G191" s="32">
        <v>50</v>
      </c>
      <c r="H191" s="40">
        <v>600</v>
      </c>
      <c r="I191" s="32">
        <v>695</v>
      </c>
      <c r="J191" s="32">
        <v>0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ht="15.75">
      <c r="A192" s="13">
        <v>47696</v>
      </c>
      <c r="B192" s="41">
        <v>31</v>
      </c>
      <c r="C192" s="32">
        <v>194.20500000000001</v>
      </c>
      <c r="D192" s="32">
        <v>267.46600000000001</v>
      </c>
      <c r="E192" s="38">
        <v>812.32899999999995</v>
      </c>
      <c r="F192" s="32">
        <v>1274</v>
      </c>
      <c r="G192" s="32">
        <v>50</v>
      </c>
      <c r="H192" s="40">
        <v>600</v>
      </c>
      <c r="I192" s="32">
        <v>695</v>
      </c>
      <c r="J192" s="32">
        <v>0</v>
      </c>
      <c r="K192" s="33"/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ht="15.75">
      <c r="A193" s="13">
        <v>47727</v>
      </c>
      <c r="B193" s="41">
        <v>30</v>
      </c>
      <c r="C193" s="32">
        <v>194.20500000000001</v>
      </c>
      <c r="D193" s="32">
        <v>267.46600000000001</v>
      </c>
      <c r="E193" s="38">
        <v>812.32899999999995</v>
      </c>
      <c r="F193" s="32">
        <v>1274</v>
      </c>
      <c r="G193" s="32">
        <v>50</v>
      </c>
      <c r="H193" s="40">
        <v>600</v>
      </c>
      <c r="I193" s="32">
        <v>695</v>
      </c>
      <c r="J193" s="32">
        <v>0</v>
      </c>
      <c r="K193" s="33"/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ht="15.75">
      <c r="A194" s="13">
        <v>47757</v>
      </c>
      <c r="B194" s="41">
        <v>31</v>
      </c>
      <c r="C194" s="32">
        <v>131.881</v>
      </c>
      <c r="D194" s="32">
        <v>277.16699999999997</v>
      </c>
      <c r="E194" s="38">
        <v>829.952</v>
      </c>
      <c r="F194" s="32">
        <v>1239</v>
      </c>
      <c r="G194" s="32">
        <v>75</v>
      </c>
      <c r="H194" s="40">
        <v>600</v>
      </c>
      <c r="I194" s="32">
        <v>695</v>
      </c>
      <c r="J194" s="32">
        <v>0</v>
      </c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ht="15.75">
      <c r="A195" s="13">
        <v>47788</v>
      </c>
      <c r="B195" s="41">
        <v>30</v>
      </c>
      <c r="C195" s="32">
        <v>122.58</v>
      </c>
      <c r="D195" s="32">
        <v>297.94099999999997</v>
      </c>
      <c r="E195" s="38">
        <v>729.47900000000004</v>
      </c>
      <c r="F195" s="32">
        <v>1150</v>
      </c>
      <c r="G195" s="32">
        <v>100</v>
      </c>
      <c r="H195" s="40">
        <v>600</v>
      </c>
      <c r="I195" s="32">
        <v>695</v>
      </c>
      <c r="J195" s="32">
        <v>50</v>
      </c>
      <c r="K195" s="33"/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ht="15.75">
      <c r="A196" s="13">
        <v>47818</v>
      </c>
      <c r="B196" s="41">
        <v>31</v>
      </c>
      <c r="C196" s="32">
        <v>122.58</v>
      </c>
      <c r="D196" s="32">
        <v>297.94099999999997</v>
      </c>
      <c r="E196" s="38">
        <v>729.47900000000004</v>
      </c>
      <c r="F196" s="32">
        <v>1150</v>
      </c>
      <c r="G196" s="32">
        <v>100</v>
      </c>
      <c r="H196" s="40">
        <v>600</v>
      </c>
      <c r="I196" s="32">
        <v>695</v>
      </c>
      <c r="J196" s="32">
        <v>50</v>
      </c>
      <c r="K196" s="33"/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ht="15.75">
      <c r="A197" s="13">
        <v>47849</v>
      </c>
      <c r="B197" s="41">
        <v>31</v>
      </c>
      <c r="C197" s="32">
        <v>122.58</v>
      </c>
      <c r="D197" s="32">
        <v>297.94099999999997</v>
      </c>
      <c r="E197" s="38">
        <v>729.47900000000004</v>
      </c>
      <c r="F197" s="32">
        <v>1150</v>
      </c>
      <c r="G197" s="32">
        <v>100</v>
      </c>
      <c r="H197" s="40">
        <v>600</v>
      </c>
      <c r="I197" s="32">
        <v>695</v>
      </c>
      <c r="J197" s="32">
        <v>50</v>
      </c>
      <c r="K197" s="33"/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ht="15.75">
      <c r="A198" s="13">
        <v>47880</v>
      </c>
      <c r="B198" s="41">
        <v>28</v>
      </c>
      <c r="C198" s="32">
        <v>122.58</v>
      </c>
      <c r="D198" s="32">
        <v>297.94099999999997</v>
      </c>
      <c r="E198" s="38">
        <v>729.47900000000004</v>
      </c>
      <c r="F198" s="32">
        <v>1150</v>
      </c>
      <c r="G198" s="32">
        <v>100</v>
      </c>
      <c r="H198" s="40">
        <v>600</v>
      </c>
      <c r="I198" s="32">
        <v>695</v>
      </c>
      <c r="J198" s="32">
        <v>50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ht="15.75">
      <c r="A199" s="13">
        <v>47908</v>
      </c>
      <c r="B199" s="41">
        <v>31</v>
      </c>
      <c r="C199" s="32">
        <v>122.58</v>
      </c>
      <c r="D199" s="32">
        <v>297.94099999999997</v>
      </c>
      <c r="E199" s="38">
        <v>729.47900000000004</v>
      </c>
      <c r="F199" s="32">
        <v>1150</v>
      </c>
      <c r="G199" s="32">
        <v>100</v>
      </c>
      <c r="H199" s="40">
        <v>600</v>
      </c>
      <c r="I199" s="32">
        <v>695</v>
      </c>
      <c r="J199" s="32">
        <v>50</v>
      </c>
      <c r="K199" s="33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ht="15.75">
      <c r="A200" s="13">
        <v>47939</v>
      </c>
      <c r="B200" s="41">
        <v>30</v>
      </c>
      <c r="C200" s="32">
        <v>141.29300000000001</v>
      </c>
      <c r="D200" s="32">
        <v>267.99299999999999</v>
      </c>
      <c r="E200" s="38">
        <v>829.71400000000006</v>
      </c>
      <c r="F200" s="32">
        <v>1239</v>
      </c>
      <c r="G200" s="32">
        <v>100</v>
      </c>
      <c r="H200" s="40">
        <v>600</v>
      </c>
      <c r="I200" s="32">
        <v>695</v>
      </c>
      <c r="J200" s="32">
        <v>50</v>
      </c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15.75">
      <c r="A201" s="13">
        <v>47969</v>
      </c>
      <c r="B201" s="41">
        <v>31</v>
      </c>
      <c r="C201" s="32">
        <v>194.20500000000001</v>
      </c>
      <c r="D201" s="32">
        <v>267.46600000000001</v>
      </c>
      <c r="E201" s="38">
        <v>812.32899999999995</v>
      </c>
      <c r="F201" s="32">
        <v>1274</v>
      </c>
      <c r="G201" s="32">
        <v>75</v>
      </c>
      <c r="H201" s="40">
        <v>600</v>
      </c>
      <c r="I201" s="32">
        <v>695</v>
      </c>
      <c r="J201" s="32">
        <v>50</v>
      </c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ht="15.75">
      <c r="A202" s="13">
        <v>48000</v>
      </c>
      <c r="B202" s="41">
        <v>30</v>
      </c>
      <c r="C202" s="32">
        <v>194.20500000000001</v>
      </c>
      <c r="D202" s="32">
        <v>267.46600000000001</v>
      </c>
      <c r="E202" s="38">
        <v>812.32899999999995</v>
      </c>
      <c r="F202" s="32">
        <v>1274</v>
      </c>
      <c r="G202" s="32">
        <v>50</v>
      </c>
      <c r="H202" s="40">
        <v>600</v>
      </c>
      <c r="I202" s="32">
        <v>695</v>
      </c>
      <c r="J202" s="32">
        <v>50</v>
      </c>
      <c r="K202" s="33"/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ht="15.75">
      <c r="A203" s="13">
        <v>48030</v>
      </c>
      <c r="B203" s="41">
        <v>31</v>
      </c>
      <c r="C203" s="32">
        <v>194.20500000000001</v>
      </c>
      <c r="D203" s="32">
        <v>267.46600000000001</v>
      </c>
      <c r="E203" s="38">
        <v>812.32899999999995</v>
      </c>
      <c r="F203" s="32">
        <v>1274</v>
      </c>
      <c r="G203" s="32">
        <v>50</v>
      </c>
      <c r="H203" s="40">
        <v>600</v>
      </c>
      <c r="I203" s="32">
        <v>695</v>
      </c>
      <c r="J203" s="32">
        <v>0</v>
      </c>
      <c r="K203" s="33"/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0" ht="15.75">
      <c r="A204" s="13">
        <v>48061</v>
      </c>
      <c r="B204" s="41">
        <v>31</v>
      </c>
      <c r="C204" s="32">
        <v>194.20500000000001</v>
      </c>
      <c r="D204" s="32">
        <v>267.46600000000001</v>
      </c>
      <c r="E204" s="38">
        <v>812.32899999999995</v>
      </c>
      <c r="F204" s="32">
        <v>1274</v>
      </c>
      <c r="G204" s="32">
        <v>50</v>
      </c>
      <c r="H204" s="40">
        <v>600</v>
      </c>
      <c r="I204" s="32">
        <v>695</v>
      </c>
      <c r="J204" s="32">
        <v>0</v>
      </c>
      <c r="K204" s="33"/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ht="15.75">
      <c r="A205" s="13">
        <v>48092</v>
      </c>
      <c r="B205" s="41">
        <v>30</v>
      </c>
      <c r="C205" s="32">
        <v>194.20500000000001</v>
      </c>
      <c r="D205" s="32">
        <v>267.46600000000001</v>
      </c>
      <c r="E205" s="38">
        <v>812.32899999999995</v>
      </c>
      <c r="F205" s="32">
        <v>1274</v>
      </c>
      <c r="G205" s="32">
        <v>50</v>
      </c>
      <c r="H205" s="40">
        <v>600</v>
      </c>
      <c r="I205" s="32">
        <v>695</v>
      </c>
      <c r="J205" s="32">
        <v>0</v>
      </c>
      <c r="K205" s="33"/>
      <c r="L205" s="33"/>
      <c r="M205" s="33"/>
      <c r="N205" s="33"/>
      <c r="O205" s="33"/>
      <c r="P205" s="33"/>
      <c r="Q205" s="33"/>
      <c r="R205" s="33"/>
      <c r="S205" s="33"/>
      <c r="T205" s="33"/>
    </row>
    <row r="206" spans="1:20" ht="15.75">
      <c r="A206" s="13">
        <v>48122</v>
      </c>
      <c r="B206" s="41">
        <v>31</v>
      </c>
      <c r="C206" s="32">
        <v>131.881</v>
      </c>
      <c r="D206" s="32">
        <v>277.16699999999997</v>
      </c>
      <c r="E206" s="38">
        <v>829.952</v>
      </c>
      <c r="F206" s="32">
        <v>1239</v>
      </c>
      <c r="G206" s="32">
        <v>75</v>
      </c>
      <c r="H206" s="40">
        <v>600</v>
      </c>
      <c r="I206" s="32">
        <v>695</v>
      </c>
      <c r="J206" s="32">
        <v>0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</row>
    <row r="207" spans="1:20" ht="15.75">
      <c r="A207" s="13">
        <v>48153</v>
      </c>
      <c r="B207" s="41">
        <v>30</v>
      </c>
      <c r="C207" s="32">
        <v>122.58</v>
      </c>
      <c r="D207" s="32">
        <v>297.94099999999997</v>
      </c>
      <c r="E207" s="38">
        <v>729.47900000000004</v>
      </c>
      <c r="F207" s="32">
        <v>1150</v>
      </c>
      <c r="G207" s="32">
        <v>100</v>
      </c>
      <c r="H207" s="40">
        <v>600</v>
      </c>
      <c r="I207" s="32">
        <v>695</v>
      </c>
      <c r="J207" s="32">
        <v>50</v>
      </c>
      <c r="K207" s="33"/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ht="15.75">
      <c r="A208" s="13">
        <v>48183</v>
      </c>
      <c r="B208" s="41">
        <v>31</v>
      </c>
      <c r="C208" s="32">
        <v>122.58</v>
      </c>
      <c r="D208" s="32">
        <v>297.94099999999997</v>
      </c>
      <c r="E208" s="38">
        <v>729.47900000000004</v>
      </c>
      <c r="F208" s="32">
        <v>1150</v>
      </c>
      <c r="G208" s="32">
        <v>100</v>
      </c>
      <c r="H208" s="40">
        <v>600</v>
      </c>
      <c r="I208" s="32">
        <v>695</v>
      </c>
      <c r="J208" s="32">
        <v>50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ht="15.75">
      <c r="A209" s="13">
        <v>48214</v>
      </c>
      <c r="B209" s="41">
        <v>31</v>
      </c>
      <c r="C209" s="32">
        <v>122.58</v>
      </c>
      <c r="D209" s="32">
        <v>297.94099999999997</v>
      </c>
      <c r="E209" s="38">
        <v>729.47900000000004</v>
      </c>
      <c r="F209" s="32">
        <v>1150</v>
      </c>
      <c r="G209" s="32">
        <v>100</v>
      </c>
      <c r="H209" s="40">
        <v>600</v>
      </c>
      <c r="I209" s="32">
        <v>695</v>
      </c>
      <c r="J209" s="32">
        <v>50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ht="15.75">
      <c r="A210" s="13">
        <v>48245</v>
      </c>
      <c r="B210" s="41">
        <v>29</v>
      </c>
      <c r="C210" s="32">
        <v>122.58</v>
      </c>
      <c r="D210" s="32">
        <v>297.94099999999997</v>
      </c>
      <c r="E210" s="38">
        <v>729.47900000000004</v>
      </c>
      <c r="F210" s="32">
        <v>1150</v>
      </c>
      <c r="G210" s="32">
        <v>100</v>
      </c>
      <c r="H210" s="40">
        <v>600</v>
      </c>
      <c r="I210" s="32">
        <v>695</v>
      </c>
      <c r="J210" s="32">
        <v>50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ht="15.75">
      <c r="A211" s="13">
        <v>48274</v>
      </c>
      <c r="B211" s="41">
        <v>31</v>
      </c>
      <c r="C211" s="32">
        <v>122.58</v>
      </c>
      <c r="D211" s="32">
        <v>297.94099999999997</v>
      </c>
      <c r="E211" s="38">
        <v>729.47900000000004</v>
      </c>
      <c r="F211" s="32">
        <v>1150</v>
      </c>
      <c r="G211" s="32">
        <v>100</v>
      </c>
      <c r="H211" s="40">
        <v>600</v>
      </c>
      <c r="I211" s="32">
        <v>695</v>
      </c>
      <c r="J211" s="32">
        <v>50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ht="15.75">
      <c r="A212" s="13">
        <v>48305</v>
      </c>
      <c r="B212" s="41">
        <v>30</v>
      </c>
      <c r="C212" s="32">
        <v>141.29300000000001</v>
      </c>
      <c r="D212" s="32">
        <v>267.99299999999999</v>
      </c>
      <c r="E212" s="38">
        <v>829.71400000000006</v>
      </c>
      <c r="F212" s="32">
        <v>1239</v>
      </c>
      <c r="G212" s="32">
        <v>100</v>
      </c>
      <c r="H212" s="40">
        <v>600</v>
      </c>
      <c r="I212" s="32">
        <v>695</v>
      </c>
      <c r="J212" s="32">
        <v>50</v>
      </c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ht="15.75">
      <c r="A213" s="13">
        <v>48335</v>
      </c>
      <c r="B213" s="41">
        <v>31</v>
      </c>
      <c r="C213" s="32">
        <v>194.20500000000001</v>
      </c>
      <c r="D213" s="32">
        <v>267.46600000000001</v>
      </c>
      <c r="E213" s="38">
        <v>812.32899999999995</v>
      </c>
      <c r="F213" s="32">
        <v>1274</v>
      </c>
      <c r="G213" s="32">
        <v>75</v>
      </c>
      <c r="H213" s="40">
        <v>600</v>
      </c>
      <c r="I213" s="32">
        <v>695</v>
      </c>
      <c r="J213" s="32">
        <v>50</v>
      </c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ht="15.75">
      <c r="A214" s="13">
        <v>48366</v>
      </c>
      <c r="B214" s="41">
        <v>30</v>
      </c>
      <c r="C214" s="32">
        <v>194.20500000000001</v>
      </c>
      <c r="D214" s="32">
        <v>267.46600000000001</v>
      </c>
      <c r="E214" s="38">
        <v>812.32899999999995</v>
      </c>
      <c r="F214" s="32">
        <v>1274</v>
      </c>
      <c r="G214" s="32">
        <v>50</v>
      </c>
      <c r="H214" s="40">
        <v>600</v>
      </c>
      <c r="I214" s="32">
        <v>695</v>
      </c>
      <c r="J214" s="32">
        <v>50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ht="15.75">
      <c r="A215" s="13">
        <v>48396</v>
      </c>
      <c r="B215" s="41">
        <v>31</v>
      </c>
      <c r="C215" s="32">
        <v>194.20500000000001</v>
      </c>
      <c r="D215" s="32">
        <v>267.46600000000001</v>
      </c>
      <c r="E215" s="38">
        <v>812.32899999999995</v>
      </c>
      <c r="F215" s="32">
        <v>1274</v>
      </c>
      <c r="G215" s="32">
        <v>50</v>
      </c>
      <c r="H215" s="40">
        <v>600</v>
      </c>
      <c r="I215" s="32">
        <v>695</v>
      </c>
      <c r="J215" s="32">
        <v>0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ht="15.75">
      <c r="A216" s="13">
        <v>48427</v>
      </c>
      <c r="B216" s="41">
        <v>31</v>
      </c>
      <c r="C216" s="32">
        <v>194.20500000000001</v>
      </c>
      <c r="D216" s="32">
        <v>267.46600000000001</v>
      </c>
      <c r="E216" s="38">
        <v>812.32899999999995</v>
      </c>
      <c r="F216" s="32">
        <v>1274</v>
      </c>
      <c r="G216" s="32">
        <v>50</v>
      </c>
      <c r="H216" s="40">
        <v>600</v>
      </c>
      <c r="I216" s="32">
        <v>695</v>
      </c>
      <c r="J216" s="32">
        <v>0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ht="15.75">
      <c r="A217" s="13">
        <v>48458</v>
      </c>
      <c r="B217" s="41">
        <v>30</v>
      </c>
      <c r="C217" s="32">
        <v>194.20500000000001</v>
      </c>
      <c r="D217" s="32">
        <v>267.46600000000001</v>
      </c>
      <c r="E217" s="38">
        <v>812.32899999999995</v>
      </c>
      <c r="F217" s="32">
        <v>1274</v>
      </c>
      <c r="G217" s="32">
        <v>50</v>
      </c>
      <c r="H217" s="40">
        <v>600</v>
      </c>
      <c r="I217" s="32">
        <v>695</v>
      </c>
      <c r="J217" s="32">
        <v>0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ht="15.75">
      <c r="A218" s="13">
        <v>48488</v>
      </c>
      <c r="B218" s="41">
        <v>31</v>
      </c>
      <c r="C218" s="32">
        <v>131.881</v>
      </c>
      <c r="D218" s="32">
        <v>277.16699999999997</v>
      </c>
      <c r="E218" s="38">
        <v>829.952</v>
      </c>
      <c r="F218" s="32">
        <v>1239</v>
      </c>
      <c r="G218" s="32">
        <v>75</v>
      </c>
      <c r="H218" s="40">
        <v>600</v>
      </c>
      <c r="I218" s="32">
        <v>695</v>
      </c>
      <c r="J218" s="32">
        <v>0</v>
      </c>
      <c r="K218" s="33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5.75">
      <c r="A219" s="13">
        <v>48519</v>
      </c>
      <c r="B219" s="41">
        <v>30</v>
      </c>
      <c r="C219" s="32">
        <v>122.58</v>
      </c>
      <c r="D219" s="32">
        <v>297.94099999999997</v>
      </c>
      <c r="E219" s="38">
        <v>729.47900000000004</v>
      </c>
      <c r="F219" s="32">
        <v>1150</v>
      </c>
      <c r="G219" s="32">
        <v>100</v>
      </c>
      <c r="H219" s="40">
        <v>600</v>
      </c>
      <c r="I219" s="32">
        <v>695</v>
      </c>
      <c r="J219" s="32">
        <v>50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ht="15.75">
      <c r="A220" s="13">
        <v>48549</v>
      </c>
      <c r="B220" s="41">
        <v>31</v>
      </c>
      <c r="C220" s="32">
        <v>122.58</v>
      </c>
      <c r="D220" s="32">
        <v>297.94099999999997</v>
      </c>
      <c r="E220" s="38">
        <v>729.47900000000004</v>
      </c>
      <c r="F220" s="32">
        <v>1150</v>
      </c>
      <c r="G220" s="32">
        <v>100</v>
      </c>
      <c r="H220" s="40">
        <v>600</v>
      </c>
      <c r="I220" s="32">
        <v>695</v>
      </c>
      <c r="J220" s="32">
        <v>50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ht="15.75">
      <c r="A221" s="13">
        <v>48580</v>
      </c>
      <c r="B221" s="41">
        <v>31</v>
      </c>
      <c r="C221" s="32">
        <v>122.58</v>
      </c>
      <c r="D221" s="32">
        <v>297.94099999999997</v>
      </c>
      <c r="E221" s="38">
        <v>729.47900000000004</v>
      </c>
      <c r="F221" s="32">
        <v>1150</v>
      </c>
      <c r="G221" s="32">
        <v>100</v>
      </c>
      <c r="H221" s="40">
        <v>600</v>
      </c>
      <c r="I221" s="32">
        <v>695</v>
      </c>
      <c r="J221" s="32">
        <v>50</v>
      </c>
      <c r="K221" s="33"/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ht="15.75">
      <c r="A222" s="13">
        <v>48611</v>
      </c>
      <c r="B222" s="41">
        <v>28</v>
      </c>
      <c r="C222" s="32">
        <v>122.58</v>
      </c>
      <c r="D222" s="32">
        <v>297.94099999999997</v>
      </c>
      <c r="E222" s="38">
        <v>729.47900000000004</v>
      </c>
      <c r="F222" s="32">
        <v>1150</v>
      </c>
      <c r="G222" s="32">
        <v>100</v>
      </c>
      <c r="H222" s="40">
        <v>600</v>
      </c>
      <c r="I222" s="32">
        <v>695</v>
      </c>
      <c r="J222" s="32">
        <v>50</v>
      </c>
      <c r="K222" s="33"/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ht="15.75">
      <c r="A223" s="13">
        <v>48639</v>
      </c>
      <c r="B223" s="41">
        <v>31</v>
      </c>
      <c r="C223" s="32">
        <v>122.58</v>
      </c>
      <c r="D223" s="32">
        <v>297.94099999999997</v>
      </c>
      <c r="E223" s="38">
        <v>729.47900000000004</v>
      </c>
      <c r="F223" s="32">
        <v>1150</v>
      </c>
      <c r="G223" s="32">
        <v>100</v>
      </c>
      <c r="H223" s="40">
        <v>600</v>
      </c>
      <c r="I223" s="32">
        <v>695</v>
      </c>
      <c r="J223" s="32">
        <v>50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ht="15.75">
      <c r="A224" s="13">
        <v>48670</v>
      </c>
      <c r="B224" s="41">
        <v>30</v>
      </c>
      <c r="C224" s="32">
        <v>141.29300000000001</v>
      </c>
      <c r="D224" s="32">
        <v>267.99299999999999</v>
      </c>
      <c r="E224" s="38">
        <v>829.71400000000006</v>
      </c>
      <c r="F224" s="32">
        <v>1239</v>
      </c>
      <c r="G224" s="32">
        <v>100</v>
      </c>
      <c r="H224" s="40">
        <v>600</v>
      </c>
      <c r="I224" s="32">
        <v>695</v>
      </c>
      <c r="J224" s="32">
        <v>50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ht="15.75">
      <c r="A225" s="13">
        <v>48700</v>
      </c>
      <c r="B225" s="41">
        <v>31</v>
      </c>
      <c r="C225" s="32">
        <v>194.20500000000001</v>
      </c>
      <c r="D225" s="32">
        <v>267.46600000000001</v>
      </c>
      <c r="E225" s="38">
        <v>812.32899999999995</v>
      </c>
      <c r="F225" s="32">
        <v>1274</v>
      </c>
      <c r="G225" s="32">
        <v>75</v>
      </c>
      <c r="H225" s="40">
        <v>600</v>
      </c>
      <c r="I225" s="32">
        <v>695</v>
      </c>
      <c r="J225" s="32">
        <v>50</v>
      </c>
      <c r="K225" s="33"/>
      <c r="L225" s="33"/>
      <c r="M225" s="33"/>
      <c r="N225" s="33"/>
      <c r="O225" s="33"/>
      <c r="P225" s="33"/>
      <c r="Q225" s="33"/>
      <c r="R225" s="33"/>
      <c r="S225" s="33"/>
      <c r="T225" s="33"/>
    </row>
    <row r="226" spans="1:20" ht="15.75">
      <c r="A226" s="13">
        <v>48731</v>
      </c>
      <c r="B226" s="41">
        <v>30</v>
      </c>
      <c r="C226" s="32">
        <v>194.20500000000001</v>
      </c>
      <c r="D226" s="32">
        <v>267.46600000000001</v>
      </c>
      <c r="E226" s="38">
        <v>812.32899999999995</v>
      </c>
      <c r="F226" s="32">
        <v>1274</v>
      </c>
      <c r="G226" s="32">
        <v>50</v>
      </c>
      <c r="H226" s="40">
        <v>600</v>
      </c>
      <c r="I226" s="32">
        <v>695</v>
      </c>
      <c r="J226" s="32">
        <v>50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ht="15.75">
      <c r="A227" s="13">
        <v>48761</v>
      </c>
      <c r="B227" s="41">
        <v>31</v>
      </c>
      <c r="C227" s="32">
        <v>194.20500000000001</v>
      </c>
      <c r="D227" s="32">
        <v>267.46600000000001</v>
      </c>
      <c r="E227" s="38">
        <v>812.32899999999995</v>
      </c>
      <c r="F227" s="32">
        <v>1274</v>
      </c>
      <c r="G227" s="32">
        <v>50</v>
      </c>
      <c r="H227" s="40">
        <v>600</v>
      </c>
      <c r="I227" s="32">
        <v>695</v>
      </c>
      <c r="J227" s="32">
        <v>0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</row>
    <row r="228" spans="1:20" ht="15.75">
      <c r="A228" s="13">
        <v>48792</v>
      </c>
      <c r="B228" s="41">
        <v>31</v>
      </c>
      <c r="C228" s="32">
        <v>194.20500000000001</v>
      </c>
      <c r="D228" s="32">
        <v>267.46600000000001</v>
      </c>
      <c r="E228" s="38">
        <v>812.32899999999995</v>
      </c>
      <c r="F228" s="32">
        <v>1274</v>
      </c>
      <c r="G228" s="32">
        <v>50</v>
      </c>
      <c r="H228" s="40">
        <v>600</v>
      </c>
      <c r="I228" s="32">
        <v>695</v>
      </c>
      <c r="J228" s="32">
        <v>0</v>
      </c>
      <c r="K228" s="33"/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ht="15.75">
      <c r="A229" s="13">
        <v>48823</v>
      </c>
      <c r="B229" s="41">
        <v>30</v>
      </c>
      <c r="C229" s="32">
        <v>194.20500000000001</v>
      </c>
      <c r="D229" s="32">
        <v>267.46600000000001</v>
      </c>
      <c r="E229" s="38">
        <v>812.32899999999995</v>
      </c>
      <c r="F229" s="32">
        <v>1274</v>
      </c>
      <c r="G229" s="32">
        <v>50</v>
      </c>
      <c r="H229" s="40">
        <v>600</v>
      </c>
      <c r="I229" s="32">
        <v>695</v>
      </c>
      <c r="J229" s="32">
        <v>0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ht="15.75">
      <c r="A230" s="13">
        <v>48853</v>
      </c>
      <c r="B230" s="41">
        <v>31</v>
      </c>
      <c r="C230" s="32">
        <v>131.881</v>
      </c>
      <c r="D230" s="32">
        <v>277.16699999999997</v>
      </c>
      <c r="E230" s="38">
        <v>829.952</v>
      </c>
      <c r="F230" s="32">
        <v>1239</v>
      </c>
      <c r="G230" s="32">
        <v>75</v>
      </c>
      <c r="H230" s="40">
        <v>600</v>
      </c>
      <c r="I230" s="32">
        <v>695</v>
      </c>
      <c r="J230" s="32">
        <v>0</v>
      </c>
      <c r="K230" s="33"/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ht="15.75">
      <c r="A231" s="13">
        <v>48884</v>
      </c>
      <c r="B231" s="41">
        <v>30</v>
      </c>
      <c r="C231" s="32">
        <v>122.58</v>
      </c>
      <c r="D231" s="32">
        <v>297.94099999999997</v>
      </c>
      <c r="E231" s="38">
        <v>729.47900000000004</v>
      </c>
      <c r="F231" s="32">
        <v>1150</v>
      </c>
      <c r="G231" s="32">
        <v>100</v>
      </c>
      <c r="H231" s="40">
        <v>600</v>
      </c>
      <c r="I231" s="32">
        <v>695</v>
      </c>
      <c r="J231" s="32">
        <v>50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</row>
    <row r="232" spans="1:20" ht="15.75">
      <c r="A232" s="13">
        <v>48914</v>
      </c>
      <c r="B232" s="41">
        <v>31</v>
      </c>
      <c r="C232" s="32">
        <v>122.58</v>
      </c>
      <c r="D232" s="32">
        <v>297.94099999999997</v>
      </c>
      <c r="E232" s="38">
        <v>729.47900000000004</v>
      </c>
      <c r="F232" s="32">
        <v>1150</v>
      </c>
      <c r="G232" s="32">
        <v>100</v>
      </c>
      <c r="H232" s="40">
        <v>600</v>
      </c>
      <c r="I232" s="32">
        <v>695</v>
      </c>
      <c r="J232" s="32">
        <v>50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ht="15.75">
      <c r="A233" s="13">
        <v>48945</v>
      </c>
      <c r="B233" s="41">
        <v>31</v>
      </c>
      <c r="C233" s="32">
        <v>122.58</v>
      </c>
      <c r="D233" s="32">
        <v>297.94099999999997</v>
      </c>
      <c r="E233" s="38">
        <v>729.47900000000004</v>
      </c>
      <c r="F233" s="32">
        <v>1150</v>
      </c>
      <c r="G233" s="32">
        <v>100</v>
      </c>
      <c r="H233" s="40">
        <v>600</v>
      </c>
      <c r="I233" s="32">
        <v>695</v>
      </c>
      <c r="J233" s="32">
        <v>50</v>
      </c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ht="15.75">
      <c r="A234" s="13">
        <v>48976</v>
      </c>
      <c r="B234" s="41">
        <v>28</v>
      </c>
      <c r="C234" s="32">
        <v>122.58</v>
      </c>
      <c r="D234" s="32">
        <v>297.94099999999997</v>
      </c>
      <c r="E234" s="38">
        <v>729.47900000000004</v>
      </c>
      <c r="F234" s="32">
        <v>1150</v>
      </c>
      <c r="G234" s="32">
        <v>100</v>
      </c>
      <c r="H234" s="40">
        <v>600</v>
      </c>
      <c r="I234" s="32">
        <v>695</v>
      </c>
      <c r="J234" s="32">
        <v>50</v>
      </c>
      <c r="K234" s="33"/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ht="15.75">
      <c r="A235" s="13">
        <v>49004</v>
      </c>
      <c r="B235" s="41">
        <v>31</v>
      </c>
      <c r="C235" s="32">
        <v>122.58</v>
      </c>
      <c r="D235" s="32">
        <v>297.94099999999997</v>
      </c>
      <c r="E235" s="38">
        <v>729.47900000000004</v>
      </c>
      <c r="F235" s="32">
        <v>1150</v>
      </c>
      <c r="G235" s="32">
        <v>100</v>
      </c>
      <c r="H235" s="40">
        <v>600</v>
      </c>
      <c r="I235" s="32">
        <v>695</v>
      </c>
      <c r="J235" s="32">
        <v>50</v>
      </c>
      <c r="K235" s="33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ht="15.75">
      <c r="A236" s="13">
        <v>49035</v>
      </c>
      <c r="B236" s="41">
        <v>30</v>
      </c>
      <c r="C236" s="32">
        <v>141.29300000000001</v>
      </c>
      <c r="D236" s="32">
        <v>267.99299999999999</v>
      </c>
      <c r="E236" s="38">
        <v>829.71400000000006</v>
      </c>
      <c r="F236" s="32">
        <v>1239</v>
      </c>
      <c r="G236" s="32">
        <v>100</v>
      </c>
      <c r="H236" s="40">
        <v>600</v>
      </c>
      <c r="I236" s="32">
        <v>695</v>
      </c>
      <c r="J236" s="32">
        <v>50</v>
      </c>
      <c r="K236" s="33"/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ht="15.75">
      <c r="A237" s="13">
        <v>49065</v>
      </c>
      <c r="B237" s="41">
        <v>31</v>
      </c>
      <c r="C237" s="32">
        <v>194.20500000000001</v>
      </c>
      <c r="D237" s="32">
        <v>267.46600000000001</v>
      </c>
      <c r="E237" s="38">
        <v>812.32899999999995</v>
      </c>
      <c r="F237" s="32">
        <v>1274</v>
      </c>
      <c r="G237" s="32">
        <v>75</v>
      </c>
      <c r="H237" s="40">
        <v>600</v>
      </c>
      <c r="I237" s="32">
        <v>695</v>
      </c>
      <c r="J237" s="32">
        <v>50</v>
      </c>
      <c r="K237" s="33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ht="15.75">
      <c r="A238" s="13">
        <v>49096</v>
      </c>
      <c r="B238" s="41">
        <v>30</v>
      </c>
      <c r="C238" s="32">
        <v>194.20500000000001</v>
      </c>
      <c r="D238" s="32">
        <v>267.46600000000001</v>
      </c>
      <c r="E238" s="38">
        <v>812.32899999999995</v>
      </c>
      <c r="F238" s="32">
        <v>1274</v>
      </c>
      <c r="G238" s="32">
        <v>50</v>
      </c>
      <c r="H238" s="40">
        <v>600</v>
      </c>
      <c r="I238" s="32">
        <v>695</v>
      </c>
      <c r="J238" s="32">
        <v>50</v>
      </c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.75">
      <c r="A239" s="13">
        <v>49126</v>
      </c>
      <c r="B239" s="41">
        <v>31</v>
      </c>
      <c r="C239" s="32">
        <v>194.20500000000001</v>
      </c>
      <c r="D239" s="32">
        <v>267.46600000000001</v>
      </c>
      <c r="E239" s="38">
        <v>812.32899999999995</v>
      </c>
      <c r="F239" s="32">
        <v>1274</v>
      </c>
      <c r="G239" s="32">
        <v>50</v>
      </c>
      <c r="H239" s="40">
        <v>600</v>
      </c>
      <c r="I239" s="32">
        <v>695</v>
      </c>
      <c r="J239" s="32">
        <v>0</v>
      </c>
      <c r="K239" s="33"/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ht="15.75">
      <c r="A240" s="13">
        <v>49157</v>
      </c>
      <c r="B240" s="41">
        <v>31</v>
      </c>
      <c r="C240" s="32">
        <v>194.20500000000001</v>
      </c>
      <c r="D240" s="32">
        <v>267.46600000000001</v>
      </c>
      <c r="E240" s="38">
        <v>812.32899999999995</v>
      </c>
      <c r="F240" s="32">
        <v>1274</v>
      </c>
      <c r="G240" s="32">
        <v>50</v>
      </c>
      <c r="H240" s="40">
        <v>600</v>
      </c>
      <c r="I240" s="32">
        <v>695</v>
      </c>
      <c r="J240" s="32">
        <v>0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ht="15.75">
      <c r="A241" s="13">
        <v>49188</v>
      </c>
      <c r="B241" s="41">
        <v>30</v>
      </c>
      <c r="C241" s="32">
        <v>194.20500000000001</v>
      </c>
      <c r="D241" s="32">
        <v>267.46600000000001</v>
      </c>
      <c r="E241" s="38">
        <v>812.32899999999995</v>
      </c>
      <c r="F241" s="32">
        <v>1274</v>
      </c>
      <c r="G241" s="32">
        <v>50</v>
      </c>
      <c r="H241" s="40">
        <v>600</v>
      </c>
      <c r="I241" s="32">
        <v>695</v>
      </c>
      <c r="J241" s="32">
        <v>0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ht="15.75">
      <c r="A242" s="13">
        <v>49218</v>
      </c>
      <c r="B242" s="41">
        <v>31</v>
      </c>
      <c r="C242" s="32">
        <v>131.881</v>
      </c>
      <c r="D242" s="32">
        <v>277.16699999999997</v>
      </c>
      <c r="E242" s="38">
        <v>829.952</v>
      </c>
      <c r="F242" s="32">
        <v>1239</v>
      </c>
      <c r="G242" s="32">
        <v>75</v>
      </c>
      <c r="H242" s="40">
        <v>600</v>
      </c>
      <c r="I242" s="32">
        <v>695</v>
      </c>
      <c r="J242" s="32">
        <v>0</v>
      </c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ht="15.75">
      <c r="A243" s="13">
        <v>49249</v>
      </c>
      <c r="B243" s="41">
        <v>30</v>
      </c>
      <c r="C243" s="32">
        <v>122.58</v>
      </c>
      <c r="D243" s="32">
        <v>297.94099999999997</v>
      </c>
      <c r="E243" s="38">
        <v>729.47900000000004</v>
      </c>
      <c r="F243" s="32">
        <v>1150</v>
      </c>
      <c r="G243" s="32">
        <v>100</v>
      </c>
      <c r="H243" s="40">
        <v>600</v>
      </c>
      <c r="I243" s="32">
        <v>695</v>
      </c>
      <c r="J243" s="32">
        <v>50</v>
      </c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ht="15.75">
      <c r="A244" s="13">
        <v>49279</v>
      </c>
      <c r="B244" s="41">
        <v>31</v>
      </c>
      <c r="C244" s="32">
        <v>122.58</v>
      </c>
      <c r="D244" s="32">
        <v>297.94099999999997</v>
      </c>
      <c r="E244" s="38">
        <v>729.47900000000004</v>
      </c>
      <c r="F244" s="32">
        <v>1150</v>
      </c>
      <c r="G244" s="32">
        <v>100</v>
      </c>
      <c r="H244" s="40">
        <v>600</v>
      </c>
      <c r="I244" s="32">
        <v>695</v>
      </c>
      <c r="J244" s="32">
        <v>50</v>
      </c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15.75">
      <c r="A245" s="13">
        <v>49310</v>
      </c>
      <c r="B245" s="41">
        <v>31</v>
      </c>
      <c r="C245" s="32">
        <v>122.58</v>
      </c>
      <c r="D245" s="32">
        <v>297.94099999999997</v>
      </c>
      <c r="E245" s="38">
        <v>729.47900000000004</v>
      </c>
      <c r="F245" s="32">
        <v>1150</v>
      </c>
      <c r="G245" s="32">
        <v>100</v>
      </c>
      <c r="H245" s="40">
        <v>600</v>
      </c>
      <c r="I245" s="32">
        <v>695</v>
      </c>
      <c r="J245" s="32">
        <v>50</v>
      </c>
      <c r="K245" s="33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5.75">
      <c r="A246" s="13">
        <v>49341</v>
      </c>
      <c r="B246" s="41">
        <v>28</v>
      </c>
      <c r="C246" s="32">
        <v>122.58</v>
      </c>
      <c r="D246" s="32">
        <v>297.94099999999997</v>
      </c>
      <c r="E246" s="38">
        <v>729.47900000000004</v>
      </c>
      <c r="F246" s="32">
        <v>1150</v>
      </c>
      <c r="G246" s="32">
        <v>100</v>
      </c>
      <c r="H246" s="40">
        <v>600</v>
      </c>
      <c r="I246" s="32">
        <v>695</v>
      </c>
      <c r="J246" s="32">
        <v>50</v>
      </c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5.75">
      <c r="A247" s="13">
        <v>49369</v>
      </c>
      <c r="B247" s="41">
        <v>31</v>
      </c>
      <c r="C247" s="32">
        <v>122.58</v>
      </c>
      <c r="D247" s="32">
        <v>297.94099999999997</v>
      </c>
      <c r="E247" s="38">
        <v>729.47900000000004</v>
      </c>
      <c r="F247" s="32">
        <v>1150</v>
      </c>
      <c r="G247" s="32">
        <v>100</v>
      </c>
      <c r="H247" s="40">
        <v>600</v>
      </c>
      <c r="I247" s="32">
        <v>695</v>
      </c>
      <c r="J247" s="32">
        <v>50</v>
      </c>
      <c r="K247" s="33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ht="15.75">
      <c r="A248" s="13">
        <v>49400</v>
      </c>
      <c r="B248" s="41">
        <v>30</v>
      </c>
      <c r="C248" s="32">
        <v>141.29300000000001</v>
      </c>
      <c r="D248" s="32">
        <v>267.99299999999999</v>
      </c>
      <c r="E248" s="38">
        <v>829.71400000000006</v>
      </c>
      <c r="F248" s="32">
        <v>1239</v>
      </c>
      <c r="G248" s="32">
        <v>100</v>
      </c>
      <c r="H248" s="40">
        <v>600</v>
      </c>
      <c r="I248" s="32">
        <v>695</v>
      </c>
      <c r="J248" s="32">
        <v>50</v>
      </c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ht="15.75">
      <c r="A249" s="13">
        <v>49430</v>
      </c>
      <c r="B249" s="41">
        <v>31</v>
      </c>
      <c r="C249" s="32">
        <v>194.20500000000001</v>
      </c>
      <c r="D249" s="32">
        <v>267.46600000000001</v>
      </c>
      <c r="E249" s="38">
        <v>812.32899999999995</v>
      </c>
      <c r="F249" s="32">
        <v>1274</v>
      </c>
      <c r="G249" s="32">
        <v>75</v>
      </c>
      <c r="H249" s="40">
        <v>600</v>
      </c>
      <c r="I249" s="32">
        <v>695</v>
      </c>
      <c r="J249" s="32">
        <v>50</v>
      </c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ht="15.75">
      <c r="A250" s="14">
        <v>49461</v>
      </c>
      <c r="B250" s="41">
        <v>30</v>
      </c>
      <c r="C250" s="32">
        <v>194.20500000000001</v>
      </c>
      <c r="D250" s="32">
        <v>267.46600000000001</v>
      </c>
      <c r="E250" s="38">
        <v>812.32899999999995</v>
      </c>
      <c r="F250" s="32">
        <v>1274</v>
      </c>
      <c r="G250" s="32">
        <v>50</v>
      </c>
      <c r="H250" s="40">
        <v>600</v>
      </c>
      <c r="I250" s="32">
        <v>695</v>
      </c>
      <c r="J250" s="32">
        <v>50</v>
      </c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ht="15.75">
      <c r="A251" s="14">
        <v>49491</v>
      </c>
      <c r="B251" s="41">
        <v>31</v>
      </c>
      <c r="C251" s="32">
        <v>194.20500000000001</v>
      </c>
      <c r="D251" s="32">
        <v>267.46600000000001</v>
      </c>
      <c r="E251" s="38">
        <v>812.32899999999995</v>
      </c>
      <c r="F251" s="32">
        <v>1274</v>
      </c>
      <c r="G251" s="32">
        <v>50</v>
      </c>
      <c r="H251" s="40">
        <v>600</v>
      </c>
      <c r="I251" s="32">
        <v>695</v>
      </c>
      <c r="J251" s="32">
        <v>0</v>
      </c>
      <c r="K251" s="33"/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ht="15.75">
      <c r="A252" s="14">
        <v>49522</v>
      </c>
      <c r="B252" s="41">
        <v>31</v>
      </c>
      <c r="C252" s="32">
        <v>194.20500000000001</v>
      </c>
      <c r="D252" s="32">
        <v>267.46600000000001</v>
      </c>
      <c r="E252" s="38">
        <v>812.32899999999995</v>
      </c>
      <c r="F252" s="32">
        <v>1274</v>
      </c>
      <c r="G252" s="32">
        <v>50</v>
      </c>
      <c r="H252" s="40">
        <v>600</v>
      </c>
      <c r="I252" s="32">
        <v>695</v>
      </c>
      <c r="J252" s="32">
        <v>0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ht="15.75">
      <c r="A253" s="14">
        <v>49553</v>
      </c>
      <c r="B253" s="41">
        <v>30</v>
      </c>
      <c r="C253" s="32">
        <v>194.20500000000001</v>
      </c>
      <c r="D253" s="32">
        <v>267.46600000000001</v>
      </c>
      <c r="E253" s="38">
        <v>812.32899999999995</v>
      </c>
      <c r="F253" s="32">
        <v>1274</v>
      </c>
      <c r="G253" s="32">
        <v>50</v>
      </c>
      <c r="H253" s="40">
        <v>600</v>
      </c>
      <c r="I253" s="32">
        <v>695</v>
      </c>
      <c r="J253" s="32">
        <v>0</v>
      </c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ht="15.75">
      <c r="A254" s="14">
        <v>49583</v>
      </c>
      <c r="B254" s="41">
        <v>31</v>
      </c>
      <c r="C254" s="32">
        <v>131.881</v>
      </c>
      <c r="D254" s="32">
        <v>277.16699999999997</v>
      </c>
      <c r="E254" s="38">
        <v>829.952</v>
      </c>
      <c r="F254" s="32">
        <v>1239</v>
      </c>
      <c r="G254" s="32">
        <v>75</v>
      </c>
      <c r="H254" s="40">
        <v>600</v>
      </c>
      <c r="I254" s="32">
        <v>695</v>
      </c>
      <c r="J254" s="32">
        <v>0</v>
      </c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ht="15.75">
      <c r="A255" s="14">
        <v>49614</v>
      </c>
      <c r="B255" s="41">
        <v>30</v>
      </c>
      <c r="C255" s="32">
        <v>122.58</v>
      </c>
      <c r="D255" s="32">
        <v>297.94099999999997</v>
      </c>
      <c r="E255" s="38">
        <v>729.47900000000004</v>
      </c>
      <c r="F255" s="32">
        <v>1150</v>
      </c>
      <c r="G255" s="32">
        <v>100</v>
      </c>
      <c r="H255" s="40">
        <v>600</v>
      </c>
      <c r="I255" s="32">
        <v>695</v>
      </c>
      <c r="J255" s="32">
        <v>50</v>
      </c>
      <c r="K255" s="33"/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ht="15.75">
      <c r="A256" s="14">
        <v>49644</v>
      </c>
      <c r="B256" s="41">
        <v>31</v>
      </c>
      <c r="C256" s="32">
        <v>122.58</v>
      </c>
      <c r="D256" s="32">
        <v>297.94099999999997</v>
      </c>
      <c r="E256" s="38">
        <v>729.47900000000004</v>
      </c>
      <c r="F256" s="32">
        <v>1150</v>
      </c>
      <c r="G256" s="32">
        <v>100</v>
      </c>
      <c r="H256" s="40">
        <v>600</v>
      </c>
      <c r="I256" s="32">
        <v>695</v>
      </c>
      <c r="J256" s="32">
        <v>50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ht="15.75">
      <c r="A257" s="14">
        <v>49675</v>
      </c>
      <c r="B257" s="41">
        <v>31</v>
      </c>
      <c r="C257" s="32">
        <v>122.58</v>
      </c>
      <c r="D257" s="32">
        <v>297.94099999999997</v>
      </c>
      <c r="E257" s="38">
        <v>729.47900000000004</v>
      </c>
      <c r="F257" s="32">
        <v>1150</v>
      </c>
      <c r="G257" s="32">
        <v>100</v>
      </c>
      <c r="H257" s="40">
        <v>600</v>
      </c>
      <c r="I257" s="32">
        <v>695</v>
      </c>
      <c r="J257" s="32">
        <v>50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ht="15.75">
      <c r="A258" s="14">
        <v>49706</v>
      </c>
      <c r="B258" s="41">
        <v>29</v>
      </c>
      <c r="C258" s="32">
        <v>122.58</v>
      </c>
      <c r="D258" s="32">
        <v>297.94099999999997</v>
      </c>
      <c r="E258" s="38">
        <v>729.47900000000004</v>
      </c>
      <c r="F258" s="32">
        <v>1150</v>
      </c>
      <c r="G258" s="32">
        <v>100</v>
      </c>
      <c r="H258" s="40">
        <v>600</v>
      </c>
      <c r="I258" s="32">
        <v>695</v>
      </c>
      <c r="J258" s="32">
        <v>50</v>
      </c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ht="15.75">
      <c r="A259" s="14">
        <v>49735</v>
      </c>
      <c r="B259" s="41">
        <v>31</v>
      </c>
      <c r="C259" s="32">
        <v>122.58</v>
      </c>
      <c r="D259" s="32">
        <v>297.94099999999997</v>
      </c>
      <c r="E259" s="38">
        <v>729.47900000000004</v>
      </c>
      <c r="F259" s="32">
        <v>1150</v>
      </c>
      <c r="G259" s="32">
        <v>100</v>
      </c>
      <c r="H259" s="40">
        <v>600</v>
      </c>
      <c r="I259" s="32">
        <v>695</v>
      </c>
      <c r="J259" s="32">
        <v>50</v>
      </c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ht="15.75">
      <c r="A260" s="14">
        <v>49766</v>
      </c>
      <c r="B260" s="41">
        <v>30</v>
      </c>
      <c r="C260" s="32">
        <v>141.29300000000001</v>
      </c>
      <c r="D260" s="32">
        <v>267.99299999999999</v>
      </c>
      <c r="E260" s="38">
        <v>829.71400000000006</v>
      </c>
      <c r="F260" s="32">
        <v>1239</v>
      </c>
      <c r="G260" s="32">
        <v>100</v>
      </c>
      <c r="H260" s="40">
        <v>600</v>
      </c>
      <c r="I260" s="32">
        <v>695</v>
      </c>
      <c r="J260" s="32">
        <v>50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ht="15.75">
      <c r="A261" s="14">
        <v>49796</v>
      </c>
      <c r="B261" s="41">
        <v>31</v>
      </c>
      <c r="C261" s="32">
        <v>194.20500000000001</v>
      </c>
      <c r="D261" s="32">
        <v>267.46600000000001</v>
      </c>
      <c r="E261" s="38">
        <v>812.32899999999995</v>
      </c>
      <c r="F261" s="32">
        <v>1274</v>
      </c>
      <c r="G261" s="32">
        <v>75</v>
      </c>
      <c r="H261" s="40">
        <v>600</v>
      </c>
      <c r="I261" s="32">
        <v>695</v>
      </c>
      <c r="J261" s="32">
        <v>50</v>
      </c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ht="15.75">
      <c r="A262" s="14">
        <v>49827</v>
      </c>
      <c r="B262" s="41">
        <v>30</v>
      </c>
      <c r="C262" s="32">
        <v>194.20500000000001</v>
      </c>
      <c r="D262" s="32">
        <v>267.46600000000001</v>
      </c>
      <c r="E262" s="38">
        <v>812.32899999999995</v>
      </c>
      <c r="F262" s="32">
        <v>1274</v>
      </c>
      <c r="G262" s="32">
        <v>50</v>
      </c>
      <c r="H262" s="40">
        <v>600</v>
      </c>
      <c r="I262" s="32">
        <v>695</v>
      </c>
      <c r="J262" s="32">
        <v>50</v>
      </c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ht="15.75">
      <c r="A263" s="14">
        <v>49857</v>
      </c>
      <c r="B263" s="41">
        <v>31</v>
      </c>
      <c r="C263" s="32">
        <v>194.20500000000001</v>
      </c>
      <c r="D263" s="32">
        <v>267.46600000000001</v>
      </c>
      <c r="E263" s="38">
        <v>812.32899999999995</v>
      </c>
      <c r="F263" s="32">
        <v>1274</v>
      </c>
      <c r="G263" s="32">
        <v>50</v>
      </c>
      <c r="H263" s="40">
        <v>600</v>
      </c>
      <c r="I263" s="32">
        <v>695</v>
      </c>
      <c r="J263" s="32">
        <v>0</v>
      </c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ht="15.75">
      <c r="A264" s="14">
        <v>49888</v>
      </c>
      <c r="B264" s="41">
        <v>31</v>
      </c>
      <c r="C264" s="32">
        <v>194.20500000000001</v>
      </c>
      <c r="D264" s="32">
        <v>267.46600000000001</v>
      </c>
      <c r="E264" s="38">
        <v>812.32899999999995</v>
      </c>
      <c r="F264" s="32">
        <v>1274</v>
      </c>
      <c r="G264" s="32">
        <v>50</v>
      </c>
      <c r="H264" s="40">
        <v>600</v>
      </c>
      <c r="I264" s="32">
        <v>695</v>
      </c>
      <c r="J264" s="32">
        <v>0</v>
      </c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ht="15.75">
      <c r="A265" s="14">
        <v>49919</v>
      </c>
      <c r="B265" s="41">
        <v>30</v>
      </c>
      <c r="C265" s="32">
        <v>194.20500000000001</v>
      </c>
      <c r="D265" s="32">
        <v>267.46600000000001</v>
      </c>
      <c r="E265" s="38">
        <v>812.32899999999995</v>
      </c>
      <c r="F265" s="32">
        <v>1274</v>
      </c>
      <c r="G265" s="32">
        <v>50</v>
      </c>
      <c r="H265" s="40">
        <v>600</v>
      </c>
      <c r="I265" s="32">
        <v>695</v>
      </c>
      <c r="J265" s="32">
        <v>0</v>
      </c>
      <c r="K265" s="33"/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ht="15.75">
      <c r="A266" s="14">
        <v>49949</v>
      </c>
      <c r="B266" s="41">
        <v>31</v>
      </c>
      <c r="C266" s="32">
        <v>131.881</v>
      </c>
      <c r="D266" s="32">
        <v>277.16699999999997</v>
      </c>
      <c r="E266" s="38">
        <v>829.952</v>
      </c>
      <c r="F266" s="32">
        <v>1239</v>
      </c>
      <c r="G266" s="32">
        <v>75</v>
      </c>
      <c r="H266" s="40">
        <v>600</v>
      </c>
      <c r="I266" s="32">
        <v>695</v>
      </c>
      <c r="J266" s="32">
        <v>0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ht="15.75">
      <c r="A267" s="14">
        <v>49980</v>
      </c>
      <c r="B267" s="41">
        <v>30</v>
      </c>
      <c r="C267" s="32">
        <v>122.58</v>
      </c>
      <c r="D267" s="32">
        <v>297.94099999999997</v>
      </c>
      <c r="E267" s="38">
        <v>729.47900000000004</v>
      </c>
      <c r="F267" s="32">
        <v>1150</v>
      </c>
      <c r="G267" s="32">
        <v>100</v>
      </c>
      <c r="H267" s="40">
        <v>600</v>
      </c>
      <c r="I267" s="32">
        <v>695</v>
      </c>
      <c r="J267" s="32">
        <v>50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ht="15.75">
      <c r="A268" s="14">
        <v>50010</v>
      </c>
      <c r="B268" s="41">
        <v>31</v>
      </c>
      <c r="C268" s="32">
        <v>122.58</v>
      </c>
      <c r="D268" s="32">
        <v>297.94099999999997</v>
      </c>
      <c r="E268" s="38">
        <v>729.47900000000004</v>
      </c>
      <c r="F268" s="32">
        <v>1150</v>
      </c>
      <c r="G268" s="32">
        <v>100</v>
      </c>
      <c r="H268" s="40">
        <v>600</v>
      </c>
      <c r="I268" s="32">
        <v>695</v>
      </c>
      <c r="J268" s="32">
        <v>50</v>
      </c>
      <c r="K268" s="33"/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ht="15.75">
      <c r="A269" s="14">
        <v>50041</v>
      </c>
      <c r="B269" s="41">
        <v>31</v>
      </c>
      <c r="C269" s="32">
        <v>122.58</v>
      </c>
      <c r="D269" s="32">
        <v>297.94099999999997</v>
      </c>
      <c r="E269" s="38">
        <v>729.47900000000004</v>
      </c>
      <c r="F269" s="32">
        <v>1150</v>
      </c>
      <c r="G269" s="32">
        <v>100</v>
      </c>
      <c r="H269" s="40">
        <v>600</v>
      </c>
      <c r="I269" s="32">
        <v>695</v>
      </c>
      <c r="J269" s="32">
        <v>50</v>
      </c>
      <c r="K269" s="33"/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ht="15.75">
      <c r="A270" s="14">
        <v>50072</v>
      </c>
      <c r="B270" s="41">
        <v>28</v>
      </c>
      <c r="C270" s="32">
        <v>122.58</v>
      </c>
      <c r="D270" s="32">
        <v>297.94099999999997</v>
      </c>
      <c r="E270" s="38">
        <v>729.47900000000004</v>
      </c>
      <c r="F270" s="32">
        <v>1150</v>
      </c>
      <c r="G270" s="32">
        <v>100</v>
      </c>
      <c r="H270" s="40">
        <v>600</v>
      </c>
      <c r="I270" s="32">
        <v>695</v>
      </c>
      <c r="J270" s="32">
        <v>50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ht="15.75">
      <c r="A271" s="14">
        <v>50100</v>
      </c>
      <c r="B271" s="41">
        <v>31</v>
      </c>
      <c r="C271" s="32">
        <v>122.58</v>
      </c>
      <c r="D271" s="32">
        <v>297.94099999999997</v>
      </c>
      <c r="E271" s="38">
        <v>729.47900000000004</v>
      </c>
      <c r="F271" s="32">
        <v>1150</v>
      </c>
      <c r="G271" s="32">
        <v>100</v>
      </c>
      <c r="H271" s="40">
        <v>600</v>
      </c>
      <c r="I271" s="32">
        <v>695</v>
      </c>
      <c r="J271" s="32">
        <v>50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ht="15.75">
      <c r="A272" s="14">
        <v>50131</v>
      </c>
      <c r="B272" s="41">
        <v>30</v>
      </c>
      <c r="C272" s="32">
        <v>141.29300000000001</v>
      </c>
      <c r="D272" s="32">
        <v>267.99299999999999</v>
      </c>
      <c r="E272" s="38">
        <v>829.71400000000006</v>
      </c>
      <c r="F272" s="32">
        <v>1239</v>
      </c>
      <c r="G272" s="32">
        <v>100</v>
      </c>
      <c r="H272" s="40">
        <v>600</v>
      </c>
      <c r="I272" s="32">
        <v>695</v>
      </c>
      <c r="J272" s="32">
        <v>50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ht="15.75">
      <c r="A273" s="14">
        <v>50161</v>
      </c>
      <c r="B273" s="41">
        <v>31</v>
      </c>
      <c r="C273" s="32">
        <v>194.20500000000001</v>
      </c>
      <c r="D273" s="32">
        <v>267.46600000000001</v>
      </c>
      <c r="E273" s="38">
        <v>812.32899999999995</v>
      </c>
      <c r="F273" s="32">
        <v>1274</v>
      </c>
      <c r="G273" s="32">
        <v>75</v>
      </c>
      <c r="H273" s="40">
        <v>600</v>
      </c>
      <c r="I273" s="32">
        <v>695</v>
      </c>
      <c r="J273" s="32">
        <v>50</v>
      </c>
      <c r="K273" s="33"/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ht="15.75">
      <c r="A274" s="14">
        <v>50192</v>
      </c>
      <c r="B274" s="41">
        <v>30</v>
      </c>
      <c r="C274" s="32">
        <v>194.20500000000001</v>
      </c>
      <c r="D274" s="32">
        <v>267.46600000000001</v>
      </c>
      <c r="E274" s="38">
        <v>812.32899999999995</v>
      </c>
      <c r="F274" s="32">
        <v>1274</v>
      </c>
      <c r="G274" s="32">
        <v>50</v>
      </c>
      <c r="H274" s="40">
        <v>600</v>
      </c>
      <c r="I274" s="32">
        <v>695</v>
      </c>
      <c r="J274" s="32">
        <v>50</v>
      </c>
      <c r="K274" s="33"/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ht="15.75">
      <c r="A275" s="14">
        <v>50222</v>
      </c>
      <c r="B275" s="41">
        <v>31</v>
      </c>
      <c r="C275" s="32">
        <v>194.20500000000001</v>
      </c>
      <c r="D275" s="32">
        <v>267.46600000000001</v>
      </c>
      <c r="E275" s="38">
        <v>812.32899999999995</v>
      </c>
      <c r="F275" s="32">
        <v>1274</v>
      </c>
      <c r="G275" s="32">
        <v>50</v>
      </c>
      <c r="H275" s="40">
        <v>600</v>
      </c>
      <c r="I275" s="32">
        <v>695</v>
      </c>
      <c r="J275" s="32">
        <v>0</v>
      </c>
      <c r="K275" s="33"/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ht="15.75">
      <c r="A276" s="14">
        <v>50253</v>
      </c>
      <c r="B276" s="41">
        <v>31</v>
      </c>
      <c r="C276" s="32">
        <v>194.20500000000001</v>
      </c>
      <c r="D276" s="32">
        <v>267.46600000000001</v>
      </c>
      <c r="E276" s="38">
        <v>812.32899999999995</v>
      </c>
      <c r="F276" s="32">
        <v>1274</v>
      </c>
      <c r="G276" s="32">
        <v>50</v>
      </c>
      <c r="H276" s="40">
        <v>600</v>
      </c>
      <c r="I276" s="32">
        <v>695</v>
      </c>
      <c r="J276" s="32">
        <v>0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ht="15.75">
      <c r="A277" s="14">
        <v>50284</v>
      </c>
      <c r="B277" s="41">
        <v>30</v>
      </c>
      <c r="C277" s="32">
        <v>194.20500000000001</v>
      </c>
      <c r="D277" s="32">
        <v>267.46600000000001</v>
      </c>
      <c r="E277" s="38">
        <v>812.32899999999995</v>
      </c>
      <c r="F277" s="32">
        <v>1274</v>
      </c>
      <c r="G277" s="32">
        <v>50</v>
      </c>
      <c r="H277" s="40">
        <v>600</v>
      </c>
      <c r="I277" s="32">
        <v>695</v>
      </c>
      <c r="J277" s="32">
        <v>0</v>
      </c>
      <c r="K277" s="33"/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ht="15.75">
      <c r="A278" s="14">
        <v>50314</v>
      </c>
      <c r="B278" s="41">
        <v>31</v>
      </c>
      <c r="C278" s="32">
        <v>131.881</v>
      </c>
      <c r="D278" s="32">
        <v>277.16699999999997</v>
      </c>
      <c r="E278" s="38">
        <v>829.952</v>
      </c>
      <c r="F278" s="32">
        <v>1239</v>
      </c>
      <c r="G278" s="32">
        <v>75</v>
      </c>
      <c r="H278" s="40">
        <v>600</v>
      </c>
      <c r="I278" s="32">
        <v>695</v>
      </c>
      <c r="J278" s="32">
        <v>0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ht="15.75">
      <c r="A279" s="14">
        <v>50345</v>
      </c>
      <c r="B279" s="41">
        <v>30</v>
      </c>
      <c r="C279" s="32">
        <v>122.58</v>
      </c>
      <c r="D279" s="32">
        <v>297.94099999999997</v>
      </c>
      <c r="E279" s="38">
        <v>729.47900000000004</v>
      </c>
      <c r="F279" s="32">
        <v>1150</v>
      </c>
      <c r="G279" s="32">
        <v>100</v>
      </c>
      <c r="H279" s="40">
        <v>600</v>
      </c>
      <c r="I279" s="32">
        <v>695</v>
      </c>
      <c r="J279" s="32">
        <v>50</v>
      </c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ht="15.75">
      <c r="A280" s="14">
        <v>50375</v>
      </c>
      <c r="B280" s="41">
        <v>31</v>
      </c>
      <c r="C280" s="32">
        <v>122.58</v>
      </c>
      <c r="D280" s="32">
        <v>297.94099999999997</v>
      </c>
      <c r="E280" s="38">
        <v>729.47900000000004</v>
      </c>
      <c r="F280" s="32">
        <v>1150</v>
      </c>
      <c r="G280" s="32">
        <v>100</v>
      </c>
      <c r="H280" s="40">
        <v>600</v>
      </c>
      <c r="I280" s="32">
        <v>695</v>
      </c>
      <c r="J280" s="32">
        <v>50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ht="15.75">
      <c r="A281" s="13">
        <v>50436</v>
      </c>
      <c r="B281" s="41">
        <v>31</v>
      </c>
      <c r="C281" s="32">
        <v>122.58</v>
      </c>
      <c r="D281" s="32">
        <v>297.94099999999997</v>
      </c>
      <c r="E281" s="38">
        <v>729.47900000000004</v>
      </c>
      <c r="F281" s="32">
        <v>1150</v>
      </c>
      <c r="G281" s="32">
        <v>100</v>
      </c>
      <c r="H281" s="40">
        <v>600</v>
      </c>
      <c r="I281" s="32">
        <v>695</v>
      </c>
      <c r="J281" s="32">
        <v>50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ht="15.75">
      <c r="A282" s="13">
        <v>50464</v>
      </c>
      <c r="B282" s="41">
        <v>28</v>
      </c>
      <c r="C282" s="32">
        <v>122.58</v>
      </c>
      <c r="D282" s="32">
        <v>297.94099999999997</v>
      </c>
      <c r="E282" s="38">
        <v>729.47900000000004</v>
      </c>
      <c r="F282" s="32">
        <v>1150</v>
      </c>
      <c r="G282" s="32">
        <v>100</v>
      </c>
      <c r="H282" s="40">
        <v>600</v>
      </c>
      <c r="I282" s="32">
        <v>695</v>
      </c>
      <c r="J282" s="32">
        <v>50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ht="15.75">
      <c r="A283" s="13">
        <v>50495</v>
      </c>
      <c r="B283" s="41">
        <v>31</v>
      </c>
      <c r="C283" s="32">
        <v>122.58</v>
      </c>
      <c r="D283" s="32">
        <v>297.94099999999997</v>
      </c>
      <c r="E283" s="38">
        <v>729.47900000000004</v>
      </c>
      <c r="F283" s="32">
        <v>1150</v>
      </c>
      <c r="G283" s="32">
        <v>100</v>
      </c>
      <c r="H283" s="40">
        <v>600</v>
      </c>
      <c r="I283" s="32">
        <v>695</v>
      </c>
      <c r="J283" s="32">
        <v>50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ht="15.75">
      <c r="A284" s="13">
        <v>50525</v>
      </c>
      <c r="B284" s="41">
        <v>30</v>
      </c>
      <c r="C284" s="32">
        <v>141.29300000000001</v>
      </c>
      <c r="D284" s="32">
        <v>267.99299999999999</v>
      </c>
      <c r="E284" s="38">
        <v>829.71400000000006</v>
      </c>
      <c r="F284" s="32">
        <v>1239</v>
      </c>
      <c r="G284" s="32">
        <v>100</v>
      </c>
      <c r="H284" s="40">
        <v>600</v>
      </c>
      <c r="I284" s="32">
        <v>695</v>
      </c>
      <c r="J284" s="32">
        <v>50</v>
      </c>
      <c r="K284" s="33"/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ht="15.75">
      <c r="A285" s="13">
        <v>50556</v>
      </c>
      <c r="B285" s="41">
        <v>31</v>
      </c>
      <c r="C285" s="32">
        <v>194.20500000000001</v>
      </c>
      <c r="D285" s="32">
        <v>267.46600000000001</v>
      </c>
      <c r="E285" s="38">
        <v>812.32899999999995</v>
      </c>
      <c r="F285" s="32">
        <v>1274</v>
      </c>
      <c r="G285" s="32">
        <v>75</v>
      </c>
      <c r="H285" s="40">
        <v>600</v>
      </c>
      <c r="I285" s="32">
        <v>695</v>
      </c>
      <c r="J285" s="32">
        <v>50</v>
      </c>
      <c r="K285" s="33"/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ht="15.75">
      <c r="A286" s="13">
        <v>50586</v>
      </c>
      <c r="B286" s="41">
        <v>30</v>
      </c>
      <c r="C286" s="32">
        <v>194.20500000000001</v>
      </c>
      <c r="D286" s="32">
        <v>267.46600000000001</v>
      </c>
      <c r="E286" s="38">
        <v>812.32899999999995</v>
      </c>
      <c r="F286" s="32">
        <v>1274</v>
      </c>
      <c r="G286" s="32">
        <v>50</v>
      </c>
      <c r="H286" s="40">
        <v>600</v>
      </c>
      <c r="I286" s="32">
        <v>695</v>
      </c>
      <c r="J286" s="32">
        <v>50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ht="15.75">
      <c r="A287" s="13">
        <v>50617</v>
      </c>
      <c r="B287" s="41">
        <v>31</v>
      </c>
      <c r="C287" s="32">
        <v>194.20500000000001</v>
      </c>
      <c r="D287" s="32">
        <v>267.46600000000001</v>
      </c>
      <c r="E287" s="38">
        <v>812.32899999999995</v>
      </c>
      <c r="F287" s="32">
        <v>1274</v>
      </c>
      <c r="G287" s="32">
        <v>50</v>
      </c>
      <c r="H287" s="40">
        <v>600</v>
      </c>
      <c r="I287" s="32">
        <v>695</v>
      </c>
      <c r="J287" s="32">
        <v>0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ht="15.75">
      <c r="A288" s="13">
        <v>50648</v>
      </c>
      <c r="B288" s="41">
        <v>31</v>
      </c>
      <c r="C288" s="32">
        <v>194.20500000000001</v>
      </c>
      <c r="D288" s="32">
        <v>267.46600000000001</v>
      </c>
      <c r="E288" s="38">
        <v>812.32899999999995</v>
      </c>
      <c r="F288" s="32">
        <v>1274</v>
      </c>
      <c r="G288" s="32">
        <v>50</v>
      </c>
      <c r="H288" s="40">
        <v>600</v>
      </c>
      <c r="I288" s="32">
        <v>695</v>
      </c>
      <c r="J288" s="32">
        <v>0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ht="15.75">
      <c r="A289" s="13">
        <v>50678</v>
      </c>
      <c r="B289" s="41">
        <v>30</v>
      </c>
      <c r="C289" s="32">
        <v>194.20500000000001</v>
      </c>
      <c r="D289" s="32">
        <v>267.46600000000001</v>
      </c>
      <c r="E289" s="38">
        <v>812.32899999999995</v>
      </c>
      <c r="F289" s="32">
        <v>1274</v>
      </c>
      <c r="G289" s="32">
        <v>50</v>
      </c>
      <c r="H289" s="40">
        <v>600</v>
      </c>
      <c r="I289" s="32">
        <v>695</v>
      </c>
      <c r="J289" s="32">
        <v>0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ht="15.75">
      <c r="A290" s="13">
        <v>50709</v>
      </c>
      <c r="B290" s="41">
        <v>31</v>
      </c>
      <c r="C290" s="32">
        <v>131.881</v>
      </c>
      <c r="D290" s="32">
        <v>277.16699999999997</v>
      </c>
      <c r="E290" s="38">
        <v>829.952</v>
      </c>
      <c r="F290" s="32">
        <v>1239</v>
      </c>
      <c r="G290" s="32">
        <v>75</v>
      </c>
      <c r="H290" s="40">
        <v>600</v>
      </c>
      <c r="I290" s="32">
        <v>695</v>
      </c>
      <c r="J290" s="32">
        <v>0</v>
      </c>
      <c r="K290" s="33"/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ht="15.75">
      <c r="A291" s="13">
        <v>50739</v>
      </c>
      <c r="B291" s="41">
        <v>30</v>
      </c>
      <c r="C291" s="32">
        <v>122.58</v>
      </c>
      <c r="D291" s="32">
        <v>297.94099999999997</v>
      </c>
      <c r="E291" s="38">
        <v>729.47900000000004</v>
      </c>
      <c r="F291" s="32">
        <v>1150</v>
      </c>
      <c r="G291" s="32">
        <v>100</v>
      </c>
      <c r="H291" s="40">
        <v>600</v>
      </c>
      <c r="I291" s="32">
        <v>695</v>
      </c>
      <c r="J291" s="32">
        <v>50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ht="15.75">
      <c r="A292" s="13">
        <v>50770</v>
      </c>
      <c r="B292" s="41">
        <v>31</v>
      </c>
      <c r="C292" s="32">
        <v>122.58</v>
      </c>
      <c r="D292" s="32">
        <v>297.94099999999997</v>
      </c>
      <c r="E292" s="38">
        <v>729.47900000000004</v>
      </c>
      <c r="F292" s="32">
        <v>1150</v>
      </c>
      <c r="G292" s="32">
        <v>100</v>
      </c>
      <c r="H292" s="40">
        <v>600</v>
      </c>
      <c r="I292" s="32">
        <v>695</v>
      </c>
      <c r="J292" s="32">
        <v>50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ht="15.75">
      <c r="A293" s="13">
        <v>50801</v>
      </c>
      <c r="B293" s="41">
        <v>31</v>
      </c>
      <c r="C293" s="32">
        <v>122.58</v>
      </c>
      <c r="D293" s="32">
        <v>297.94099999999997</v>
      </c>
      <c r="E293" s="38">
        <v>729.47900000000004</v>
      </c>
      <c r="F293" s="32">
        <v>1150</v>
      </c>
      <c r="G293" s="32">
        <v>100</v>
      </c>
      <c r="H293" s="40">
        <v>600</v>
      </c>
      <c r="I293" s="32">
        <v>695</v>
      </c>
      <c r="J293" s="32">
        <v>50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ht="15.75">
      <c r="A294" s="13">
        <v>50829</v>
      </c>
      <c r="B294" s="41">
        <v>28</v>
      </c>
      <c r="C294" s="32">
        <v>122.58</v>
      </c>
      <c r="D294" s="32">
        <v>297.94099999999997</v>
      </c>
      <c r="E294" s="38">
        <v>729.47900000000004</v>
      </c>
      <c r="F294" s="32">
        <v>1150</v>
      </c>
      <c r="G294" s="32">
        <v>100</v>
      </c>
      <c r="H294" s="40">
        <v>600</v>
      </c>
      <c r="I294" s="32">
        <v>695</v>
      </c>
      <c r="J294" s="32">
        <v>50</v>
      </c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ht="15.75">
      <c r="A295" s="13">
        <v>50860</v>
      </c>
      <c r="B295" s="41">
        <v>31</v>
      </c>
      <c r="C295" s="32">
        <v>122.58</v>
      </c>
      <c r="D295" s="32">
        <v>297.94099999999997</v>
      </c>
      <c r="E295" s="38">
        <v>729.47900000000004</v>
      </c>
      <c r="F295" s="32">
        <v>1150</v>
      </c>
      <c r="G295" s="32">
        <v>100</v>
      </c>
      <c r="H295" s="40">
        <v>600</v>
      </c>
      <c r="I295" s="32">
        <v>695</v>
      </c>
      <c r="J295" s="32">
        <v>50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ht="15.75">
      <c r="A296" s="13">
        <v>50890</v>
      </c>
      <c r="B296" s="41">
        <v>30</v>
      </c>
      <c r="C296" s="32">
        <v>141.29300000000001</v>
      </c>
      <c r="D296" s="32">
        <v>267.99299999999999</v>
      </c>
      <c r="E296" s="38">
        <v>829.71400000000006</v>
      </c>
      <c r="F296" s="32">
        <v>1239</v>
      </c>
      <c r="G296" s="32">
        <v>100</v>
      </c>
      <c r="H296" s="40">
        <v>600</v>
      </c>
      <c r="I296" s="32">
        <v>695</v>
      </c>
      <c r="J296" s="32">
        <v>50</v>
      </c>
      <c r="K296" s="33"/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ht="15.75">
      <c r="A297" s="13">
        <v>50921</v>
      </c>
      <c r="B297" s="41">
        <v>31</v>
      </c>
      <c r="C297" s="32">
        <v>194.20500000000001</v>
      </c>
      <c r="D297" s="32">
        <v>267.46600000000001</v>
      </c>
      <c r="E297" s="38">
        <v>812.32899999999995</v>
      </c>
      <c r="F297" s="32">
        <v>1274</v>
      </c>
      <c r="G297" s="32">
        <v>75</v>
      </c>
      <c r="H297" s="40">
        <v>600</v>
      </c>
      <c r="I297" s="32">
        <v>695</v>
      </c>
      <c r="J297" s="32">
        <v>50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ht="15.75">
      <c r="A298" s="13">
        <v>50951</v>
      </c>
      <c r="B298" s="41">
        <v>30</v>
      </c>
      <c r="C298" s="32">
        <v>194.20500000000001</v>
      </c>
      <c r="D298" s="32">
        <v>267.46600000000001</v>
      </c>
      <c r="E298" s="38">
        <v>812.32899999999995</v>
      </c>
      <c r="F298" s="32">
        <v>1274</v>
      </c>
      <c r="G298" s="32">
        <v>50</v>
      </c>
      <c r="H298" s="40">
        <v>600</v>
      </c>
      <c r="I298" s="32">
        <v>695</v>
      </c>
      <c r="J298" s="32">
        <v>50</v>
      </c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ht="15.75">
      <c r="A299" s="13">
        <v>50982</v>
      </c>
      <c r="B299" s="41">
        <v>31</v>
      </c>
      <c r="C299" s="32">
        <v>194.20500000000001</v>
      </c>
      <c r="D299" s="32">
        <v>267.46600000000001</v>
      </c>
      <c r="E299" s="38">
        <v>812.32899999999995</v>
      </c>
      <c r="F299" s="32">
        <v>1274</v>
      </c>
      <c r="G299" s="32">
        <v>50</v>
      </c>
      <c r="H299" s="40">
        <v>600</v>
      </c>
      <c r="I299" s="32">
        <v>695</v>
      </c>
      <c r="J299" s="32">
        <v>0</v>
      </c>
      <c r="K299" s="33"/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ht="15.75">
      <c r="A300" s="13">
        <v>51013</v>
      </c>
      <c r="B300" s="41">
        <v>31</v>
      </c>
      <c r="C300" s="32">
        <v>194.20500000000001</v>
      </c>
      <c r="D300" s="32">
        <v>267.46600000000001</v>
      </c>
      <c r="E300" s="38">
        <v>812.32899999999995</v>
      </c>
      <c r="F300" s="32">
        <v>1274</v>
      </c>
      <c r="G300" s="32">
        <v>50</v>
      </c>
      <c r="H300" s="40">
        <v>600</v>
      </c>
      <c r="I300" s="32">
        <v>695</v>
      </c>
      <c r="J300" s="32">
        <v>0</v>
      </c>
      <c r="K300" s="33"/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ht="15.75">
      <c r="A301" s="13">
        <v>51043</v>
      </c>
      <c r="B301" s="41">
        <v>30</v>
      </c>
      <c r="C301" s="32">
        <v>194.20500000000001</v>
      </c>
      <c r="D301" s="32">
        <v>267.46600000000001</v>
      </c>
      <c r="E301" s="38">
        <v>812.32899999999995</v>
      </c>
      <c r="F301" s="32">
        <v>1274</v>
      </c>
      <c r="G301" s="32">
        <v>50</v>
      </c>
      <c r="H301" s="40">
        <v>600</v>
      </c>
      <c r="I301" s="32">
        <v>695</v>
      </c>
      <c r="J301" s="32">
        <v>0</v>
      </c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ht="15.75">
      <c r="A302" s="13">
        <v>51074</v>
      </c>
      <c r="B302" s="41">
        <v>31</v>
      </c>
      <c r="C302" s="32">
        <v>131.881</v>
      </c>
      <c r="D302" s="32">
        <v>277.16699999999997</v>
      </c>
      <c r="E302" s="38">
        <v>829.952</v>
      </c>
      <c r="F302" s="32">
        <v>1239</v>
      </c>
      <c r="G302" s="32">
        <v>75</v>
      </c>
      <c r="H302" s="40">
        <v>600</v>
      </c>
      <c r="I302" s="32">
        <v>695</v>
      </c>
      <c r="J302" s="32">
        <v>0</v>
      </c>
      <c r="K302" s="33"/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ht="15.75">
      <c r="A303" s="13">
        <v>51104</v>
      </c>
      <c r="B303" s="41">
        <v>30</v>
      </c>
      <c r="C303" s="32">
        <v>122.58</v>
      </c>
      <c r="D303" s="32">
        <v>297.94099999999997</v>
      </c>
      <c r="E303" s="38">
        <v>729.47900000000004</v>
      </c>
      <c r="F303" s="32">
        <v>1150</v>
      </c>
      <c r="G303" s="32">
        <v>100</v>
      </c>
      <c r="H303" s="40">
        <v>600</v>
      </c>
      <c r="I303" s="32">
        <v>695</v>
      </c>
      <c r="J303" s="32">
        <v>50</v>
      </c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ht="15.75">
      <c r="A304" s="13">
        <v>51135</v>
      </c>
      <c r="B304" s="41">
        <v>31</v>
      </c>
      <c r="C304" s="32">
        <v>122.58</v>
      </c>
      <c r="D304" s="32">
        <v>297.94099999999997</v>
      </c>
      <c r="E304" s="38">
        <v>729.47900000000004</v>
      </c>
      <c r="F304" s="32">
        <v>1150</v>
      </c>
      <c r="G304" s="32">
        <v>100</v>
      </c>
      <c r="H304" s="40">
        <v>600</v>
      </c>
      <c r="I304" s="32">
        <v>695</v>
      </c>
      <c r="J304" s="32">
        <v>50</v>
      </c>
      <c r="K304" s="33"/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ht="15.75">
      <c r="A305" s="13">
        <v>51166</v>
      </c>
      <c r="B305" s="41">
        <v>31</v>
      </c>
      <c r="C305" s="32">
        <v>122.58</v>
      </c>
      <c r="D305" s="32">
        <v>297.94099999999997</v>
      </c>
      <c r="E305" s="38">
        <v>729.47900000000004</v>
      </c>
      <c r="F305" s="32">
        <v>1150</v>
      </c>
      <c r="G305" s="32">
        <v>100</v>
      </c>
      <c r="H305" s="40">
        <v>600</v>
      </c>
      <c r="I305" s="32">
        <v>695</v>
      </c>
      <c r="J305" s="32">
        <v>50</v>
      </c>
      <c r="K305" s="33"/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ht="15.75">
      <c r="A306" s="13">
        <v>51194</v>
      </c>
      <c r="B306" s="41">
        <v>29</v>
      </c>
      <c r="C306" s="32">
        <v>122.58</v>
      </c>
      <c r="D306" s="32">
        <v>297.94099999999997</v>
      </c>
      <c r="E306" s="38">
        <v>729.47900000000004</v>
      </c>
      <c r="F306" s="32">
        <v>1150</v>
      </c>
      <c r="G306" s="32">
        <v>100</v>
      </c>
      <c r="H306" s="40">
        <v>600</v>
      </c>
      <c r="I306" s="32">
        <v>695</v>
      </c>
      <c r="J306" s="32">
        <v>50</v>
      </c>
      <c r="K306" s="33"/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ht="15.75">
      <c r="A307" s="13">
        <v>51226</v>
      </c>
      <c r="B307" s="41">
        <v>31</v>
      </c>
      <c r="C307" s="32">
        <v>122.58</v>
      </c>
      <c r="D307" s="32">
        <v>297.94099999999997</v>
      </c>
      <c r="E307" s="38">
        <v>729.47900000000004</v>
      </c>
      <c r="F307" s="32">
        <v>1150</v>
      </c>
      <c r="G307" s="32">
        <v>100</v>
      </c>
      <c r="H307" s="40">
        <v>600</v>
      </c>
      <c r="I307" s="32">
        <v>695</v>
      </c>
      <c r="J307" s="32">
        <v>50</v>
      </c>
      <c r="K307" s="33"/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ht="15.75">
      <c r="A308" s="13">
        <v>51256</v>
      </c>
      <c r="B308" s="41">
        <v>30</v>
      </c>
      <c r="C308" s="32">
        <v>141.29300000000001</v>
      </c>
      <c r="D308" s="32">
        <v>267.99299999999999</v>
      </c>
      <c r="E308" s="38">
        <v>829.71400000000006</v>
      </c>
      <c r="F308" s="32">
        <v>1239</v>
      </c>
      <c r="G308" s="32">
        <v>100</v>
      </c>
      <c r="H308" s="40">
        <v>600</v>
      </c>
      <c r="I308" s="32">
        <v>695</v>
      </c>
      <c r="J308" s="32">
        <v>50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ht="15.75">
      <c r="A309" s="13">
        <v>51287</v>
      </c>
      <c r="B309" s="41">
        <v>31</v>
      </c>
      <c r="C309" s="32">
        <v>194.20500000000001</v>
      </c>
      <c r="D309" s="32">
        <v>267.46600000000001</v>
      </c>
      <c r="E309" s="38">
        <v>812.32899999999995</v>
      </c>
      <c r="F309" s="32">
        <v>1274</v>
      </c>
      <c r="G309" s="32">
        <v>75</v>
      </c>
      <c r="H309" s="40">
        <v>600</v>
      </c>
      <c r="I309" s="32">
        <v>695</v>
      </c>
      <c r="J309" s="32">
        <v>50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ht="15.75">
      <c r="A310" s="13">
        <v>51317</v>
      </c>
      <c r="B310" s="41">
        <v>30</v>
      </c>
      <c r="C310" s="32">
        <v>194.20500000000001</v>
      </c>
      <c r="D310" s="32">
        <v>267.46600000000001</v>
      </c>
      <c r="E310" s="38">
        <v>812.32899999999995</v>
      </c>
      <c r="F310" s="32">
        <v>1274</v>
      </c>
      <c r="G310" s="32">
        <v>50</v>
      </c>
      <c r="H310" s="40">
        <v>600</v>
      </c>
      <c r="I310" s="32">
        <v>695</v>
      </c>
      <c r="J310" s="32">
        <v>50</v>
      </c>
      <c r="K310" s="33"/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ht="15.75">
      <c r="A311" s="13">
        <v>51348</v>
      </c>
      <c r="B311" s="41">
        <v>31</v>
      </c>
      <c r="C311" s="32">
        <v>194.20500000000001</v>
      </c>
      <c r="D311" s="32">
        <v>267.46600000000001</v>
      </c>
      <c r="E311" s="38">
        <v>812.32899999999995</v>
      </c>
      <c r="F311" s="32">
        <v>1274</v>
      </c>
      <c r="G311" s="32">
        <v>50</v>
      </c>
      <c r="H311" s="40">
        <v>600</v>
      </c>
      <c r="I311" s="32">
        <v>695</v>
      </c>
      <c r="J311" s="32">
        <v>0</v>
      </c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ht="15.75">
      <c r="A312" s="13">
        <v>51379</v>
      </c>
      <c r="B312" s="41">
        <v>31</v>
      </c>
      <c r="C312" s="32">
        <v>194.20500000000001</v>
      </c>
      <c r="D312" s="32">
        <v>267.46600000000001</v>
      </c>
      <c r="E312" s="38">
        <v>812.32899999999995</v>
      </c>
      <c r="F312" s="32">
        <v>1274</v>
      </c>
      <c r="G312" s="32">
        <v>50</v>
      </c>
      <c r="H312" s="40">
        <v>600</v>
      </c>
      <c r="I312" s="32">
        <v>695</v>
      </c>
      <c r="J312" s="32">
        <v>0</v>
      </c>
      <c r="K312" s="33"/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ht="15.75">
      <c r="A313" s="13">
        <v>51409</v>
      </c>
      <c r="B313" s="41">
        <v>30</v>
      </c>
      <c r="C313" s="32">
        <v>194.20500000000001</v>
      </c>
      <c r="D313" s="32">
        <v>267.46600000000001</v>
      </c>
      <c r="E313" s="38">
        <v>812.32899999999995</v>
      </c>
      <c r="F313" s="32">
        <v>1274</v>
      </c>
      <c r="G313" s="32">
        <v>50</v>
      </c>
      <c r="H313" s="40">
        <v>600</v>
      </c>
      <c r="I313" s="32">
        <v>695</v>
      </c>
      <c r="J313" s="32">
        <v>0</v>
      </c>
      <c r="K313" s="33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ht="15.75">
      <c r="A314" s="13">
        <v>51440</v>
      </c>
      <c r="B314" s="41">
        <v>31</v>
      </c>
      <c r="C314" s="32">
        <v>131.881</v>
      </c>
      <c r="D314" s="32">
        <v>277.16699999999997</v>
      </c>
      <c r="E314" s="38">
        <v>829.952</v>
      </c>
      <c r="F314" s="32">
        <v>1239</v>
      </c>
      <c r="G314" s="32">
        <v>75</v>
      </c>
      <c r="H314" s="40">
        <v>600</v>
      </c>
      <c r="I314" s="32">
        <v>695</v>
      </c>
      <c r="J314" s="32">
        <v>0</v>
      </c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ht="15.75">
      <c r="A315" s="13">
        <v>51470</v>
      </c>
      <c r="B315" s="41">
        <v>30</v>
      </c>
      <c r="C315" s="32">
        <v>122.58</v>
      </c>
      <c r="D315" s="32">
        <v>297.94099999999997</v>
      </c>
      <c r="E315" s="38">
        <v>729.47900000000004</v>
      </c>
      <c r="F315" s="32">
        <v>1150</v>
      </c>
      <c r="G315" s="32">
        <v>100</v>
      </c>
      <c r="H315" s="40">
        <v>600</v>
      </c>
      <c r="I315" s="32">
        <v>695</v>
      </c>
      <c r="J315" s="32">
        <v>50</v>
      </c>
      <c r="K315" s="33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ht="15.75">
      <c r="A316" s="13">
        <v>51501</v>
      </c>
      <c r="B316" s="41">
        <v>31</v>
      </c>
      <c r="C316" s="32">
        <v>122.58</v>
      </c>
      <c r="D316" s="32">
        <v>297.94099999999997</v>
      </c>
      <c r="E316" s="38">
        <v>729.47900000000004</v>
      </c>
      <c r="F316" s="32">
        <v>1150</v>
      </c>
      <c r="G316" s="32">
        <v>100</v>
      </c>
      <c r="H316" s="40">
        <v>600</v>
      </c>
      <c r="I316" s="32">
        <v>695</v>
      </c>
      <c r="J316" s="32">
        <v>50</v>
      </c>
      <c r="K316" s="33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ht="15.75">
      <c r="A317" s="13">
        <v>51532</v>
      </c>
      <c r="B317" s="41">
        <v>31</v>
      </c>
      <c r="C317" s="32">
        <v>122.58</v>
      </c>
      <c r="D317" s="32">
        <v>297.94099999999997</v>
      </c>
      <c r="E317" s="38">
        <v>729.47900000000004</v>
      </c>
      <c r="F317" s="32">
        <v>1150</v>
      </c>
      <c r="G317" s="32">
        <v>100</v>
      </c>
      <c r="H317" s="40">
        <v>600</v>
      </c>
      <c r="I317" s="32">
        <v>695</v>
      </c>
      <c r="J317" s="32">
        <v>50</v>
      </c>
      <c r="K317" s="33"/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ht="15.75">
      <c r="A318" s="13">
        <v>51560</v>
      </c>
      <c r="B318" s="41">
        <v>28</v>
      </c>
      <c r="C318" s="32">
        <v>122.58</v>
      </c>
      <c r="D318" s="32">
        <v>297.94099999999997</v>
      </c>
      <c r="E318" s="38">
        <v>729.47900000000004</v>
      </c>
      <c r="F318" s="32">
        <v>1150</v>
      </c>
      <c r="G318" s="32">
        <v>100</v>
      </c>
      <c r="H318" s="40">
        <v>600</v>
      </c>
      <c r="I318" s="32">
        <v>695</v>
      </c>
      <c r="J318" s="32">
        <v>50</v>
      </c>
      <c r="K318" s="33"/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ht="15.75">
      <c r="A319" s="13">
        <v>51591</v>
      </c>
      <c r="B319" s="41">
        <v>31</v>
      </c>
      <c r="C319" s="32">
        <v>122.58</v>
      </c>
      <c r="D319" s="32">
        <v>297.94099999999997</v>
      </c>
      <c r="E319" s="38">
        <v>729.47900000000004</v>
      </c>
      <c r="F319" s="32">
        <v>1150</v>
      </c>
      <c r="G319" s="32">
        <v>100</v>
      </c>
      <c r="H319" s="40">
        <v>600</v>
      </c>
      <c r="I319" s="32">
        <v>695</v>
      </c>
      <c r="J319" s="32">
        <v>50</v>
      </c>
      <c r="K319" s="33"/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ht="15.75">
      <c r="A320" s="13">
        <v>51621</v>
      </c>
      <c r="B320" s="41">
        <v>30</v>
      </c>
      <c r="C320" s="32">
        <v>141.29300000000001</v>
      </c>
      <c r="D320" s="32">
        <v>267.99299999999999</v>
      </c>
      <c r="E320" s="38">
        <v>829.71400000000006</v>
      </c>
      <c r="F320" s="32">
        <v>1239</v>
      </c>
      <c r="G320" s="32">
        <v>100</v>
      </c>
      <c r="H320" s="40">
        <v>600</v>
      </c>
      <c r="I320" s="32">
        <v>695</v>
      </c>
      <c r="J320" s="32">
        <v>50</v>
      </c>
      <c r="K320" s="33"/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ht="15.75">
      <c r="A321" s="13">
        <v>51652</v>
      </c>
      <c r="B321" s="41">
        <v>31</v>
      </c>
      <c r="C321" s="32">
        <v>194.20500000000001</v>
      </c>
      <c r="D321" s="32">
        <v>267.46600000000001</v>
      </c>
      <c r="E321" s="38">
        <v>812.32899999999995</v>
      </c>
      <c r="F321" s="32">
        <v>1274</v>
      </c>
      <c r="G321" s="32">
        <v>75</v>
      </c>
      <c r="H321" s="40">
        <v>600</v>
      </c>
      <c r="I321" s="32">
        <v>695</v>
      </c>
      <c r="J321" s="32">
        <v>50</v>
      </c>
      <c r="K321" s="33"/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ht="15.75">
      <c r="A322" s="13">
        <v>51682</v>
      </c>
      <c r="B322" s="41">
        <v>30</v>
      </c>
      <c r="C322" s="32">
        <v>194.20500000000001</v>
      </c>
      <c r="D322" s="32">
        <v>267.46600000000001</v>
      </c>
      <c r="E322" s="38">
        <v>812.32899999999995</v>
      </c>
      <c r="F322" s="32">
        <v>1274</v>
      </c>
      <c r="G322" s="32">
        <v>50</v>
      </c>
      <c r="H322" s="40">
        <v>600</v>
      </c>
      <c r="I322" s="32">
        <v>695</v>
      </c>
      <c r="J322" s="32">
        <v>50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ht="15.75">
      <c r="A323" s="13">
        <v>51713</v>
      </c>
      <c r="B323" s="41">
        <v>31</v>
      </c>
      <c r="C323" s="32">
        <v>194.20500000000001</v>
      </c>
      <c r="D323" s="32">
        <v>267.46600000000001</v>
      </c>
      <c r="E323" s="38">
        <v>812.32899999999995</v>
      </c>
      <c r="F323" s="32">
        <v>1274</v>
      </c>
      <c r="G323" s="32">
        <v>50</v>
      </c>
      <c r="H323" s="40">
        <v>600</v>
      </c>
      <c r="I323" s="32">
        <v>695</v>
      </c>
      <c r="J323" s="32">
        <v>0</v>
      </c>
      <c r="K323" s="33"/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ht="15.75">
      <c r="A324" s="13">
        <v>51744</v>
      </c>
      <c r="B324" s="41">
        <v>31</v>
      </c>
      <c r="C324" s="32">
        <v>194.20500000000001</v>
      </c>
      <c r="D324" s="32">
        <v>267.46600000000001</v>
      </c>
      <c r="E324" s="38">
        <v>812.32899999999995</v>
      </c>
      <c r="F324" s="32">
        <v>1274</v>
      </c>
      <c r="G324" s="32">
        <v>50</v>
      </c>
      <c r="H324" s="40">
        <v>600</v>
      </c>
      <c r="I324" s="32">
        <v>695</v>
      </c>
      <c r="J324" s="32">
        <v>0</v>
      </c>
      <c r="K324" s="33"/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ht="15.75">
      <c r="A325" s="13">
        <v>51774</v>
      </c>
      <c r="B325" s="41">
        <v>30</v>
      </c>
      <c r="C325" s="32">
        <v>194.20500000000001</v>
      </c>
      <c r="D325" s="32">
        <v>267.46600000000001</v>
      </c>
      <c r="E325" s="38">
        <v>812.32899999999995</v>
      </c>
      <c r="F325" s="32">
        <v>1274</v>
      </c>
      <c r="G325" s="32">
        <v>50</v>
      </c>
      <c r="H325" s="40">
        <v>600</v>
      </c>
      <c r="I325" s="32">
        <v>695</v>
      </c>
      <c r="J325" s="32">
        <v>0</v>
      </c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ht="15.75">
      <c r="A326" s="13">
        <v>51805</v>
      </c>
      <c r="B326" s="41">
        <v>31</v>
      </c>
      <c r="C326" s="32">
        <v>131.881</v>
      </c>
      <c r="D326" s="32">
        <v>277.16699999999997</v>
      </c>
      <c r="E326" s="38">
        <v>829.952</v>
      </c>
      <c r="F326" s="32">
        <v>1239</v>
      </c>
      <c r="G326" s="32">
        <v>75</v>
      </c>
      <c r="H326" s="40">
        <v>600</v>
      </c>
      <c r="I326" s="32">
        <v>695</v>
      </c>
      <c r="J326" s="32">
        <v>0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ht="15.75">
      <c r="A327" s="13">
        <v>51835</v>
      </c>
      <c r="B327" s="41">
        <v>30</v>
      </c>
      <c r="C327" s="32">
        <v>122.58</v>
      </c>
      <c r="D327" s="32">
        <v>297.94099999999997</v>
      </c>
      <c r="E327" s="38">
        <v>729.47900000000004</v>
      </c>
      <c r="F327" s="32">
        <v>1150</v>
      </c>
      <c r="G327" s="32">
        <v>100</v>
      </c>
      <c r="H327" s="40">
        <v>600</v>
      </c>
      <c r="I327" s="32">
        <v>695</v>
      </c>
      <c r="J327" s="32">
        <v>50</v>
      </c>
      <c r="K327" s="33"/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ht="15.75">
      <c r="A328" s="13">
        <v>51866</v>
      </c>
      <c r="B328" s="41">
        <v>31</v>
      </c>
      <c r="C328" s="32">
        <v>122.58</v>
      </c>
      <c r="D328" s="32">
        <v>297.94099999999997</v>
      </c>
      <c r="E328" s="38">
        <v>729.47900000000004</v>
      </c>
      <c r="F328" s="32">
        <v>1150</v>
      </c>
      <c r="G328" s="32">
        <v>100</v>
      </c>
      <c r="H328" s="40">
        <v>600</v>
      </c>
      <c r="I328" s="32">
        <v>695</v>
      </c>
      <c r="J328" s="32">
        <v>50</v>
      </c>
      <c r="K328" s="33"/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ht="15.75">
      <c r="A329" s="13">
        <v>51897</v>
      </c>
      <c r="B329" s="41">
        <v>31</v>
      </c>
      <c r="C329" s="32">
        <v>122.58</v>
      </c>
      <c r="D329" s="32">
        <v>297.94099999999997</v>
      </c>
      <c r="E329" s="38">
        <v>729.47900000000004</v>
      </c>
      <c r="F329" s="32">
        <v>1150</v>
      </c>
      <c r="G329" s="32">
        <v>100</v>
      </c>
      <c r="H329" s="40">
        <v>600</v>
      </c>
      <c r="I329" s="32">
        <v>695</v>
      </c>
      <c r="J329" s="32">
        <v>50</v>
      </c>
      <c r="K329" s="33"/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ht="15.75">
      <c r="A330" s="13">
        <v>51925</v>
      </c>
      <c r="B330" s="41">
        <v>28</v>
      </c>
      <c r="C330" s="32">
        <v>122.58</v>
      </c>
      <c r="D330" s="32">
        <v>297.94099999999997</v>
      </c>
      <c r="E330" s="38">
        <v>729.47900000000004</v>
      </c>
      <c r="F330" s="32">
        <v>1150</v>
      </c>
      <c r="G330" s="32">
        <v>100</v>
      </c>
      <c r="H330" s="40">
        <v>600</v>
      </c>
      <c r="I330" s="32">
        <v>695</v>
      </c>
      <c r="J330" s="32">
        <v>50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ht="15.75">
      <c r="A331" s="13">
        <v>51956</v>
      </c>
      <c r="B331" s="41">
        <v>31</v>
      </c>
      <c r="C331" s="32">
        <v>122.58</v>
      </c>
      <c r="D331" s="32">
        <v>297.94099999999997</v>
      </c>
      <c r="E331" s="38">
        <v>729.47900000000004</v>
      </c>
      <c r="F331" s="32">
        <v>1150</v>
      </c>
      <c r="G331" s="32">
        <v>100</v>
      </c>
      <c r="H331" s="40">
        <v>600</v>
      </c>
      <c r="I331" s="32">
        <v>695</v>
      </c>
      <c r="J331" s="32">
        <v>50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ht="15.75">
      <c r="A332" s="13">
        <v>51986</v>
      </c>
      <c r="B332" s="41">
        <v>30</v>
      </c>
      <c r="C332" s="32">
        <v>141.29300000000001</v>
      </c>
      <c r="D332" s="32">
        <v>267.99299999999999</v>
      </c>
      <c r="E332" s="38">
        <v>829.71400000000006</v>
      </c>
      <c r="F332" s="32">
        <v>1239</v>
      </c>
      <c r="G332" s="32">
        <v>100</v>
      </c>
      <c r="H332" s="40">
        <v>600</v>
      </c>
      <c r="I332" s="32">
        <v>695</v>
      </c>
      <c r="J332" s="32">
        <v>50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ht="15.75">
      <c r="A333" s="13">
        <v>52017</v>
      </c>
      <c r="B333" s="41">
        <v>31</v>
      </c>
      <c r="C333" s="32">
        <v>194.20500000000001</v>
      </c>
      <c r="D333" s="32">
        <v>267.46600000000001</v>
      </c>
      <c r="E333" s="38">
        <v>812.32899999999995</v>
      </c>
      <c r="F333" s="32">
        <v>1274</v>
      </c>
      <c r="G333" s="32">
        <v>75</v>
      </c>
      <c r="H333" s="40">
        <v>600</v>
      </c>
      <c r="I333" s="32">
        <v>695</v>
      </c>
      <c r="J333" s="32">
        <v>50</v>
      </c>
      <c r="K333" s="33"/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ht="15.75">
      <c r="A334" s="13">
        <v>52047</v>
      </c>
      <c r="B334" s="41">
        <v>30</v>
      </c>
      <c r="C334" s="32">
        <v>194.20500000000001</v>
      </c>
      <c r="D334" s="32">
        <v>267.46600000000001</v>
      </c>
      <c r="E334" s="38">
        <v>812.32899999999995</v>
      </c>
      <c r="F334" s="32">
        <v>1274</v>
      </c>
      <c r="G334" s="32">
        <v>50</v>
      </c>
      <c r="H334" s="40">
        <v>600</v>
      </c>
      <c r="I334" s="32">
        <v>695</v>
      </c>
      <c r="J334" s="32">
        <v>50</v>
      </c>
      <c r="K334" s="33"/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ht="15.75">
      <c r="A335" s="13">
        <v>52078</v>
      </c>
      <c r="B335" s="41">
        <v>31</v>
      </c>
      <c r="C335" s="32">
        <v>194.20500000000001</v>
      </c>
      <c r="D335" s="32">
        <v>267.46600000000001</v>
      </c>
      <c r="E335" s="38">
        <v>812.32899999999995</v>
      </c>
      <c r="F335" s="32">
        <v>1274</v>
      </c>
      <c r="G335" s="32">
        <v>50</v>
      </c>
      <c r="H335" s="40">
        <v>600</v>
      </c>
      <c r="I335" s="32">
        <v>695</v>
      </c>
      <c r="J335" s="32">
        <v>0</v>
      </c>
      <c r="K335" s="33"/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ht="15.75">
      <c r="A336" s="13">
        <v>52109</v>
      </c>
      <c r="B336" s="41">
        <v>31</v>
      </c>
      <c r="C336" s="32">
        <v>194.20500000000001</v>
      </c>
      <c r="D336" s="32">
        <v>267.46600000000001</v>
      </c>
      <c r="E336" s="38">
        <v>812.32899999999995</v>
      </c>
      <c r="F336" s="32">
        <v>1274</v>
      </c>
      <c r="G336" s="32">
        <v>50</v>
      </c>
      <c r="H336" s="40">
        <v>600</v>
      </c>
      <c r="I336" s="32">
        <v>695</v>
      </c>
      <c r="J336" s="32">
        <v>0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ht="15.75">
      <c r="A337" s="13">
        <v>52139</v>
      </c>
      <c r="B337" s="41">
        <v>30</v>
      </c>
      <c r="C337" s="32">
        <v>194.20500000000001</v>
      </c>
      <c r="D337" s="32">
        <v>267.46600000000001</v>
      </c>
      <c r="E337" s="38">
        <v>812.32899999999995</v>
      </c>
      <c r="F337" s="32">
        <v>1274</v>
      </c>
      <c r="G337" s="32">
        <v>50</v>
      </c>
      <c r="H337" s="40">
        <v>600</v>
      </c>
      <c r="I337" s="32">
        <v>695</v>
      </c>
      <c r="J337" s="32">
        <v>0</v>
      </c>
      <c r="K337" s="33"/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ht="15.75">
      <c r="A338" s="13">
        <v>52170</v>
      </c>
      <c r="B338" s="41">
        <v>31</v>
      </c>
      <c r="C338" s="32">
        <v>131.881</v>
      </c>
      <c r="D338" s="32">
        <v>277.16699999999997</v>
      </c>
      <c r="E338" s="38">
        <v>829.952</v>
      </c>
      <c r="F338" s="32">
        <v>1239</v>
      </c>
      <c r="G338" s="32">
        <v>75</v>
      </c>
      <c r="H338" s="40">
        <v>600</v>
      </c>
      <c r="I338" s="32">
        <v>695</v>
      </c>
      <c r="J338" s="32">
        <v>0</v>
      </c>
      <c r="K338" s="33"/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ht="15.75">
      <c r="A339" s="13">
        <v>52200</v>
      </c>
      <c r="B339" s="41">
        <v>30</v>
      </c>
      <c r="C339" s="32">
        <v>122.58</v>
      </c>
      <c r="D339" s="32">
        <v>297.94099999999997</v>
      </c>
      <c r="E339" s="38">
        <v>729.47900000000004</v>
      </c>
      <c r="F339" s="32">
        <v>1150</v>
      </c>
      <c r="G339" s="32">
        <v>100</v>
      </c>
      <c r="H339" s="40">
        <v>600</v>
      </c>
      <c r="I339" s="32">
        <v>695</v>
      </c>
      <c r="J339" s="32">
        <v>50</v>
      </c>
      <c r="K339" s="33"/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ht="15.75">
      <c r="A340" s="13">
        <v>52231</v>
      </c>
      <c r="B340" s="41">
        <v>31</v>
      </c>
      <c r="C340" s="32">
        <v>122.58</v>
      </c>
      <c r="D340" s="32">
        <v>297.94099999999997</v>
      </c>
      <c r="E340" s="38">
        <v>729.47900000000004</v>
      </c>
      <c r="F340" s="32">
        <v>1150</v>
      </c>
      <c r="G340" s="32">
        <v>100</v>
      </c>
      <c r="H340" s="40">
        <v>600</v>
      </c>
      <c r="I340" s="32">
        <v>695</v>
      </c>
      <c r="J340" s="32">
        <v>50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ht="15.75">
      <c r="A341" s="13">
        <v>52262</v>
      </c>
      <c r="B341" s="41">
        <v>31</v>
      </c>
      <c r="C341" s="32">
        <v>122.58</v>
      </c>
      <c r="D341" s="32">
        <v>297.94099999999997</v>
      </c>
      <c r="E341" s="38">
        <v>729.47900000000004</v>
      </c>
      <c r="F341" s="32">
        <v>1150</v>
      </c>
      <c r="G341" s="32">
        <v>100</v>
      </c>
      <c r="H341" s="40">
        <v>600</v>
      </c>
      <c r="I341" s="32">
        <v>695</v>
      </c>
      <c r="J341" s="32">
        <v>50</v>
      </c>
      <c r="K341" s="33"/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ht="15.75">
      <c r="A342" s="13">
        <v>52290</v>
      </c>
      <c r="B342" s="41">
        <v>28</v>
      </c>
      <c r="C342" s="32">
        <v>122.58</v>
      </c>
      <c r="D342" s="32">
        <v>297.94099999999997</v>
      </c>
      <c r="E342" s="38">
        <v>729.47900000000004</v>
      </c>
      <c r="F342" s="32">
        <v>1150</v>
      </c>
      <c r="G342" s="32">
        <v>100</v>
      </c>
      <c r="H342" s="40">
        <v>600</v>
      </c>
      <c r="I342" s="32">
        <v>695</v>
      </c>
      <c r="J342" s="32">
        <v>50</v>
      </c>
      <c r="K342" s="33"/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ht="15.75">
      <c r="A343" s="13">
        <v>52321</v>
      </c>
      <c r="B343" s="41">
        <v>31</v>
      </c>
      <c r="C343" s="32">
        <v>122.58</v>
      </c>
      <c r="D343" s="32">
        <v>297.94099999999997</v>
      </c>
      <c r="E343" s="38">
        <v>729.47900000000004</v>
      </c>
      <c r="F343" s="32">
        <v>1150</v>
      </c>
      <c r="G343" s="32">
        <v>100</v>
      </c>
      <c r="H343" s="40">
        <v>600</v>
      </c>
      <c r="I343" s="32">
        <v>695</v>
      </c>
      <c r="J343" s="32">
        <v>50</v>
      </c>
      <c r="K343" s="33"/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ht="15.75">
      <c r="A344" s="13">
        <v>52351</v>
      </c>
      <c r="B344" s="41">
        <v>30</v>
      </c>
      <c r="C344" s="32">
        <v>141.29300000000001</v>
      </c>
      <c r="D344" s="32">
        <v>267.99299999999999</v>
      </c>
      <c r="E344" s="38">
        <v>829.71400000000006</v>
      </c>
      <c r="F344" s="32">
        <v>1239</v>
      </c>
      <c r="G344" s="32">
        <v>100</v>
      </c>
      <c r="H344" s="40">
        <v>600</v>
      </c>
      <c r="I344" s="32">
        <v>695</v>
      </c>
      <c r="J344" s="32">
        <v>50</v>
      </c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ht="15.75">
      <c r="A345" s="13">
        <v>52382</v>
      </c>
      <c r="B345" s="41">
        <v>31</v>
      </c>
      <c r="C345" s="32">
        <v>194.20500000000001</v>
      </c>
      <c r="D345" s="32">
        <v>267.46600000000001</v>
      </c>
      <c r="E345" s="38">
        <v>812.32899999999995</v>
      </c>
      <c r="F345" s="32">
        <v>1274</v>
      </c>
      <c r="G345" s="32">
        <v>75</v>
      </c>
      <c r="H345" s="40">
        <v>600</v>
      </c>
      <c r="I345" s="32">
        <v>695</v>
      </c>
      <c r="J345" s="32">
        <v>50</v>
      </c>
      <c r="K345" s="33"/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ht="15.75">
      <c r="A346" s="13">
        <v>52412</v>
      </c>
      <c r="B346" s="41">
        <v>30</v>
      </c>
      <c r="C346" s="32">
        <v>194.20500000000001</v>
      </c>
      <c r="D346" s="32">
        <v>267.46600000000001</v>
      </c>
      <c r="E346" s="38">
        <v>812.32899999999995</v>
      </c>
      <c r="F346" s="32">
        <v>1274</v>
      </c>
      <c r="G346" s="32">
        <v>50</v>
      </c>
      <c r="H346" s="40">
        <v>600</v>
      </c>
      <c r="I346" s="32">
        <v>695</v>
      </c>
      <c r="J346" s="32">
        <v>50</v>
      </c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ht="15.75">
      <c r="A347" s="13">
        <v>52443</v>
      </c>
      <c r="B347" s="41">
        <v>31</v>
      </c>
      <c r="C347" s="32">
        <v>194.20500000000001</v>
      </c>
      <c r="D347" s="32">
        <v>267.46600000000001</v>
      </c>
      <c r="E347" s="38">
        <v>812.32899999999995</v>
      </c>
      <c r="F347" s="32">
        <v>1274</v>
      </c>
      <c r="G347" s="32">
        <v>50</v>
      </c>
      <c r="H347" s="40">
        <v>600</v>
      </c>
      <c r="I347" s="32">
        <v>695</v>
      </c>
      <c r="J347" s="32">
        <v>0</v>
      </c>
      <c r="K347" s="33"/>
      <c r="L347" s="33"/>
      <c r="M347" s="33"/>
      <c r="N347" s="33"/>
      <c r="O347" s="33"/>
      <c r="P347" s="33"/>
      <c r="Q347" s="33"/>
      <c r="R347" s="33"/>
      <c r="S347" s="33"/>
      <c r="T347" s="33"/>
    </row>
    <row r="348" spans="1:20" ht="15.75">
      <c r="A348" s="13">
        <v>52474</v>
      </c>
      <c r="B348" s="41">
        <v>31</v>
      </c>
      <c r="C348" s="32">
        <v>194.20500000000001</v>
      </c>
      <c r="D348" s="32">
        <v>267.46600000000001</v>
      </c>
      <c r="E348" s="38">
        <v>812.32899999999995</v>
      </c>
      <c r="F348" s="32">
        <v>1274</v>
      </c>
      <c r="G348" s="32">
        <v>50</v>
      </c>
      <c r="H348" s="40">
        <v>600</v>
      </c>
      <c r="I348" s="32">
        <v>695</v>
      </c>
      <c r="J348" s="32">
        <v>0</v>
      </c>
      <c r="K348" s="33"/>
      <c r="L348" s="33"/>
      <c r="M348" s="33"/>
      <c r="N348" s="33"/>
      <c r="O348" s="33"/>
      <c r="P348" s="33"/>
      <c r="Q348" s="33"/>
      <c r="R348" s="33"/>
      <c r="S348" s="33"/>
      <c r="T348" s="33"/>
    </row>
    <row r="349" spans="1:20" ht="15.75">
      <c r="A349" s="13">
        <v>52504</v>
      </c>
      <c r="B349" s="41">
        <v>30</v>
      </c>
      <c r="C349" s="32">
        <v>194.20500000000001</v>
      </c>
      <c r="D349" s="32">
        <v>267.46600000000001</v>
      </c>
      <c r="E349" s="38">
        <v>812.32899999999995</v>
      </c>
      <c r="F349" s="32">
        <v>1274</v>
      </c>
      <c r="G349" s="32">
        <v>50</v>
      </c>
      <c r="H349" s="40">
        <v>600</v>
      </c>
      <c r="I349" s="32">
        <v>695</v>
      </c>
      <c r="J349" s="32">
        <v>0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ht="15.75">
      <c r="A350" s="13">
        <v>52535</v>
      </c>
      <c r="B350" s="41">
        <v>31</v>
      </c>
      <c r="C350" s="32">
        <v>131.881</v>
      </c>
      <c r="D350" s="32">
        <v>277.16699999999997</v>
      </c>
      <c r="E350" s="38">
        <v>829.952</v>
      </c>
      <c r="F350" s="32">
        <v>1239</v>
      </c>
      <c r="G350" s="32">
        <v>75</v>
      </c>
      <c r="H350" s="40">
        <v>600</v>
      </c>
      <c r="I350" s="32">
        <v>695</v>
      </c>
      <c r="J350" s="32">
        <v>0</v>
      </c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ht="15.75">
      <c r="A351" s="13">
        <v>52565</v>
      </c>
      <c r="B351" s="41">
        <v>30</v>
      </c>
      <c r="C351" s="32">
        <v>122.58</v>
      </c>
      <c r="D351" s="32">
        <v>297.94099999999997</v>
      </c>
      <c r="E351" s="38">
        <v>729.47900000000004</v>
      </c>
      <c r="F351" s="32">
        <v>1150</v>
      </c>
      <c r="G351" s="32">
        <v>100</v>
      </c>
      <c r="H351" s="40">
        <v>600</v>
      </c>
      <c r="I351" s="32">
        <v>695</v>
      </c>
      <c r="J351" s="32">
        <v>50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ht="15.75">
      <c r="A352" s="13">
        <v>52596</v>
      </c>
      <c r="B352" s="41">
        <v>31</v>
      </c>
      <c r="C352" s="32">
        <v>122.58</v>
      </c>
      <c r="D352" s="32">
        <v>297.94099999999997</v>
      </c>
      <c r="E352" s="38">
        <v>729.47900000000004</v>
      </c>
      <c r="F352" s="32">
        <v>1150</v>
      </c>
      <c r="G352" s="32">
        <v>100</v>
      </c>
      <c r="H352" s="40">
        <v>600</v>
      </c>
      <c r="I352" s="32">
        <v>695</v>
      </c>
      <c r="J352" s="32">
        <v>50</v>
      </c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ht="15.75">
      <c r="A353" s="13">
        <v>52627</v>
      </c>
      <c r="B353" s="41">
        <v>31</v>
      </c>
      <c r="C353" s="32">
        <v>122.58</v>
      </c>
      <c r="D353" s="32">
        <v>297.94099999999997</v>
      </c>
      <c r="E353" s="38">
        <v>729.47900000000004</v>
      </c>
      <c r="F353" s="32">
        <v>1150</v>
      </c>
      <c r="G353" s="32">
        <v>100</v>
      </c>
      <c r="H353" s="40">
        <v>600</v>
      </c>
      <c r="I353" s="32">
        <v>695</v>
      </c>
      <c r="J353" s="32">
        <v>50</v>
      </c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  <row r="354" spans="1:20" ht="15.75">
      <c r="A354" s="13">
        <v>52655</v>
      </c>
      <c r="B354" s="41">
        <v>29</v>
      </c>
      <c r="C354" s="32">
        <v>122.58</v>
      </c>
      <c r="D354" s="32">
        <v>297.94099999999997</v>
      </c>
      <c r="E354" s="38">
        <v>729.47900000000004</v>
      </c>
      <c r="F354" s="32">
        <v>1150</v>
      </c>
      <c r="G354" s="32">
        <v>100</v>
      </c>
      <c r="H354" s="40">
        <v>600</v>
      </c>
      <c r="I354" s="32">
        <v>695</v>
      </c>
      <c r="J354" s="32">
        <v>50</v>
      </c>
      <c r="K354" s="33"/>
      <c r="L354" s="33"/>
      <c r="M354" s="33"/>
      <c r="N354" s="33"/>
      <c r="O354" s="33"/>
      <c r="P354" s="33"/>
      <c r="Q354" s="33"/>
      <c r="R354" s="33"/>
      <c r="S354" s="33"/>
      <c r="T354" s="33"/>
    </row>
    <row r="355" spans="1:20" ht="15.75">
      <c r="A355" s="13">
        <v>52687</v>
      </c>
      <c r="B355" s="41">
        <v>31</v>
      </c>
      <c r="C355" s="32">
        <v>122.58</v>
      </c>
      <c r="D355" s="32">
        <v>297.94099999999997</v>
      </c>
      <c r="E355" s="38">
        <v>729.47900000000004</v>
      </c>
      <c r="F355" s="32">
        <v>1150</v>
      </c>
      <c r="G355" s="32">
        <v>100</v>
      </c>
      <c r="H355" s="40">
        <v>600</v>
      </c>
      <c r="I355" s="32">
        <v>695</v>
      </c>
      <c r="J355" s="32">
        <v>50</v>
      </c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ht="15.75">
      <c r="A356" s="13">
        <v>52717</v>
      </c>
      <c r="B356" s="41">
        <v>30</v>
      </c>
      <c r="C356" s="32">
        <v>141.29300000000001</v>
      </c>
      <c r="D356" s="32">
        <v>267.99299999999999</v>
      </c>
      <c r="E356" s="38">
        <v>829.71400000000006</v>
      </c>
      <c r="F356" s="32">
        <v>1239</v>
      </c>
      <c r="G356" s="32">
        <v>100</v>
      </c>
      <c r="H356" s="40">
        <v>600</v>
      </c>
      <c r="I356" s="32">
        <v>695</v>
      </c>
      <c r="J356" s="32">
        <v>50</v>
      </c>
      <c r="K356" s="33"/>
      <c r="L356" s="33"/>
      <c r="M356" s="33"/>
      <c r="N356" s="33"/>
      <c r="O356" s="33"/>
      <c r="P356" s="33"/>
      <c r="Q356" s="33"/>
      <c r="R356" s="33"/>
      <c r="S356" s="33"/>
      <c r="T356" s="33"/>
    </row>
    <row r="357" spans="1:20" ht="15.75">
      <c r="A357" s="13">
        <v>52748</v>
      </c>
      <c r="B357" s="41">
        <v>31</v>
      </c>
      <c r="C357" s="32">
        <v>194.20500000000001</v>
      </c>
      <c r="D357" s="32">
        <v>267.46600000000001</v>
      </c>
      <c r="E357" s="38">
        <v>812.32899999999995</v>
      </c>
      <c r="F357" s="32">
        <v>1274</v>
      </c>
      <c r="G357" s="32">
        <v>75</v>
      </c>
      <c r="H357" s="40">
        <v>600</v>
      </c>
      <c r="I357" s="32">
        <v>695</v>
      </c>
      <c r="J357" s="32">
        <v>50</v>
      </c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ht="15.75">
      <c r="A358" s="13">
        <v>52778</v>
      </c>
      <c r="B358" s="41">
        <v>30</v>
      </c>
      <c r="C358" s="32">
        <v>194.20500000000001</v>
      </c>
      <c r="D358" s="32">
        <v>267.46600000000001</v>
      </c>
      <c r="E358" s="38">
        <v>812.32899999999995</v>
      </c>
      <c r="F358" s="32">
        <v>1274</v>
      </c>
      <c r="G358" s="32">
        <v>50</v>
      </c>
      <c r="H358" s="40">
        <v>600</v>
      </c>
      <c r="I358" s="32">
        <v>695</v>
      </c>
      <c r="J358" s="32">
        <v>50</v>
      </c>
      <c r="K358" s="33"/>
      <c r="L358" s="33"/>
      <c r="M358" s="33"/>
      <c r="N358" s="33"/>
      <c r="O358" s="33"/>
      <c r="P358" s="33"/>
      <c r="Q358" s="33"/>
      <c r="R358" s="33"/>
      <c r="S358" s="33"/>
      <c r="T358" s="33"/>
    </row>
    <row r="359" spans="1:20" ht="15.75">
      <c r="A359" s="13">
        <v>52809</v>
      </c>
      <c r="B359" s="41">
        <v>31</v>
      </c>
      <c r="C359" s="32">
        <v>194.20500000000001</v>
      </c>
      <c r="D359" s="32">
        <v>267.46600000000001</v>
      </c>
      <c r="E359" s="38">
        <v>812.32899999999995</v>
      </c>
      <c r="F359" s="32">
        <v>1274</v>
      </c>
      <c r="G359" s="32">
        <v>50</v>
      </c>
      <c r="H359" s="40">
        <v>600</v>
      </c>
      <c r="I359" s="32">
        <v>695</v>
      </c>
      <c r="J359" s="32">
        <v>0</v>
      </c>
      <c r="K359" s="33"/>
      <c r="L359" s="33"/>
      <c r="M359" s="33"/>
      <c r="N359" s="33"/>
      <c r="O359" s="33"/>
      <c r="P359" s="33"/>
      <c r="Q359" s="33"/>
      <c r="R359" s="33"/>
      <c r="S359" s="33"/>
      <c r="T359" s="33"/>
    </row>
    <row r="360" spans="1:20" ht="15.75">
      <c r="A360" s="13">
        <v>52840</v>
      </c>
      <c r="B360" s="41">
        <v>31</v>
      </c>
      <c r="C360" s="32">
        <v>194.20500000000001</v>
      </c>
      <c r="D360" s="32">
        <v>267.46600000000001</v>
      </c>
      <c r="E360" s="38">
        <v>812.32899999999995</v>
      </c>
      <c r="F360" s="32">
        <v>1274</v>
      </c>
      <c r="G360" s="32">
        <v>50</v>
      </c>
      <c r="H360" s="40">
        <v>600</v>
      </c>
      <c r="I360" s="32">
        <v>695</v>
      </c>
      <c r="J360" s="32">
        <v>0</v>
      </c>
      <c r="K360" s="33"/>
      <c r="L360" s="33"/>
      <c r="M360" s="33"/>
      <c r="N360" s="33"/>
      <c r="O360" s="33"/>
      <c r="P360" s="33"/>
      <c r="Q360" s="33"/>
      <c r="R360" s="33"/>
      <c r="S360" s="33"/>
      <c r="T360" s="33"/>
    </row>
    <row r="361" spans="1:20" ht="15.75">
      <c r="A361" s="13">
        <v>52870</v>
      </c>
      <c r="B361" s="41">
        <v>30</v>
      </c>
      <c r="C361" s="32">
        <v>194.20500000000001</v>
      </c>
      <c r="D361" s="32">
        <v>267.46600000000001</v>
      </c>
      <c r="E361" s="38">
        <v>812.32899999999995</v>
      </c>
      <c r="F361" s="32">
        <v>1274</v>
      </c>
      <c r="G361" s="32">
        <v>50</v>
      </c>
      <c r="H361" s="40">
        <v>600</v>
      </c>
      <c r="I361" s="32">
        <v>695</v>
      </c>
      <c r="J361" s="32">
        <v>0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2" spans="1:20" ht="15.75">
      <c r="A362" s="13">
        <v>52901</v>
      </c>
      <c r="B362" s="41">
        <v>31</v>
      </c>
      <c r="C362" s="32">
        <v>131.881</v>
      </c>
      <c r="D362" s="32">
        <v>277.16699999999997</v>
      </c>
      <c r="E362" s="38">
        <v>829.952</v>
      </c>
      <c r="F362" s="32">
        <v>1239</v>
      </c>
      <c r="G362" s="32">
        <v>75</v>
      </c>
      <c r="H362" s="40">
        <v>600</v>
      </c>
      <c r="I362" s="32">
        <v>695</v>
      </c>
      <c r="J362" s="32">
        <v>0</v>
      </c>
      <c r="K362" s="33"/>
      <c r="L362" s="33"/>
      <c r="M362" s="33"/>
      <c r="N362" s="33"/>
      <c r="O362" s="33"/>
      <c r="P362" s="33"/>
      <c r="Q362" s="33"/>
      <c r="R362" s="33"/>
      <c r="S362" s="33"/>
      <c r="T362" s="33"/>
    </row>
    <row r="363" spans="1:20" ht="15.75">
      <c r="A363" s="13">
        <v>52931</v>
      </c>
      <c r="B363" s="41">
        <v>30</v>
      </c>
      <c r="C363" s="32">
        <v>122.58</v>
      </c>
      <c r="D363" s="32">
        <v>297.94099999999997</v>
      </c>
      <c r="E363" s="38">
        <v>729.47900000000004</v>
      </c>
      <c r="F363" s="32">
        <v>1150</v>
      </c>
      <c r="G363" s="32">
        <v>100</v>
      </c>
      <c r="H363" s="40">
        <v>600</v>
      </c>
      <c r="I363" s="32">
        <v>695</v>
      </c>
      <c r="J363" s="32">
        <v>50</v>
      </c>
      <c r="K363" s="33"/>
      <c r="L363" s="33"/>
      <c r="M363" s="33"/>
      <c r="N363" s="33"/>
      <c r="O363" s="33"/>
      <c r="P363" s="33"/>
      <c r="Q363" s="33"/>
      <c r="R363" s="33"/>
      <c r="S363" s="33"/>
      <c r="T363" s="33"/>
    </row>
    <row r="364" spans="1:20" ht="15.75">
      <c r="A364" s="13">
        <v>52962</v>
      </c>
      <c r="B364" s="41">
        <v>31</v>
      </c>
      <c r="C364" s="32">
        <v>122.58</v>
      </c>
      <c r="D364" s="32">
        <v>297.94099999999997</v>
      </c>
      <c r="E364" s="38">
        <v>729.47900000000004</v>
      </c>
      <c r="F364" s="32">
        <v>1150</v>
      </c>
      <c r="G364" s="32">
        <v>100</v>
      </c>
      <c r="H364" s="40">
        <v>600</v>
      </c>
      <c r="I364" s="32">
        <v>695</v>
      </c>
      <c r="J364" s="32">
        <v>50</v>
      </c>
      <c r="K364" s="33"/>
      <c r="L364" s="33"/>
      <c r="M364" s="33"/>
      <c r="N364" s="33"/>
      <c r="O364" s="33"/>
      <c r="P364" s="33"/>
      <c r="Q364" s="33"/>
      <c r="R364" s="33"/>
      <c r="S364" s="33"/>
      <c r="T364" s="33"/>
    </row>
    <row r="365" spans="1:20" ht="15.75">
      <c r="A365" s="13">
        <v>52993</v>
      </c>
      <c r="B365" s="41">
        <v>31</v>
      </c>
      <c r="C365" s="32">
        <v>122.58</v>
      </c>
      <c r="D365" s="32">
        <v>297.94099999999997</v>
      </c>
      <c r="E365" s="38">
        <v>729.47900000000004</v>
      </c>
      <c r="F365" s="32">
        <v>1150</v>
      </c>
      <c r="G365" s="32">
        <v>100</v>
      </c>
      <c r="H365" s="40">
        <v>600</v>
      </c>
      <c r="I365" s="32">
        <v>695</v>
      </c>
      <c r="J365" s="32">
        <v>50</v>
      </c>
      <c r="K365" s="33"/>
      <c r="L365" s="33"/>
      <c r="M365" s="33"/>
      <c r="N365" s="33"/>
      <c r="O365" s="33"/>
      <c r="P365" s="33"/>
      <c r="Q365" s="33"/>
      <c r="R365" s="33"/>
      <c r="S365" s="33"/>
      <c r="T365" s="33"/>
    </row>
    <row r="366" spans="1:20" ht="15.75">
      <c r="A366" s="13">
        <v>53021</v>
      </c>
      <c r="B366" s="41">
        <v>28</v>
      </c>
      <c r="C366" s="32">
        <v>122.58</v>
      </c>
      <c r="D366" s="32">
        <v>297.94099999999997</v>
      </c>
      <c r="E366" s="38">
        <v>729.47900000000004</v>
      </c>
      <c r="F366" s="32">
        <v>1150</v>
      </c>
      <c r="G366" s="32">
        <v>100</v>
      </c>
      <c r="H366" s="40">
        <v>600</v>
      </c>
      <c r="I366" s="32">
        <v>695</v>
      </c>
      <c r="J366" s="32">
        <v>50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33"/>
    </row>
    <row r="367" spans="1:20" ht="15.75">
      <c r="A367" s="13">
        <v>53052</v>
      </c>
      <c r="B367" s="41">
        <v>31</v>
      </c>
      <c r="C367" s="32">
        <v>122.58</v>
      </c>
      <c r="D367" s="32">
        <v>297.94099999999997</v>
      </c>
      <c r="E367" s="38">
        <v>729.47900000000004</v>
      </c>
      <c r="F367" s="32">
        <v>1150</v>
      </c>
      <c r="G367" s="32">
        <v>100</v>
      </c>
      <c r="H367" s="40">
        <v>600</v>
      </c>
      <c r="I367" s="32">
        <v>695</v>
      </c>
      <c r="J367" s="32">
        <v>50</v>
      </c>
      <c r="K367" s="33"/>
      <c r="L367" s="33"/>
      <c r="M367" s="33"/>
      <c r="N367" s="33"/>
      <c r="O367" s="33"/>
      <c r="P367" s="33"/>
      <c r="Q367" s="33"/>
      <c r="R367" s="33"/>
      <c r="S367" s="33"/>
      <c r="T367" s="33"/>
    </row>
    <row r="368" spans="1:20" ht="15.75">
      <c r="A368" s="13">
        <v>53082</v>
      </c>
      <c r="B368" s="41">
        <v>30</v>
      </c>
      <c r="C368" s="32">
        <v>141.29300000000001</v>
      </c>
      <c r="D368" s="32">
        <v>267.99299999999999</v>
      </c>
      <c r="E368" s="38">
        <v>829.71400000000006</v>
      </c>
      <c r="F368" s="32">
        <v>1239</v>
      </c>
      <c r="G368" s="32">
        <v>100</v>
      </c>
      <c r="H368" s="40">
        <v>600</v>
      </c>
      <c r="I368" s="32">
        <v>695</v>
      </c>
      <c r="J368" s="32">
        <v>50</v>
      </c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ht="15.75">
      <c r="A369" s="13">
        <v>53113</v>
      </c>
      <c r="B369" s="41">
        <v>31</v>
      </c>
      <c r="C369" s="32">
        <v>194.20500000000001</v>
      </c>
      <c r="D369" s="32">
        <v>267.46600000000001</v>
      </c>
      <c r="E369" s="38">
        <v>812.32899999999995</v>
      </c>
      <c r="F369" s="32">
        <v>1274</v>
      </c>
      <c r="G369" s="32">
        <v>75</v>
      </c>
      <c r="H369" s="40">
        <v>600</v>
      </c>
      <c r="I369" s="32">
        <v>695</v>
      </c>
      <c r="J369" s="32">
        <v>50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0" ht="15.75">
      <c r="A370" s="13">
        <v>53143</v>
      </c>
      <c r="B370" s="41">
        <v>30</v>
      </c>
      <c r="C370" s="32">
        <v>194.20500000000001</v>
      </c>
      <c r="D370" s="32">
        <v>267.46600000000001</v>
      </c>
      <c r="E370" s="38">
        <v>812.32899999999995</v>
      </c>
      <c r="F370" s="32">
        <v>1274</v>
      </c>
      <c r="G370" s="32">
        <v>50</v>
      </c>
      <c r="H370" s="40">
        <v>600</v>
      </c>
      <c r="I370" s="32">
        <v>695</v>
      </c>
      <c r="J370" s="32">
        <v>50</v>
      </c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ht="15.75">
      <c r="A371" s="13">
        <v>53174</v>
      </c>
      <c r="B371" s="41">
        <v>31</v>
      </c>
      <c r="C371" s="32">
        <v>194.20500000000001</v>
      </c>
      <c r="D371" s="32">
        <v>267.46600000000001</v>
      </c>
      <c r="E371" s="38">
        <v>812.32899999999995</v>
      </c>
      <c r="F371" s="32">
        <v>1274</v>
      </c>
      <c r="G371" s="32">
        <v>50</v>
      </c>
      <c r="H371" s="40">
        <v>600</v>
      </c>
      <c r="I371" s="32">
        <v>695</v>
      </c>
      <c r="J371" s="32">
        <v>0</v>
      </c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0" ht="15.75">
      <c r="A372" s="13">
        <v>53205</v>
      </c>
      <c r="B372" s="41">
        <v>31</v>
      </c>
      <c r="C372" s="32">
        <v>194.20500000000001</v>
      </c>
      <c r="D372" s="32">
        <v>267.46600000000001</v>
      </c>
      <c r="E372" s="38">
        <v>812.32899999999995</v>
      </c>
      <c r="F372" s="32">
        <v>1274</v>
      </c>
      <c r="G372" s="32">
        <v>50</v>
      </c>
      <c r="H372" s="40">
        <v>600</v>
      </c>
      <c r="I372" s="32">
        <v>695</v>
      </c>
      <c r="J372" s="32">
        <v>0</v>
      </c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ht="15.75">
      <c r="A373" s="13">
        <v>53235</v>
      </c>
      <c r="B373" s="41">
        <v>30</v>
      </c>
      <c r="C373" s="32">
        <v>194.20500000000001</v>
      </c>
      <c r="D373" s="32">
        <v>267.46600000000001</v>
      </c>
      <c r="E373" s="38">
        <v>812.32899999999995</v>
      </c>
      <c r="F373" s="32">
        <v>1274</v>
      </c>
      <c r="G373" s="32">
        <v>50</v>
      </c>
      <c r="H373" s="40">
        <v>600</v>
      </c>
      <c r="I373" s="32">
        <v>695</v>
      </c>
      <c r="J373" s="32">
        <v>0</v>
      </c>
      <c r="K373" s="33"/>
      <c r="L373" s="33"/>
      <c r="M373" s="33"/>
      <c r="N373" s="33"/>
      <c r="O373" s="33"/>
      <c r="P373" s="33"/>
      <c r="Q373" s="33"/>
      <c r="R373" s="33"/>
      <c r="S373" s="33"/>
      <c r="T373" s="33"/>
    </row>
    <row r="374" spans="1:20" ht="15.75">
      <c r="A374" s="13">
        <v>53266</v>
      </c>
      <c r="B374" s="41">
        <v>31</v>
      </c>
      <c r="C374" s="32">
        <v>131.881</v>
      </c>
      <c r="D374" s="32">
        <v>277.16699999999997</v>
      </c>
      <c r="E374" s="38">
        <v>829.952</v>
      </c>
      <c r="F374" s="32">
        <v>1239</v>
      </c>
      <c r="G374" s="32">
        <v>75</v>
      </c>
      <c r="H374" s="40">
        <v>600</v>
      </c>
      <c r="I374" s="32">
        <v>695</v>
      </c>
      <c r="J374" s="32">
        <v>0</v>
      </c>
      <c r="K374" s="33"/>
      <c r="L374" s="33"/>
      <c r="M374" s="33"/>
      <c r="N374" s="33"/>
      <c r="O374" s="33"/>
      <c r="P374" s="33"/>
      <c r="Q374" s="33"/>
      <c r="R374" s="33"/>
      <c r="S374" s="33"/>
      <c r="T374" s="33"/>
    </row>
    <row r="375" spans="1:20" ht="15.75">
      <c r="A375" s="13">
        <v>53296</v>
      </c>
      <c r="B375" s="41">
        <v>30</v>
      </c>
      <c r="C375" s="32">
        <v>122.58</v>
      </c>
      <c r="D375" s="32">
        <v>297.94099999999997</v>
      </c>
      <c r="E375" s="38">
        <v>729.47900000000004</v>
      </c>
      <c r="F375" s="32">
        <v>1150</v>
      </c>
      <c r="G375" s="32">
        <v>100</v>
      </c>
      <c r="H375" s="40">
        <v>600</v>
      </c>
      <c r="I375" s="32">
        <v>695</v>
      </c>
      <c r="J375" s="32">
        <v>50</v>
      </c>
      <c r="K375" s="33"/>
      <c r="L375" s="33"/>
      <c r="M375" s="33"/>
      <c r="N375" s="33"/>
      <c r="O375" s="33"/>
      <c r="P375" s="33"/>
      <c r="Q375" s="33"/>
      <c r="R375" s="33"/>
      <c r="S375" s="33"/>
      <c r="T375" s="33"/>
    </row>
    <row r="376" spans="1:20" ht="15.75">
      <c r="A376" s="13">
        <v>53327</v>
      </c>
      <c r="B376" s="41">
        <v>31</v>
      </c>
      <c r="C376" s="32">
        <v>122.58</v>
      </c>
      <c r="D376" s="32">
        <v>297.94099999999997</v>
      </c>
      <c r="E376" s="38">
        <v>729.47900000000004</v>
      </c>
      <c r="F376" s="32">
        <v>1150</v>
      </c>
      <c r="G376" s="32">
        <v>100</v>
      </c>
      <c r="H376" s="40">
        <v>600</v>
      </c>
      <c r="I376" s="32">
        <v>695</v>
      </c>
      <c r="J376" s="32">
        <v>50</v>
      </c>
      <c r="K376" s="33"/>
      <c r="L376" s="33"/>
      <c r="M376" s="33"/>
      <c r="N376" s="33"/>
      <c r="O376" s="33"/>
      <c r="P376" s="33"/>
      <c r="Q376" s="33"/>
      <c r="R376" s="33"/>
      <c r="S376" s="33"/>
      <c r="T376" s="33"/>
    </row>
    <row r="377" spans="1:20" ht="15.75">
      <c r="A377" s="13">
        <v>53358</v>
      </c>
      <c r="B377" s="41">
        <v>31</v>
      </c>
      <c r="C377" s="32">
        <v>122.58</v>
      </c>
      <c r="D377" s="32">
        <v>297.94099999999997</v>
      </c>
      <c r="E377" s="38">
        <v>729.47900000000004</v>
      </c>
      <c r="F377" s="32">
        <v>1150</v>
      </c>
      <c r="G377" s="32">
        <v>100</v>
      </c>
      <c r="H377" s="40">
        <v>600</v>
      </c>
      <c r="I377" s="32">
        <v>695</v>
      </c>
      <c r="J377" s="32">
        <v>50</v>
      </c>
      <c r="K377" s="33"/>
      <c r="L377" s="33"/>
      <c r="M377" s="33"/>
      <c r="N377" s="33"/>
      <c r="O377" s="33"/>
      <c r="P377" s="33"/>
      <c r="Q377" s="33"/>
      <c r="R377" s="33"/>
      <c r="S377" s="33"/>
      <c r="T377" s="33"/>
    </row>
    <row r="378" spans="1:20" ht="15.75">
      <c r="A378" s="13">
        <v>53386</v>
      </c>
      <c r="B378" s="41">
        <v>28</v>
      </c>
      <c r="C378" s="32">
        <v>122.58</v>
      </c>
      <c r="D378" s="32">
        <v>297.94099999999997</v>
      </c>
      <c r="E378" s="38">
        <v>729.47900000000004</v>
      </c>
      <c r="F378" s="32">
        <v>1150</v>
      </c>
      <c r="G378" s="32">
        <v>100</v>
      </c>
      <c r="H378" s="40">
        <v>600</v>
      </c>
      <c r="I378" s="32">
        <v>695</v>
      </c>
      <c r="J378" s="32">
        <v>50</v>
      </c>
      <c r="K378" s="33"/>
      <c r="L378" s="33"/>
      <c r="M378" s="33"/>
      <c r="N378" s="33"/>
      <c r="O378" s="33"/>
      <c r="P378" s="33"/>
      <c r="Q378" s="33"/>
      <c r="R378" s="33"/>
      <c r="S378" s="33"/>
      <c r="T378" s="33"/>
    </row>
    <row r="379" spans="1:20" ht="15.75">
      <c r="A379" s="13">
        <v>53417</v>
      </c>
      <c r="B379" s="41">
        <v>31</v>
      </c>
      <c r="C379" s="32">
        <v>122.58</v>
      </c>
      <c r="D379" s="32">
        <v>297.94099999999997</v>
      </c>
      <c r="E379" s="38">
        <v>729.47900000000004</v>
      </c>
      <c r="F379" s="32">
        <v>1150</v>
      </c>
      <c r="G379" s="32">
        <v>100</v>
      </c>
      <c r="H379" s="40">
        <v>600</v>
      </c>
      <c r="I379" s="32">
        <v>695</v>
      </c>
      <c r="J379" s="32">
        <v>50</v>
      </c>
      <c r="K379" s="33"/>
      <c r="L379" s="33"/>
      <c r="M379" s="33"/>
      <c r="N379" s="33"/>
      <c r="O379" s="33"/>
      <c r="P379" s="33"/>
      <c r="Q379" s="33"/>
      <c r="R379" s="33"/>
      <c r="S379" s="33"/>
      <c r="T379" s="33"/>
    </row>
    <row r="380" spans="1:20" ht="15.75">
      <c r="A380" s="13">
        <v>53447</v>
      </c>
      <c r="B380" s="41">
        <v>30</v>
      </c>
      <c r="C380" s="32">
        <v>141.29300000000001</v>
      </c>
      <c r="D380" s="32">
        <v>267.99299999999999</v>
      </c>
      <c r="E380" s="38">
        <v>829.71400000000006</v>
      </c>
      <c r="F380" s="32">
        <v>1239</v>
      </c>
      <c r="G380" s="32">
        <v>100</v>
      </c>
      <c r="H380" s="40">
        <v>600</v>
      </c>
      <c r="I380" s="32">
        <v>695</v>
      </c>
      <c r="J380" s="32">
        <v>50</v>
      </c>
      <c r="K380" s="33"/>
      <c r="L380" s="33"/>
      <c r="M380" s="33"/>
      <c r="N380" s="33"/>
      <c r="O380" s="33"/>
      <c r="P380" s="33"/>
      <c r="Q380" s="33"/>
      <c r="R380" s="33"/>
      <c r="S380" s="33"/>
      <c r="T380" s="33"/>
    </row>
    <row r="381" spans="1:20" ht="15.75">
      <c r="A381" s="13">
        <v>53478</v>
      </c>
      <c r="B381" s="41">
        <v>31</v>
      </c>
      <c r="C381" s="32">
        <v>194.20500000000001</v>
      </c>
      <c r="D381" s="32">
        <v>267.46600000000001</v>
      </c>
      <c r="E381" s="38">
        <v>812.32899999999995</v>
      </c>
      <c r="F381" s="32">
        <v>1274</v>
      </c>
      <c r="G381" s="32">
        <v>75</v>
      </c>
      <c r="H381" s="40">
        <v>600</v>
      </c>
      <c r="I381" s="32">
        <v>695</v>
      </c>
      <c r="J381" s="32">
        <v>50</v>
      </c>
      <c r="K381" s="33"/>
      <c r="L381" s="33"/>
      <c r="M381" s="33"/>
      <c r="N381" s="33"/>
      <c r="O381" s="33"/>
      <c r="P381" s="33"/>
      <c r="Q381" s="33"/>
      <c r="R381" s="33"/>
      <c r="S381" s="33"/>
      <c r="T381" s="33"/>
    </row>
    <row r="382" spans="1:20" ht="15.75">
      <c r="A382" s="13">
        <v>53508</v>
      </c>
      <c r="B382" s="41">
        <v>30</v>
      </c>
      <c r="C382" s="32">
        <v>194.20500000000001</v>
      </c>
      <c r="D382" s="32">
        <v>267.46600000000001</v>
      </c>
      <c r="E382" s="38">
        <v>812.32899999999995</v>
      </c>
      <c r="F382" s="32">
        <v>1274</v>
      </c>
      <c r="G382" s="32">
        <v>50</v>
      </c>
      <c r="H382" s="40">
        <v>600</v>
      </c>
      <c r="I382" s="32">
        <v>695</v>
      </c>
      <c r="J382" s="32">
        <v>50</v>
      </c>
      <c r="K382" s="33"/>
      <c r="L382" s="33"/>
      <c r="M382" s="33"/>
      <c r="N382" s="33"/>
      <c r="O382" s="33"/>
      <c r="P382" s="33"/>
      <c r="Q382" s="33"/>
      <c r="R382" s="33"/>
      <c r="S382" s="33"/>
      <c r="T382" s="33"/>
    </row>
    <row r="383" spans="1:20" ht="15.75">
      <c r="A383" s="13">
        <v>53539</v>
      </c>
      <c r="B383" s="41">
        <v>31</v>
      </c>
      <c r="C383" s="32">
        <v>194.20500000000001</v>
      </c>
      <c r="D383" s="32">
        <v>267.46600000000001</v>
      </c>
      <c r="E383" s="38">
        <v>812.32899999999995</v>
      </c>
      <c r="F383" s="32">
        <v>1274</v>
      </c>
      <c r="G383" s="32">
        <v>50</v>
      </c>
      <c r="H383" s="40">
        <v>600</v>
      </c>
      <c r="I383" s="32">
        <v>695</v>
      </c>
      <c r="J383" s="32">
        <v>0</v>
      </c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1:20" ht="15.75">
      <c r="A384" s="13">
        <v>53570</v>
      </c>
      <c r="B384" s="41">
        <v>31</v>
      </c>
      <c r="C384" s="32">
        <v>194.20500000000001</v>
      </c>
      <c r="D384" s="32">
        <v>267.46600000000001</v>
      </c>
      <c r="E384" s="38">
        <v>812.32899999999995</v>
      </c>
      <c r="F384" s="32">
        <v>1274</v>
      </c>
      <c r="G384" s="32">
        <v>50</v>
      </c>
      <c r="H384" s="40">
        <v>600</v>
      </c>
      <c r="I384" s="32">
        <v>695</v>
      </c>
      <c r="J384" s="32">
        <v>0</v>
      </c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1:20" ht="15.75">
      <c r="A385" s="13">
        <v>53600</v>
      </c>
      <c r="B385" s="41">
        <v>30</v>
      </c>
      <c r="C385" s="32">
        <v>194.20500000000001</v>
      </c>
      <c r="D385" s="32">
        <v>267.46600000000001</v>
      </c>
      <c r="E385" s="38">
        <v>812.32899999999995</v>
      </c>
      <c r="F385" s="32">
        <v>1274</v>
      </c>
      <c r="G385" s="32">
        <v>50</v>
      </c>
      <c r="H385" s="40">
        <v>600</v>
      </c>
      <c r="I385" s="32">
        <v>695</v>
      </c>
      <c r="J385" s="32">
        <v>0</v>
      </c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ht="15.75">
      <c r="A386" s="13">
        <v>53631</v>
      </c>
      <c r="B386" s="41">
        <v>31</v>
      </c>
      <c r="C386" s="32">
        <v>131.881</v>
      </c>
      <c r="D386" s="32">
        <v>277.16699999999997</v>
      </c>
      <c r="E386" s="38">
        <v>829.952</v>
      </c>
      <c r="F386" s="32">
        <v>1239</v>
      </c>
      <c r="G386" s="32">
        <v>75</v>
      </c>
      <c r="H386" s="40">
        <v>600</v>
      </c>
      <c r="I386" s="32">
        <v>695</v>
      </c>
      <c r="J386" s="32">
        <v>0</v>
      </c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1:20" ht="15.75">
      <c r="A387" s="13">
        <v>53661</v>
      </c>
      <c r="B387" s="41">
        <v>30</v>
      </c>
      <c r="C387" s="32">
        <v>122.58</v>
      </c>
      <c r="D387" s="32">
        <v>297.94099999999997</v>
      </c>
      <c r="E387" s="38">
        <v>729.47900000000004</v>
      </c>
      <c r="F387" s="32">
        <v>1150</v>
      </c>
      <c r="G387" s="32">
        <v>100</v>
      </c>
      <c r="H387" s="40">
        <v>600</v>
      </c>
      <c r="I387" s="32">
        <v>695</v>
      </c>
      <c r="J387" s="32">
        <v>50</v>
      </c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1:20" ht="15.75">
      <c r="A388" s="13">
        <v>53692</v>
      </c>
      <c r="B388" s="41">
        <v>31</v>
      </c>
      <c r="C388" s="32">
        <v>122.58</v>
      </c>
      <c r="D388" s="32">
        <v>297.94099999999997</v>
      </c>
      <c r="E388" s="38">
        <v>729.47900000000004</v>
      </c>
      <c r="F388" s="32">
        <v>1150</v>
      </c>
      <c r="G388" s="32">
        <v>100</v>
      </c>
      <c r="H388" s="40">
        <v>600</v>
      </c>
      <c r="I388" s="32">
        <v>695</v>
      </c>
      <c r="J388" s="32">
        <v>50</v>
      </c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1:20" ht="15.75">
      <c r="A389" s="13">
        <v>53723</v>
      </c>
      <c r="B389" s="41">
        <v>31</v>
      </c>
      <c r="C389" s="32">
        <v>122.58</v>
      </c>
      <c r="D389" s="32">
        <v>297.94099999999997</v>
      </c>
      <c r="E389" s="38">
        <v>729.47900000000004</v>
      </c>
      <c r="F389" s="32">
        <v>1150</v>
      </c>
      <c r="G389" s="32">
        <v>100</v>
      </c>
      <c r="H389" s="40">
        <v>600</v>
      </c>
      <c r="I389" s="32">
        <v>695</v>
      </c>
      <c r="J389" s="32">
        <v>50</v>
      </c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1:20" ht="15.75">
      <c r="A390" s="13">
        <v>53751</v>
      </c>
      <c r="B390" s="41">
        <v>28</v>
      </c>
      <c r="C390" s="32">
        <v>122.58</v>
      </c>
      <c r="D390" s="32">
        <v>297.94099999999997</v>
      </c>
      <c r="E390" s="38">
        <v>729.47900000000004</v>
      </c>
      <c r="F390" s="32">
        <v>1150</v>
      </c>
      <c r="G390" s="32">
        <v>100</v>
      </c>
      <c r="H390" s="40">
        <v>600</v>
      </c>
      <c r="I390" s="32">
        <v>695</v>
      </c>
      <c r="J390" s="32">
        <v>50</v>
      </c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1:20" ht="15.75">
      <c r="A391" s="13">
        <v>53782</v>
      </c>
      <c r="B391" s="41">
        <v>31</v>
      </c>
      <c r="C391" s="32">
        <v>122.58</v>
      </c>
      <c r="D391" s="32">
        <v>297.94099999999997</v>
      </c>
      <c r="E391" s="38">
        <v>729.47900000000004</v>
      </c>
      <c r="F391" s="32">
        <v>1150</v>
      </c>
      <c r="G391" s="32">
        <v>100</v>
      </c>
      <c r="H391" s="40">
        <v>600</v>
      </c>
      <c r="I391" s="32">
        <v>695</v>
      </c>
      <c r="J391" s="32">
        <v>50</v>
      </c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1:20" ht="15.75">
      <c r="A392" s="13">
        <v>53812</v>
      </c>
      <c r="B392" s="41">
        <v>30</v>
      </c>
      <c r="C392" s="32">
        <v>141.29300000000001</v>
      </c>
      <c r="D392" s="32">
        <v>267.99299999999999</v>
      </c>
      <c r="E392" s="38">
        <v>829.71400000000006</v>
      </c>
      <c r="F392" s="32">
        <v>1239</v>
      </c>
      <c r="G392" s="32">
        <v>100</v>
      </c>
      <c r="H392" s="40">
        <v>600</v>
      </c>
      <c r="I392" s="32">
        <v>695</v>
      </c>
      <c r="J392" s="32">
        <v>50</v>
      </c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1:20" ht="15.75">
      <c r="A393" s="13">
        <v>53843</v>
      </c>
      <c r="B393" s="41">
        <v>31</v>
      </c>
      <c r="C393" s="32">
        <v>194.20500000000001</v>
      </c>
      <c r="D393" s="32">
        <v>267.46600000000001</v>
      </c>
      <c r="E393" s="38">
        <v>812.32899999999995</v>
      </c>
      <c r="F393" s="32">
        <v>1274</v>
      </c>
      <c r="G393" s="32">
        <v>75</v>
      </c>
      <c r="H393" s="40">
        <v>600</v>
      </c>
      <c r="I393" s="32">
        <v>695</v>
      </c>
      <c r="J393" s="32">
        <v>50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1:20" ht="15.75">
      <c r="A394" s="13">
        <v>53873</v>
      </c>
      <c r="B394" s="41">
        <v>30</v>
      </c>
      <c r="C394" s="32">
        <v>194.20500000000001</v>
      </c>
      <c r="D394" s="32">
        <v>267.46600000000001</v>
      </c>
      <c r="E394" s="38">
        <v>812.32899999999995</v>
      </c>
      <c r="F394" s="32">
        <v>1274</v>
      </c>
      <c r="G394" s="32">
        <v>50</v>
      </c>
      <c r="H394" s="40">
        <v>600</v>
      </c>
      <c r="I394" s="32">
        <v>695</v>
      </c>
      <c r="J394" s="32">
        <v>50</v>
      </c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1:20" ht="15.75">
      <c r="A395" s="13">
        <v>53904</v>
      </c>
      <c r="B395" s="41">
        <v>31</v>
      </c>
      <c r="C395" s="32">
        <v>194.20500000000001</v>
      </c>
      <c r="D395" s="32">
        <v>267.46600000000001</v>
      </c>
      <c r="E395" s="38">
        <v>812.32899999999995</v>
      </c>
      <c r="F395" s="32">
        <v>1274</v>
      </c>
      <c r="G395" s="32">
        <v>50</v>
      </c>
      <c r="H395" s="40">
        <v>600</v>
      </c>
      <c r="I395" s="32">
        <v>695</v>
      </c>
      <c r="J395" s="32">
        <v>0</v>
      </c>
      <c r="K395" s="33"/>
      <c r="L395" s="33"/>
      <c r="M395" s="33"/>
      <c r="N395" s="33"/>
      <c r="O395" s="33"/>
      <c r="P395" s="33"/>
      <c r="Q395" s="33"/>
      <c r="R395" s="33"/>
      <c r="S395" s="33"/>
      <c r="T395" s="33"/>
    </row>
    <row r="396" spans="1:20" ht="15.75">
      <c r="A396" s="13">
        <v>53935</v>
      </c>
      <c r="B396" s="41">
        <v>31</v>
      </c>
      <c r="C396" s="32">
        <v>194.20500000000001</v>
      </c>
      <c r="D396" s="32">
        <v>267.46600000000001</v>
      </c>
      <c r="E396" s="38">
        <v>812.32899999999995</v>
      </c>
      <c r="F396" s="32">
        <v>1274</v>
      </c>
      <c r="G396" s="32">
        <v>50</v>
      </c>
      <c r="H396" s="40">
        <v>600</v>
      </c>
      <c r="I396" s="32">
        <v>695</v>
      </c>
      <c r="J396" s="32">
        <v>0</v>
      </c>
      <c r="K396" s="33"/>
      <c r="L396" s="33"/>
      <c r="M396" s="33"/>
      <c r="N396" s="33"/>
      <c r="O396" s="33"/>
      <c r="P396" s="33"/>
      <c r="Q396" s="33"/>
      <c r="R396" s="33"/>
      <c r="S396" s="33"/>
      <c r="T396" s="33"/>
    </row>
    <row r="397" spans="1:20" ht="15.75">
      <c r="A397" s="13">
        <v>53965</v>
      </c>
      <c r="B397" s="41">
        <v>30</v>
      </c>
      <c r="C397" s="32">
        <v>194.20500000000001</v>
      </c>
      <c r="D397" s="32">
        <v>267.46600000000001</v>
      </c>
      <c r="E397" s="38">
        <v>812.32899999999995</v>
      </c>
      <c r="F397" s="32">
        <v>1274</v>
      </c>
      <c r="G397" s="32">
        <v>50</v>
      </c>
      <c r="H397" s="40">
        <v>600</v>
      </c>
      <c r="I397" s="32">
        <v>695</v>
      </c>
      <c r="J397" s="32">
        <v>0</v>
      </c>
      <c r="K397" s="33"/>
      <c r="L397" s="33"/>
      <c r="M397" s="33"/>
      <c r="N397" s="33"/>
      <c r="O397" s="33"/>
      <c r="P397" s="33"/>
      <c r="Q397" s="33"/>
      <c r="R397" s="33"/>
      <c r="S397" s="33"/>
      <c r="T397" s="33"/>
    </row>
    <row r="398" spans="1:20" ht="15.75">
      <c r="A398" s="13">
        <v>53996</v>
      </c>
      <c r="B398" s="41">
        <v>31</v>
      </c>
      <c r="C398" s="32">
        <v>131.881</v>
      </c>
      <c r="D398" s="32">
        <v>277.16699999999997</v>
      </c>
      <c r="E398" s="38">
        <v>829.952</v>
      </c>
      <c r="F398" s="32">
        <v>1239</v>
      </c>
      <c r="G398" s="32">
        <v>75</v>
      </c>
      <c r="H398" s="40">
        <v>600</v>
      </c>
      <c r="I398" s="32">
        <v>695</v>
      </c>
      <c r="J398" s="32">
        <v>0</v>
      </c>
      <c r="K398" s="33"/>
      <c r="L398" s="33"/>
      <c r="M398" s="33"/>
      <c r="N398" s="33"/>
      <c r="O398" s="33"/>
      <c r="P398" s="33"/>
      <c r="Q398" s="33"/>
      <c r="R398" s="33"/>
      <c r="S398" s="33"/>
      <c r="T398" s="33"/>
    </row>
    <row r="399" spans="1:20" ht="15.75">
      <c r="A399" s="13">
        <v>54026</v>
      </c>
      <c r="B399" s="41">
        <v>30</v>
      </c>
      <c r="C399" s="32">
        <v>122.58</v>
      </c>
      <c r="D399" s="32">
        <v>297.94099999999997</v>
      </c>
      <c r="E399" s="38">
        <v>729.47900000000004</v>
      </c>
      <c r="F399" s="32">
        <v>1150</v>
      </c>
      <c r="G399" s="32">
        <v>100</v>
      </c>
      <c r="H399" s="40">
        <v>600</v>
      </c>
      <c r="I399" s="32">
        <v>695</v>
      </c>
      <c r="J399" s="32">
        <v>50</v>
      </c>
      <c r="K399" s="33"/>
      <c r="L399" s="33"/>
      <c r="M399" s="33"/>
      <c r="N399" s="33"/>
      <c r="O399" s="33"/>
      <c r="P399" s="33"/>
      <c r="Q399" s="33"/>
      <c r="R399" s="33"/>
      <c r="S399" s="33"/>
      <c r="T399" s="33"/>
    </row>
    <row r="400" spans="1:20" ht="15.75">
      <c r="A400" s="13">
        <v>54057</v>
      </c>
      <c r="B400" s="41">
        <v>31</v>
      </c>
      <c r="C400" s="32">
        <v>122.58</v>
      </c>
      <c r="D400" s="32">
        <v>297.94099999999997</v>
      </c>
      <c r="E400" s="38">
        <v>729.47900000000004</v>
      </c>
      <c r="F400" s="32">
        <v>1150</v>
      </c>
      <c r="G400" s="32">
        <v>100</v>
      </c>
      <c r="H400" s="40">
        <v>600</v>
      </c>
      <c r="I400" s="32">
        <v>695</v>
      </c>
      <c r="J400" s="32">
        <v>50</v>
      </c>
      <c r="K400" s="33"/>
      <c r="L400" s="33"/>
      <c r="M400" s="33"/>
      <c r="N400" s="33"/>
      <c r="O400" s="33"/>
      <c r="P400" s="33"/>
      <c r="Q400" s="33"/>
      <c r="R400" s="33"/>
      <c r="S400" s="33"/>
      <c r="T400" s="33"/>
    </row>
    <row r="401" spans="1:20" ht="15.75">
      <c r="A401" s="13">
        <v>54088</v>
      </c>
      <c r="B401" s="41">
        <v>31</v>
      </c>
      <c r="C401" s="32">
        <v>122.58</v>
      </c>
      <c r="D401" s="32">
        <v>297.94099999999997</v>
      </c>
      <c r="E401" s="38">
        <v>729.47900000000004</v>
      </c>
      <c r="F401" s="32">
        <v>1150</v>
      </c>
      <c r="G401" s="32">
        <v>100</v>
      </c>
      <c r="H401" s="40">
        <v>600</v>
      </c>
      <c r="I401" s="32">
        <v>695</v>
      </c>
      <c r="J401" s="32">
        <v>50</v>
      </c>
      <c r="K401" s="33"/>
      <c r="L401" s="33"/>
      <c r="M401" s="33"/>
      <c r="N401" s="33"/>
      <c r="O401" s="33"/>
      <c r="P401" s="33"/>
      <c r="Q401" s="33"/>
      <c r="R401" s="33"/>
      <c r="S401" s="33"/>
      <c r="T401" s="33"/>
    </row>
    <row r="402" spans="1:20" ht="15.75">
      <c r="A402" s="13">
        <v>54116</v>
      </c>
      <c r="B402" s="41">
        <v>29</v>
      </c>
      <c r="C402" s="32">
        <v>122.58</v>
      </c>
      <c r="D402" s="32">
        <v>297.94099999999997</v>
      </c>
      <c r="E402" s="38">
        <v>729.47900000000004</v>
      </c>
      <c r="F402" s="32">
        <v>1150</v>
      </c>
      <c r="G402" s="32">
        <v>100</v>
      </c>
      <c r="H402" s="40">
        <v>600</v>
      </c>
      <c r="I402" s="32">
        <v>695</v>
      </c>
      <c r="J402" s="32">
        <v>50</v>
      </c>
      <c r="K402" s="33"/>
      <c r="L402" s="33"/>
      <c r="M402" s="33"/>
      <c r="N402" s="33"/>
      <c r="O402" s="33"/>
      <c r="P402" s="33"/>
      <c r="Q402" s="33"/>
      <c r="R402" s="33"/>
      <c r="S402" s="33"/>
      <c r="T402" s="33"/>
    </row>
    <row r="403" spans="1:20" ht="15.75">
      <c r="A403" s="13">
        <v>54148</v>
      </c>
      <c r="B403" s="41">
        <v>31</v>
      </c>
      <c r="C403" s="32">
        <v>122.58</v>
      </c>
      <c r="D403" s="32">
        <v>297.94099999999997</v>
      </c>
      <c r="E403" s="38">
        <v>729.47900000000004</v>
      </c>
      <c r="F403" s="32">
        <v>1150</v>
      </c>
      <c r="G403" s="32">
        <v>100</v>
      </c>
      <c r="H403" s="40">
        <v>600</v>
      </c>
      <c r="I403" s="32">
        <v>695</v>
      </c>
      <c r="J403" s="32">
        <v>50</v>
      </c>
      <c r="K403" s="33"/>
      <c r="L403" s="33"/>
      <c r="M403" s="33"/>
      <c r="N403" s="33"/>
      <c r="O403" s="33"/>
      <c r="P403" s="33"/>
      <c r="Q403" s="33"/>
      <c r="R403" s="33"/>
      <c r="S403" s="33"/>
      <c r="T403" s="33"/>
    </row>
    <row r="404" spans="1:20" ht="15.75">
      <c r="A404" s="13">
        <v>54178</v>
      </c>
      <c r="B404" s="41">
        <v>30</v>
      </c>
      <c r="C404" s="32">
        <v>141.29300000000001</v>
      </c>
      <c r="D404" s="32">
        <v>267.99299999999999</v>
      </c>
      <c r="E404" s="38">
        <v>829.71400000000006</v>
      </c>
      <c r="F404" s="32">
        <v>1239</v>
      </c>
      <c r="G404" s="32">
        <v>100</v>
      </c>
      <c r="H404" s="40">
        <v>600</v>
      </c>
      <c r="I404" s="32">
        <v>695</v>
      </c>
      <c r="J404" s="32">
        <v>50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33"/>
    </row>
    <row r="405" spans="1:20" ht="15.75">
      <c r="A405" s="13">
        <v>54209</v>
      </c>
      <c r="B405" s="41">
        <v>31</v>
      </c>
      <c r="C405" s="32">
        <v>194.20500000000001</v>
      </c>
      <c r="D405" s="32">
        <v>267.46600000000001</v>
      </c>
      <c r="E405" s="38">
        <v>812.32899999999995</v>
      </c>
      <c r="F405" s="32">
        <v>1274</v>
      </c>
      <c r="G405" s="32">
        <v>75</v>
      </c>
      <c r="H405" s="40">
        <v>600</v>
      </c>
      <c r="I405" s="32">
        <v>695</v>
      </c>
      <c r="J405" s="32">
        <v>50</v>
      </c>
      <c r="K405" s="33"/>
      <c r="L405" s="33"/>
      <c r="M405" s="33"/>
      <c r="N405" s="33"/>
      <c r="O405" s="33"/>
      <c r="P405" s="33"/>
      <c r="Q405" s="33"/>
      <c r="R405" s="33"/>
      <c r="S405" s="33"/>
      <c r="T405" s="33"/>
    </row>
    <row r="406" spans="1:20" ht="15.75">
      <c r="A406" s="13">
        <v>54239</v>
      </c>
      <c r="B406" s="41">
        <v>30</v>
      </c>
      <c r="C406" s="32">
        <v>194.20500000000001</v>
      </c>
      <c r="D406" s="32">
        <v>267.46600000000001</v>
      </c>
      <c r="E406" s="38">
        <v>812.32899999999995</v>
      </c>
      <c r="F406" s="32">
        <v>1274</v>
      </c>
      <c r="G406" s="32">
        <v>50</v>
      </c>
      <c r="H406" s="40">
        <v>600</v>
      </c>
      <c r="I406" s="32">
        <v>695</v>
      </c>
      <c r="J406" s="32">
        <v>50</v>
      </c>
      <c r="K406" s="33"/>
      <c r="L406" s="33"/>
      <c r="M406" s="33"/>
      <c r="N406" s="33"/>
      <c r="O406" s="33"/>
      <c r="P406" s="33"/>
      <c r="Q406" s="33"/>
      <c r="R406" s="33"/>
      <c r="S406" s="33"/>
      <c r="T406" s="33"/>
    </row>
    <row r="407" spans="1:20" ht="15.75">
      <c r="A407" s="13">
        <v>54270</v>
      </c>
      <c r="B407" s="41">
        <v>31</v>
      </c>
      <c r="C407" s="32">
        <v>194.20500000000001</v>
      </c>
      <c r="D407" s="32">
        <v>267.46600000000001</v>
      </c>
      <c r="E407" s="38">
        <v>812.32899999999995</v>
      </c>
      <c r="F407" s="32">
        <v>1274</v>
      </c>
      <c r="G407" s="32">
        <v>50</v>
      </c>
      <c r="H407" s="40">
        <v>600</v>
      </c>
      <c r="I407" s="32">
        <v>695</v>
      </c>
      <c r="J407" s="32">
        <v>0</v>
      </c>
      <c r="K407" s="33"/>
      <c r="L407" s="33"/>
      <c r="M407" s="33"/>
      <c r="N407" s="33"/>
      <c r="O407" s="33"/>
      <c r="P407" s="33"/>
      <c r="Q407" s="33"/>
      <c r="R407" s="33"/>
      <c r="S407" s="33"/>
      <c r="T407" s="33"/>
    </row>
    <row r="408" spans="1:20" ht="15.75">
      <c r="A408" s="13">
        <v>54301</v>
      </c>
      <c r="B408" s="41">
        <v>31</v>
      </c>
      <c r="C408" s="32">
        <v>194.20500000000001</v>
      </c>
      <c r="D408" s="32">
        <v>267.46600000000001</v>
      </c>
      <c r="E408" s="38">
        <v>812.32899999999995</v>
      </c>
      <c r="F408" s="32">
        <v>1274</v>
      </c>
      <c r="G408" s="32">
        <v>50</v>
      </c>
      <c r="H408" s="40">
        <v>600</v>
      </c>
      <c r="I408" s="32">
        <v>695</v>
      </c>
      <c r="J408" s="32">
        <v>0</v>
      </c>
      <c r="K408" s="33"/>
      <c r="L408" s="33"/>
      <c r="M408" s="33"/>
      <c r="N408" s="33"/>
      <c r="O408" s="33"/>
      <c r="P408" s="33"/>
      <c r="Q408" s="33"/>
      <c r="R408" s="33"/>
      <c r="S408" s="33"/>
      <c r="T408" s="33"/>
    </row>
    <row r="409" spans="1:20" ht="15.75">
      <c r="A409" s="13">
        <v>54331</v>
      </c>
      <c r="B409" s="41">
        <v>30</v>
      </c>
      <c r="C409" s="32">
        <v>194.20500000000001</v>
      </c>
      <c r="D409" s="32">
        <v>267.46600000000001</v>
      </c>
      <c r="E409" s="38">
        <v>812.32899999999995</v>
      </c>
      <c r="F409" s="32">
        <v>1274</v>
      </c>
      <c r="G409" s="32">
        <v>50</v>
      </c>
      <c r="H409" s="40">
        <v>600</v>
      </c>
      <c r="I409" s="32">
        <v>695</v>
      </c>
      <c r="J409" s="32">
        <v>0</v>
      </c>
      <c r="K409" s="33"/>
      <c r="L409" s="33"/>
      <c r="M409" s="33"/>
      <c r="N409" s="33"/>
      <c r="O409" s="33"/>
      <c r="P409" s="33"/>
      <c r="Q409" s="33"/>
      <c r="R409" s="33"/>
      <c r="S409" s="33"/>
      <c r="T409" s="33"/>
    </row>
    <row r="410" spans="1:20" ht="15.75">
      <c r="A410" s="13">
        <v>54362</v>
      </c>
      <c r="B410" s="41">
        <v>31</v>
      </c>
      <c r="C410" s="32">
        <v>131.881</v>
      </c>
      <c r="D410" s="32">
        <v>277.16699999999997</v>
      </c>
      <c r="E410" s="38">
        <v>829.952</v>
      </c>
      <c r="F410" s="32">
        <v>1239</v>
      </c>
      <c r="G410" s="32">
        <v>75</v>
      </c>
      <c r="H410" s="40">
        <v>600</v>
      </c>
      <c r="I410" s="32">
        <v>695</v>
      </c>
      <c r="J410" s="32">
        <v>0</v>
      </c>
      <c r="K410" s="33"/>
      <c r="L410" s="33"/>
      <c r="M410" s="33"/>
      <c r="N410" s="33"/>
      <c r="O410" s="33"/>
      <c r="P410" s="33"/>
      <c r="Q410" s="33"/>
      <c r="R410" s="33"/>
      <c r="S410" s="33"/>
      <c r="T410" s="33"/>
    </row>
    <row r="411" spans="1:20" ht="15.75">
      <c r="A411" s="13">
        <v>54392</v>
      </c>
      <c r="B411" s="41">
        <v>30</v>
      </c>
      <c r="C411" s="32">
        <v>122.58</v>
      </c>
      <c r="D411" s="32">
        <v>297.94099999999997</v>
      </c>
      <c r="E411" s="38">
        <v>729.47900000000004</v>
      </c>
      <c r="F411" s="32">
        <v>1150</v>
      </c>
      <c r="G411" s="32">
        <v>100</v>
      </c>
      <c r="H411" s="40">
        <v>600</v>
      </c>
      <c r="I411" s="32">
        <v>695</v>
      </c>
      <c r="J411" s="32">
        <v>50</v>
      </c>
      <c r="K411" s="33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1:20" ht="15.75">
      <c r="A412" s="13">
        <v>54423</v>
      </c>
      <c r="B412" s="41">
        <v>31</v>
      </c>
      <c r="C412" s="32">
        <v>122.58</v>
      </c>
      <c r="D412" s="32">
        <v>297.94099999999997</v>
      </c>
      <c r="E412" s="38">
        <v>729.47900000000004</v>
      </c>
      <c r="F412" s="32">
        <v>1150</v>
      </c>
      <c r="G412" s="32">
        <v>100</v>
      </c>
      <c r="H412" s="40">
        <v>600</v>
      </c>
      <c r="I412" s="32">
        <v>695</v>
      </c>
      <c r="J412" s="32">
        <v>50</v>
      </c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1:20" ht="15.75">
      <c r="A413" s="13">
        <v>54454</v>
      </c>
      <c r="B413" s="41">
        <v>31</v>
      </c>
      <c r="C413" s="32">
        <v>122.58</v>
      </c>
      <c r="D413" s="32">
        <v>297.94099999999997</v>
      </c>
      <c r="E413" s="38">
        <v>729.47900000000004</v>
      </c>
      <c r="F413" s="32">
        <v>1150</v>
      </c>
      <c r="G413" s="32">
        <v>100</v>
      </c>
      <c r="H413" s="40">
        <v>600</v>
      </c>
      <c r="I413" s="32">
        <v>695</v>
      </c>
      <c r="J413" s="32">
        <v>50</v>
      </c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1:20" ht="15.75">
      <c r="A414" s="13">
        <v>54482</v>
      </c>
      <c r="B414" s="41">
        <v>28</v>
      </c>
      <c r="C414" s="32">
        <v>122.58</v>
      </c>
      <c r="D414" s="32">
        <v>297.94099999999997</v>
      </c>
      <c r="E414" s="38">
        <v>729.47900000000004</v>
      </c>
      <c r="F414" s="32">
        <v>1150</v>
      </c>
      <c r="G414" s="32">
        <v>100</v>
      </c>
      <c r="H414" s="40">
        <v>600</v>
      </c>
      <c r="I414" s="32">
        <v>695</v>
      </c>
      <c r="J414" s="32">
        <v>50</v>
      </c>
      <c r="K414" s="33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1:20" ht="15.75">
      <c r="A415" s="13">
        <v>54513</v>
      </c>
      <c r="B415" s="41">
        <v>31</v>
      </c>
      <c r="C415" s="32">
        <v>122.58</v>
      </c>
      <c r="D415" s="32">
        <v>297.94099999999997</v>
      </c>
      <c r="E415" s="38">
        <v>729.47900000000004</v>
      </c>
      <c r="F415" s="32">
        <v>1150</v>
      </c>
      <c r="G415" s="32">
        <v>100</v>
      </c>
      <c r="H415" s="40">
        <v>600</v>
      </c>
      <c r="I415" s="32">
        <v>695</v>
      </c>
      <c r="J415" s="32">
        <v>50</v>
      </c>
      <c r="K415" s="33"/>
      <c r="L415" s="33"/>
      <c r="M415" s="33"/>
      <c r="N415" s="33"/>
      <c r="O415" s="33"/>
      <c r="P415" s="33"/>
      <c r="Q415" s="33"/>
      <c r="R415" s="33"/>
      <c r="S415" s="33"/>
      <c r="T415" s="33"/>
    </row>
    <row r="416" spans="1:20" ht="15.75">
      <c r="A416" s="13">
        <v>54543</v>
      </c>
      <c r="B416" s="41">
        <v>30</v>
      </c>
      <c r="C416" s="32">
        <v>141.29300000000001</v>
      </c>
      <c r="D416" s="32">
        <v>267.99299999999999</v>
      </c>
      <c r="E416" s="38">
        <v>829.71400000000006</v>
      </c>
      <c r="F416" s="32">
        <v>1239</v>
      </c>
      <c r="G416" s="32">
        <v>100</v>
      </c>
      <c r="H416" s="40">
        <v>600</v>
      </c>
      <c r="I416" s="32">
        <v>695</v>
      </c>
      <c r="J416" s="32">
        <v>50</v>
      </c>
      <c r="K416" s="33"/>
      <c r="L416" s="33"/>
      <c r="M416" s="33"/>
      <c r="N416" s="33"/>
      <c r="O416" s="33"/>
      <c r="P416" s="33"/>
      <c r="Q416" s="33"/>
      <c r="R416" s="33"/>
      <c r="S416" s="33"/>
      <c r="T416" s="33"/>
    </row>
    <row r="417" spans="1:20" ht="15.75">
      <c r="A417" s="13">
        <v>54574</v>
      </c>
      <c r="B417" s="41">
        <v>31</v>
      </c>
      <c r="C417" s="32">
        <v>194.20500000000001</v>
      </c>
      <c r="D417" s="32">
        <v>267.46600000000001</v>
      </c>
      <c r="E417" s="38">
        <v>812.32899999999995</v>
      </c>
      <c r="F417" s="32">
        <v>1274</v>
      </c>
      <c r="G417" s="32">
        <v>75</v>
      </c>
      <c r="H417" s="40">
        <v>600</v>
      </c>
      <c r="I417" s="32">
        <v>695</v>
      </c>
      <c r="J417" s="32">
        <v>50</v>
      </c>
      <c r="K417" s="33"/>
      <c r="L417" s="33"/>
      <c r="M417" s="33"/>
      <c r="N417" s="33"/>
      <c r="O417" s="33"/>
      <c r="P417" s="33"/>
      <c r="Q417" s="33"/>
      <c r="R417" s="33"/>
      <c r="S417" s="33"/>
      <c r="T417" s="33"/>
    </row>
    <row r="418" spans="1:20" ht="15.75">
      <c r="A418" s="13">
        <v>54604</v>
      </c>
      <c r="B418" s="41">
        <v>30</v>
      </c>
      <c r="C418" s="32">
        <v>194.20500000000001</v>
      </c>
      <c r="D418" s="32">
        <v>267.46600000000001</v>
      </c>
      <c r="E418" s="38">
        <v>812.32899999999995</v>
      </c>
      <c r="F418" s="32">
        <v>1274</v>
      </c>
      <c r="G418" s="32">
        <v>50</v>
      </c>
      <c r="H418" s="40">
        <v>600</v>
      </c>
      <c r="I418" s="32">
        <v>695</v>
      </c>
      <c r="J418" s="32">
        <v>50</v>
      </c>
      <c r="K418" s="33"/>
      <c r="L418" s="33"/>
      <c r="M418" s="33"/>
      <c r="N418" s="33"/>
      <c r="O418" s="33"/>
      <c r="P418" s="33"/>
      <c r="Q418" s="33"/>
      <c r="R418" s="33"/>
      <c r="S418" s="33"/>
      <c r="T418" s="33"/>
    </row>
    <row r="419" spans="1:20" ht="15.75">
      <c r="A419" s="13">
        <v>54635</v>
      </c>
      <c r="B419" s="41">
        <v>31</v>
      </c>
      <c r="C419" s="32">
        <v>194.20500000000001</v>
      </c>
      <c r="D419" s="32">
        <v>267.46600000000001</v>
      </c>
      <c r="E419" s="38">
        <v>812.32899999999995</v>
      </c>
      <c r="F419" s="32">
        <v>1274</v>
      </c>
      <c r="G419" s="32">
        <v>50</v>
      </c>
      <c r="H419" s="40">
        <v>600</v>
      </c>
      <c r="I419" s="32">
        <v>695</v>
      </c>
      <c r="J419" s="32">
        <v>0</v>
      </c>
      <c r="K419" s="33"/>
      <c r="L419" s="33"/>
      <c r="M419" s="33"/>
      <c r="N419" s="33"/>
      <c r="O419" s="33"/>
      <c r="P419" s="33"/>
      <c r="Q419" s="33"/>
      <c r="R419" s="33"/>
      <c r="S419" s="33"/>
      <c r="T419" s="33"/>
    </row>
    <row r="420" spans="1:20" ht="15.75">
      <c r="A420" s="13">
        <v>54666</v>
      </c>
      <c r="B420" s="41">
        <v>31</v>
      </c>
      <c r="C420" s="32">
        <v>194.20500000000001</v>
      </c>
      <c r="D420" s="32">
        <v>267.46600000000001</v>
      </c>
      <c r="E420" s="38">
        <v>812.32899999999995</v>
      </c>
      <c r="F420" s="32">
        <v>1274</v>
      </c>
      <c r="G420" s="32">
        <v>50</v>
      </c>
      <c r="H420" s="40">
        <v>600</v>
      </c>
      <c r="I420" s="32">
        <v>695</v>
      </c>
      <c r="J420" s="32">
        <v>0</v>
      </c>
      <c r="K420" s="33"/>
      <c r="L420" s="33"/>
      <c r="M420" s="33"/>
      <c r="N420" s="33"/>
      <c r="O420" s="33"/>
      <c r="P420" s="33"/>
      <c r="Q420" s="33"/>
      <c r="R420" s="33"/>
      <c r="S420" s="33"/>
      <c r="T420" s="33"/>
    </row>
    <row r="421" spans="1:20" ht="15.75">
      <c r="A421" s="13">
        <v>54696</v>
      </c>
      <c r="B421" s="41">
        <v>30</v>
      </c>
      <c r="C421" s="32">
        <v>194.20500000000001</v>
      </c>
      <c r="D421" s="32">
        <v>267.46600000000001</v>
      </c>
      <c r="E421" s="38">
        <v>812.32899999999995</v>
      </c>
      <c r="F421" s="32">
        <v>1274</v>
      </c>
      <c r="G421" s="32">
        <v>50</v>
      </c>
      <c r="H421" s="40">
        <v>600</v>
      </c>
      <c r="I421" s="32">
        <v>695</v>
      </c>
      <c r="J421" s="32">
        <v>0</v>
      </c>
      <c r="K421" s="33"/>
      <c r="L421" s="33"/>
      <c r="M421" s="33"/>
      <c r="N421" s="33"/>
      <c r="O421" s="33"/>
      <c r="P421" s="33"/>
      <c r="Q421" s="33"/>
      <c r="R421" s="33"/>
      <c r="S421" s="33"/>
      <c r="T421" s="33"/>
    </row>
    <row r="422" spans="1:20" ht="15.75">
      <c r="A422" s="13">
        <v>54727</v>
      </c>
      <c r="B422" s="41">
        <v>31</v>
      </c>
      <c r="C422" s="32">
        <v>131.881</v>
      </c>
      <c r="D422" s="32">
        <v>277.16699999999997</v>
      </c>
      <c r="E422" s="38">
        <v>829.952</v>
      </c>
      <c r="F422" s="32">
        <v>1239</v>
      </c>
      <c r="G422" s="32">
        <v>75</v>
      </c>
      <c r="H422" s="40">
        <v>600</v>
      </c>
      <c r="I422" s="32">
        <v>695</v>
      </c>
      <c r="J422" s="32">
        <v>0</v>
      </c>
      <c r="K422" s="33"/>
      <c r="L422" s="33"/>
      <c r="M422" s="33"/>
      <c r="N422" s="33"/>
      <c r="O422" s="33"/>
      <c r="P422" s="33"/>
      <c r="Q422" s="33"/>
      <c r="R422" s="33"/>
      <c r="S422" s="33"/>
      <c r="T422" s="33"/>
    </row>
    <row r="423" spans="1:20" ht="15.75">
      <c r="A423" s="13">
        <v>54757</v>
      </c>
      <c r="B423" s="41">
        <v>30</v>
      </c>
      <c r="C423" s="32">
        <v>122.58</v>
      </c>
      <c r="D423" s="32">
        <v>297.94099999999997</v>
      </c>
      <c r="E423" s="38">
        <v>729.47900000000004</v>
      </c>
      <c r="F423" s="32">
        <v>1150</v>
      </c>
      <c r="G423" s="32">
        <v>100</v>
      </c>
      <c r="H423" s="40">
        <v>600</v>
      </c>
      <c r="I423" s="32">
        <v>695</v>
      </c>
      <c r="J423" s="32">
        <v>50</v>
      </c>
      <c r="K423" s="33"/>
      <c r="L423" s="33"/>
      <c r="M423" s="33"/>
      <c r="N423" s="33"/>
      <c r="O423" s="33"/>
      <c r="P423" s="33"/>
      <c r="Q423" s="33"/>
      <c r="R423" s="33"/>
      <c r="S423" s="33"/>
      <c r="T423" s="33"/>
    </row>
    <row r="424" spans="1:20" ht="15.75">
      <c r="A424" s="13">
        <v>54788</v>
      </c>
      <c r="B424" s="41">
        <v>31</v>
      </c>
      <c r="C424" s="32">
        <v>122.58</v>
      </c>
      <c r="D424" s="32">
        <v>297.94099999999997</v>
      </c>
      <c r="E424" s="38">
        <v>729.47900000000004</v>
      </c>
      <c r="F424" s="32">
        <v>1150</v>
      </c>
      <c r="G424" s="32">
        <v>100</v>
      </c>
      <c r="H424" s="40">
        <v>600</v>
      </c>
      <c r="I424" s="32">
        <v>695</v>
      </c>
      <c r="J424" s="32">
        <v>50</v>
      </c>
      <c r="K424" s="33"/>
      <c r="L424" s="33"/>
      <c r="M424" s="33"/>
      <c r="N424" s="33"/>
      <c r="O424" s="33"/>
      <c r="P424" s="33"/>
      <c r="Q424" s="33"/>
      <c r="R424" s="33"/>
      <c r="S424" s="33"/>
      <c r="T424" s="33"/>
    </row>
    <row r="425" spans="1:20" ht="15.75">
      <c r="A425" s="13">
        <v>54819</v>
      </c>
      <c r="B425" s="41">
        <v>31</v>
      </c>
      <c r="C425" s="32">
        <v>122.58</v>
      </c>
      <c r="D425" s="32">
        <v>297.94099999999997</v>
      </c>
      <c r="E425" s="38">
        <v>729.47900000000004</v>
      </c>
      <c r="F425" s="32">
        <v>1150</v>
      </c>
      <c r="G425" s="32">
        <v>100</v>
      </c>
      <c r="H425" s="40">
        <v>600</v>
      </c>
      <c r="I425" s="32">
        <v>695</v>
      </c>
      <c r="J425" s="32">
        <v>50</v>
      </c>
      <c r="K425" s="33"/>
      <c r="L425" s="33"/>
      <c r="M425" s="33"/>
      <c r="N425" s="33"/>
      <c r="O425" s="33"/>
      <c r="P425" s="33"/>
      <c r="Q425" s="33"/>
      <c r="R425" s="33"/>
      <c r="S425" s="33"/>
      <c r="T425" s="33"/>
    </row>
    <row r="426" spans="1:20" ht="15.75">
      <c r="A426" s="13">
        <v>54847</v>
      </c>
      <c r="B426" s="41">
        <v>28</v>
      </c>
      <c r="C426" s="32">
        <v>122.58</v>
      </c>
      <c r="D426" s="32">
        <v>297.94099999999997</v>
      </c>
      <c r="E426" s="38">
        <v>729.47900000000004</v>
      </c>
      <c r="F426" s="32">
        <v>1150</v>
      </c>
      <c r="G426" s="32">
        <v>100</v>
      </c>
      <c r="H426" s="40">
        <v>600</v>
      </c>
      <c r="I426" s="32">
        <v>695</v>
      </c>
      <c r="J426" s="32">
        <v>50</v>
      </c>
      <c r="K426" s="33"/>
      <c r="L426" s="33"/>
      <c r="M426" s="33"/>
      <c r="N426" s="33"/>
      <c r="O426" s="33"/>
      <c r="P426" s="33"/>
      <c r="Q426" s="33"/>
      <c r="R426" s="33"/>
      <c r="S426" s="33"/>
      <c r="T426" s="33"/>
    </row>
    <row r="427" spans="1:20" ht="15.75">
      <c r="A427" s="13">
        <v>54878</v>
      </c>
      <c r="B427" s="41">
        <v>31</v>
      </c>
      <c r="C427" s="32">
        <v>122.58</v>
      </c>
      <c r="D427" s="32">
        <v>297.94099999999997</v>
      </c>
      <c r="E427" s="38">
        <v>729.47900000000004</v>
      </c>
      <c r="F427" s="32">
        <v>1150</v>
      </c>
      <c r="G427" s="32">
        <v>100</v>
      </c>
      <c r="H427" s="40">
        <v>600</v>
      </c>
      <c r="I427" s="32">
        <v>695</v>
      </c>
      <c r="J427" s="32">
        <v>50</v>
      </c>
      <c r="K427" s="33"/>
      <c r="L427" s="33"/>
      <c r="M427" s="33"/>
      <c r="N427" s="33"/>
      <c r="O427" s="33"/>
      <c r="P427" s="33"/>
      <c r="Q427" s="33"/>
      <c r="R427" s="33"/>
      <c r="S427" s="33"/>
      <c r="T427" s="33"/>
    </row>
    <row r="428" spans="1:20" ht="15.75">
      <c r="A428" s="13">
        <v>54908</v>
      </c>
      <c r="B428" s="41">
        <v>30</v>
      </c>
      <c r="C428" s="32">
        <v>141.29300000000001</v>
      </c>
      <c r="D428" s="32">
        <v>267.99299999999999</v>
      </c>
      <c r="E428" s="38">
        <v>829.71400000000006</v>
      </c>
      <c r="F428" s="32">
        <v>1239</v>
      </c>
      <c r="G428" s="32">
        <v>100</v>
      </c>
      <c r="H428" s="40">
        <v>600</v>
      </c>
      <c r="I428" s="32">
        <v>695</v>
      </c>
      <c r="J428" s="32">
        <v>50</v>
      </c>
      <c r="K428" s="33"/>
      <c r="L428" s="33"/>
      <c r="M428" s="33"/>
      <c r="N428" s="33"/>
      <c r="O428" s="33"/>
      <c r="P428" s="33"/>
      <c r="Q428" s="33"/>
      <c r="R428" s="33"/>
      <c r="S428" s="33"/>
      <c r="T428" s="33"/>
    </row>
    <row r="429" spans="1:20" ht="15.75">
      <c r="A429" s="13">
        <v>54939</v>
      </c>
      <c r="B429" s="41">
        <v>31</v>
      </c>
      <c r="C429" s="32">
        <v>194.20500000000001</v>
      </c>
      <c r="D429" s="32">
        <v>267.46600000000001</v>
      </c>
      <c r="E429" s="38">
        <v>812.32899999999995</v>
      </c>
      <c r="F429" s="32">
        <v>1274</v>
      </c>
      <c r="G429" s="32">
        <v>75</v>
      </c>
      <c r="H429" s="40">
        <v>600</v>
      </c>
      <c r="I429" s="32">
        <v>695</v>
      </c>
      <c r="J429" s="32">
        <v>50</v>
      </c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spans="1:20" ht="15.75">
      <c r="A430" s="13">
        <v>54969</v>
      </c>
      <c r="B430" s="41">
        <v>30</v>
      </c>
      <c r="C430" s="32">
        <v>194.20500000000001</v>
      </c>
      <c r="D430" s="32">
        <v>267.46600000000001</v>
      </c>
      <c r="E430" s="38">
        <v>812.32899999999995</v>
      </c>
      <c r="F430" s="32">
        <v>1274</v>
      </c>
      <c r="G430" s="32">
        <v>50</v>
      </c>
      <c r="H430" s="40">
        <v>600</v>
      </c>
      <c r="I430" s="32">
        <v>695</v>
      </c>
      <c r="J430" s="32">
        <v>50</v>
      </c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spans="1:20" ht="15.75">
      <c r="A431" s="13">
        <v>55000</v>
      </c>
      <c r="B431" s="41">
        <v>31</v>
      </c>
      <c r="C431" s="32">
        <v>194.20500000000001</v>
      </c>
      <c r="D431" s="32">
        <v>267.46600000000001</v>
      </c>
      <c r="E431" s="38">
        <v>812.32899999999995</v>
      </c>
      <c r="F431" s="32">
        <v>1274</v>
      </c>
      <c r="G431" s="32">
        <v>50</v>
      </c>
      <c r="H431" s="40">
        <v>600</v>
      </c>
      <c r="I431" s="32">
        <v>695</v>
      </c>
      <c r="J431" s="32">
        <v>0</v>
      </c>
      <c r="K431" s="33"/>
      <c r="L431" s="33"/>
      <c r="M431" s="33"/>
      <c r="N431" s="33"/>
      <c r="O431" s="33"/>
      <c r="P431" s="33"/>
      <c r="Q431" s="33"/>
      <c r="R431" s="33"/>
      <c r="S431" s="33"/>
      <c r="T431" s="33"/>
    </row>
    <row r="432" spans="1:20" ht="15.75">
      <c r="A432" s="13">
        <v>55031</v>
      </c>
      <c r="B432" s="41">
        <v>31</v>
      </c>
      <c r="C432" s="32">
        <v>194.20500000000001</v>
      </c>
      <c r="D432" s="32">
        <v>267.46600000000001</v>
      </c>
      <c r="E432" s="38">
        <v>812.32899999999995</v>
      </c>
      <c r="F432" s="32">
        <v>1274</v>
      </c>
      <c r="G432" s="32">
        <v>50</v>
      </c>
      <c r="H432" s="40">
        <v>600</v>
      </c>
      <c r="I432" s="32">
        <v>695</v>
      </c>
      <c r="J432" s="32">
        <v>0</v>
      </c>
      <c r="K432" s="33"/>
      <c r="L432" s="33"/>
      <c r="M432" s="33"/>
      <c r="N432" s="33"/>
      <c r="O432" s="33"/>
      <c r="P432" s="33"/>
      <c r="Q432" s="33"/>
      <c r="R432" s="33"/>
      <c r="S432" s="33"/>
      <c r="T432" s="33"/>
    </row>
    <row r="433" spans="1:20" ht="15.75">
      <c r="A433" s="13">
        <v>55061</v>
      </c>
      <c r="B433" s="41">
        <v>30</v>
      </c>
      <c r="C433" s="32">
        <v>194.20500000000001</v>
      </c>
      <c r="D433" s="32">
        <v>267.46600000000001</v>
      </c>
      <c r="E433" s="38">
        <v>812.32899999999995</v>
      </c>
      <c r="F433" s="32">
        <v>1274</v>
      </c>
      <c r="G433" s="32">
        <v>50</v>
      </c>
      <c r="H433" s="40">
        <v>600</v>
      </c>
      <c r="I433" s="32">
        <v>695</v>
      </c>
      <c r="J433" s="32">
        <v>0</v>
      </c>
      <c r="K433" s="33"/>
      <c r="L433" s="33"/>
      <c r="M433" s="33"/>
      <c r="N433" s="33"/>
      <c r="O433" s="33"/>
      <c r="P433" s="33"/>
      <c r="Q433" s="33"/>
      <c r="R433" s="33"/>
      <c r="S433" s="33"/>
      <c r="T433" s="33"/>
    </row>
    <row r="434" spans="1:20" ht="15.75">
      <c r="A434" s="13">
        <v>55092</v>
      </c>
      <c r="B434" s="41">
        <v>31</v>
      </c>
      <c r="C434" s="32">
        <v>131.881</v>
      </c>
      <c r="D434" s="32">
        <v>277.16699999999997</v>
      </c>
      <c r="E434" s="38">
        <v>829.952</v>
      </c>
      <c r="F434" s="32">
        <v>1239</v>
      </c>
      <c r="G434" s="32">
        <v>75</v>
      </c>
      <c r="H434" s="40">
        <v>600</v>
      </c>
      <c r="I434" s="32">
        <v>695</v>
      </c>
      <c r="J434" s="32">
        <v>0</v>
      </c>
      <c r="K434" s="33"/>
      <c r="L434" s="33"/>
      <c r="M434" s="33"/>
      <c r="N434" s="33"/>
      <c r="O434" s="33"/>
      <c r="P434" s="33"/>
      <c r="Q434" s="33"/>
      <c r="R434" s="33"/>
      <c r="S434" s="33"/>
      <c r="T434" s="33"/>
    </row>
    <row r="435" spans="1:20" ht="15.75">
      <c r="A435" s="13">
        <v>55122</v>
      </c>
      <c r="B435" s="41">
        <v>30</v>
      </c>
      <c r="C435" s="32">
        <v>122.58</v>
      </c>
      <c r="D435" s="32">
        <v>297.94099999999997</v>
      </c>
      <c r="E435" s="38">
        <v>729.47900000000004</v>
      </c>
      <c r="F435" s="32">
        <v>1150</v>
      </c>
      <c r="G435" s="32">
        <v>100</v>
      </c>
      <c r="H435" s="40">
        <v>600</v>
      </c>
      <c r="I435" s="32">
        <v>695</v>
      </c>
      <c r="J435" s="32">
        <v>50</v>
      </c>
      <c r="K435" s="33"/>
      <c r="L435" s="33"/>
      <c r="M435" s="33"/>
      <c r="N435" s="33"/>
      <c r="O435" s="33"/>
      <c r="P435" s="33"/>
      <c r="Q435" s="33"/>
      <c r="R435" s="33"/>
      <c r="S435" s="33"/>
      <c r="T435" s="33"/>
    </row>
    <row r="436" spans="1:20" ht="15.75">
      <c r="A436" s="13">
        <v>55153</v>
      </c>
      <c r="B436" s="41">
        <v>31</v>
      </c>
      <c r="C436" s="32">
        <v>122.58</v>
      </c>
      <c r="D436" s="32">
        <v>297.94099999999997</v>
      </c>
      <c r="E436" s="38">
        <v>729.47900000000004</v>
      </c>
      <c r="F436" s="32">
        <v>1150</v>
      </c>
      <c r="G436" s="32">
        <v>100</v>
      </c>
      <c r="H436" s="40">
        <v>600</v>
      </c>
      <c r="I436" s="32">
        <v>695</v>
      </c>
      <c r="J436" s="32">
        <v>50</v>
      </c>
      <c r="K436" s="33"/>
      <c r="L436" s="33"/>
      <c r="M436" s="33"/>
      <c r="N436" s="33"/>
      <c r="O436" s="33"/>
      <c r="P436" s="33"/>
      <c r="Q436" s="33"/>
      <c r="R436" s="33"/>
      <c r="S436" s="33"/>
      <c r="T436" s="33"/>
    </row>
    <row r="437" spans="1:20" ht="15.75">
      <c r="A437" s="13">
        <v>55184</v>
      </c>
      <c r="B437" s="41">
        <v>31</v>
      </c>
      <c r="C437" s="32">
        <v>122.58</v>
      </c>
      <c r="D437" s="32">
        <v>297.94099999999997</v>
      </c>
      <c r="E437" s="38">
        <v>729.47900000000004</v>
      </c>
      <c r="F437" s="32">
        <v>1150</v>
      </c>
      <c r="G437" s="32">
        <v>100</v>
      </c>
      <c r="H437" s="40">
        <v>600</v>
      </c>
      <c r="I437" s="32">
        <v>695</v>
      </c>
      <c r="J437" s="32">
        <v>50</v>
      </c>
      <c r="K437" s="33"/>
      <c r="L437" s="33"/>
      <c r="M437" s="33"/>
      <c r="N437" s="33"/>
      <c r="O437" s="33"/>
      <c r="P437" s="33"/>
      <c r="Q437" s="33"/>
      <c r="R437" s="33"/>
      <c r="S437" s="33"/>
      <c r="T437" s="33"/>
    </row>
    <row r="438" spans="1:20" ht="15.75">
      <c r="A438" s="13">
        <v>55212</v>
      </c>
      <c r="B438" s="41">
        <v>28</v>
      </c>
      <c r="C438" s="32">
        <v>122.58</v>
      </c>
      <c r="D438" s="32">
        <v>297.94099999999997</v>
      </c>
      <c r="E438" s="38">
        <v>729.47900000000004</v>
      </c>
      <c r="F438" s="32">
        <v>1150</v>
      </c>
      <c r="G438" s="32">
        <v>100</v>
      </c>
      <c r="H438" s="40">
        <v>600</v>
      </c>
      <c r="I438" s="32">
        <v>695</v>
      </c>
      <c r="J438" s="32">
        <v>50</v>
      </c>
      <c r="K438" s="33"/>
      <c r="L438" s="33"/>
      <c r="M438" s="33"/>
      <c r="N438" s="33"/>
      <c r="O438" s="33"/>
      <c r="P438" s="33"/>
      <c r="Q438" s="33"/>
      <c r="R438" s="33"/>
      <c r="S438" s="33"/>
      <c r="T438" s="33"/>
    </row>
    <row r="439" spans="1:20" ht="15.75">
      <c r="A439" s="13">
        <v>55243</v>
      </c>
      <c r="B439" s="41">
        <v>31</v>
      </c>
      <c r="C439" s="32">
        <v>122.58</v>
      </c>
      <c r="D439" s="32">
        <v>297.94099999999997</v>
      </c>
      <c r="E439" s="38">
        <v>729.47900000000004</v>
      </c>
      <c r="F439" s="32">
        <v>1150</v>
      </c>
      <c r="G439" s="32">
        <v>100</v>
      </c>
      <c r="H439" s="40">
        <v>600</v>
      </c>
      <c r="I439" s="32">
        <v>695</v>
      </c>
      <c r="J439" s="32">
        <v>50</v>
      </c>
      <c r="K439" s="33"/>
      <c r="L439" s="33"/>
      <c r="M439" s="33"/>
      <c r="N439" s="33"/>
      <c r="O439" s="33"/>
      <c r="P439" s="33"/>
      <c r="Q439" s="33"/>
      <c r="R439" s="33"/>
      <c r="S439" s="33"/>
      <c r="T439" s="33"/>
    </row>
    <row r="440" spans="1:20" ht="15.75">
      <c r="A440" s="13">
        <v>55273</v>
      </c>
      <c r="B440" s="41">
        <v>30</v>
      </c>
      <c r="C440" s="32">
        <v>141.29300000000001</v>
      </c>
      <c r="D440" s="32">
        <v>267.99299999999999</v>
      </c>
      <c r="E440" s="38">
        <v>829.71400000000006</v>
      </c>
      <c r="F440" s="32">
        <v>1239</v>
      </c>
      <c r="G440" s="32">
        <v>100</v>
      </c>
      <c r="H440" s="40">
        <v>600</v>
      </c>
      <c r="I440" s="32">
        <v>695</v>
      </c>
      <c r="J440" s="32">
        <v>50</v>
      </c>
      <c r="K440" s="33"/>
      <c r="L440" s="33"/>
      <c r="M440" s="33"/>
      <c r="N440" s="33"/>
      <c r="O440" s="33"/>
      <c r="P440" s="33"/>
      <c r="Q440" s="33"/>
      <c r="R440" s="33"/>
      <c r="S440" s="33"/>
      <c r="T440" s="33"/>
    </row>
    <row r="441" spans="1:20" ht="15.75">
      <c r="A441" s="13">
        <v>55304</v>
      </c>
      <c r="B441" s="41">
        <v>31</v>
      </c>
      <c r="C441" s="32">
        <v>194.20500000000001</v>
      </c>
      <c r="D441" s="32">
        <v>267.46600000000001</v>
      </c>
      <c r="E441" s="38">
        <v>812.32899999999995</v>
      </c>
      <c r="F441" s="32">
        <v>1274</v>
      </c>
      <c r="G441" s="32">
        <v>75</v>
      </c>
      <c r="H441" s="40">
        <v>600</v>
      </c>
      <c r="I441" s="32">
        <v>695</v>
      </c>
      <c r="J441" s="32">
        <v>50</v>
      </c>
      <c r="K441" s="33"/>
      <c r="L441" s="33"/>
      <c r="M441" s="33"/>
      <c r="N441" s="33"/>
      <c r="O441" s="33"/>
      <c r="P441" s="33"/>
      <c r="Q441" s="33"/>
      <c r="R441" s="33"/>
      <c r="S441" s="33"/>
      <c r="T441" s="33"/>
    </row>
    <row r="442" spans="1:20" ht="15.75">
      <c r="A442" s="13">
        <v>55334</v>
      </c>
      <c r="B442" s="41">
        <v>30</v>
      </c>
      <c r="C442" s="32">
        <v>194.20500000000001</v>
      </c>
      <c r="D442" s="32">
        <v>267.46600000000001</v>
      </c>
      <c r="E442" s="38">
        <v>812.32899999999995</v>
      </c>
      <c r="F442" s="32">
        <v>1274</v>
      </c>
      <c r="G442" s="32">
        <v>50</v>
      </c>
      <c r="H442" s="40">
        <v>600</v>
      </c>
      <c r="I442" s="32">
        <v>695</v>
      </c>
      <c r="J442" s="32">
        <v>50</v>
      </c>
      <c r="K442" s="33"/>
      <c r="L442" s="33"/>
      <c r="M442" s="33"/>
      <c r="N442" s="33"/>
      <c r="O442" s="33"/>
      <c r="P442" s="33"/>
      <c r="Q442" s="33"/>
      <c r="R442" s="33"/>
      <c r="S442" s="33"/>
      <c r="T442" s="33"/>
    </row>
    <row r="443" spans="1:20" ht="15.75">
      <c r="A443" s="13">
        <v>55365</v>
      </c>
      <c r="B443" s="41">
        <v>31</v>
      </c>
      <c r="C443" s="32">
        <v>194.20500000000001</v>
      </c>
      <c r="D443" s="32">
        <v>267.46600000000001</v>
      </c>
      <c r="E443" s="38">
        <v>812.32899999999995</v>
      </c>
      <c r="F443" s="32">
        <v>1274</v>
      </c>
      <c r="G443" s="32">
        <v>50</v>
      </c>
      <c r="H443" s="40">
        <v>600</v>
      </c>
      <c r="I443" s="32">
        <v>695</v>
      </c>
      <c r="J443" s="32">
        <v>0</v>
      </c>
      <c r="K443" s="33"/>
      <c r="L443" s="33"/>
      <c r="M443" s="33"/>
      <c r="N443" s="33"/>
      <c r="O443" s="33"/>
      <c r="P443" s="33"/>
      <c r="Q443" s="33"/>
      <c r="R443" s="33"/>
      <c r="S443" s="33"/>
      <c r="T443" s="33"/>
    </row>
    <row r="444" spans="1:20" ht="15.75">
      <c r="A444" s="13">
        <v>55396</v>
      </c>
      <c r="B444" s="41">
        <v>31</v>
      </c>
      <c r="C444" s="32">
        <v>194.20500000000001</v>
      </c>
      <c r="D444" s="32">
        <v>267.46600000000001</v>
      </c>
      <c r="E444" s="38">
        <v>812.32899999999995</v>
      </c>
      <c r="F444" s="32">
        <v>1274</v>
      </c>
      <c r="G444" s="32">
        <v>50</v>
      </c>
      <c r="H444" s="40">
        <v>600</v>
      </c>
      <c r="I444" s="32">
        <v>695</v>
      </c>
      <c r="J444" s="32">
        <v>0</v>
      </c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1:20" ht="15.75">
      <c r="A445" s="13">
        <v>55426</v>
      </c>
      <c r="B445" s="41">
        <v>30</v>
      </c>
      <c r="C445" s="32">
        <v>194.20500000000001</v>
      </c>
      <c r="D445" s="32">
        <v>267.46600000000001</v>
      </c>
      <c r="E445" s="38">
        <v>812.32899999999995</v>
      </c>
      <c r="F445" s="32">
        <v>1274</v>
      </c>
      <c r="G445" s="32">
        <v>50</v>
      </c>
      <c r="H445" s="40">
        <v>600</v>
      </c>
      <c r="I445" s="32">
        <v>695</v>
      </c>
      <c r="J445" s="32">
        <v>0</v>
      </c>
      <c r="K445" s="33"/>
      <c r="L445" s="33"/>
      <c r="M445" s="33"/>
      <c r="N445" s="33"/>
      <c r="O445" s="33"/>
      <c r="P445" s="33"/>
      <c r="Q445" s="33"/>
      <c r="R445" s="33"/>
      <c r="S445" s="33"/>
      <c r="T445" s="33"/>
    </row>
    <row r="446" spans="1:20" ht="15.75">
      <c r="A446" s="13">
        <v>55457</v>
      </c>
      <c r="B446" s="41">
        <v>31</v>
      </c>
      <c r="C446" s="32">
        <v>131.881</v>
      </c>
      <c r="D446" s="32">
        <v>277.16699999999997</v>
      </c>
      <c r="E446" s="38">
        <v>829.952</v>
      </c>
      <c r="F446" s="32">
        <v>1239</v>
      </c>
      <c r="G446" s="32">
        <v>75</v>
      </c>
      <c r="H446" s="40">
        <v>600</v>
      </c>
      <c r="I446" s="32">
        <v>695</v>
      </c>
      <c r="J446" s="32">
        <v>0</v>
      </c>
      <c r="K446" s="33"/>
      <c r="L446" s="33"/>
      <c r="M446" s="33"/>
      <c r="N446" s="33"/>
      <c r="O446" s="33"/>
      <c r="P446" s="33"/>
      <c r="Q446" s="33"/>
      <c r="R446" s="33"/>
      <c r="S446" s="33"/>
      <c r="T446" s="33"/>
    </row>
    <row r="447" spans="1:20" ht="15.75">
      <c r="A447" s="13">
        <v>55487</v>
      </c>
      <c r="B447" s="41">
        <v>30</v>
      </c>
      <c r="C447" s="32">
        <v>122.58</v>
      </c>
      <c r="D447" s="32">
        <v>297.94099999999997</v>
      </c>
      <c r="E447" s="38">
        <v>729.47900000000004</v>
      </c>
      <c r="F447" s="32">
        <v>1150</v>
      </c>
      <c r="G447" s="32">
        <v>100</v>
      </c>
      <c r="H447" s="40">
        <v>600</v>
      </c>
      <c r="I447" s="32">
        <v>695</v>
      </c>
      <c r="J447" s="32">
        <v>50</v>
      </c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1:20" ht="15.75">
      <c r="A448" s="13">
        <v>55518</v>
      </c>
      <c r="B448" s="41">
        <v>31</v>
      </c>
      <c r="C448" s="32">
        <v>122.58</v>
      </c>
      <c r="D448" s="32">
        <v>297.94099999999997</v>
      </c>
      <c r="E448" s="38">
        <v>729.47900000000004</v>
      </c>
      <c r="F448" s="32">
        <v>1150</v>
      </c>
      <c r="G448" s="32">
        <v>100</v>
      </c>
      <c r="H448" s="40">
        <v>600</v>
      </c>
      <c r="I448" s="32">
        <v>695</v>
      </c>
      <c r="J448" s="32">
        <v>50</v>
      </c>
      <c r="K448" s="33"/>
      <c r="L448" s="33"/>
      <c r="M448" s="33"/>
      <c r="N448" s="33"/>
      <c r="O448" s="33"/>
      <c r="P448" s="33"/>
      <c r="Q448" s="33"/>
      <c r="R448" s="33"/>
      <c r="S448" s="33"/>
      <c r="T448" s="33"/>
    </row>
    <row r="449" spans="1:20" ht="15.75">
      <c r="A449" s="13">
        <v>55549</v>
      </c>
      <c r="B449" s="41">
        <v>31</v>
      </c>
      <c r="C449" s="32">
        <v>122.58</v>
      </c>
      <c r="D449" s="32">
        <v>297.94099999999997</v>
      </c>
      <c r="E449" s="38">
        <v>729.47900000000004</v>
      </c>
      <c r="F449" s="32">
        <v>1150</v>
      </c>
      <c r="G449" s="32">
        <v>100</v>
      </c>
      <c r="H449" s="40">
        <v>600</v>
      </c>
      <c r="I449" s="32">
        <v>695</v>
      </c>
      <c r="J449" s="32">
        <v>50</v>
      </c>
      <c r="K449" s="33"/>
      <c r="L449" s="33"/>
      <c r="M449" s="33"/>
      <c r="N449" s="33"/>
      <c r="O449" s="33"/>
      <c r="P449" s="33"/>
      <c r="Q449" s="33"/>
      <c r="R449" s="33"/>
      <c r="S449" s="33"/>
      <c r="T449" s="33"/>
    </row>
    <row r="450" spans="1:20" ht="15.75">
      <c r="A450" s="13">
        <v>55577</v>
      </c>
      <c r="B450" s="41">
        <v>29</v>
      </c>
      <c r="C450" s="32">
        <v>122.58</v>
      </c>
      <c r="D450" s="32">
        <v>297.94099999999997</v>
      </c>
      <c r="E450" s="38">
        <v>729.47900000000004</v>
      </c>
      <c r="F450" s="32">
        <v>1150</v>
      </c>
      <c r="G450" s="32">
        <v>100</v>
      </c>
      <c r="H450" s="40">
        <v>600</v>
      </c>
      <c r="I450" s="32">
        <v>695</v>
      </c>
      <c r="J450" s="32">
        <v>50</v>
      </c>
      <c r="K450" s="33"/>
      <c r="L450" s="33"/>
      <c r="M450" s="33"/>
      <c r="N450" s="33"/>
      <c r="O450" s="33"/>
      <c r="P450" s="33"/>
      <c r="Q450" s="33"/>
      <c r="R450" s="33"/>
      <c r="S450" s="33"/>
      <c r="T450" s="33"/>
    </row>
    <row r="451" spans="1:20" ht="15.75">
      <c r="A451" s="13">
        <v>55609</v>
      </c>
      <c r="B451" s="41">
        <v>31</v>
      </c>
      <c r="C451" s="32">
        <v>122.58</v>
      </c>
      <c r="D451" s="32">
        <v>297.94099999999997</v>
      </c>
      <c r="E451" s="38">
        <v>729.47900000000004</v>
      </c>
      <c r="F451" s="32">
        <v>1150</v>
      </c>
      <c r="G451" s="32">
        <v>100</v>
      </c>
      <c r="H451" s="40">
        <v>600</v>
      </c>
      <c r="I451" s="32">
        <v>695</v>
      </c>
      <c r="J451" s="32">
        <v>50</v>
      </c>
      <c r="K451" s="33"/>
      <c r="L451" s="33"/>
      <c r="M451" s="33"/>
      <c r="N451" s="33"/>
      <c r="O451" s="33"/>
      <c r="P451" s="33"/>
      <c r="Q451" s="33"/>
      <c r="R451" s="33"/>
      <c r="S451" s="33"/>
      <c r="T451" s="33"/>
    </row>
    <row r="452" spans="1:20" ht="15.75">
      <c r="A452" s="13">
        <v>55639</v>
      </c>
      <c r="B452" s="41">
        <v>30</v>
      </c>
      <c r="C452" s="32">
        <v>141.29300000000001</v>
      </c>
      <c r="D452" s="32">
        <v>267.99299999999999</v>
      </c>
      <c r="E452" s="38">
        <v>829.71400000000006</v>
      </c>
      <c r="F452" s="32">
        <v>1239</v>
      </c>
      <c r="G452" s="32">
        <v>100</v>
      </c>
      <c r="H452" s="40">
        <v>600</v>
      </c>
      <c r="I452" s="32">
        <v>695</v>
      </c>
      <c r="J452" s="32">
        <v>50</v>
      </c>
      <c r="K452" s="33"/>
      <c r="L452" s="33"/>
      <c r="M452" s="33"/>
      <c r="N452" s="33"/>
      <c r="O452" s="33"/>
      <c r="P452" s="33"/>
      <c r="Q452" s="33"/>
      <c r="R452" s="33"/>
      <c r="S452" s="33"/>
      <c r="T452" s="33"/>
    </row>
    <row r="453" spans="1:20" ht="15.75">
      <c r="A453" s="13">
        <v>55670</v>
      </c>
      <c r="B453" s="41">
        <v>31</v>
      </c>
      <c r="C453" s="32">
        <v>194.20500000000001</v>
      </c>
      <c r="D453" s="32">
        <v>267.46600000000001</v>
      </c>
      <c r="E453" s="38">
        <v>812.32899999999995</v>
      </c>
      <c r="F453" s="32">
        <v>1274</v>
      </c>
      <c r="G453" s="32">
        <v>75</v>
      </c>
      <c r="H453" s="40">
        <v>600</v>
      </c>
      <c r="I453" s="32">
        <v>695</v>
      </c>
      <c r="J453" s="32">
        <v>50</v>
      </c>
      <c r="K453" s="33"/>
      <c r="L453" s="33"/>
      <c r="M453" s="33"/>
      <c r="N453" s="33"/>
      <c r="O453" s="33"/>
      <c r="P453" s="33"/>
      <c r="Q453" s="33"/>
      <c r="R453" s="33"/>
      <c r="S453" s="33"/>
      <c r="T453" s="33"/>
    </row>
    <row r="454" spans="1:20" ht="15.75">
      <c r="A454" s="13">
        <v>55700</v>
      </c>
      <c r="B454" s="41">
        <v>30</v>
      </c>
      <c r="C454" s="32">
        <v>194.20500000000001</v>
      </c>
      <c r="D454" s="32">
        <v>267.46600000000001</v>
      </c>
      <c r="E454" s="38">
        <v>812.32899999999995</v>
      </c>
      <c r="F454" s="32">
        <v>1274</v>
      </c>
      <c r="G454" s="32">
        <v>50</v>
      </c>
      <c r="H454" s="40">
        <v>600</v>
      </c>
      <c r="I454" s="32">
        <v>695</v>
      </c>
      <c r="J454" s="32">
        <v>50</v>
      </c>
      <c r="K454" s="33"/>
      <c r="L454" s="33"/>
      <c r="M454" s="33"/>
      <c r="N454" s="33"/>
      <c r="O454" s="33"/>
      <c r="P454" s="33"/>
      <c r="Q454" s="33"/>
      <c r="R454" s="33"/>
      <c r="S454" s="33"/>
      <c r="T454" s="33"/>
    </row>
    <row r="455" spans="1:20" ht="15.75">
      <c r="A455" s="13">
        <v>55731</v>
      </c>
      <c r="B455" s="41">
        <v>31</v>
      </c>
      <c r="C455" s="32">
        <v>194.20500000000001</v>
      </c>
      <c r="D455" s="32">
        <v>267.46600000000001</v>
      </c>
      <c r="E455" s="38">
        <v>812.32899999999995</v>
      </c>
      <c r="F455" s="32">
        <v>1274</v>
      </c>
      <c r="G455" s="32">
        <v>50</v>
      </c>
      <c r="H455" s="40">
        <v>600</v>
      </c>
      <c r="I455" s="32">
        <v>695</v>
      </c>
      <c r="J455" s="32">
        <v>0</v>
      </c>
      <c r="K455" s="33"/>
      <c r="L455" s="33"/>
      <c r="M455" s="33"/>
      <c r="N455" s="33"/>
      <c r="O455" s="33"/>
      <c r="P455" s="33"/>
      <c r="Q455" s="33"/>
      <c r="R455" s="33"/>
      <c r="S455" s="33"/>
      <c r="T455" s="33"/>
    </row>
    <row r="456" spans="1:20" ht="15.75">
      <c r="A456" s="13">
        <v>55762</v>
      </c>
      <c r="B456" s="41">
        <v>31</v>
      </c>
      <c r="C456" s="32">
        <v>194.20500000000001</v>
      </c>
      <c r="D456" s="32">
        <v>267.46600000000001</v>
      </c>
      <c r="E456" s="38">
        <v>812.32899999999995</v>
      </c>
      <c r="F456" s="32">
        <v>1274</v>
      </c>
      <c r="G456" s="32">
        <v>50</v>
      </c>
      <c r="H456" s="40">
        <v>600</v>
      </c>
      <c r="I456" s="32">
        <v>695</v>
      </c>
      <c r="J456" s="32">
        <v>0</v>
      </c>
      <c r="K456" s="33"/>
      <c r="L456" s="33"/>
      <c r="M456" s="33"/>
      <c r="N456" s="33"/>
      <c r="O456" s="33"/>
      <c r="P456" s="33"/>
      <c r="Q456" s="33"/>
      <c r="R456" s="33"/>
      <c r="S456" s="33"/>
      <c r="T456" s="33"/>
    </row>
    <row r="457" spans="1:20" ht="15.75">
      <c r="A457" s="13">
        <v>55792</v>
      </c>
      <c r="B457" s="41">
        <v>30</v>
      </c>
      <c r="C457" s="32">
        <v>194.20500000000001</v>
      </c>
      <c r="D457" s="32">
        <v>267.46600000000001</v>
      </c>
      <c r="E457" s="38">
        <v>812.32899999999995</v>
      </c>
      <c r="F457" s="32">
        <v>1274</v>
      </c>
      <c r="G457" s="32">
        <v>50</v>
      </c>
      <c r="H457" s="40">
        <v>600</v>
      </c>
      <c r="I457" s="32">
        <v>695</v>
      </c>
      <c r="J457" s="32">
        <v>0</v>
      </c>
      <c r="K457" s="33"/>
      <c r="L457" s="33"/>
      <c r="M457" s="33"/>
      <c r="N457" s="33"/>
      <c r="O457" s="33"/>
      <c r="P457" s="33"/>
      <c r="Q457" s="33"/>
      <c r="R457" s="33"/>
      <c r="S457" s="33"/>
      <c r="T457" s="33"/>
    </row>
    <row r="458" spans="1:20" ht="15.75">
      <c r="A458" s="13">
        <v>55823</v>
      </c>
      <c r="B458" s="41">
        <v>31</v>
      </c>
      <c r="C458" s="32">
        <v>131.881</v>
      </c>
      <c r="D458" s="32">
        <v>277.16699999999997</v>
      </c>
      <c r="E458" s="38">
        <v>829.952</v>
      </c>
      <c r="F458" s="32">
        <v>1239</v>
      </c>
      <c r="G458" s="32">
        <v>75</v>
      </c>
      <c r="H458" s="40">
        <v>600</v>
      </c>
      <c r="I458" s="32">
        <v>695</v>
      </c>
      <c r="J458" s="32">
        <v>0</v>
      </c>
      <c r="K458" s="33"/>
      <c r="L458" s="33"/>
      <c r="M458" s="33"/>
      <c r="N458" s="33"/>
      <c r="O458" s="33"/>
      <c r="P458" s="33"/>
      <c r="Q458" s="33"/>
      <c r="R458" s="33"/>
      <c r="S458" s="33"/>
      <c r="T458" s="33"/>
    </row>
    <row r="459" spans="1:20" ht="15.75">
      <c r="A459" s="13">
        <v>55853</v>
      </c>
      <c r="B459" s="41">
        <v>30</v>
      </c>
      <c r="C459" s="32">
        <v>122.58</v>
      </c>
      <c r="D459" s="32">
        <v>297.94099999999997</v>
      </c>
      <c r="E459" s="38">
        <v>729.47900000000004</v>
      </c>
      <c r="F459" s="32">
        <v>1150</v>
      </c>
      <c r="G459" s="32">
        <v>100</v>
      </c>
      <c r="H459" s="40">
        <v>600</v>
      </c>
      <c r="I459" s="32">
        <v>695</v>
      </c>
      <c r="J459" s="32">
        <v>50</v>
      </c>
      <c r="K459" s="33"/>
      <c r="L459" s="33"/>
      <c r="M459" s="33"/>
      <c r="N459" s="33"/>
      <c r="O459" s="33"/>
      <c r="P459" s="33"/>
      <c r="Q459" s="33"/>
      <c r="R459" s="33"/>
      <c r="S459" s="33"/>
      <c r="T459" s="33"/>
    </row>
    <row r="460" spans="1:20" ht="15.75">
      <c r="A460" s="13">
        <v>55884</v>
      </c>
      <c r="B460" s="41">
        <v>31</v>
      </c>
      <c r="C460" s="32">
        <v>122.58</v>
      </c>
      <c r="D460" s="32">
        <v>297.94099999999997</v>
      </c>
      <c r="E460" s="38">
        <v>729.47900000000004</v>
      </c>
      <c r="F460" s="32">
        <v>1150</v>
      </c>
      <c r="G460" s="32">
        <v>100</v>
      </c>
      <c r="H460" s="40">
        <v>600</v>
      </c>
      <c r="I460" s="32">
        <v>695</v>
      </c>
      <c r="J460" s="32">
        <v>50</v>
      </c>
      <c r="K460" s="33"/>
      <c r="L460" s="33"/>
      <c r="M460" s="33"/>
      <c r="N460" s="33"/>
      <c r="O460" s="33"/>
      <c r="P460" s="33"/>
      <c r="Q460" s="33"/>
      <c r="R460" s="33"/>
      <c r="S460" s="33"/>
      <c r="T460" s="33"/>
    </row>
    <row r="461" spans="1:20" ht="15.75">
      <c r="A461" s="13">
        <v>55915</v>
      </c>
      <c r="B461" s="41">
        <v>31</v>
      </c>
      <c r="C461" s="32">
        <v>122.58</v>
      </c>
      <c r="D461" s="32">
        <v>297.94099999999997</v>
      </c>
      <c r="E461" s="38">
        <v>729.47900000000004</v>
      </c>
      <c r="F461" s="32">
        <v>1150</v>
      </c>
      <c r="G461" s="32">
        <v>100</v>
      </c>
      <c r="H461" s="40">
        <v>600</v>
      </c>
      <c r="I461" s="32">
        <v>695</v>
      </c>
      <c r="J461" s="32">
        <v>50</v>
      </c>
      <c r="K461" s="33"/>
      <c r="L461" s="33"/>
      <c r="M461" s="33"/>
      <c r="N461" s="33"/>
      <c r="O461" s="33"/>
      <c r="P461" s="33"/>
      <c r="Q461" s="33"/>
      <c r="R461" s="33"/>
      <c r="S461" s="33"/>
      <c r="T461" s="33"/>
    </row>
    <row r="462" spans="1:20" ht="15.75">
      <c r="A462" s="13">
        <v>55943</v>
      </c>
      <c r="B462" s="41">
        <v>28</v>
      </c>
      <c r="C462" s="32">
        <v>122.58</v>
      </c>
      <c r="D462" s="32">
        <v>297.94099999999997</v>
      </c>
      <c r="E462" s="38">
        <v>729.47900000000004</v>
      </c>
      <c r="F462" s="32">
        <v>1150</v>
      </c>
      <c r="G462" s="32">
        <v>100</v>
      </c>
      <c r="H462" s="40">
        <v>600</v>
      </c>
      <c r="I462" s="32">
        <v>695</v>
      </c>
      <c r="J462" s="32">
        <v>50</v>
      </c>
      <c r="K462" s="33"/>
      <c r="L462" s="33"/>
      <c r="M462" s="33"/>
      <c r="N462" s="33"/>
      <c r="O462" s="33"/>
      <c r="P462" s="33"/>
      <c r="Q462" s="33"/>
      <c r="R462" s="33"/>
      <c r="S462" s="33"/>
      <c r="T462" s="33"/>
    </row>
    <row r="463" spans="1:20" ht="15.75">
      <c r="A463" s="13">
        <v>55974</v>
      </c>
      <c r="B463" s="41">
        <v>31</v>
      </c>
      <c r="C463" s="32">
        <v>122.58</v>
      </c>
      <c r="D463" s="32">
        <v>297.94099999999997</v>
      </c>
      <c r="E463" s="38">
        <v>729.47900000000004</v>
      </c>
      <c r="F463" s="32">
        <v>1150</v>
      </c>
      <c r="G463" s="32">
        <v>100</v>
      </c>
      <c r="H463" s="40">
        <v>600</v>
      </c>
      <c r="I463" s="32">
        <v>695</v>
      </c>
      <c r="J463" s="32">
        <v>50</v>
      </c>
      <c r="K463" s="33"/>
      <c r="L463" s="33"/>
      <c r="M463" s="33"/>
      <c r="N463" s="33"/>
      <c r="O463" s="33"/>
      <c r="P463" s="33"/>
      <c r="Q463" s="33"/>
      <c r="R463" s="33"/>
      <c r="S463" s="33"/>
      <c r="T463" s="33"/>
    </row>
    <row r="464" spans="1:20" ht="15.75">
      <c r="A464" s="13">
        <v>56004</v>
      </c>
      <c r="B464" s="41">
        <v>30</v>
      </c>
      <c r="C464" s="32">
        <v>141.29300000000001</v>
      </c>
      <c r="D464" s="32">
        <v>267.99299999999999</v>
      </c>
      <c r="E464" s="38">
        <v>829.71400000000006</v>
      </c>
      <c r="F464" s="32">
        <v>1239</v>
      </c>
      <c r="G464" s="32">
        <v>100</v>
      </c>
      <c r="H464" s="40">
        <v>600</v>
      </c>
      <c r="I464" s="32">
        <v>695</v>
      </c>
      <c r="J464" s="32">
        <v>50</v>
      </c>
      <c r="K464" s="33"/>
      <c r="L464" s="33"/>
      <c r="M464" s="33"/>
      <c r="N464" s="33"/>
      <c r="O464" s="33"/>
      <c r="P464" s="33"/>
      <c r="Q464" s="33"/>
      <c r="R464" s="33"/>
      <c r="S464" s="33"/>
      <c r="T464" s="33"/>
    </row>
    <row r="465" spans="1:20" ht="15.75">
      <c r="A465" s="13">
        <v>56035</v>
      </c>
      <c r="B465" s="41">
        <v>31</v>
      </c>
      <c r="C465" s="32">
        <v>194.20500000000001</v>
      </c>
      <c r="D465" s="32">
        <v>267.46600000000001</v>
      </c>
      <c r="E465" s="38">
        <v>812.32899999999995</v>
      </c>
      <c r="F465" s="32">
        <v>1274</v>
      </c>
      <c r="G465" s="32">
        <v>75</v>
      </c>
      <c r="H465" s="40">
        <v>600</v>
      </c>
      <c r="I465" s="32">
        <v>695</v>
      </c>
      <c r="J465" s="32">
        <v>50</v>
      </c>
      <c r="K465" s="33"/>
      <c r="L465" s="33"/>
      <c r="M465" s="33"/>
      <c r="N465" s="33"/>
      <c r="O465" s="33"/>
      <c r="P465" s="33"/>
      <c r="Q465" s="33"/>
      <c r="R465" s="33"/>
      <c r="S465" s="33"/>
      <c r="T465" s="33"/>
    </row>
    <row r="466" spans="1:20" ht="15.75">
      <c r="A466" s="13">
        <v>56065</v>
      </c>
      <c r="B466" s="41">
        <v>30</v>
      </c>
      <c r="C466" s="32">
        <v>194.20500000000001</v>
      </c>
      <c r="D466" s="32">
        <v>267.46600000000001</v>
      </c>
      <c r="E466" s="38">
        <v>812.32899999999995</v>
      </c>
      <c r="F466" s="32">
        <v>1274</v>
      </c>
      <c r="G466" s="32">
        <v>50</v>
      </c>
      <c r="H466" s="40">
        <v>600</v>
      </c>
      <c r="I466" s="32">
        <v>695</v>
      </c>
      <c r="J466" s="32">
        <v>50</v>
      </c>
      <c r="K466" s="33"/>
      <c r="L466" s="33"/>
      <c r="M466" s="33"/>
      <c r="N466" s="33"/>
      <c r="O466" s="33"/>
      <c r="P466" s="33"/>
      <c r="Q466" s="33"/>
      <c r="R466" s="33"/>
      <c r="S466" s="33"/>
      <c r="T466" s="33"/>
    </row>
    <row r="467" spans="1:20" ht="15.75">
      <c r="A467" s="13">
        <v>56096</v>
      </c>
      <c r="B467" s="41">
        <v>31</v>
      </c>
      <c r="C467" s="32">
        <v>194.20500000000001</v>
      </c>
      <c r="D467" s="32">
        <v>267.46600000000001</v>
      </c>
      <c r="E467" s="38">
        <v>812.32899999999995</v>
      </c>
      <c r="F467" s="32">
        <v>1274</v>
      </c>
      <c r="G467" s="32">
        <v>50</v>
      </c>
      <c r="H467" s="40">
        <v>600</v>
      </c>
      <c r="I467" s="32">
        <v>695</v>
      </c>
      <c r="J467" s="32">
        <v>0</v>
      </c>
      <c r="K467" s="33"/>
      <c r="L467" s="33"/>
      <c r="M467" s="33"/>
      <c r="N467" s="33"/>
      <c r="O467" s="33"/>
      <c r="P467" s="33"/>
      <c r="Q467" s="33"/>
      <c r="R467" s="33"/>
      <c r="S467" s="33"/>
      <c r="T467" s="33"/>
    </row>
    <row r="468" spans="1:20" ht="15.75">
      <c r="A468" s="13">
        <v>56127</v>
      </c>
      <c r="B468" s="41">
        <v>31</v>
      </c>
      <c r="C468" s="32">
        <v>194.20500000000001</v>
      </c>
      <c r="D468" s="32">
        <v>267.46600000000001</v>
      </c>
      <c r="E468" s="38">
        <v>812.32899999999995</v>
      </c>
      <c r="F468" s="32">
        <v>1274</v>
      </c>
      <c r="G468" s="32">
        <v>50</v>
      </c>
      <c r="H468" s="40">
        <v>600</v>
      </c>
      <c r="I468" s="32">
        <v>695</v>
      </c>
      <c r="J468" s="32">
        <v>0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33"/>
    </row>
    <row r="469" spans="1:20" ht="15.75">
      <c r="A469" s="13">
        <v>56157</v>
      </c>
      <c r="B469" s="41">
        <v>30</v>
      </c>
      <c r="C469" s="32">
        <v>194.20500000000001</v>
      </c>
      <c r="D469" s="32">
        <v>267.46600000000001</v>
      </c>
      <c r="E469" s="38">
        <v>812.32899999999995</v>
      </c>
      <c r="F469" s="32">
        <v>1274</v>
      </c>
      <c r="G469" s="32">
        <v>50</v>
      </c>
      <c r="H469" s="40">
        <v>600</v>
      </c>
      <c r="I469" s="32">
        <v>695</v>
      </c>
      <c r="J469" s="32">
        <v>0</v>
      </c>
      <c r="K469" s="33"/>
      <c r="L469" s="33"/>
      <c r="M469" s="33"/>
      <c r="N469" s="33"/>
      <c r="O469" s="33"/>
      <c r="P469" s="33"/>
      <c r="Q469" s="33"/>
      <c r="R469" s="33"/>
      <c r="S469" s="33"/>
      <c r="T469" s="33"/>
    </row>
    <row r="470" spans="1:20" ht="15.75">
      <c r="A470" s="13">
        <v>56188</v>
      </c>
      <c r="B470" s="41">
        <v>31</v>
      </c>
      <c r="C470" s="32">
        <v>131.881</v>
      </c>
      <c r="D470" s="32">
        <v>277.16699999999997</v>
      </c>
      <c r="E470" s="38">
        <v>829.952</v>
      </c>
      <c r="F470" s="32">
        <v>1239</v>
      </c>
      <c r="G470" s="32">
        <v>75</v>
      </c>
      <c r="H470" s="40">
        <v>600</v>
      </c>
      <c r="I470" s="32">
        <v>695</v>
      </c>
      <c r="J470" s="32">
        <v>0</v>
      </c>
      <c r="K470" s="33"/>
      <c r="L470" s="33"/>
      <c r="M470" s="33"/>
      <c r="N470" s="33"/>
      <c r="O470" s="33"/>
      <c r="P470" s="33"/>
      <c r="Q470" s="33"/>
      <c r="R470" s="33"/>
      <c r="S470" s="33"/>
      <c r="T470" s="33"/>
    </row>
    <row r="471" spans="1:20" ht="15.75">
      <c r="A471" s="13">
        <v>56218</v>
      </c>
      <c r="B471" s="41">
        <v>30</v>
      </c>
      <c r="C471" s="32">
        <v>122.58</v>
      </c>
      <c r="D471" s="32">
        <v>297.94099999999997</v>
      </c>
      <c r="E471" s="38">
        <v>729.47900000000004</v>
      </c>
      <c r="F471" s="32">
        <v>1150</v>
      </c>
      <c r="G471" s="32">
        <v>100</v>
      </c>
      <c r="H471" s="40">
        <v>600</v>
      </c>
      <c r="I471" s="32">
        <v>695</v>
      </c>
      <c r="J471" s="32">
        <v>50</v>
      </c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spans="1:20" ht="15.75">
      <c r="A472" s="13">
        <v>56249</v>
      </c>
      <c r="B472" s="41">
        <v>31</v>
      </c>
      <c r="C472" s="32">
        <v>122.58</v>
      </c>
      <c r="D472" s="32">
        <v>297.94099999999997</v>
      </c>
      <c r="E472" s="38">
        <v>729.47900000000004</v>
      </c>
      <c r="F472" s="32">
        <v>1150</v>
      </c>
      <c r="G472" s="32">
        <v>100</v>
      </c>
      <c r="H472" s="40">
        <v>600</v>
      </c>
      <c r="I472" s="32">
        <v>695</v>
      </c>
      <c r="J472" s="32">
        <v>50</v>
      </c>
      <c r="K472" s="33"/>
      <c r="L472" s="33"/>
      <c r="M472" s="33"/>
      <c r="N472" s="33"/>
      <c r="O472" s="33"/>
      <c r="P472" s="33"/>
      <c r="Q472" s="33"/>
      <c r="R472" s="33"/>
      <c r="S472" s="33"/>
      <c r="T472" s="33"/>
    </row>
    <row r="473" spans="1:20" ht="15.75">
      <c r="A473" s="13">
        <v>56280</v>
      </c>
      <c r="B473" s="41">
        <v>31</v>
      </c>
      <c r="C473" s="32">
        <v>122.58</v>
      </c>
      <c r="D473" s="32">
        <v>297.94099999999997</v>
      </c>
      <c r="E473" s="38">
        <v>729.47900000000004</v>
      </c>
      <c r="F473" s="32">
        <v>1150</v>
      </c>
      <c r="G473" s="32">
        <v>100</v>
      </c>
      <c r="H473" s="40">
        <v>600</v>
      </c>
      <c r="I473" s="32">
        <v>695</v>
      </c>
      <c r="J473" s="32">
        <v>50</v>
      </c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spans="1:20" ht="15.75">
      <c r="A474" s="13">
        <v>56308</v>
      </c>
      <c r="B474" s="41">
        <v>28</v>
      </c>
      <c r="C474" s="32">
        <v>122.58</v>
      </c>
      <c r="D474" s="32">
        <v>297.94099999999997</v>
      </c>
      <c r="E474" s="38">
        <v>729.47900000000004</v>
      </c>
      <c r="F474" s="32">
        <v>1150</v>
      </c>
      <c r="G474" s="32">
        <v>100</v>
      </c>
      <c r="H474" s="40">
        <v>600</v>
      </c>
      <c r="I474" s="32">
        <v>695</v>
      </c>
      <c r="J474" s="32">
        <v>50</v>
      </c>
      <c r="K474" s="33"/>
      <c r="L474" s="33"/>
      <c r="M474" s="33"/>
      <c r="N474" s="33"/>
      <c r="O474" s="33"/>
      <c r="P474" s="33"/>
      <c r="Q474" s="33"/>
      <c r="R474" s="33"/>
      <c r="S474" s="33"/>
      <c r="T474" s="33"/>
    </row>
    <row r="475" spans="1:20" ht="15.75">
      <c r="A475" s="13">
        <v>56339</v>
      </c>
      <c r="B475" s="41">
        <v>31</v>
      </c>
      <c r="C475" s="32">
        <v>122.58</v>
      </c>
      <c r="D475" s="32">
        <v>297.94099999999997</v>
      </c>
      <c r="E475" s="38">
        <v>729.47900000000004</v>
      </c>
      <c r="F475" s="32">
        <v>1150</v>
      </c>
      <c r="G475" s="32">
        <v>100</v>
      </c>
      <c r="H475" s="40">
        <v>600</v>
      </c>
      <c r="I475" s="32">
        <v>695</v>
      </c>
      <c r="J475" s="32">
        <v>50</v>
      </c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1:20" ht="15.75">
      <c r="A476" s="13">
        <v>56369</v>
      </c>
      <c r="B476" s="41">
        <v>30</v>
      </c>
      <c r="C476" s="32">
        <v>141.29300000000001</v>
      </c>
      <c r="D476" s="32">
        <v>267.99299999999999</v>
      </c>
      <c r="E476" s="38">
        <v>829.71400000000006</v>
      </c>
      <c r="F476" s="32">
        <v>1239</v>
      </c>
      <c r="G476" s="32">
        <v>100</v>
      </c>
      <c r="H476" s="40">
        <v>600</v>
      </c>
      <c r="I476" s="32">
        <v>695</v>
      </c>
      <c r="J476" s="32">
        <v>50</v>
      </c>
      <c r="K476" s="33"/>
      <c r="L476" s="33"/>
      <c r="M476" s="33"/>
      <c r="N476" s="33"/>
      <c r="O476" s="33"/>
      <c r="P476" s="33"/>
      <c r="Q476" s="33"/>
      <c r="R476" s="33"/>
      <c r="S476" s="33"/>
      <c r="T476" s="33"/>
    </row>
    <row r="477" spans="1:20" ht="15.75">
      <c r="A477" s="13">
        <v>56400</v>
      </c>
      <c r="B477" s="41">
        <v>31</v>
      </c>
      <c r="C477" s="32">
        <v>194.20500000000001</v>
      </c>
      <c r="D477" s="32">
        <v>267.46600000000001</v>
      </c>
      <c r="E477" s="38">
        <v>812.32899999999995</v>
      </c>
      <c r="F477" s="32">
        <v>1274</v>
      </c>
      <c r="G477" s="32">
        <v>75</v>
      </c>
      <c r="H477" s="40">
        <v>600</v>
      </c>
      <c r="I477" s="32">
        <v>695</v>
      </c>
      <c r="J477" s="32">
        <v>50</v>
      </c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1:20" ht="15.75">
      <c r="A478" s="13">
        <v>56430</v>
      </c>
      <c r="B478" s="41">
        <v>30</v>
      </c>
      <c r="C478" s="32">
        <v>194.20500000000001</v>
      </c>
      <c r="D478" s="32">
        <v>267.46600000000001</v>
      </c>
      <c r="E478" s="38">
        <v>812.32899999999995</v>
      </c>
      <c r="F478" s="32">
        <v>1274</v>
      </c>
      <c r="G478" s="32">
        <v>50</v>
      </c>
      <c r="H478" s="40">
        <v>600</v>
      </c>
      <c r="I478" s="32">
        <v>695</v>
      </c>
      <c r="J478" s="32">
        <v>50</v>
      </c>
      <c r="K478" s="33"/>
      <c r="L478" s="33"/>
      <c r="M478" s="33"/>
      <c r="N478" s="33"/>
      <c r="O478" s="33"/>
      <c r="P478" s="33"/>
      <c r="Q478" s="33"/>
      <c r="R478" s="33"/>
      <c r="S478" s="33"/>
      <c r="T478" s="33"/>
    </row>
    <row r="479" spans="1:20" ht="15.75">
      <c r="A479" s="13">
        <v>56461</v>
      </c>
      <c r="B479" s="41">
        <v>31</v>
      </c>
      <c r="C479" s="32">
        <v>194.20500000000001</v>
      </c>
      <c r="D479" s="32">
        <v>267.46600000000001</v>
      </c>
      <c r="E479" s="38">
        <v>812.32899999999995</v>
      </c>
      <c r="F479" s="32">
        <v>1274</v>
      </c>
      <c r="G479" s="32">
        <v>50</v>
      </c>
      <c r="H479" s="40">
        <v>600</v>
      </c>
      <c r="I479" s="32">
        <v>695</v>
      </c>
      <c r="J479" s="32">
        <v>0</v>
      </c>
      <c r="K479" s="33"/>
      <c r="L479" s="33"/>
      <c r="M479" s="33"/>
      <c r="N479" s="33"/>
      <c r="O479" s="33"/>
      <c r="P479" s="33"/>
      <c r="Q479" s="33"/>
      <c r="R479" s="33"/>
      <c r="S479" s="33"/>
      <c r="T479" s="33"/>
    </row>
    <row r="480" spans="1:20" ht="15.75">
      <c r="A480" s="13">
        <v>56492</v>
      </c>
      <c r="B480" s="41">
        <v>31</v>
      </c>
      <c r="C480" s="32">
        <v>194.20500000000001</v>
      </c>
      <c r="D480" s="32">
        <v>267.46600000000001</v>
      </c>
      <c r="E480" s="38">
        <v>812.32899999999995</v>
      </c>
      <c r="F480" s="32">
        <v>1274</v>
      </c>
      <c r="G480" s="32">
        <v>50</v>
      </c>
      <c r="H480" s="40">
        <v>600</v>
      </c>
      <c r="I480" s="32">
        <v>695</v>
      </c>
      <c r="J480" s="32">
        <v>0</v>
      </c>
      <c r="K480" s="33"/>
      <c r="L480" s="33"/>
      <c r="M480" s="33"/>
      <c r="N480" s="33"/>
      <c r="O480" s="33"/>
      <c r="P480" s="33"/>
      <c r="Q480" s="33"/>
      <c r="R480" s="33"/>
      <c r="S480" s="33"/>
      <c r="T480" s="33"/>
    </row>
    <row r="481" spans="1:20" ht="15.75">
      <c r="A481" s="13">
        <v>56522</v>
      </c>
      <c r="B481" s="41">
        <v>30</v>
      </c>
      <c r="C481" s="32">
        <v>194.20500000000001</v>
      </c>
      <c r="D481" s="32">
        <v>267.46600000000001</v>
      </c>
      <c r="E481" s="38">
        <v>812.32899999999995</v>
      </c>
      <c r="F481" s="32">
        <v>1274</v>
      </c>
      <c r="G481" s="32">
        <v>50</v>
      </c>
      <c r="H481" s="40">
        <v>600</v>
      </c>
      <c r="I481" s="32">
        <v>695</v>
      </c>
      <c r="J481" s="32">
        <v>0</v>
      </c>
      <c r="K481" s="33"/>
      <c r="L481" s="33"/>
      <c r="M481" s="33"/>
      <c r="N481" s="33"/>
      <c r="O481" s="33"/>
      <c r="P481" s="33"/>
      <c r="Q481" s="33"/>
      <c r="R481" s="33"/>
      <c r="S481" s="33"/>
      <c r="T481" s="33"/>
    </row>
    <row r="482" spans="1:20" ht="15.75">
      <c r="A482" s="13">
        <v>56553</v>
      </c>
      <c r="B482" s="41">
        <v>31</v>
      </c>
      <c r="C482" s="32">
        <v>131.881</v>
      </c>
      <c r="D482" s="32">
        <v>277.16699999999997</v>
      </c>
      <c r="E482" s="38">
        <v>829.952</v>
      </c>
      <c r="F482" s="32">
        <v>1239</v>
      </c>
      <c r="G482" s="32">
        <v>75</v>
      </c>
      <c r="H482" s="40">
        <v>600</v>
      </c>
      <c r="I482" s="32">
        <v>695</v>
      </c>
      <c r="J482" s="32">
        <v>0</v>
      </c>
      <c r="K482" s="33"/>
      <c r="L482" s="33"/>
      <c r="M482" s="33"/>
      <c r="N482" s="33"/>
      <c r="O482" s="33"/>
      <c r="P482" s="33"/>
      <c r="Q482" s="33"/>
      <c r="R482" s="33"/>
      <c r="S482" s="33"/>
      <c r="T482" s="33"/>
    </row>
    <row r="483" spans="1:20" ht="15.75">
      <c r="A483" s="13">
        <v>56583</v>
      </c>
      <c r="B483" s="41">
        <v>30</v>
      </c>
      <c r="C483" s="32">
        <v>122.58</v>
      </c>
      <c r="D483" s="32">
        <v>297.94099999999997</v>
      </c>
      <c r="E483" s="38">
        <v>729.47900000000004</v>
      </c>
      <c r="F483" s="32">
        <v>1150</v>
      </c>
      <c r="G483" s="32">
        <v>100</v>
      </c>
      <c r="H483" s="40">
        <v>600</v>
      </c>
      <c r="I483" s="32">
        <v>695</v>
      </c>
      <c r="J483" s="32">
        <v>50</v>
      </c>
      <c r="K483" s="33"/>
      <c r="L483" s="33"/>
      <c r="M483" s="33"/>
      <c r="N483" s="33"/>
      <c r="O483" s="33"/>
      <c r="P483" s="33"/>
      <c r="Q483" s="33"/>
      <c r="R483" s="33"/>
      <c r="S483" s="33"/>
      <c r="T483" s="33"/>
    </row>
    <row r="484" spans="1:20" ht="15.75">
      <c r="A484" s="13">
        <v>56614</v>
      </c>
      <c r="B484" s="41">
        <v>31</v>
      </c>
      <c r="C484" s="32">
        <v>122.58</v>
      </c>
      <c r="D484" s="32">
        <v>297.94099999999997</v>
      </c>
      <c r="E484" s="38">
        <v>729.47900000000004</v>
      </c>
      <c r="F484" s="32">
        <v>1150</v>
      </c>
      <c r="G484" s="32">
        <v>100</v>
      </c>
      <c r="H484" s="40">
        <v>600</v>
      </c>
      <c r="I484" s="32">
        <v>695</v>
      </c>
      <c r="J484" s="32">
        <v>50</v>
      </c>
      <c r="K484" s="33"/>
      <c r="L484" s="33"/>
      <c r="M484" s="33"/>
      <c r="N484" s="33"/>
      <c r="O484" s="33"/>
      <c r="P484" s="33"/>
      <c r="Q484" s="33"/>
      <c r="R484" s="33"/>
      <c r="S484" s="33"/>
      <c r="T484" s="33"/>
    </row>
    <row r="485" spans="1:20" ht="15.75">
      <c r="A485" s="13">
        <v>56645</v>
      </c>
      <c r="B485" s="41">
        <v>31</v>
      </c>
      <c r="C485" s="32">
        <v>122.58</v>
      </c>
      <c r="D485" s="32">
        <v>297.94099999999997</v>
      </c>
      <c r="E485" s="38">
        <v>729.47900000000004</v>
      </c>
      <c r="F485" s="32">
        <v>1150</v>
      </c>
      <c r="G485" s="32">
        <v>100</v>
      </c>
      <c r="H485" s="40">
        <v>600</v>
      </c>
      <c r="I485" s="32">
        <v>695</v>
      </c>
      <c r="J485" s="32">
        <v>50</v>
      </c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1:20" ht="15.75">
      <c r="A486" s="13">
        <v>56673</v>
      </c>
      <c r="B486" s="41">
        <v>28</v>
      </c>
      <c r="C486" s="32">
        <v>122.58</v>
      </c>
      <c r="D486" s="32">
        <v>297.94099999999997</v>
      </c>
      <c r="E486" s="38">
        <v>729.47900000000004</v>
      </c>
      <c r="F486" s="32">
        <v>1150</v>
      </c>
      <c r="G486" s="32">
        <v>100</v>
      </c>
      <c r="H486" s="40">
        <v>600</v>
      </c>
      <c r="I486" s="32">
        <v>695</v>
      </c>
      <c r="J486" s="32">
        <v>50</v>
      </c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1:20" ht="15.75">
      <c r="A487" s="13">
        <v>56704</v>
      </c>
      <c r="B487" s="41">
        <v>31</v>
      </c>
      <c r="C487" s="32">
        <v>122.58</v>
      </c>
      <c r="D487" s="32">
        <v>297.94099999999997</v>
      </c>
      <c r="E487" s="38">
        <v>729.47900000000004</v>
      </c>
      <c r="F487" s="32">
        <v>1150</v>
      </c>
      <c r="G487" s="32">
        <v>100</v>
      </c>
      <c r="H487" s="40">
        <v>600</v>
      </c>
      <c r="I487" s="32">
        <v>695</v>
      </c>
      <c r="J487" s="32">
        <v>50</v>
      </c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1:20" ht="15.75">
      <c r="A488" s="13">
        <v>56734</v>
      </c>
      <c r="B488" s="41">
        <v>30</v>
      </c>
      <c r="C488" s="32">
        <v>141.29300000000001</v>
      </c>
      <c r="D488" s="32">
        <v>267.99299999999999</v>
      </c>
      <c r="E488" s="38">
        <v>829.71400000000006</v>
      </c>
      <c r="F488" s="32">
        <v>1239</v>
      </c>
      <c r="G488" s="32">
        <v>100</v>
      </c>
      <c r="H488" s="40">
        <v>600</v>
      </c>
      <c r="I488" s="32">
        <v>695</v>
      </c>
      <c r="J488" s="32">
        <v>50</v>
      </c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1:20" ht="15.75">
      <c r="A489" s="13">
        <v>56765</v>
      </c>
      <c r="B489" s="41">
        <v>31</v>
      </c>
      <c r="C489" s="32">
        <v>194.20500000000001</v>
      </c>
      <c r="D489" s="32">
        <v>267.46600000000001</v>
      </c>
      <c r="E489" s="38">
        <v>812.32899999999995</v>
      </c>
      <c r="F489" s="32">
        <v>1274</v>
      </c>
      <c r="G489" s="32">
        <v>75</v>
      </c>
      <c r="H489" s="40">
        <v>600</v>
      </c>
      <c r="I489" s="32">
        <v>695</v>
      </c>
      <c r="J489" s="32">
        <v>50</v>
      </c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1:20" ht="15.75">
      <c r="A490" s="13">
        <v>56795</v>
      </c>
      <c r="B490" s="41">
        <v>30</v>
      </c>
      <c r="C490" s="32">
        <v>194.20500000000001</v>
      </c>
      <c r="D490" s="32">
        <v>267.46600000000001</v>
      </c>
      <c r="E490" s="38">
        <v>812.32899999999995</v>
      </c>
      <c r="F490" s="32">
        <v>1274</v>
      </c>
      <c r="G490" s="32">
        <v>50</v>
      </c>
      <c r="H490" s="40">
        <v>600</v>
      </c>
      <c r="I490" s="32">
        <v>695</v>
      </c>
      <c r="J490" s="32">
        <v>50</v>
      </c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5.75">
      <c r="A491" s="13">
        <v>56826</v>
      </c>
      <c r="B491" s="41">
        <v>31</v>
      </c>
      <c r="C491" s="32">
        <v>194.20500000000001</v>
      </c>
      <c r="D491" s="32">
        <v>267.46600000000001</v>
      </c>
      <c r="E491" s="38">
        <v>812.32899999999995</v>
      </c>
      <c r="F491" s="32">
        <v>1274</v>
      </c>
      <c r="G491" s="32">
        <v>50</v>
      </c>
      <c r="H491" s="40">
        <v>600</v>
      </c>
      <c r="I491" s="32">
        <v>695</v>
      </c>
      <c r="J491" s="32">
        <v>0</v>
      </c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1:20" ht="15.75">
      <c r="A492" s="13">
        <v>56857</v>
      </c>
      <c r="B492" s="41">
        <v>31</v>
      </c>
      <c r="C492" s="32">
        <v>194.20500000000001</v>
      </c>
      <c r="D492" s="32">
        <v>267.46600000000001</v>
      </c>
      <c r="E492" s="38">
        <v>812.32899999999995</v>
      </c>
      <c r="F492" s="32">
        <v>1274</v>
      </c>
      <c r="G492" s="32">
        <v>50</v>
      </c>
      <c r="H492" s="40">
        <v>600</v>
      </c>
      <c r="I492" s="32">
        <v>695</v>
      </c>
      <c r="J492" s="32">
        <v>0</v>
      </c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5.75">
      <c r="A493" s="13">
        <v>56887</v>
      </c>
      <c r="B493" s="41">
        <v>30</v>
      </c>
      <c r="C493" s="32">
        <v>194.20500000000001</v>
      </c>
      <c r="D493" s="32">
        <v>267.46600000000001</v>
      </c>
      <c r="E493" s="38">
        <v>812.32899999999995</v>
      </c>
      <c r="F493" s="32">
        <v>1274</v>
      </c>
      <c r="G493" s="32">
        <v>50</v>
      </c>
      <c r="H493" s="40">
        <v>600</v>
      </c>
      <c r="I493" s="32">
        <v>695</v>
      </c>
      <c r="J493" s="32">
        <v>0</v>
      </c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1:20" ht="15.75">
      <c r="A494" s="13">
        <v>56918</v>
      </c>
      <c r="B494" s="41">
        <v>31</v>
      </c>
      <c r="C494" s="32">
        <v>131.881</v>
      </c>
      <c r="D494" s="32">
        <v>277.16699999999997</v>
      </c>
      <c r="E494" s="38">
        <v>829.952</v>
      </c>
      <c r="F494" s="32">
        <v>1239</v>
      </c>
      <c r="G494" s="32">
        <v>75</v>
      </c>
      <c r="H494" s="40">
        <v>600</v>
      </c>
      <c r="I494" s="32">
        <v>695</v>
      </c>
      <c r="J494" s="32">
        <v>0</v>
      </c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15.75">
      <c r="A495" s="13">
        <v>56948</v>
      </c>
      <c r="B495" s="41">
        <v>30</v>
      </c>
      <c r="C495" s="32">
        <v>122.58</v>
      </c>
      <c r="D495" s="32">
        <v>297.94099999999997</v>
      </c>
      <c r="E495" s="38">
        <v>729.47900000000004</v>
      </c>
      <c r="F495" s="32">
        <v>1150</v>
      </c>
      <c r="G495" s="32">
        <v>100</v>
      </c>
      <c r="H495" s="40">
        <v>600</v>
      </c>
      <c r="I495" s="32">
        <v>695</v>
      </c>
      <c r="J495" s="32">
        <v>50</v>
      </c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1:20" ht="15.75">
      <c r="A496" s="13">
        <v>56979</v>
      </c>
      <c r="B496" s="41">
        <v>31</v>
      </c>
      <c r="C496" s="32">
        <v>122.58</v>
      </c>
      <c r="D496" s="32">
        <v>297.94099999999997</v>
      </c>
      <c r="E496" s="38">
        <v>729.47900000000004</v>
      </c>
      <c r="F496" s="32">
        <v>1150</v>
      </c>
      <c r="G496" s="32">
        <v>100</v>
      </c>
      <c r="H496" s="40">
        <v>600</v>
      </c>
      <c r="I496" s="32">
        <v>695</v>
      </c>
      <c r="J496" s="32">
        <v>50</v>
      </c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1:20" ht="15.75">
      <c r="A497" s="13">
        <v>57010</v>
      </c>
      <c r="B497" s="41">
        <v>31</v>
      </c>
      <c r="C497" s="32">
        <v>122.58</v>
      </c>
      <c r="D497" s="32">
        <v>297.94099999999997</v>
      </c>
      <c r="E497" s="38">
        <v>729.47900000000004</v>
      </c>
      <c r="F497" s="32">
        <v>1150</v>
      </c>
      <c r="G497" s="32">
        <v>100</v>
      </c>
      <c r="H497" s="40">
        <v>600</v>
      </c>
      <c r="I497" s="32">
        <v>695</v>
      </c>
      <c r="J497" s="32">
        <v>50</v>
      </c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1:20" ht="15.75">
      <c r="A498" s="13">
        <v>57038</v>
      </c>
      <c r="B498" s="41">
        <v>29</v>
      </c>
      <c r="C498" s="32">
        <v>122.58</v>
      </c>
      <c r="D498" s="32">
        <v>297.94099999999997</v>
      </c>
      <c r="E498" s="38">
        <v>729.47900000000004</v>
      </c>
      <c r="F498" s="32">
        <v>1150</v>
      </c>
      <c r="G498" s="32">
        <v>100</v>
      </c>
      <c r="H498" s="40">
        <v>600</v>
      </c>
      <c r="I498" s="32">
        <v>695</v>
      </c>
      <c r="J498" s="32">
        <v>50</v>
      </c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1:20" ht="15.75">
      <c r="A499" s="13">
        <v>57070</v>
      </c>
      <c r="B499" s="41">
        <v>31</v>
      </c>
      <c r="C499" s="32">
        <v>122.58</v>
      </c>
      <c r="D499" s="32">
        <v>297.94099999999997</v>
      </c>
      <c r="E499" s="38">
        <v>729.47900000000004</v>
      </c>
      <c r="F499" s="32">
        <v>1150</v>
      </c>
      <c r="G499" s="32">
        <v>100</v>
      </c>
      <c r="H499" s="40">
        <v>600</v>
      </c>
      <c r="I499" s="32">
        <v>695</v>
      </c>
      <c r="J499" s="32">
        <v>50</v>
      </c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1:20" ht="15.75">
      <c r="A500" s="13">
        <v>57100</v>
      </c>
      <c r="B500" s="41">
        <v>30</v>
      </c>
      <c r="C500" s="32">
        <v>141.29300000000001</v>
      </c>
      <c r="D500" s="32">
        <v>267.99299999999999</v>
      </c>
      <c r="E500" s="38">
        <v>829.71400000000006</v>
      </c>
      <c r="F500" s="32">
        <v>1239</v>
      </c>
      <c r="G500" s="32">
        <v>100</v>
      </c>
      <c r="H500" s="40">
        <v>600</v>
      </c>
      <c r="I500" s="32">
        <v>695</v>
      </c>
      <c r="J500" s="32">
        <v>50</v>
      </c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1:20" ht="15.75">
      <c r="A501" s="13">
        <v>57131</v>
      </c>
      <c r="B501" s="41">
        <v>31</v>
      </c>
      <c r="C501" s="32">
        <v>194.20500000000001</v>
      </c>
      <c r="D501" s="32">
        <v>267.46600000000001</v>
      </c>
      <c r="E501" s="38">
        <v>812.32899999999995</v>
      </c>
      <c r="F501" s="32">
        <v>1274</v>
      </c>
      <c r="G501" s="32">
        <v>75</v>
      </c>
      <c r="H501" s="40">
        <v>600</v>
      </c>
      <c r="I501" s="32">
        <v>695</v>
      </c>
      <c r="J501" s="32">
        <v>50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1:20" ht="15.75">
      <c r="A502" s="13">
        <v>57161</v>
      </c>
      <c r="B502" s="41">
        <v>30</v>
      </c>
      <c r="C502" s="32">
        <v>194.20500000000001</v>
      </c>
      <c r="D502" s="32">
        <v>267.46600000000001</v>
      </c>
      <c r="E502" s="38">
        <v>812.32899999999995</v>
      </c>
      <c r="F502" s="32">
        <v>1274</v>
      </c>
      <c r="G502" s="32">
        <v>50</v>
      </c>
      <c r="H502" s="40">
        <v>600</v>
      </c>
      <c r="I502" s="32">
        <v>695</v>
      </c>
      <c r="J502" s="32">
        <v>50</v>
      </c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t="15.75">
      <c r="A503" s="13">
        <v>57192</v>
      </c>
      <c r="B503" s="41">
        <v>31</v>
      </c>
      <c r="C503" s="32">
        <v>194.20500000000001</v>
      </c>
      <c r="D503" s="32">
        <v>267.46600000000001</v>
      </c>
      <c r="E503" s="38">
        <v>812.32899999999995</v>
      </c>
      <c r="F503" s="32">
        <v>1274</v>
      </c>
      <c r="G503" s="32">
        <v>50</v>
      </c>
      <c r="H503" s="40">
        <v>600</v>
      </c>
      <c r="I503" s="32">
        <v>695</v>
      </c>
      <c r="J503" s="32">
        <v>0</v>
      </c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t="15.75">
      <c r="A504" s="13">
        <v>57223</v>
      </c>
      <c r="B504" s="41">
        <v>31</v>
      </c>
      <c r="C504" s="32">
        <v>194.20500000000001</v>
      </c>
      <c r="D504" s="32">
        <v>267.46600000000001</v>
      </c>
      <c r="E504" s="38">
        <v>812.32899999999995</v>
      </c>
      <c r="F504" s="32">
        <v>1274</v>
      </c>
      <c r="G504" s="32">
        <v>50</v>
      </c>
      <c r="H504" s="40">
        <v>600</v>
      </c>
      <c r="I504" s="32">
        <v>695</v>
      </c>
      <c r="J504" s="32">
        <v>0</v>
      </c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1:20" ht="15.75">
      <c r="A505" s="13">
        <v>57253</v>
      </c>
      <c r="B505" s="41">
        <v>30</v>
      </c>
      <c r="C505" s="32">
        <v>194.20500000000001</v>
      </c>
      <c r="D505" s="32">
        <v>267.46600000000001</v>
      </c>
      <c r="E505" s="38">
        <v>812.32899999999995</v>
      </c>
      <c r="F505" s="32">
        <v>1274</v>
      </c>
      <c r="G505" s="32">
        <v>50</v>
      </c>
      <c r="H505" s="40">
        <v>600</v>
      </c>
      <c r="I505" s="32">
        <v>695</v>
      </c>
      <c r="J505" s="32">
        <v>0</v>
      </c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15.75">
      <c r="A506" s="13">
        <v>57284</v>
      </c>
      <c r="B506" s="41">
        <v>31</v>
      </c>
      <c r="C506" s="32">
        <v>131.881</v>
      </c>
      <c r="D506" s="32">
        <v>277.16699999999997</v>
      </c>
      <c r="E506" s="38">
        <v>829.952</v>
      </c>
      <c r="F506" s="32">
        <v>1239</v>
      </c>
      <c r="G506" s="32">
        <v>75</v>
      </c>
      <c r="H506" s="40">
        <v>600</v>
      </c>
      <c r="I506" s="32">
        <v>695</v>
      </c>
      <c r="J506" s="32">
        <v>0</v>
      </c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1:20" ht="15.75">
      <c r="A507" s="13">
        <v>57314</v>
      </c>
      <c r="B507" s="41">
        <v>30</v>
      </c>
      <c r="C507" s="32">
        <v>122.58</v>
      </c>
      <c r="D507" s="32">
        <v>297.94099999999997</v>
      </c>
      <c r="E507" s="38">
        <v>729.47900000000004</v>
      </c>
      <c r="F507" s="32">
        <v>1150</v>
      </c>
      <c r="G507" s="32">
        <v>100</v>
      </c>
      <c r="H507" s="40">
        <v>600</v>
      </c>
      <c r="I507" s="32">
        <v>695</v>
      </c>
      <c r="J507" s="32">
        <v>50</v>
      </c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1:20" ht="15.75">
      <c r="A508" s="13">
        <v>57345</v>
      </c>
      <c r="B508" s="41">
        <v>31</v>
      </c>
      <c r="C508" s="32">
        <v>122.58</v>
      </c>
      <c r="D508" s="32">
        <v>297.94099999999997</v>
      </c>
      <c r="E508" s="38">
        <v>729.47900000000004</v>
      </c>
      <c r="F508" s="32">
        <v>1150</v>
      </c>
      <c r="G508" s="32">
        <v>100</v>
      </c>
      <c r="H508" s="40">
        <v>600</v>
      </c>
      <c r="I508" s="32">
        <v>695</v>
      </c>
      <c r="J508" s="32">
        <v>50</v>
      </c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1:20" ht="15.75">
      <c r="A509" s="13">
        <v>57376</v>
      </c>
      <c r="B509" s="41">
        <v>31</v>
      </c>
      <c r="C509" s="32">
        <v>122.58</v>
      </c>
      <c r="D509" s="32">
        <v>297.94099999999997</v>
      </c>
      <c r="E509" s="38">
        <v>729.47900000000004</v>
      </c>
      <c r="F509" s="32">
        <v>1150</v>
      </c>
      <c r="G509" s="32">
        <v>100</v>
      </c>
      <c r="H509" s="40">
        <v>600</v>
      </c>
      <c r="I509" s="32">
        <v>695</v>
      </c>
      <c r="J509" s="32">
        <v>50</v>
      </c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1:20" ht="15.75">
      <c r="A510" s="13">
        <v>57404</v>
      </c>
      <c r="B510" s="41">
        <v>28</v>
      </c>
      <c r="C510" s="32">
        <v>122.58</v>
      </c>
      <c r="D510" s="32">
        <v>297.94099999999997</v>
      </c>
      <c r="E510" s="38">
        <v>729.47900000000004</v>
      </c>
      <c r="F510" s="32">
        <v>1150</v>
      </c>
      <c r="G510" s="32">
        <v>100</v>
      </c>
      <c r="H510" s="40">
        <v>600</v>
      </c>
      <c r="I510" s="32">
        <v>695</v>
      </c>
      <c r="J510" s="32">
        <v>50</v>
      </c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1:20" ht="15.75">
      <c r="A511" s="13">
        <v>57435</v>
      </c>
      <c r="B511" s="41">
        <v>31</v>
      </c>
      <c r="C511" s="32">
        <v>122.58</v>
      </c>
      <c r="D511" s="32">
        <v>297.94099999999997</v>
      </c>
      <c r="E511" s="38">
        <v>729.47900000000004</v>
      </c>
      <c r="F511" s="32">
        <v>1150</v>
      </c>
      <c r="G511" s="32">
        <v>100</v>
      </c>
      <c r="H511" s="40">
        <v>600</v>
      </c>
      <c r="I511" s="32">
        <v>695</v>
      </c>
      <c r="J511" s="32">
        <v>50</v>
      </c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1:20" ht="15.75">
      <c r="A512" s="13">
        <v>57465</v>
      </c>
      <c r="B512" s="41">
        <v>30</v>
      </c>
      <c r="C512" s="32">
        <v>141.29300000000001</v>
      </c>
      <c r="D512" s="32">
        <v>267.99299999999999</v>
      </c>
      <c r="E512" s="38">
        <v>829.71400000000006</v>
      </c>
      <c r="F512" s="32">
        <v>1239</v>
      </c>
      <c r="G512" s="32">
        <v>100</v>
      </c>
      <c r="H512" s="40">
        <v>600</v>
      </c>
      <c r="I512" s="32">
        <v>695</v>
      </c>
      <c r="J512" s="32">
        <v>50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ht="15.75">
      <c r="A513" s="13">
        <v>57496</v>
      </c>
      <c r="B513" s="41">
        <v>31</v>
      </c>
      <c r="C513" s="32">
        <v>194.20500000000001</v>
      </c>
      <c r="D513" s="32">
        <v>267.46600000000001</v>
      </c>
      <c r="E513" s="38">
        <v>812.32899999999995</v>
      </c>
      <c r="F513" s="32">
        <v>1274</v>
      </c>
      <c r="G513" s="32">
        <v>75</v>
      </c>
      <c r="H513" s="40">
        <v>600</v>
      </c>
      <c r="I513" s="32">
        <v>695</v>
      </c>
      <c r="J513" s="32">
        <v>50</v>
      </c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1:20" ht="15.75">
      <c r="A514" s="13">
        <v>57526</v>
      </c>
      <c r="B514" s="41">
        <v>30</v>
      </c>
      <c r="C514" s="32">
        <v>194.20500000000001</v>
      </c>
      <c r="D514" s="32">
        <v>267.46600000000001</v>
      </c>
      <c r="E514" s="38">
        <v>812.32899999999995</v>
      </c>
      <c r="F514" s="32">
        <v>1274</v>
      </c>
      <c r="G514" s="32">
        <v>50</v>
      </c>
      <c r="H514" s="40">
        <v>600</v>
      </c>
      <c r="I514" s="32">
        <v>695</v>
      </c>
      <c r="J514" s="32">
        <v>50</v>
      </c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1:20" ht="15.75">
      <c r="A515" s="13">
        <v>57557</v>
      </c>
      <c r="B515" s="41">
        <v>31</v>
      </c>
      <c r="C515" s="32">
        <v>194.20500000000001</v>
      </c>
      <c r="D515" s="32">
        <v>267.46600000000001</v>
      </c>
      <c r="E515" s="38">
        <v>812.32899999999995</v>
      </c>
      <c r="F515" s="32">
        <v>1274</v>
      </c>
      <c r="G515" s="32">
        <v>50</v>
      </c>
      <c r="H515" s="40">
        <v>600</v>
      </c>
      <c r="I515" s="32">
        <v>695</v>
      </c>
      <c r="J515" s="32">
        <v>0</v>
      </c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1:20" ht="15.75">
      <c r="A516" s="13">
        <v>57588</v>
      </c>
      <c r="B516" s="41">
        <v>31</v>
      </c>
      <c r="C516" s="32">
        <v>194.20500000000001</v>
      </c>
      <c r="D516" s="32">
        <v>267.46600000000001</v>
      </c>
      <c r="E516" s="38">
        <v>812.32899999999995</v>
      </c>
      <c r="F516" s="32">
        <v>1274</v>
      </c>
      <c r="G516" s="32">
        <v>50</v>
      </c>
      <c r="H516" s="40">
        <v>600</v>
      </c>
      <c r="I516" s="32">
        <v>695</v>
      </c>
      <c r="J516" s="32">
        <v>0</v>
      </c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15.75">
      <c r="A517" s="13">
        <v>57618</v>
      </c>
      <c r="B517" s="41">
        <v>30</v>
      </c>
      <c r="C517" s="32">
        <v>194.20500000000001</v>
      </c>
      <c r="D517" s="32">
        <v>267.46600000000001</v>
      </c>
      <c r="E517" s="38">
        <v>812.32899999999995</v>
      </c>
      <c r="F517" s="32">
        <v>1274</v>
      </c>
      <c r="G517" s="32">
        <v>50</v>
      </c>
      <c r="H517" s="40">
        <v>600</v>
      </c>
      <c r="I517" s="32">
        <v>695</v>
      </c>
      <c r="J517" s="32">
        <v>0</v>
      </c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1:20" ht="15.75">
      <c r="A518" s="13">
        <v>57649</v>
      </c>
      <c r="B518" s="41">
        <v>31</v>
      </c>
      <c r="C518" s="32">
        <v>131.881</v>
      </c>
      <c r="D518" s="32">
        <v>277.16699999999997</v>
      </c>
      <c r="E518" s="38">
        <v>829.952</v>
      </c>
      <c r="F518" s="32">
        <v>1239</v>
      </c>
      <c r="G518" s="32">
        <v>75</v>
      </c>
      <c r="H518" s="40">
        <v>600</v>
      </c>
      <c r="I518" s="32">
        <v>695</v>
      </c>
      <c r="J518" s="32">
        <v>0</v>
      </c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1:20" ht="15.75">
      <c r="A519" s="13">
        <v>57679</v>
      </c>
      <c r="B519" s="41">
        <v>30</v>
      </c>
      <c r="C519" s="32">
        <v>122.58</v>
      </c>
      <c r="D519" s="32">
        <v>297.94099999999997</v>
      </c>
      <c r="E519" s="38">
        <v>729.47900000000004</v>
      </c>
      <c r="F519" s="32">
        <v>1150</v>
      </c>
      <c r="G519" s="32">
        <v>100</v>
      </c>
      <c r="H519" s="40">
        <v>600</v>
      </c>
      <c r="I519" s="32">
        <v>695</v>
      </c>
      <c r="J519" s="32">
        <v>50</v>
      </c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1:20" ht="15.75">
      <c r="A520" s="13">
        <v>57710</v>
      </c>
      <c r="B520" s="41">
        <v>31</v>
      </c>
      <c r="C520" s="32">
        <v>122.58</v>
      </c>
      <c r="D520" s="32">
        <v>297.94099999999997</v>
      </c>
      <c r="E520" s="38">
        <v>729.47900000000004</v>
      </c>
      <c r="F520" s="32">
        <v>1150</v>
      </c>
      <c r="G520" s="32">
        <v>100</v>
      </c>
      <c r="H520" s="40">
        <v>600</v>
      </c>
      <c r="I520" s="32">
        <v>695</v>
      </c>
      <c r="J520" s="32">
        <v>50</v>
      </c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1:20" ht="15.75">
      <c r="A521" s="13">
        <v>57741</v>
      </c>
      <c r="B521" s="41">
        <v>31</v>
      </c>
      <c r="C521" s="32">
        <v>122.58</v>
      </c>
      <c r="D521" s="32">
        <v>297.94099999999997</v>
      </c>
      <c r="E521" s="38">
        <v>729.47900000000004</v>
      </c>
      <c r="F521" s="32">
        <v>1150</v>
      </c>
      <c r="G521" s="32">
        <v>100</v>
      </c>
      <c r="H521" s="40">
        <v>600</v>
      </c>
      <c r="I521" s="32">
        <v>695</v>
      </c>
      <c r="J521" s="32">
        <v>50</v>
      </c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1:20" ht="15.75">
      <c r="A522" s="13">
        <v>57769</v>
      </c>
      <c r="B522" s="41">
        <v>28</v>
      </c>
      <c r="C522" s="32">
        <v>122.58</v>
      </c>
      <c r="D522" s="32">
        <v>297.94099999999997</v>
      </c>
      <c r="E522" s="38">
        <v>729.47900000000004</v>
      </c>
      <c r="F522" s="32">
        <v>1150</v>
      </c>
      <c r="G522" s="32">
        <v>100</v>
      </c>
      <c r="H522" s="40">
        <v>600</v>
      </c>
      <c r="I522" s="32">
        <v>695</v>
      </c>
      <c r="J522" s="32">
        <v>50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1:20" ht="15.75">
      <c r="A523" s="13">
        <v>57800</v>
      </c>
      <c r="B523" s="41">
        <v>31</v>
      </c>
      <c r="C523" s="32">
        <v>122.58</v>
      </c>
      <c r="D523" s="32">
        <v>297.94099999999997</v>
      </c>
      <c r="E523" s="38">
        <v>729.47900000000004</v>
      </c>
      <c r="F523" s="32">
        <v>1150</v>
      </c>
      <c r="G523" s="32">
        <v>100</v>
      </c>
      <c r="H523" s="40">
        <v>600</v>
      </c>
      <c r="I523" s="32">
        <v>695</v>
      </c>
      <c r="J523" s="32">
        <v>50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1:20" ht="15.75">
      <c r="A524" s="13">
        <v>57830</v>
      </c>
      <c r="B524" s="41">
        <v>30</v>
      </c>
      <c r="C524" s="32">
        <v>141.29300000000001</v>
      </c>
      <c r="D524" s="32">
        <v>267.99299999999999</v>
      </c>
      <c r="E524" s="38">
        <v>829.71400000000006</v>
      </c>
      <c r="F524" s="32">
        <v>1239</v>
      </c>
      <c r="G524" s="32">
        <v>100</v>
      </c>
      <c r="H524" s="40">
        <v>600</v>
      </c>
      <c r="I524" s="32">
        <v>695</v>
      </c>
      <c r="J524" s="32">
        <v>50</v>
      </c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1:20" ht="15.75">
      <c r="A525" s="13">
        <v>57861</v>
      </c>
      <c r="B525" s="41">
        <v>31</v>
      </c>
      <c r="C525" s="32">
        <v>194.20500000000001</v>
      </c>
      <c r="D525" s="32">
        <v>267.46600000000001</v>
      </c>
      <c r="E525" s="38">
        <v>812.32899999999995</v>
      </c>
      <c r="F525" s="32">
        <v>1274</v>
      </c>
      <c r="G525" s="32">
        <v>75</v>
      </c>
      <c r="H525" s="40">
        <v>600</v>
      </c>
      <c r="I525" s="32">
        <v>695</v>
      </c>
      <c r="J525" s="32">
        <v>50</v>
      </c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1:20" ht="15.75">
      <c r="A526" s="13">
        <v>57891</v>
      </c>
      <c r="B526" s="41">
        <v>30</v>
      </c>
      <c r="C526" s="32">
        <v>194.20500000000001</v>
      </c>
      <c r="D526" s="32">
        <v>267.46600000000001</v>
      </c>
      <c r="E526" s="38">
        <v>812.32899999999995</v>
      </c>
      <c r="F526" s="32">
        <v>1274</v>
      </c>
      <c r="G526" s="32">
        <v>50</v>
      </c>
      <c r="H526" s="40">
        <v>600</v>
      </c>
      <c r="I526" s="32">
        <v>695</v>
      </c>
      <c r="J526" s="32">
        <v>50</v>
      </c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1:20" ht="15.75">
      <c r="A527" s="13">
        <v>57922</v>
      </c>
      <c r="B527" s="41">
        <v>31</v>
      </c>
      <c r="C527" s="32">
        <v>194.20500000000001</v>
      </c>
      <c r="D527" s="32">
        <v>267.46600000000001</v>
      </c>
      <c r="E527" s="38">
        <v>812.32899999999995</v>
      </c>
      <c r="F527" s="32">
        <v>1274</v>
      </c>
      <c r="G527" s="32">
        <v>50</v>
      </c>
      <c r="H527" s="40">
        <v>600</v>
      </c>
      <c r="I527" s="32">
        <v>695</v>
      </c>
      <c r="J527" s="32">
        <v>0</v>
      </c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15.75">
      <c r="A528" s="13">
        <v>57953</v>
      </c>
      <c r="B528" s="41">
        <v>31</v>
      </c>
      <c r="C528" s="32">
        <v>194.20500000000001</v>
      </c>
      <c r="D528" s="32">
        <v>267.46600000000001</v>
      </c>
      <c r="E528" s="38">
        <v>812.32899999999995</v>
      </c>
      <c r="F528" s="32">
        <v>1274</v>
      </c>
      <c r="G528" s="32">
        <v>50</v>
      </c>
      <c r="H528" s="40">
        <v>600</v>
      </c>
      <c r="I528" s="32">
        <v>695</v>
      </c>
      <c r="J528" s="32">
        <v>0</v>
      </c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0" ht="15.75">
      <c r="A529" s="13">
        <v>57983</v>
      </c>
      <c r="B529" s="41">
        <v>30</v>
      </c>
      <c r="C529" s="32">
        <v>194.20500000000001</v>
      </c>
      <c r="D529" s="32">
        <v>267.46600000000001</v>
      </c>
      <c r="E529" s="38">
        <v>812.32899999999995</v>
      </c>
      <c r="F529" s="32">
        <v>1274</v>
      </c>
      <c r="G529" s="32">
        <v>50</v>
      </c>
      <c r="H529" s="40">
        <v>600</v>
      </c>
      <c r="I529" s="32">
        <v>695</v>
      </c>
      <c r="J529" s="32">
        <v>0</v>
      </c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0" ht="15.75">
      <c r="A530" s="13">
        <v>58014</v>
      </c>
      <c r="B530" s="41">
        <v>31</v>
      </c>
      <c r="C530" s="32">
        <v>131.881</v>
      </c>
      <c r="D530" s="32">
        <v>277.16699999999997</v>
      </c>
      <c r="E530" s="38">
        <v>829.952</v>
      </c>
      <c r="F530" s="32">
        <v>1239</v>
      </c>
      <c r="G530" s="32">
        <v>75</v>
      </c>
      <c r="H530" s="40">
        <v>600</v>
      </c>
      <c r="I530" s="32">
        <v>695</v>
      </c>
      <c r="J530" s="32">
        <v>0</v>
      </c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0" ht="15.75">
      <c r="A531" s="13">
        <v>58044</v>
      </c>
      <c r="B531" s="41">
        <v>30</v>
      </c>
      <c r="C531" s="32">
        <v>122.58</v>
      </c>
      <c r="D531" s="32">
        <v>297.94099999999997</v>
      </c>
      <c r="E531" s="38">
        <v>729.47900000000004</v>
      </c>
      <c r="F531" s="32">
        <v>1150</v>
      </c>
      <c r="G531" s="32">
        <v>100</v>
      </c>
      <c r="H531" s="40">
        <v>600</v>
      </c>
      <c r="I531" s="32">
        <v>695</v>
      </c>
      <c r="J531" s="32">
        <v>50</v>
      </c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1:20" ht="15.75">
      <c r="A532" s="13">
        <v>58075</v>
      </c>
      <c r="B532" s="41">
        <v>31</v>
      </c>
      <c r="C532" s="32">
        <v>122.58</v>
      </c>
      <c r="D532" s="32">
        <v>297.94099999999997</v>
      </c>
      <c r="E532" s="38">
        <v>729.47900000000004</v>
      </c>
      <c r="F532" s="32">
        <v>1150</v>
      </c>
      <c r="G532" s="32">
        <v>100</v>
      </c>
      <c r="H532" s="40">
        <v>600</v>
      </c>
      <c r="I532" s="32">
        <v>695</v>
      </c>
      <c r="J532" s="32">
        <v>50</v>
      </c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1:20" ht="15.75">
      <c r="A533" s="13">
        <v>58106</v>
      </c>
      <c r="B533" s="41">
        <v>31</v>
      </c>
      <c r="C533" s="32">
        <v>122.58</v>
      </c>
      <c r="D533" s="32">
        <v>297.94099999999997</v>
      </c>
      <c r="E533" s="38">
        <v>729.47900000000004</v>
      </c>
      <c r="F533" s="32">
        <v>1150</v>
      </c>
      <c r="G533" s="32">
        <v>100</v>
      </c>
      <c r="H533" s="40">
        <v>600</v>
      </c>
      <c r="I533" s="32">
        <v>695</v>
      </c>
      <c r="J533" s="32">
        <v>50</v>
      </c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1:20" ht="15.75">
      <c r="A534" s="13">
        <v>58134</v>
      </c>
      <c r="B534" s="41">
        <v>28</v>
      </c>
      <c r="C534" s="32">
        <v>122.58</v>
      </c>
      <c r="D534" s="32">
        <v>297.94099999999997</v>
      </c>
      <c r="E534" s="38">
        <v>729.47900000000004</v>
      </c>
      <c r="F534" s="32">
        <v>1150</v>
      </c>
      <c r="G534" s="32">
        <v>100</v>
      </c>
      <c r="H534" s="40">
        <v>600</v>
      </c>
      <c r="I534" s="32">
        <v>695</v>
      </c>
      <c r="J534" s="32">
        <v>50</v>
      </c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1:20" ht="15.75">
      <c r="A535" s="13">
        <v>58165</v>
      </c>
      <c r="B535" s="41">
        <v>31</v>
      </c>
      <c r="C535" s="32">
        <v>122.58</v>
      </c>
      <c r="D535" s="32">
        <v>297.94099999999997</v>
      </c>
      <c r="E535" s="38">
        <v>729.47900000000004</v>
      </c>
      <c r="F535" s="32">
        <v>1150</v>
      </c>
      <c r="G535" s="32">
        <v>100</v>
      </c>
      <c r="H535" s="40">
        <v>600</v>
      </c>
      <c r="I535" s="32">
        <v>695</v>
      </c>
      <c r="J535" s="32">
        <v>50</v>
      </c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1:20" ht="15.75">
      <c r="A536" s="13">
        <v>58195</v>
      </c>
      <c r="B536" s="41">
        <v>30</v>
      </c>
      <c r="C536" s="32">
        <v>141.29300000000001</v>
      </c>
      <c r="D536" s="32">
        <v>267.99299999999999</v>
      </c>
      <c r="E536" s="38">
        <v>829.71400000000006</v>
      </c>
      <c r="F536" s="32">
        <v>1239</v>
      </c>
      <c r="G536" s="32">
        <v>100</v>
      </c>
      <c r="H536" s="40">
        <v>600</v>
      </c>
      <c r="I536" s="32">
        <v>695</v>
      </c>
      <c r="J536" s="32">
        <v>50</v>
      </c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1:20" ht="15.75">
      <c r="A537" s="13">
        <v>58226</v>
      </c>
      <c r="B537" s="41">
        <v>31</v>
      </c>
      <c r="C537" s="32">
        <v>194.20500000000001</v>
      </c>
      <c r="D537" s="32">
        <v>267.46600000000001</v>
      </c>
      <c r="E537" s="38">
        <v>812.32899999999995</v>
      </c>
      <c r="F537" s="32">
        <v>1274</v>
      </c>
      <c r="G537" s="32">
        <v>75</v>
      </c>
      <c r="H537" s="40">
        <v>600</v>
      </c>
      <c r="I537" s="32">
        <v>695</v>
      </c>
      <c r="J537" s="32">
        <v>50</v>
      </c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1:20" ht="15.75">
      <c r="A538" s="13">
        <v>58256</v>
      </c>
      <c r="B538" s="41">
        <v>30</v>
      </c>
      <c r="C538" s="32">
        <v>194.20500000000001</v>
      </c>
      <c r="D538" s="32">
        <v>267.46600000000001</v>
      </c>
      <c r="E538" s="38">
        <v>812.32899999999995</v>
      </c>
      <c r="F538" s="32">
        <v>1274</v>
      </c>
      <c r="G538" s="32">
        <v>50</v>
      </c>
      <c r="H538" s="40">
        <v>600</v>
      </c>
      <c r="I538" s="32">
        <v>695</v>
      </c>
      <c r="J538" s="32">
        <v>50</v>
      </c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15.75">
      <c r="A539" s="13">
        <v>58287</v>
      </c>
      <c r="B539" s="41">
        <v>31</v>
      </c>
      <c r="C539" s="32">
        <v>194.20500000000001</v>
      </c>
      <c r="D539" s="32">
        <v>267.46600000000001</v>
      </c>
      <c r="E539" s="38">
        <v>812.32899999999995</v>
      </c>
      <c r="F539" s="32">
        <v>1274</v>
      </c>
      <c r="G539" s="32">
        <v>50</v>
      </c>
      <c r="H539" s="40">
        <v>600</v>
      </c>
      <c r="I539" s="32">
        <v>695</v>
      </c>
      <c r="J539" s="32">
        <v>0</v>
      </c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1:20" ht="15.75">
      <c r="A540" s="13">
        <v>58318</v>
      </c>
      <c r="B540" s="41">
        <v>31</v>
      </c>
      <c r="C540" s="32">
        <v>194.20500000000001</v>
      </c>
      <c r="D540" s="32">
        <v>267.46600000000001</v>
      </c>
      <c r="E540" s="38">
        <v>812.32899999999995</v>
      </c>
      <c r="F540" s="32">
        <v>1274</v>
      </c>
      <c r="G540" s="32">
        <v>50</v>
      </c>
      <c r="H540" s="40">
        <v>600</v>
      </c>
      <c r="I540" s="32">
        <v>695</v>
      </c>
      <c r="J540" s="32">
        <v>0</v>
      </c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1:20" ht="15.75">
      <c r="A541" s="13">
        <v>58348</v>
      </c>
      <c r="B541" s="41">
        <v>30</v>
      </c>
      <c r="C541" s="32">
        <v>194.20500000000001</v>
      </c>
      <c r="D541" s="32">
        <v>267.46600000000001</v>
      </c>
      <c r="E541" s="38">
        <v>812.32899999999995</v>
      </c>
      <c r="F541" s="32">
        <v>1274</v>
      </c>
      <c r="G541" s="32">
        <v>50</v>
      </c>
      <c r="H541" s="40">
        <v>600</v>
      </c>
      <c r="I541" s="32">
        <v>695</v>
      </c>
      <c r="J541" s="32">
        <v>0</v>
      </c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1:20" ht="15.75">
      <c r="A542" s="13">
        <v>58379</v>
      </c>
      <c r="B542" s="41">
        <v>31</v>
      </c>
      <c r="C542" s="32">
        <v>131.881</v>
      </c>
      <c r="D542" s="32">
        <v>277.16699999999997</v>
      </c>
      <c r="E542" s="38">
        <v>829.952</v>
      </c>
      <c r="F542" s="32">
        <v>1239</v>
      </c>
      <c r="G542" s="32">
        <v>75</v>
      </c>
      <c r="H542" s="40">
        <v>600</v>
      </c>
      <c r="I542" s="32">
        <v>695</v>
      </c>
      <c r="J542" s="32">
        <v>0</v>
      </c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1:20" ht="15.75">
      <c r="A543" s="13">
        <v>58409</v>
      </c>
      <c r="B543" s="41">
        <v>30</v>
      </c>
      <c r="C543" s="32">
        <v>122.58</v>
      </c>
      <c r="D543" s="32">
        <v>297.94099999999997</v>
      </c>
      <c r="E543" s="38">
        <v>729.47900000000004</v>
      </c>
      <c r="F543" s="32">
        <v>1150</v>
      </c>
      <c r="G543" s="32">
        <v>100</v>
      </c>
      <c r="H543" s="40">
        <v>600</v>
      </c>
      <c r="I543" s="32">
        <v>695</v>
      </c>
      <c r="J543" s="32">
        <v>50</v>
      </c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1:20" ht="15.75">
      <c r="A544" s="13">
        <v>58440</v>
      </c>
      <c r="B544" s="41">
        <v>31</v>
      </c>
      <c r="C544" s="32">
        <v>122.58</v>
      </c>
      <c r="D544" s="32">
        <v>297.94099999999997</v>
      </c>
      <c r="E544" s="38">
        <v>729.47900000000004</v>
      </c>
      <c r="F544" s="32">
        <v>1150</v>
      </c>
      <c r="G544" s="32">
        <v>100</v>
      </c>
      <c r="H544" s="40">
        <v>600</v>
      </c>
      <c r="I544" s="32">
        <v>695</v>
      </c>
      <c r="J544" s="32">
        <v>50</v>
      </c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1:20" ht="15.75">
      <c r="A545" s="13">
        <v>58471</v>
      </c>
      <c r="B545" s="41">
        <v>31</v>
      </c>
      <c r="C545" s="32">
        <v>122.58</v>
      </c>
      <c r="D545" s="32">
        <v>297.94099999999997</v>
      </c>
      <c r="E545" s="38">
        <v>729.47900000000004</v>
      </c>
      <c r="F545" s="32">
        <v>1150</v>
      </c>
      <c r="G545" s="32">
        <v>100</v>
      </c>
      <c r="H545" s="40">
        <v>600</v>
      </c>
      <c r="I545" s="32">
        <v>695</v>
      </c>
      <c r="J545" s="32">
        <v>50</v>
      </c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1:20" ht="15.75">
      <c r="A546" s="13">
        <v>58499</v>
      </c>
      <c r="B546" s="41">
        <v>29</v>
      </c>
      <c r="C546" s="32">
        <v>122.58</v>
      </c>
      <c r="D546" s="32">
        <v>297.94099999999997</v>
      </c>
      <c r="E546" s="38">
        <v>729.47900000000004</v>
      </c>
      <c r="F546" s="32">
        <v>1150</v>
      </c>
      <c r="G546" s="32">
        <v>100</v>
      </c>
      <c r="H546" s="40">
        <v>600</v>
      </c>
      <c r="I546" s="32">
        <v>695</v>
      </c>
      <c r="J546" s="32">
        <v>50</v>
      </c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1:20" ht="15.75">
      <c r="A547" s="13">
        <v>58531</v>
      </c>
      <c r="B547" s="41">
        <v>31</v>
      </c>
      <c r="C547" s="32">
        <v>122.58</v>
      </c>
      <c r="D547" s="32">
        <v>297.94099999999997</v>
      </c>
      <c r="E547" s="38">
        <v>729.47900000000004</v>
      </c>
      <c r="F547" s="32">
        <v>1150</v>
      </c>
      <c r="G547" s="32">
        <v>100</v>
      </c>
      <c r="H547" s="40">
        <v>600</v>
      </c>
      <c r="I547" s="32">
        <v>695</v>
      </c>
      <c r="J547" s="32">
        <v>50</v>
      </c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1:20" ht="15.75">
      <c r="A548" s="13">
        <v>58561</v>
      </c>
      <c r="B548" s="41">
        <v>30</v>
      </c>
      <c r="C548" s="32">
        <v>141.29300000000001</v>
      </c>
      <c r="D548" s="32">
        <v>267.99299999999999</v>
      </c>
      <c r="E548" s="38">
        <v>829.71400000000006</v>
      </c>
      <c r="F548" s="32">
        <v>1239</v>
      </c>
      <c r="G548" s="32">
        <v>100</v>
      </c>
      <c r="H548" s="40">
        <v>600</v>
      </c>
      <c r="I548" s="32">
        <v>695</v>
      </c>
      <c r="J548" s="32">
        <v>50</v>
      </c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ht="15.75">
      <c r="A549" s="13">
        <v>58592</v>
      </c>
      <c r="B549" s="41">
        <v>31</v>
      </c>
      <c r="C549" s="32">
        <v>194.20500000000001</v>
      </c>
      <c r="D549" s="32">
        <v>267.46600000000001</v>
      </c>
      <c r="E549" s="38">
        <v>812.32899999999995</v>
      </c>
      <c r="F549" s="32">
        <v>1274</v>
      </c>
      <c r="G549" s="32">
        <v>75</v>
      </c>
      <c r="H549" s="40">
        <v>600</v>
      </c>
      <c r="I549" s="32">
        <v>695</v>
      </c>
      <c r="J549" s="32">
        <v>50</v>
      </c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1:20" ht="15.75">
      <c r="A550" s="13">
        <v>58622</v>
      </c>
      <c r="B550" s="41">
        <v>30</v>
      </c>
      <c r="C550" s="32">
        <v>194.20500000000001</v>
      </c>
      <c r="D550" s="32">
        <v>267.46600000000001</v>
      </c>
      <c r="E550" s="38">
        <v>812.32899999999995</v>
      </c>
      <c r="F550" s="32">
        <v>1274</v>
      </c>
      <c r="G550" s="32">
        <v>50</v>
      </c>
      <c r="H550" s="40">
        <v>600</v>
      </c>
      <c r="I550" s="32">
        <v>695</v>
      </c>
      <c r="J550" s="32">
        <v>50</v>
      </c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1:20" ht="15.75">
      <c r="A551" s="13">
        <v>58653</v>
      </c>
      <c r="B551" s="41">
        <v>31</v>
      </c>
      <c r="C551" s="32">
        <v>194.20500000000001</v>
      </c>
      <c r="D551" s="32">
        <v>267.46600000000001</v>
      </c>
      <c r="E551" s="38">
        <v>812.32899999999995</v>
      </c>
      <c r="F551" s="32">
        <v>1274</v>
      </c>
      <c r="G551" s="32">
        <v>50</v>
      </c>
      <c r="H551" s="40">
        <v>600</v>
      </c>
      <c r="I551" s="32">
        <v>695</v>
      </c>
      <c r="J551" s="32">
        <v>0</v>
      </c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5.75">
      <c r="A552" s="13">
        <v>58684</v>
      </c>
      <c r="B552" s="41">
        <v>31</v>
      </c>
      <c r="C552" s="32">
        <v>194.20500000000001</v>
      </c>
      <c r="D552" s="32">
        <v>267.46600000000001</v>
      </c>
      <c r="E552" s="38">
        <v>812.32899999999995</v>
      </c>
      <c r="F552" s="32">
        <v>1274</v>
      </c>
      <c r="G552" s="32">
        <v>50</v>
      </c>
      <c r="H552" s="40">
        <v>600</v>
      </c>
      <c r="I552" s="32">
        <v>695</v>
      </c>
      <c r="J552" s="32">
        <v>0</v>
      </c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1:20" ht="15.75">
      <c r="A553" s="13">
        <v>58714</v>
      </c>
      <c r="B553" s="41">
        <v>30</v>
      </c>
      <c r="C553" s="32">
        <v>194.20500000000001</v>
      </c>
      <c r="D553" s="32">
        <v>267.46600000000001</v>
      </c>
      <c r="E553" s="38">
        <v>812.32899999999995</v>
      </c>
      <c r="F553" s="32">
        <v>1274</v>
      </c>
      <c r="G553" s="32">
        <v>50</v>
      </c>
      <c r="H553" s="40">
        <v>600</v>
      </c>
      <c r="I553" s="32">
        <v>695</v>
      </c>
      <c r="J553" s="32">
        <v>0</v>
      </c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5.75">
      <c r="A554" s="13">
        <v>58745</v>
      </c>
      <c r="B554" s="41">
        <v>31</v>
      </c>
      <c r="C554" s="32">
        <v>131.881</v>
      </c>
      <c r="D554" s="32">
        <v>277.16699999999997</v>
      </c>
      <c r="E554" s="38">
        <v>829.952</v>
      </c>
      <c r="F554" s="32">
        <v>1239</v>
      </c>
      <c r="G554" s="32">
        <v>75</v>
      </c>
      <c r="H554" s="40">
        <v>600</v>
      </c>
      <c r="I554" s="32">
        <v>695</v>
      </c>
      <c r="J554" s="32">
        <v>0</v>
      </c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1:20" ht="15.75">
      <c r="A555" s="13">
        <v>58775</v>
      </c>
      <c r="B555" s="41">
        <v>30</v>
      </c>
      <c r="C555" s="32">
        <v>122.58</v>
      </c>
      <c r="D555" s="32">
        <v>297.94099999999997</v>
      </c>
      <c r="E555" s="38">
        <v>729.47900000000004</v>
      </c>
      <c r="F555" s="32">
        <v>1150</v>
      </c>
      <c r="G555" s="32">
        <v>100</v>
      </c>
      <c r="H555" s="40">
        <v>600</v>
      </c>
      <c r="I555" s="32">
        <v>695</v>
      </c>
      <c r="J555" s="32">
        <v>50</v>
      </c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15.75">
      <c r="A556" s="13">
        <v>58806</v>
      </c>
      <c r="B556" s="41">
        <v>31</v>
      </c>
      <c r="C556" s="32">
        <v>122.58</v>
      </c>
      <c r="D556" s="32">
        <v>297.94099999999997</v>
      </c>
      <c r="E556" s="38">
        <v>729.47900000000004</v>
      </c>
      <c r="F556" s="32">
        <v>1150</v>
      </c>
      <c r="G556" s="32">
        <v>100</v>
      </c>
      <c r="H556" s="40">
        <v>600</v>
      </c>
      <c r="I556" s="32">
        <v>695</v>
      </c>
      <c r="J556" s="32">
        <v>50</v>
      </c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1:20" ht="15.75">
      <c r="A557" s="13">
        <v>58837</v>
      </c>
      <c r="B557" s="41">
        <v>31</v>
      </c>
      <c r="C557" s="32">
        <v>122.58</v>
      </c>
      <c r="D557" s="32">
        <v>297.94099999999997</v>
      </c>
      <c r="E557" s="38">
        <v>729.47900000000004</v>
      </c>
      <c r="F557" s="32">
        <v>1150</v>
      </c>
      <c r="G557" s="32">
        <v>100</v>
      </c>
      <c r="H557" s="40">
        <v>600</v>
      </c>
      <c r="I557" s="32">
        <v>695</v>
      </c>
      <c r="J557" s="32">
        <v>50</v>
      </c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5.75">
      <c r="A558" s="13">
        <v>58865</v>
      </c>
      <c r="B558" s="41">
        <v>28</v>
      </c>
      <c r="C558" s="32">
        <v>122.58</v>
      </c>
      <c r="D558" s="32">
        <v>297.94099999999997</v>
      </c>
      <c r="E558" s="38">
        <v>729.47900000000004</v>
      </c>
      <c r="F558" s="32">
        <v>1150</v>
      </c>
      <c r="G558" s="32">
        <v>100</v>
      </c>
      <c r="H558" s="40">
        <v>600</v>
      </c>
      <c r="I558" s="32">
        <v>695</v>
      </c>
      <c r="J558" s="32">
        <v>50</v>
      </c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1:20" ht="15.75">
      <c r="A559" s="13">
        <v>58893</v>
      </c>
      <c r="B559" s="41">
        <v>31</v>
      </c>
      <c r="C559" s="32">
        <v>122.58</v>
      </c>
      <c r="D559" s="32">
        <v>297.94099999999997</v>
      </c>
      <c r="E559" s="38">
        <v>729.47900000000004</v>
      </c>
      <c r="F559" s="32">
        <v>1150</v>
      </c>
      <c r="G559" s="32">
        <v>100</v>
      </c>
      <c r="H559" s="40">
        <v>600</v>
      </c>
      <c r="I559" s="32">
        <v>695</v>
      </c>
      <c r="J559" s="32">
        <v>50</v>
      </c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1:20" ht="15.75">
      <c r="A560" s="13">
        <v>58926</v>
      </c>
      <c r="B560" s="41">
        <v>30</v>
      </c>
      <c r="C560" s="32">
        <v>141.29300000000001</v>
      </c>
      <c r="D560" s="32">
        <v>267.99299999999999</v>
      </c>
      <c r="E560" s="38">
        <v>829.71400000000006</v>
      </c>
      <c r="F560" s="32">
        <v>1239</v>
      </c>
      <c r="G560" s="32">
        <v>100</v>
      </c>
      <c r="H560" s="40">
        <v>600</v>
      </c>
      <c r="I560" s="32">
        <v>695</v>
      </c>
      <c r="J560" s="32">
        <v>50</v>
      </c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ht="15.75">
      <c r="A561" s="13">
        <v>58957</v>
      </c>
      <c r="B561" s="41">
        <v>31</v>
      </c>
      <c r="C561" s="32">
        <v>194.20500000000001</v>
      </c>
      <c r="D561" s="32">
        <v>267.46600000000001</v>
      </c>
      <c r="E561" s="38">
        <v>812.32899999999995</v>
      </c>
      <c r="F561" s="32">
        <v>1274</v>
      </c>
      <c r="G561" s="32">
        <v>75</v>
      </c>
      <c r="H561" s="40">
        <v>600</v>
      </c>
      <c r="I561" s="32">
        <v>695</v>
      </c>
      <c r="J561" s="32">
        <v>50</v>
      </c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1:20" ht="15.75">
      <c r="A562" s="13">
        <v>58987</v>
      </c>
      <c r="B562" s="41">
        <v>30</v>
      </c>
      <c r="C562" s="32">
        <v>194.20500000000001</v>
      </c>
      <c r="D562" s="32">
        <v>267.46600000000001</v>
      </c>
      <c r="E562" s="38">
        <v>812.32899999999995</v>
      </c>
      <c r="F562" s="32">
        <v>1274</v>
      </c>
      <c r="G562" s="32">
        <v>50</v>
      </c>
      <c r="H562" s="40">
        <v>600</v>
      </c>
      <c r="I562" s="32">
        <v>695</v>
      </c>
      <c r="J562" s="32">
        <v>50</v>
      </c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1:20" ht="15.75">
      <c r="A563" s="13">
        <v>59018</v>
      </c>
      <c r="B563" s="41">
        <v>31</v>
      </c>
      <c r="C563" s="32">
        <v>194.20500000000001</v>
      </c>
      <c r="D563" s="32">
        <v>267.46600000000001</v>
      </c>
      <c r="E563" s="38">
        <v>812.32899999999995</v>
      </c>
      <c r="F563" s="32">
        <v>1274</v>
      </c>
      <c r="G563" s="32">
        <v>50</v>
      </c>
      <c r="H563" s="40">
        <v>600</v>
      </c>
      <c r="I563" s="32">
        <v>695</v>
      </c>
      <c r="J563" s="32">
        <v>0</v>
      </c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1:20" ht="15.75">
      <c r="A564" s="13">
        <v>59049</v>
      </c>
      <c r="B564" s="41">
        <v>31</v>
      </c>
      <c r="C564" s="32">
        <v>194.20500000000001</v>
      </c>
      <c r="D564" s="32">
        <v>267.46600000000001</v>
      </c>
      <c r="E564" s="38">
        <v>812.32899999999995</v>
      </c>
      <c r="F564" s="32">
        <v>1274</v>
      </c>
      <c r="G564" s="32">
        <v>50</v>
      </c>
      <c r="H564" s="40">
        <v>600</v>
      </c>
      <c r="I564" s="32">
        <v>695</v>
      </c>
      <c r="J564" s="32">
        <v>0</v>
      </c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1:20" ht="15.75">
      <c r="A565" s="13">
        <v>59079</v>
      </c>
      <c r="B565" s="41">
        <v>30</v>
      </c>
      <c r="C565" s="32">
        <v>194.20500000000001</v>
      </c>
      <c r="D565" s="32">
        <v>267.46600000000001</v>
      </c>
      <c r="E565" s="38">
        <v>812.32899999999995</v>
      </c>
      <c r="F565" s="32">
        <v>1274</v>
      </c>
      <c r="G565" s="32">
        <v>50</v>
      </c>
      <c r="H565" s="40">
        <v>600</v>
      </c>
      <c r="I565" s="32">
        <v>695</v>
      </c>
      <c r="J565" s="32">
        <v>0</v>
      </c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1:20" ht="15.75">
      <c r="A566" s="13">
        <v>59110</v>
      </c>
      <c r="B566" s="41">
        <v>31</v>
      </c>
      <c r="C566" s="32">
        <v>131.881</v>
      </c>
      <c r="D566" s="32">
        <v>277.16699999999997</v>
      </c>
      <c r="E566" s="38">
        <v>829.952</v>
      </c>
      <c r="F566" s="32">
        <v>1239</v>
      </c>
      <c r="G566" s="32">
        <v>75</v>
      </c>
      <c r="H566" s="40">
        <v>600</v>
      </c>
      <c r="I566" s="32">
        <v>695</v>
      </c>
      <c r="J566" s="32">
        <v>0</v>
      </c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15.75">
      <c r="A567" s="13">
        <v>59140</v>
      </c>
      <c r="B567" s="41">
        <v>30</v>
      </c>
      <c r="C567" s="32">
        <v>122.58</v>
      </c>
      <c r="D567" s="32">
        <v>297.94099999999997</v>
      </c>
      <c r="E567" s="38">
        <v>729.47900000000004</v>
      </c>
      <c r="F567" s="32">
        <v>1150</v>
      </c>
      <c r="G567" s="32">
        <v>100</v>
      </c>
      <c r="H567" s="40">
        <v>600</v>
      </c>
      <c r="I567" s="32">
        <v>695</v>
      </c>
      <c r="J567" s="32">
        <v>50</v>
      </c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1:20" ht="15.75">
      <c r="A568" s="13">
        <v>59171</v>
      </c>
      <c r="B568" s="41">
        <v>31</v>
      </c>
      <c r="C568" s="32">
        <v>122.58</v>
      </c>
      <c r="D568" s="32">
        <v>297.94099999999997</v>
      </c>
      <c r="E568" s="38">
        <v>729.47900000000004</v>
      </c>
      <c r="F568" s="32">
        <v>1150</v>
      </c>
      <c r="G568" s="32">
        <v>100</v>
      </c>
      <c r="H568" s="40">
        <v>600</v>
      </c>
      <c r="I568" s="32">
        <v>695</v>
      </c>
      <c r="J568" s="32">
        <v>50</v>
      </c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1:20" ht="15.75">
      <c r="A569" s="13">
        <v>59202</v>
      </c>
      <c r="B569" s="41">
        <f t="shared" ref="B569:B632" si="0">EOMONTH(A569,0)-EOMONTH(A569,-1)</f>
        <v>31</v>
      </c>
      <c r="C569" s="32">
        <v>122.58</v>
      </c>
      <c r="D569" s="32">
        <v>297.94099999999997</v>
      </c>
      <c r="E569" s="38">
        <v>729.47900000000004</v>
      </c>
      <c r="F569" s="32">
        <v>1150</v>
      </c>
      <c r="G569" s="32">
        <v>100</v>
      </c>
      <c r="H569" s="40">
        <v>600</v>
      </c>
      <c r="I569" s="32">
        <v>695</v>
      </c>
      <c r="J569" s="32">
        <v>50</v>
      </c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1:20" ht="15.75">
      <c r="A570" s="13">
        <v>59230</v>
      </c>
      <c r="B570" s="41">
        <f t="shared" si="0"/>
        <v>28</v>
      </c>
      <c r="C570" s="32">
        <v>122.58</v>
      </c>
      <c r="D570" s="32">
        <v>297.94099999999997</v>
      </c>
      <c r="E570" s="38">
        <v>729.47900000000004</v>
      </c>
      <c r="F570" s="32">
        <v>1150</v>
      </c>
      <c r="G570" s="32">
        <v>100</v>
      </c>
      <c r="H570" s="40">
        <v>600</v>
      </c>
      <c r="I570" s="32">
        <v>695</v>
      </c>
      <c r="J570" s="32">
        <v>50</v>
      </c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1:20" ht="15.75">
      <c r="A571" s="13">
        <v>59261</v>
      </c>
      <c r="B571" s="41">
        <f t="shared" si="0"/>
        <v>31</v>
      </c>
      <c r="C571" s="32">
        <v>122.58</v>
      </c>
      <c r="D571" s="32">
        <v>297.94099999999997</v>
      </c>
      <c r="E571" s="38">
        <v>729.47900000000004</v>
      </c>
      <c r="F571" s="32">
        <v>1150</v>
      </c>
      <c r="G571" s="32">
        <v>100</v>
      </c>
      <c r="H571" s="40">
        <v>600</v>
      </c>
      <c r="I571" s="32">
        <v>695</v>
      </c>
      <c r="J571" s="32">
        <v>50</v>
      </c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1:20" ht="15.75">
      <c r="A572" s="13">
        <v>59291</v>
      </c>
      <c r="B572" s="41">
        <f t="shared" si="0"/>
        <v>30</v>
      </c>
      <c r="C572" s="32">
        <v>141.29300000000001</v>
      </c>
      <c r="D572" s="32">
        <v>267.99299999999999</v>
      </c>
      <c r="E572" s="38">
        <v>829.71400000000006</v>
      </c>
      <c r="F572" s="32">
        <v>1239</v>
      </c>
      <c r="G572" s="32">
        <v>100</v>
      </c>
      <c r="H572" s="40">
        <v>600</v>
      </c>
      <c r="I572" s="32">
        <v>695</v>
      </c>
      <c r="J572" s="32">
        <v>50</v>
      </c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1:20" ht="15.75">
      <c r="A573" s="13">
        <v>59322</v>
      </c>
      <c r="B573" s="41">
        <f t="shared" si="0"/>
        <v>31</v>
      </c>
      <c r="C573" s="32">
        <v>194.20500000000001</v>
      </c>
      <c r="D573" s="32">
        <v>267.46600000000001</v>
      </c>
      <c r="E573" s="38">
        <v>812.32899999999995</v>
      </c>
      <c r="F573" s="32">
        <v>1274</v>
      </c>
      <c r="G573" s="32">
        <v>75</v>
      </c>
      <c r="H573" s="40">
        <v>600</v>
      </c>
      <c r="I573" s="32">
        <v>695</v>
      </c>
      <c r="J573" s="32">
        <v>50</v>
      </c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1:20" ht="15.75">
      <c r="A574" s="13">
        <v>59352</v>
      </c>
      <c r="B574" s="41">
        <f t="shared" si="0"/>
        <v>30</v>
      </c>
      <c r="C574" s="32">
        <v>194.20500000000001</v>
      </c>
      <c r="D574" s="32">
        <v>267.46600000000001</v>
      </c>
      <c r="E574" s="38">
        <v>812.32899999999995</v>
      </c>
      <c r="F574" s="32">
        <v>1274</v>
      </c>
      <c r="G574" s="32">
        <v>50</v>
      </c>
      <c r="H574" s="40">
        <v>600</v>
      </c>
      <c r="I574" s="32">
        <v>695</v>
      </c>
      <c r="J574" s="32">
        <v>50</v>
      </c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1:20" ht="15.75">
      <c r="A575" s="13">
        <v>59383</v>
      </c>
      <c r="B575" s="41">
        <f t="shared" si="0"/>
        <v>31</v>
      </c>
      <c r="C575" s="32">
        <v>194.20500000000001</v>
      </c>
      <c r="D575" s="32">
        <v>267.46600000000001</v>
      </c>
      <c r="E575" s="38">
        <v>812.32899999999995</v>
      </c>
      <c r="F575" s="32">
        <v>1274</v>
      </c>
      <c r="G575" s="32">
        <v>50</v>
      </c>
      <c r="H575" s="40">
        <v>600</v>
      </c>
      <c r="I575" s="32">
        <v>695</v>
      </c>
      <c r="J575" s="32">
        <v>0</v>
      </c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ht="15.75">
      <c r="A576" s="13">
        <v>59414</v>
      </c>
      <c r="B576" s="41">
        <f t="shared" si="0"/>
        <v>31</v>
      </c>
      <c r="C576" s="32">
        <v>194.20500000000001</v>
      </c>
      <c r="D576" s="32">
        <v>267.46600000000001</v>
      </c>
      <c r="E576" s="38">
        <v>812.32899999999995</v>
      </c>
      <c r="F576" s="32">
        <v>1274</v>
      </c>
      <c r="G576" s="32">
        <v>50</v>
      </c>
      <c r="H576" s="40">
        <v>600</v>
      </c>
      <c r="I576" s="32">
        <v>695</v>
      </c>
      <c r="J576" s="32">
        <v>0</v>
      </c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1:20" ht="15.75">
      <c r="A577" s="13">
        <v>59444</v>
      </c>
      <c r="B577" s="41">
        <f t="shared" si="0"/>
        <v>30</v>
      </c>
      <c r="C577" s="32">
        <v>194.20500000000001</v>
      </c>
      <c r="D577" s="32">
        <v>267.46600000000001</v>
      </c>
      <c r="E577" s="38">
        <v>812.32899999999995</v>
      </c>
      <c r="F577" s="32">
        <v>1274</v>
      </c>
      <c r="G577" s="32">
        <v>50</v>
      </c>
      <c r="H577" s="40">
        <v>600</v>
      </c>
      <c r="I577" s="32">
        <v>695</v>
      </c>
      <c r="J577" s="32">
        <v>0</v>
      </c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15.75">
      <c r="A578" s="13">
        <v>59475</v>
      </c>
      <c r="B578" s="41">
        <f t="shared" si="0"/>
        <v>31</v>
      </c>
      <c r="C578" s="32">
        <v>131.881</v>
      </c>
      <c r="D578" s="32">
        <v>277.16699999999997</v>
      </c>
      <c r="E578" s="38">
        <v>829.952</v>
      </c>
      <c r="F578" s="32">
        <v>1239</v>
      </c>
      <c r="G578" s="32">
        <v>75</v>
      </c>
      <c r="H578" s="40">
        <v>600</v>
      </c>
      <c r="I578" s="32">
        <v>695</v>
      </c>
      <c r="J578" s="32">
        <v>0</v>
      </c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1:20" ht="15.75">
      <c r="A579" s="13">
        <v>59505</v>
      </c>
      <c r="B579" s="41">
        <f t="shared" si="0"/>
        <v>30</v>
      </c>
      <c r="C579" s="32">
        <v>122.58</v>
      </c>
      <c r="D579" s="32">
        <v>297.94099999999997</v>
      </c>
      <c r="E579" s="38">
        <v>729.47900000000004</v>
      </c>
      <c r="F579" s="32">
        <v>1150</v>
      </c>
      <c r="G579" s="32">
        <v>100</v>
      </c>
      <c r="H579" s="40">
        <v>600</v>
      </c>
      <c r="I579" s="32">
        <v>695</v>
      </c>
      <c r="J579" s="32">
        <v>50</v>
      </c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1:20" ht="15.75">
      <c r="A580" s="13">
        <v>59536</v>
      </c>
      <c r="B580" s="41">
        <f t="shared" si="0"/>
        <v>31</v>
      </c>
      <c r="C580" s="32">
        <v>122.58</v>
      </c>
      <c r="D580" s="32">
        <v>297.94099999999997</v>
      </c>
      <c r="E580" s="38">
        <v>729.47900000000004</v>
      </c>
      <c r="F580" s="32">
        <v>1150</v>
      </c>
      <c r="G580" s="32">
        <v>100</v>
      </c>
      <c r="H580" s="40">
        <v>600</v>
      </c>
      <c r="I580" s="32">
        <v>695</v>
      </c>
      <c r="J580" s="32">
        <v>50</v>
      </c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0" ht="15.75">
      <c r="A581" s="13">
        <v>59567</v>
      </c>
      <c r="B581" s="41">
        <f t="shared" si="0"/>
        <v>31</v>
      </c>
      <c r="C581" s="32">
        <v>122.58</v>
      </c>
      <c r="D581" s="32">
        <v>297.94099999999997</v>
      </c>
      <c r="E581" s="38">
        <v>729.47900000000004</v>
      </c>
      <c r="F581" s="32">
        <v>1150</v>
      </c>
      <c r="G581" s="32">
        <v>100</v>
      </c>
      <c r="H581" s="40">
        <v>600</v>
      </c>
      <c r="I581" s="32">
        <v>695</v>
      </c>
      <c r="J581" s="32">
        <v>50</v>
      </c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0" ht="15.75">
      <c r="A582" s="13">
        <v>59595</v>
      </c>
      <c r="B582" s="41">
        <f t="shared" si="0"/>
        <v>28</v>
      </c>
      <c r="C582" s="32">
        <v>122.58</v>
      </c>
      <c r="D582" s="32">
        <v>297.94099999999997</v>
      </c>
      <c r="E582" s="38">
        <v>729.47900000000004</v>
      </c>
      <c r="F582" s="32">
        <v>1150</v>
      </c>
      <c r="G582" s="32">
        <v>100</v>
      </c>
      <c r="H582" s="40">
        <v>600</v>
      </c>
      <c r="I582" s="32">
        <v>695</v>
      </c>
      <c r="J582" s="32">
        <v>50</v>
      </c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0" ht="15.75">
      <c r="A583" s="13">
        <v>59626</v>
      </c>
      <c r="B583" s="41">
        <f t="shared" si="0"/>
        <v>31</v>
      </c>
      <c r="C583" s="32">
        <v>122.58</v>
      </c>
      <c r="D583" s="32">
        <v>297.94099999999997</v>
      </c>
      <c r="E583" s="38">
        <v>729.47900000000004</v>
      </c>
      <c r="F583" s="32">
        <v>1150</v>
      </c>
      <c r="G583" s="32">
        <v>100</v>
      </c>
      <c r="H583" s="40">
        <v>600</v>
      </c>
      <c r="I583" s="32">
        <v>695</v>
      </c>
      <c r="J583" s="32">
        <v>50</v>
      </c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0" ht="15.75">
      <c r="A584" s="13">
        <v>59656</v>
      </c>
      <c r="B584" s="41">
        <f t="shared" si="0"/>
        <v>30</v>
      </c>
      <c r="C584" s="32">
        <v>141.29300000000001</v>
      </c>
      <c r="D584" s="32">
        <v>267.99299999999999</v>
      </c>
      <c r="E584" s="38">
        <v>829.71400000000006</v>
      </c>
      <c r="F584" s="32">
        <v>1239</v>
      </c>
      <c r="G584" s="32">
        <v>100</v>
      </c>
      <c r="H584" s="40">
        <v>600</v>
      </c>
      <c r="I584" s="32">
        <v>695</v>
      </c>
      <c r="J584" s="32">
        <v>50</v>
      </c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1:20" ht="15.75">
      <c r="A585" s="13">
        <v>59687</v>
      </c>
      <c r="B585" s="41">
        <f t="shared" si="0"/>
        <v>31</v>
      </c>
      <c r="C585" s="32">
        <v>194.20500000000001</v>
      </c>
      <c r="D585" s="32">
        <v>267.46600000000001</v>
      </c>
      <c r="E585" s="38">
        <v>812.32899999999995</v>
      </c>
      <c r="F585" s="32">
        <v>1274</v>
      </c>
      <c r="G585" s="32">
        <v>75</v>
      </c>
      <c r="H585" s="40">
        <v>600</v>
      </c>
      <c r="I585" s="32">
        <v>695</v>
      </c>
      <c r="J585" s="32">
        <v>50</v>
      </c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1:20" ht="15.75">
      <c r="A586" s="13">
        <v>59717</v>
      </c>
      <c r="B586" s="41">
        <f t="shared" si="0"/>
        <v>30</v>
      </c>
      <c r="C586" s="32">
        <v>194.20500000000001</v>
      </c>
      <c r="D586" s="32">
        <v>267.46600000000001</v>
      </c>
      <c r="E586" s="38">
        <v>812.32899999999995</v>
      </c>
      <c r="F586" s="32">
        <v>1274</v>
      </c>
      <c r="G586" s="32">
        <v>50</v>
      </c>
      <c r="H586" s="40">
        <v>600</v>
      </c>
      <c r="I586" s="32">
        <v>695</v>
      </c>
      <c r="J586" s="32">
        <v>50</v>
      </c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5.75">
      <c r="A587" s="13">
        <v>59748</v>
      </c>
      <c r="B587" s="41">
        <f t="shared" si="0"/>
        <v>31</v>
      </c>
      <c r="C587" s="32">
        <v>194.20500000000001</v>
      </c>
      <c r="D587" s="32">
        <v>267.46600000000001</v>
      </c>
      <c r="E587" s="38">
        <v>812.32899999999995</v>
      </c>
      <c r="F587" s="32">
        <v>1274</v>
      </c>
      <c r="G587" s="32">
        <v>50</v>
      </c>
      <c r="H587" s="40">
        <v>600</v>
      </c>
      <c r="I587" s="32">
        <v>695</v>
      </c>
      <c r="J587" s="32">
        <v>0</v>
      </c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1:20" ht="15.75">
      <c r="A588" s="13">
        <v>59779</v>
      </c>
      <c r="B588" s="41">
        <f t="shared" si="0"/>
        <v>31</v>
      </c>
      <c r="C588" s="32">
        <v>194.20500000000001</v>
      </c>
      <c r="D588" s="32">
        <v>267.46600000000001</v>
      </c>
      <c r="E588" s="38">
        <v>812.32899999999995</v>
      </c>
      <c r="F588" s="32">
        <v>1274</v>
      </c>
      <c r="G588" s="32">
        <v>50</v>
      </c>
      <c r="H588" s="40">
        <v>600</v>
      </c>
      <c r="I588" s="32">
        <v>695</v>
      </c>
      <c r="J588" s="32">
        <v>0</v>
      </c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15.75">
      <c r="A589" s="13">
        <v>59809</v>
      </c>
      <c r="B589" s="41">
        <f t="shared" si="0"/>
        <v>30</v>
      </c>
      <c r="C589" s="32">
        <v>194.20500000000001</v>
      </c>
      <c r="D589" s="32">
        <v>267.46600000000001</v>
      </c>
      <c r="E589" s="38">
        <v>812.32899999999995</v>
      </c>
      <c r="F589" s="32">
        <v>1274</v>
      </c>
      <c r="G589" s="32">
        <v>50</v>
      </c>
      <c r="H589" s="40">
        <v>600</v>
      </c>
      <c r="I589" s="32">
        <v>695</v>
      </c>
      <c r="J589" s="32">
        <v>0</v>
      </c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1:20" ht="15.75">
      <c r="A590" s="13">
        <v>59840</v>
      </c>
      <c r="B590" s="41">
        <f t="shared" si="0"/>
        <v>31</v>
      </c>
      <c r="C590" s="32">
        <v>131.881</v>
      </c>
      <c r="D590" s="32">
        <v>277.16699999999997</v>
      </c>
      <c r="E590" s="38">
        <v>829.952</v>
      </c>
      <c r="F590" s="32">
        <v>1239</v>
      </c>
      <c r="G590" s="32">
        <v>75</v>
      </c>
      <c r="H590" s="40">
        <v>600</v>
      </c>
      <c r="I590" s="32">
        <v>695</v>
      </c>
      <c r="J590" s="32">
        <v>0</v>
      </c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1:20" ht="15.75">
      <c r="A591" s="13">
        <v>59870</v>
      </c>
      <c r="B591" s="41">
        <f t="shared" si="0"/>
        <v>30</v>
      </c>
      <c r="C591" s="32">
        <v>122.58</v>
      </c>
      <c r="D591" s="32">
        <v>297.94099999999997</v>
      </c>
      <c r="E591" s="38">
        <v>729.47900000000004</v>
      </c>
      <c r="F591" s="32">
        <v>1150</v>
      </c>
      <c r="G591" s="32">
        <v>100</v>
      </c>
      <c r="H591" s="40">
        <v>600</v>
      </c>
      <c r="I591" s="32">
        <v>695</v>
      </c>
      <c r="J591" s="32">
        <v>50</v>
      </c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1:20" ht="15.75">
      <c r="A592" s="13">
        <v>59901</v>
      </c>
      <c r="B592" s="41">
        <f t="shared" si="0"/>
        <v>31</v>
      </c>
      <c r="C592" s="32">
        <v>122.58</v>
      </c>
      <c r="D592" s="32">
        <v>297.94099999999997</v>
      </c>
      <c r="E592" s="38">
        <v>729.47900000000004</v>
      </c>
      <c r="F592" s="32">
        <v>1150</v>
      </c>
      <c r="G592" s="32">
        <v>100</v>
      </c>
      <c r="H592" s="40">
        <v>600</v>
      </c>
      <c r="I592" s="32">
        <v>695</v>
      </c>
      <c r="J592" s="32">
        <v>50</v>
      </c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1:20" ht="15.75">
      <c r="A593" s="13">
        <v>59932</v>
      </c>
      <c r="B593" s="41">
        <f t="shared" si="0"/>
        <v>31</v>
      </c>
      <c r="C593" s="32">
        <v>122.58</v>
      </c>
      <c r="D593" s="32">
        <v>297.94099999999997</v>
      </c>
      <c r="E593" s="38">
        <v>729.47900000000004</v>
      </c>
      <c r="F593" s="32">
        <v>1150</v>
      </c>
      <c r="G593" s="32">
        <v>100</v>
      </c>
      <c r="H593" s="40">
        <v>600</v>
      </c>
      <c r="I593" s="32">
        <v>695</v>
      </c>
      <c r="J593" s="32">
        <v>50</v>
      </c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1:20" ht="15.75">
      <c r="A594" s="13">
        <v>59961</v>
      </c>
      <c r="B594" s="41">
        <f t="shared" si="0"/>
        <v>29</v>
      </c>
      <c r="C594" s="32">
        <v>122.58</v>
      </c>
      <c r="D594" s="32">
        <v>297.94099999999997</v>
      </c>
      <c r="E594" s="38">
        <v>729.47900000000004</v>
      </c>
      <c r="F594" s="32">
        <v>1150</v>
      </c>
      <c r="G594" s="32">
        <v>100</v>
      </c>
      <c r="H594" s="40">
        <v>600</v>
      </c>
      <c r="I594" s="32">
        <v>695</v>
      </c>
      <c r="J594" s="32">
        <v>50</v>
      </c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1:20" ht="15.75">
      <c r="A595" s="13">
        <v>59992</v>
      </c>
      <c r="B595" s="41">
        <f t="shared" si="0"/>
        <v>31</v>
      </c>
      <c r="C595" s="32">
        <v>122.58</v>
      </c>
      <c r="D595" s="32">
        <v>297.94099999999997</v>
      </c>
      <c r="E595" s="38">
        <v>729.47900000000004</v>
      </c>
      <c r="F595" s="32">
        <v>1150</v>
      </c>
      <c r="G595" s="32">
        <v>100</v>
      </c>
      <c r="H595" s="40">
        <v>600</v>
      </c>
      <c r="I595" s="32">
        <v>695</v>
      </c>
      <c r="J595" s="32">
        <v>50</v>
      </c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1:20" ht="15.75">
      <c r="A596" s="13">
        <v>60022</v>
      </c>
      <c r="B596" s="41">
        <f t="shared" si="0"/>
        <v>30</v>
      </c>
      <c r="C596" s="32">
        <v>141.29300000000001</v>
      </c>
      <c r="D596" s="32">
        <v>267.99299999999999</v>
      </c>
      <c r="E596" s="38">
        <v>829.71400000000006</v>
      </c>
      <c r="F596" s="32">
        <v>1239</v>
      </c>
      <c r="G596" s="32">
        <v>100</v>
      </c>
      <c r="H596" s="40">
        <v>600</v>
      </c>
      <c r="I596" s="32">
        <v>695</v>
      </c>
      <c r="J596" s="32">
        <v>50</v>
      </c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1:20" ht="15.75">
      <c r="A597" s="13">
        <v>60053</v>
      </c>
      <c r="B597" s="41">
        <f t="shared" si="0"/>
        <v>31</v>
      </c>
      <c r="C597" s="32">
        <v>194.20500000000001</v>
      </c>
      <c r="D597" s="32">
        <v>267.46600000000001</v>
      </c>
      <c r="E597" s="38">
        <v>812.32899999999995</v>
      </c>
      <c r="F597" s="32">
        <v>1274</v>
      </c>
      <c r="G597" s="32">
        <v>75</v>
      </c>
      <c r="H597" s="40">
        <v>600</v>
      </c>
      <c r="I597" s="32">
        <v>695</v>
      </c>
      <c r="J597" s="32">
        <v>50</v>
      </c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1:20" ht="15.75">
      <c r="A598" s="13">
        <v>60083</v>
      </c>
      <c r="B598" s="41">
        <f t="shared" si="0"/>
        <v>30</v>
      </c>
      <c r="C598" s="32">
        <v>194.20500000000001</v>
      </c>
      <c r="D598" s="32">
        <v>267.46600000000001</v>
      </c>
      <c r="E598" s="38">
        <v>812.32899999999995</v>
      </c>
      <c r="F598" s="32">
        <v>1274</v>
      </c>
      <c r="G598" s="32">
        <v>50</v>
      </c>
      <c r="H598" s="40">
        <v>600</v>
      </c>
      <c r="I598" s="32">
        <v>695</v>
      </c>
      <c r="J598" s="32">
        <v>50</v>
      </c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1:20" ht="15.75">
      <c r="A599" s="13">
        <v>60114</v>
      </c>
      <c r="B599" s="41">
        <f t="shared" si="0"/>
        <v>31</v>
      </c>
      <c r="C599" s="32">
        <v>194.20500000000001</v>
      </c>
      <c r="D599" s="32">
        <v>267.46600000000001</v>
      </c>
      <c r="E599" s="38">
        <v>812.32899999999995</v>
      </c>
      <c r="F599" s="32">
        <v>1274</v>
      </c>
      <c r="G599" s="32">
        <v>50</v>
      </c>
      <c r="H599" s="40">
        <v>600</v>
      </c>
      <c r="I599" s="32">
        <v>695</v>
      </c>
      <c r="J599" s="32">
        <v>0</v>
      </c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15.75">
      <c r="A600" s="13">
        <v>60145</v>
      </c>
      <c r="B600" s="41">
        <f t="shared" si="0"/>
        <v>31</v>
      </c>
      <c r="C600" s="32">
        <v>194.20500000000001</v>
      </c>
      <c r="D600" s="32">
        <v>267.46600000000001</v>
      </c>
      <c r="E600" s="38">
        <v>812.32899999999995</v>
      </c>
      <c r="F600" s="32">
        <v>1274</v>
      </c>
      <c r="G600" s="32">
        <v>50</v>
      </c>
      <c r="H600" s="40">
        <v>600</v>
      </c>
      <c r="I600" s="32">
        <v>695</v>
      </c>
      <c r="J600" s="32">
        <v>0</v>
      </c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1:20" ht="15.75">
      <c r="A601" s="13">
        <v>60175</v>
      </c>
      <c r="B601" s="41">
        <f t="shared" si="0"/>
        <v>30</v>
      </c>
      <c r="C601" s="32">
        <v>194.20500000000001</v>
      </c>
      <c r="D601" s="32">
        <v>267.46600000000001</v>
      </c>
      <c r="E601" s="38">
        <v>812.32899999999995</v>
      </c>
      <c r="F601" s="32">
        <v>1274</v>
      </c>
      <c r="G601" s="32">
        <v>50</v>
      </c>
      <c r="H601" s="40">
        <v>600</v>
      </c>
      <c r="I601" s="32">
        <v>695</v>
      </c>
      <c r="J601" s="32">
        <v>0</v>
      </c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1:20" ht="15.75">
      <c r="A602" s="13">
        <v>60206</v>
      </c>
      <c r="B602" s="41">
        <f t="shared" si="0"/>
        <v>31</v>
      </c>
      <c r="C602" s="32">
        <v>131.881</v>
      </c>
      <c r="D602" s="32">
        <v>277.16699999999997</v>
      </c>
      <c r="E602" s="38">
        <v>829.952</v>
      </c>
      <c r="F602" s="32">
        <v>1239</v>
      </c>
      <c r="G602" s="32">
        <v>75</v>
      </c>
      <c r="H602" s="40">
        <v>600</v>
      </c>
      <c r="I602" s="32">
        <v>695</v>
      </c>
      <c r="J602" s="32">
        <v>0</v>
      </c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1:20" ht="15.75">
      <c r="A603" s="13">
        <v>60236</v>
      </c>
      <c r="B603" s="41">
        <f t="shared" si="0"/>
        <v>30</v>
      </c>
      <c r="C603" s="32">
        <v>122.58</v>
      </c>
      <c r="D603" s="32">
        <v>297.94099999999997</v>
      </c>
      <c r="E603" s="38">
        <v>729.47900000000004</v>
      </c>
      <c r="F603" s="32">
        <v>1150</v>
      </c>
      <c r="G603" s="32">
        <v>100</v>
      </c>
      <c r="H603" s="40">
        <v>600</v>
      </c>
      <c r="I603" s="32">
        <v>695</v>
      </c>
      <c r="J603" s="32">
        <v>50</v>
      </c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1:20" ht="15.75">
      <c r="A604" s="13">
        <v>60267</v>
      </c>
      <c r="B604" s="41">
        <f t="shared" si="0"/>
        <v>31</v>
      </c>
      <c r="C604" s="32">
        <v>122.58</v>
      </c>
      <c r="D604" s="32">
        <v>297.94099999999997</v>
      </c>
      <c r="E604" s="38">
        <v>729.47900000000004</v>
      </c>
      <c r="F604" s="32">
        <v>1150</v>
      </c>
      <c r="G604" s="32">
        <v>100</v>
      </c>
      <c r="H604" s="40">
        <v>600</v>
      </c>
      <c r="I604" s="32">
        <v>695</v>
      </c>
      <c r="J604" s="32">
        <v>50</v>
      </c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1:20" ht="15.75">
      <c r="A605" s="13">
        <v>60298</v>
      </c>
      <c r="B605" s="41">
        <f t="shared" si="0"/>
        <v>31</v>
      </c>
      <c r="C605" s="32">
        <v>122.58</v>
      </c>
      <c r="D605" s="32">
        <v>297.94099999999997</v>
      </c>
      <c r="E605" s="38">
        <v>729.47900000000004</v>
      </c>
      <c r="F605" s="32">
        <v>1150</v>
      </c>
      <c r="G605" s="32">
        <v>100</v>
      </c>
      <c r="H605" s="40">
        <v>600</v>
      </c>
      <c r="I605" s="32">
        <v>695</v>
      </c>
      <c r="J605" s="32">
        <v>50</v>
      </c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1:20" ht="15.75">
      <c r="A606" s="13">
        <v>60326</v>
      </c>
      <c r="B606" s="41">
        <f t="shared" si="0"/>
        <v>28</v>
      </c>
      <c r="C606" s="32">
        <v>122.58</v>
      </c>
      <c r="D606" s="32">
        <v>297.94099999999997</v>
      </c>
      <c r="E606" s="38">
        <v>729.47900000000004</v>
      </c>
      <c r="F606" s="32">
        <v>1150</v>
      </c>
      <c r="G606" s="32">
        <v>100</v>
      </c>
      <c r="H606" s="40">
        <v>600</v>
      </c>
      <c r="I606" s="32">
        <v>695</v>
      </c>
      <c r="J606" s="32">
        <v>50</v>
      </c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1:20" ht="15.75">
      <c r="A607" s="13">
        <v>60357</v>
      </c>
      <c r="B607" s="41">
        <f t="shared" si="0"/>
        <v>31</v>
      </c>
      <c r="C607" s="32">
        <v>122.58</v>
      </c>
      <c r="D607" s="32">
        <v>297.94099999999997</v>
      </c>
      <c r="E607" s="38">
        <v>729.47900000000004</v>
      </c>
      <c r="F607" s="32">
        <v>1150</v>
      </c>
      <c r="G607" s="32">
        <v>100</v>
      </c>
      <c r="H607" s="40">
        <v>600</v>
      </c>
      <c r="I607" s="32">
        <v>695</v>
      </c>
      <c r="J607" s="32">
        <v>50</v>
      </c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1:20" ht="15.75">
      <c r="A608" s="13">
        <v>60387</v>
      </c>
      <c r="B608" s="41">
        <f t="shared" si="0"/>
        <v>30</v>
      </c>
      <c r="C608" s="32">
        <v>141.29300000000001</v>
      </c>
      <c r="D608" s="32">
        <v>267.99299999999999</v>
      </c>
      <c r="E608" s="38">
        <v>829.71400000000006</v>
      </c>
      <c r="F608" s="32">
        <v>1239</v>
      </c>
      <c r="G608" s="32">
        <v>100</v>
      </c>
      <c r="H608" s="40">
        <v>600</v>
      </c>
      <c r="I608" s="32">
        <v>695</v>
      </c>
      <c r="J608" s="32">
        <v>50</v>
      </c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1:20" ht="15.75">
      <c r="A609" s="13">
        <v>60418</v>
      </c>
      <c r="B609" s="41">
        <f t="shared" si="0"/>
        <v>31</v>
      </c>
      <c r="C609" s="32">
        <v>194.20500000000001</v>
      </c>
      <c r="D609" s="32">
        <v>267.46600000000001</v>
      </c>
      <c r="E609" s="38">
        <v>812.32899999999995</v>
      </c>
      <c r="F609" s="32">
        <v>1274</v>
      </c>
      <c r="G609" s="32">
        <v>75</v>
      </c>
      <c r="H609" s="40">
        <v>600</v>
      </c>
      <c r="I609" s="32">
        <v>695</v>
      </c>
      <c r="J609" s="32">
        <v>50</v>
      </c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1:20" ht="15.75">
      <c r="A610" s="13">
        <v>60448</v>
      </c>
      <c r="B610" s="41">
        <f t="shared" si="0"/>
        <v>30</v>
      </c>
      <c r="C610" s="32">
        <v>194.20500000000001</v>
      </c>
      <c r="D610" s="32">
        <v>267.46600000000001</v>
      </c>
      <c r="E610" s="38">
        <v>812.32899999999995</v>
      </c>
      <c r="F610" s="32">
        <v>1274</v>
      </c>
      <c r="G610" s="32">
        <v>50</v>
      </c>
      <c r="H610" s="40">
        <v>600</v>
      </c>
      <c r="I610" s="32">
        <v>695</v>
      </c>
      <c r="J610" s="32">
        <v>50</v>
      </c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1:20" ht="15.75">
      <c r="A611" s="13">
        <v>60479</v>
      </c>
      <c r="B611" s="41">
        <f t="shared" si="0"/>
        <v>31</v>
      </c>
      <c r="C611" s="32">
        <v>194.20500000000001</v>
      </c>
      <c r="D611" s="32">
        <v>267.46600000000001</v>
      </c>
      <c r="E611" s="38">
        <v>812.32899999999995</v>
      </c>
      <c r="F611" s="32">
        <v>1274</v>
      </c>
      <c r="G611" s="32">
        <v>50</v>
      </c>
      <c r="H611" s="40">
        <v>600</v>
      </c>
      <c r="I611" s="32">
        <v>695</v>
      </c>
      <c r="J611" s="32">
        <v>0</v>
      </c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1:20" ht="15.75">
      <c r="A612" s="13">
        <v>60510</v>
      </c>
      <c r="B612" s="41">
        <f t="shared" si="0"/>
        <v>31</v>
      </c>
      <c r="C612" s="32">
        <v>194.20500000000001</v>
      </c>
      <c r="D612" s="32">
        <v>267.46600000000001</v>
      </c>
      <c r="E612" s="38">
        <v>812.32899999999995</v>
      </c>
      <c r="F612" s="32">
        <v>1274</v>
      </c>
      <c r="G612" s="32">
        <v>50</v>
      </c>
      <c r="H612" s="40">
        <v>600</v>
      </c>
      <c r="I612" s="32">
        <v>695</v>
      </c>
      <c r="J612" s="32">
        <v>0</v>
      </c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5.75">
      <c r="A613" s="13">
        <v>60540</v>
      </c>
      <c r="B613" s="41">
        <f t="shared" si="0"/>
        <v>30</v>
      </c>
      <c r="C613" s="32">
        <v>194.20500000000001</v>
      </c>
      <c r="D613" s="32">
        <v>267.46600000000001</v>
      </c>
      <c r="E613" s="38">
        <v>812.32899999999995</v>
      </c>
      <c r="F613" s="32">
        <v>1274</v>
      </c>
      <c r="G613" s="32">
        <v>50</v>
      </c>
      <c r="H613" s="40">
        <v>600</v>
      </c>
      <c r="I613" s="32">
        <v>695</v>
      </c>
      <c r="J613" s="32">
        <v>0</v>
      </c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1:20" ht="15.75">
      <c r="A614" s="13">
        <v>60571</v>
      </c>
      <c r="B614" s="41">
        <f t="shared" si="0"/>
        <v>31</v>
      </c>
      <c r="C614" s="32">
        <v>131.881</v>
      </c>
      <c r="D614" s="32">
        <v>277.16699999999997</v>
      </c>
      <c r="E614" s="38">
        <v>829.952</v>
      </c>
      <c r="F614" s="32">
        <v>1239</v>
      </c>
      <c r="G614" s="32">
        <v>75</v>
      </c>
      <c r="H614" s="40">
        <v>600</v>
      </c>
      <c r="I614" s="32">
        <v>695</v>
      </c>
      <c r="J614" s="32">
        <v>0</v>
      </c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5.75">
      <c r="A615" s="13">
        <v>60601</v>
      </c>
      <c r="B615" s="41">
        <f t="shared" si="0"/>
        <v>30</v>
      </c>
      <c r="C615" s="32">
        <v>122.58</v>
      </c>
      <c r="D615" s="32">
        <v>297.94099999999997</v>
      </c>
      <c r="E615" s="38">
        <v>729.47900000000004</v>
      </c>
      <c r="F615" s="32">
        <v>1150</v>
      </c>
      <c r="G615" s="32">
        <v>100</v>
      </c>
      <c r="H615" s="40">
        <v>600</v>
      </c>
      <c r="I615" s="32">
        <v>695</v>
      </c>
      <c r="J615" s="32">
        <v>50</v>
      </c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1:20" ht="15.75">
      <c r="A616" s="13">
        <v>60632</v>
      </c>
      <c r="B616" s="41">
        <f t="shared" si="0"/>
        <v>31</v>
      </c>
      <c r="C616" s="32">
        <v>122.58</v>
      </c>
      <c r="D616" s="32">
        <v>297.94099999999997</v>
      </c>
      <c r="E616" s="38">
        <v>729.47900000000004</v>
      </c>
      <c r="F616" s="32">
        <v>1150</v>
      </c>
      <c r="G616" s="32">
        <v>100</v>
      </c>
      <c r="H616" s="40">
        <v>600</v>
      </c>
      <c r="I616" s="32">
        <v>695</v>
      </c>
      <c r="J616" s="32">
        <v>50</v>
      </c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15.75">
      <c r="A617" s="13">
        <v>60663</v>
      </c>
      <c r="B617" s="41">
        <f t="shared" si="0"/>
        <v>31</v>
      </c>
      <c r="C617" s="32">
        <v>122.58</v>
      </c>
      <c r="D617" s="32">
        <v>297.94099999999997</v>
      </c>
      <c r="E617" s="38">
        <v>729.47900000000004</v>
      </c>
      <c r="F617" s="32">
        <v>1150</v>
      </c>
      <c r="G617" s="32">
        <v>100</v>
      </c>
      <c r="H617" s="40">
        <v>600</v>
      </c>
      <c r="I617" s="32">
        <v>695</v>
      </c>
      <c r="J617" s="32">
        <v>50</v>
      </c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1:20" ht="15.75">
      <c r="A618" s="13">
        <v>60691</v>
      </c>
      <c r="B618" s="41">
        <f t="shared" si="0"/>
        <v>28</v>
      </c>
      <c r="C618" s="32">
        <v>122.58</v>
      </c>
      <c r="D618" s="32">
        <v>297.94099999999997</v>
      </c>
      <c r="E618" s="38">
        <v>729.47900000000004</v>
      </c>
      <c r="F618" s="32">
        <v>1150</v>
      </c>
      <c r="G618" s="32">
        <v>100</v>
      </c>
      <c r="H618" s="40">
        <v>600</v>
      </c>
      <c r="I618" s="32">
        <v>695</v>
      </c>
      <c r="J618" s="32">
        <v>50</v>
      </c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1:20" ht="15.75">
      <c r="A619" s="13">
        <v>60722</v>
      </c>
      <c r="B619" s="41">
        <f t="shared" si="0"/>
        <v>31</v>
      </c>
      <c r="C619" s="32">
        <v>122.58</v>
      </c>
      <c r="D619" s="32">
        <v>297.94099999999997</v>
      </c>
      <c r="E619" s="38">
        <v>729.47900000000004</v>
      </c>
      <c r="F619" s="32">
        <v>1150</v>
      </c>
      <c r="G619" s="32">
        <v>100</v>
      </c>
      <c r="H619" s="40">
        <v>600</v>
      </c>
      <c r="I619" s="32">
        <v>695</v>
      </c>
      <c r="J619" s="32">
        <v>50</v>
      </c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1:20" ht="15.75">
      <c r="A620" s="13">
        <v>60752</v>
      </c>
      <c r="B620" s="41">
        <f t="shared" si="0"/>
        <v>30</v>
      </c>
      <c r="C620" s="32">
        <v>141.29300000000001</v>
      </c>
      <c r="D620" s="32">
        <v>267.99299999999999</v>
      </c>
      <c r="E620" s="38">
        <v>829.71400000000006</v>
      </c>
      <c r="F620" s="32">
        <v>1239</v>
      </c>
      <c r="G620" s="32">
        <v>100</v>
      </c>
      <c r="H620" s="40">
        <v>600</v>
      </c>
      <c r="I620" s="32">
        <v>695</v>
      </c>
      <c r="J620" s="32">
        <v>50</v>
      </c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1:20" ht="15.75">
      <c r="A621" s="13">
        <v>60783</v>
      </c>
      <c r="B621" s="41">
        <f t="shared" si="0"/>
        <v>31</v>
      </c>
      <c r="C621" s="32">
        <v>194.20500000000001</v>
      </c>
      <c r="D621" s="32">
        <v>267.46600000000001</v>
      </c>
      <c r="E621" s="38">
        <v>812.32899999999995</v>
      </c>
      <c r="F621" s="32">
        <v>1274</v>
      </c>
      <c r="G621" s="32">
        <v>75</v>
      </c>
      <c r="H621" s="40">
        <v>600</v>
      </c>
      <c r="I621" s="32">
        <v>695</v>
      </c>
      <c r="J621" s="32">
        <v>50</v>
      </c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ht="15.75">
      <c r="A622" s="13">
        <v>60813</v>
      </c>
      <c r="B622" s="41">
        <f t="shared" si="0"/>
        <v>30</v>
      </c>
      <c r="C622" s="32">
        <v>194.20500000000001</v>
      </c>
      <c r="D622" s="32">
        <v>267.46600000000001</v>
      </c>
      <c r="E622" s="38">
        <v>812.32899999999995</v>
      </c>
      <c r="F622" s="32">
        <v>1274</v>
      </c>
      <c r="G622" s="32">
        <v>50</v>
      </c>
      <c r="H622" s="40">
        <v>600</v>
      </c>
      <c r="I622" s="32">
        <v>695</v>
      </c>
      <c r="J622" s="32">
        <v>50</v>
      </c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1:20" ht="15.75">
      <c r="A623" s="13">
        <v>60844</v>
      </c>
      <c r="B623" s="41">
        <f t="shared" si="0"/>
        <v>31</v>
      </c>
      <c r="C623" s="32">
        <v>194.20500000000001</v>
      </c>
      <c r="D623" s="32">
        <v>267.46600000000001</v>
      </c>
      <c r="E623" s="38">
        <v>812.32899999999995</v>
      </c>
      <c r="F623" s="32">
        <v>1274</v>
      </c>
      <c r="G623" s="32">
        <v>50</v>
      </c>
      <c r="H623" s="40">
        <v>600</v>
      </c>
      <c r="I623" s="32">
        <v>695</v>
      </c>
      <c r="J623" s="32">
        <v>0</v>
      </c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1:20" ht="15.75">
      <c r="A624" s="13">
        <v>60875</v>
      </c>
      <c r="B624" s="41">
        <f t="shared" si="0"/>
        <v>31</v>
      </c>
      <c r="C624" s="32">
        <v>194.20500000000001</v>
      </c>
      <c r="D624" s="32">
        <v>267.46600000000001</v>
      </c>
      <c r="E624" s="38">
        <v>812.32899999999995</v>
      </c>
      <c r="F624" s="32">
        <v>1274</v>
      </c>
      <c r="G624" s="32">
        <v>50</v>
      </c>
      <c r="H624" s="40">
        <v>600</v>
      </c>
      <c r="I624" s="32">
        <v>695</v>
      </c>
      <c r="J624" s="32">
        <v>0</v>
      </c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1:20" ht="15.75">
      <c r="A625" s="13">
        <v>60905</v>
      </c>
      <c r="B625" s="41">
        <f t="shared" si="0"/>
        <v>30</v>
      </c>
      <c r="C625" s="32">
        <v>194.20500000000001</v>
      </c>
      <c r="D625" s="32">
        <v>267.46600000000001</v>
      </c>
      <c r="E625" s="38">
        <v>812.32899999999995</v>
      </c>
      <c r="F625" s="32">
        <v>1274</v>
      </c>
      <c r="G625" s="32">
        <v>50</v>
      </c>
      <c r="H625" s="40">
        <v>600</v>
      </c>
      <c r="I625" s="32">
        <v>695</v>
      </c>
      <c r="J625" s="32">
        <v>0</v>
      </c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1:20" ht="15.75">
      <c r="A626" s="13">
        <v>60936</v>
      </c>
      <c r="B626" s="41">
        <f t="shared" si="0"/>
        <v>31</v>
      </c>
      <c r="C626" s="32">
        <v>131.881</v>
      </c>
      <c r="D626" s="32">
        <v>277.16699999999997</v>
      </c>
      <c r="E626" s="38">
        <v>829.952</v>
      </c>
      <c r="F626" s="32">
        <v>1239</v>
      </c>
      <c r="G626" s="32">
        <v>75</v>
      </c>
      <c r="H626" s="40">
        <v>600</v>
      </c>
      <c r="I626" s="32">
        <v>695</v>
      </c>
      <c r="J626" s="32">
        <v>0</v>
      </c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1:20" ht="15.75">
      <c r="A627" s="13">
        <v>60966</v>
      </c>
      <c r="B627" s="41">
        <f t="shared" si="0"/>
        <v>30</v>
      </c>
      <c r="C627" s="32">
        <v>122.58</v>
      </c>
      <c r="D627" s="32">
        <v>297.94099999999997</v>
      </c>
      <c r="E627" s="38">
        <v>729.47900000000004</v>
      </c>
      <c r="F627" s="32">
        <v>1150</v>
      </c>
      <c r="G627" s="32">
        <v>100</v>
      </c>
      <c r="H627" s="40">
        <v>600</v>
      </c>
      <c r="I627" s="32">
        <v>695</v>
      </c>
      <c r="J627" s="32">
        <v>50</v>
      </c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15.75">
      <c r="A628" s="13">
        <v>60997</v>
      </c>
      <c r="B628" s="41">
        <f t="shared" si="0"/>
        <v>31</v>
      </c>
      <c r="C628" s="32">
        <v>122.58</v>
      </c>
      <c r="D628" s="32">
        <v>297.94099999999997</v>
      </c>
      <c r="E628" s="38">
        <v>729.47900000000004</v>
      </c>
      <c r="F628" s="32">
        <v>1150</v>
      </c>
      <c r="G628" s="32">
        <v>100</v>
      </c>
      <c r="H628" s="40">
        <v>600</v>
      </c>
      <c r="I628" s="32">
        <v>695</v>
      </c>
      <c r="J628" s="32">
        <v>50</v>
      </c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1:20" ht="15.75">
      <c r="A629" s="13">
        <v>61028</v>
      </c>
      <c r="B629" s="41">
        <f t="shared" si="0"/>
        <v>31</v>
      </c>
      <c r="C629" s="32">
        <v>122.58</v>
      </c>
      <c r="D629" s="32">
        <v>297.94099999999997</v>
      </c>
      <c r="E629" s="38">
        <v>729.47900000000004</v>
      </c>
      <c r="F629" s="32">
        <v>1150</v>
      </c>
      <c r="G629" s="32">
        <v>100</v>
      </c>
      <c r="H629" s="40">
        <v>600</v>
      </c>
      <c r="I629" s="32">
        <v>695</v>
      </c>
      <c r="J629" s="32">
        <v>50</v>
      </c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1:20" ht="15.75">
      <c r="A630" s="13">
        <v>61056</v>
      </c>
      <c r="B630" s="41">
        <f t="shared" si="0"/>
        <v>28</v>
      </c>
      <c r="C630" s="32">
        <v>122.58</v>
      </c>
      <c r="D630" s="32">
        <v>297.94099999999997</v>
      </c>
      <c r="E630" s="38">
        <v>729.47900000000004</v>
      </c>
      <c r="F630" s="32">
        <v>1150</v>
      </c>
      <c r="G630" s="32">
        <v>100</v>
      </c>
      <c r="H630" s="40">
        <v>600</v>
      </c>
      <c r="I630" s="32">
        <v>695</v>
      </c>
      <c r="J630" s="32">
        <v>50</v>
      </c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1:20" ht="15.75">
      <c r="A631" s="13">
        <v>61087</v>
      </c>
      <c r="B631" s="41">
        <f t="shared" si="0"/>
        <v>31</v>
      </c>
      <c r="C631" s="32">
        <v>122.58</v>
      </c>
      <c r="D631" s="32">
        <v>297.94099999999997</v>
      </c>
      <c r="E631" s="38">
        <v>729.47900000000004</v>
      </c>
      <c r="F631" s="32">
        <v>1150</v>
      </c>
      <c r="G631" s="32">
        <v>100</v>
      </c>
      <c r="H631" s="40">
        <v>600</v>
      </c>
      <c r="I631" s="32">
        <v>695</v>
      </c>
      <c r="J631" s="32">
        <v>50</v>
      </c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1:20" ht="15.75">
      <c r="A632" s="13">
        <v>61117</v>
      </c>
      <c r="B632" s="41">
        <f t="shared" si="0"/>
        <v>30</v>
      </c>
      <c r="C632" s="32">
        <v>141.29300000000001</v>
      </c>
      <c r="D632" s="32">
        <v>267.99299999999999</v>
      </c>
      <c r="E632" s="38">
        <v>829.71400000000006</v>
      </c>
      <c r="F632" s="32">
        <v>1239</v>
      </c>
      <c r="G632" s="32">
        <v>100</v>
      </c>
      <c r="H632" s="40">
        <v>600</v>
      </c>
      <c r="I632" s="32">
        <v>695</v>
      </c>
      <c r="J632" s="32">
        <v>50</v>
      </c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1:20" ht="15.75">
      <c r="A633" s="13">
        <v>61148</v>
      </c>
      <c r="B633" s="41">
        <f t="shared" ref="B633:B696" si="1">EOMONTH(A633,0)-EOMONTH(A633,-1)</f>
        <v>31</v>
      </c>
      <c r="C633" s="32">
        <v>194.20500000000001</v>
      </c>
      <c r="D633" s="32">
        <v>267.46600000000001</v>
      </c>
      <c r="E633" s="38">
        <v>812.32899999999995</v>
      </c>
      <c r="F633" s="32">
        <v>1274</v>
      </c>
      <c r="G633" s="32">
        <v>75</v>
      </c>
      <c r="H633" s="40">
        <v>600</v>
      </c>
      <c r="I633" s="32">
        <v>695</v>
      </c>
      <c r="J633" s="32">
        <v>50</v>
      </c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ht="15.75">
      <c r="A634" s="13">
        <v>61178</v>
      </c>
      <c r="B634" s="41">
        <f t="shared" si="1"/>
        <v>30</v>
      </c>
      <c r="C634" s="32">
        <v>194.20500000000001</v>
      </c>
      <c r="D634" s="32">
        <v>267.46600000000001</v>
      </c>
      <c r="E634" s="38">
        <v>812.32899999999995</v>
      </c>
      <c r="F634" s="32">
        <v>1274</v>
      </c>
      <c r="G634" s="32">
        <v>50</v>
      </c>
      <c r="H634" s="40">
        <v>600</v>
      </c>
      <c r="I634" s="32">
        <v>695</v>
      </c>
      <c r="J634" s="32">
        <v>50</v>
      </c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ht="15.75">
      <c r="A635" s="13">
        <v>61209</v>
      </c>
      <c r="B635" s="41">
        <f t="shared" si="1"/>
        <v>31</v>
      </c>
      <c r="C635" s="32">
        <v>194.20500000000001</v>
      </c>
      <c r="D635" s="32">
        <v>267.46600000000001</v>
      </c>
      <c r="E635" s="38">
        <v>812.32899999999995</v>
      </c>
      <c r="F635" s="32">
        <v>1274</v>
      </c>
      <c r="G635" s="32">
        <v>50</v>
      </c>
      <c r="H635" s="40">
        <v>600</v>
      </c>
      <c r="I635" s="32">
        <v>695</v>
      </c>
      <c r="J635" s="32">
        <v>0</v>
      </c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ht="15.75">
      <c r="A636" s="13">
        <v>61240</v>
      </c>
      <c r="B636" s="41">
        <f t="shared" si="1"/>
        <v>31</v>
      </c>
      <c r="C636" s="32">
        <v>194.20500000000001</v>
      </c>
      <c r="D636" s="32">
        <v>267.46600000000001</v>
      </c>
      <c r="E636" s="38">
        <v>812.32899999999995</v>
      </c>
      <c r="F636" s="32">
        <v>1274</v>
      </c>
      <c r="G636" s="32">
        <v>50</v>
      </c>
      <c r="H636" s="40">
        <v>600</v>
      </c>
      <c r="I636" s="32">
        <v>695</v>
      </c>
      <c r="J636" s="32">
        <v>0</v>
      </c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5.75">
      <c r="A637" s="13">
        <v>61270</v>
      </c>
      <c r="B637" s="41">
        <f t="shared" si="1"/>
        <v>30</v>
      </c>
      <c r="C637" s="32">
        <v>194.20500000000001</v>
      </c>
      <c r="D637" s="32">
        <v>267.46600000000001</v>
      </c>
      <c r="E637" s="38">
        <v>812.32899999999995</v>
      </c>
      <c r="F637" s="32">
        <v>1274</v>
      </c>
      <c r="G637" s="32">
        <v>50</v>
      </c>
      <c r="H637" s="40">
        <v>600</v>
      </c>
      <c r="I637" s="32">
        <v>695</v>
      </c>
      <c r="J637" s="32">
        <v>0</v>
      </c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1:20" ht="15.75">
      <c r="A638" s="13">
        <v>61301</v>
      </c>
      <c r="B638" s="41">
        <f t="shared" si="1"/>
        <v>31</v>
      </c>
      <c r="C638" s="32">
        <v>131.881</v>
      </c>
      <c r="D638" s="32">
        <v>277.16699999999997</v>
      </c>
      <c r="E638" s="38">
        <v>829.952</v>
      </c>
      <c r="F638" s="32">
        <v>1239</v>
      </c>
      <c r="G638" s="32">
        <v>75</v>
      </c>
      <c r="H638" s="40">
        <v>600</v>
      </c>
      <c r="I638" s="32">
        <v>695</v>
      </c>
      <c r="J638" s="32">
        <v>0</v>
      </c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15.75">
      <c r="A639" s="13">
        <v>61331</v>
      </c>
      <c r="B639" s="41">
        <f t="shared" si="1"/>
        <v>30</v>
      </c>
      <c r="C639" s="32">
        <v>122.58</v>
      </c>
      <c r="D639" s="32">
        <v>297.94099999999997</v>
      </c>
      <c r="E639" s="38">
        <v>729.47900000000004</v>
      </c>
      <c r="F639" s="32">
        <v>1150</v>
      </c>
      <c r="G639" s="32">
        <v>100</v>
      </c>
      <c r="H639" s="40">
        <v>600</v>
      </c>
      <c r="I639" s="32">
        <v>695</v>
      </c>
      <c r="J639" s="32">
        <v>50</v>
      </c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1:20" ht="15.75">
      <c r="A640" s="13">
        <v>61362</v>
      </c>
      <c r="B640" s="41">
        <f t="shared" si="1"/>
        <v>31</v>
      </c>
      <c r="C640" s="32">
        <v>122.58</v>
      </c>
      <c r="D640" s="32">
        <v>297.94099999999997</v>
      </c>
      <c r="E640" s="38">
        <v>729.47900000000004</v>
      </c>
      <c r="F640" s="32">
        <v>1150</v>
      </c>
      <c r="G640" s="32">
        <v>100</v>
      </c>
      <c r="H640" s="40">
        <v>600</v>
      </c>
      <c r="I640" s="32">
        <v>695</v>
      </c>
      <c r="J640" s="32">
        <v>50</v>
      </c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1:20" ht="15.75">
      <c r="A641" s="13">
        <v>61393</v>
      </c>
      <c r="B641" s="41">
        <f t="shared" si="1"/>
        <v>31</v>
      </c>
      <c r="C641" s="32">
        <v>122.58</v>
      </c>
      <c r="D641" s="32">
        <v>297.94099999999997</v>
      </c>
      <c r="E641" s="38">
        <v>729.47900000000004</v>
      </c>
      <c r="F641" s="32">
        <v>1150</v>
      </c>
      <c r="G641" s="32">
        <v>100</v>
      </c>
      <c r="H641" s="40">
        <v>600</v>
      </c>
      <c r="I641" s="32">
        <v>695</v>
      </c>
      <c r="J641" s="32">
        <v>50</v>
      </c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1:20" ht="15.75">
      <c r="A642" s="13">
        <v>61422</v>
      </c>
      <c r="B642" s="41">
        <f t="shared" si="1"/>
        <v>29</v>
      </c>
      <c r="C642" s="32">
        <v>122.58</v>
      </c>
      <c r="D642" s="32">
        <v>297.94099999999997</v>
      </c>
      <c r="E642" s="38">
        <v>729.47900000000004</v>
      </c>
      <c r="F642" s="32">
        <v>1150</v>
      </c>
      <c r="G642" s="32">
        <v>100</v>
      </c>
      <c r="H642" s="40">
        <v>600</v>
      </c>
      <c r="I642" s="32">
        <v>695</v>
      </c>
      <c r="J642" s="32">
        <v>50</v>
      </c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1:20" ht="15.75">
      <c r="A643" s="13">
        <v>61453</v>
      </c>
      <c r="B643" s="41">
        <f t="shared" si="1"/>
        <v>31</v>
      </c>
      <c r="C643" s="32">
        <v>122.58</v>
      </c>
      <c r="D643" s="32">
        <v>297.94099999999997</v>
      </c>
      <c r="E643" s="38">
        <v>729.47900000000004</v>
      </c>
      <c r="F643" s="32">
        <v>1150</v>
      </c>
      <c r="G643" s="32">
        <v>100</v>
      </c>
      <c r="H643" s="40">
        <v>600</v>
      </c>
      <c r="I643" s="32">
        <v>695</v>
      </c>
      <c r="J643" s="32">
        <v>50</v>
      </c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1:20" ht="15.75">
      <c r="A644" s="13">
        <v>61483</v>
      </c>
      <c r="B644" s="41">
        <f t="shared" si="1"/>
        <v>30</v>
      </c>
      <c r="C644" s="32">
        <v>141.29300000000001</v>
      </c>
      <c r="D644" s="32">
        <v>267.99299999999999</v>
      </c>
      <c r="E644" s="38">
        <v>829.71400000000006</v>
      </c>
      <c r="F644" s="32">
        <v>1239</v>
      </c>
      <c r="G644" s="32">
        <v>100</v>
      </c>
      <c r="H644" s="40">
        <v>600</v>
      </c>
      <c r="I644" s="32">
        <v>695</v>
      </c>
      <c r="J644" s="32">
        <v>50</v>
      </c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1:20" ht="15.75">
      <c r="A645" s="13">
        <v>61514</v>
      </c>
      <c r="B645" s="41">
        <f t="shared" si="1"/>
        <v>31</v>
      </c>
      <c r="C645" s="32">
        <v>194.20500000000001</v>
      </c>
      <c r="D645" s="32">
        <v>267.46600000000001</v>
      </c>
      <c r="E645" s="38">
        <v>812.32899999999995</v>
      </c>
      <c r="F645" s="32">
        <v>1274</v>
      </c>
      <c r="G645" s="32">
        <v>75</v>
      </c>
      <c r="H645" s="40">
        <v>600</v>
      </c>
      <c r="I645" s="32">
        <v>695</v>
      </c>
      <c r="J645" s="32">
        <v>50</v>
      </c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1:20" ht="15.75">
      <c r="A646" s="13">
        <v>61544</v>
      </c>
      <c r="B646" s="41">
        <f t="shared" si="1"/>
        <v>30</v>
      </c>
      <c r="C646" s="32">
        <v>194.20500000000001</v>
      </c>
      <c r="D646" s="32">
        <v>267.46600000000001</v>
      </c>
      <c r="E646" s="38">
        <v>812.32899999999995</v>
      </c>
      <c r="F646" s="32">
        <v>1274</v>
      </c>
      <c r="G646" s="32">
        <v>50</v>
      </c>
      <c r="H646" s="40">
        <v>600</v>
      </c>
      <c r="I646" s="32">
        <v>695</v>
      </c>
      <c r="J646" s="32">
        <v>50</v>
      </c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1:20" ht="15.75">
      <c r="A647" s="13">
        <v>61575</v>
      </c>
      <c r="B647" s="41">
        <f t="shared" si="1"/>
        <v>31</v>
      </c>
      <c r="C647" s="32">
        <v>194.20500000000001</v>
      </c>
      <c r="D647" s="32">
        <v>267.46600000000001</v>
      </c>
      <c r="E647" s="38">
        <v>812.32899999999995</v>
      </c>
      <c r="F647" s="32">
        <v>1274</v>
      </c>
      <c r="G647" s="32">
        <v>50</v>
      </c>
      <c r="H647" s="40">
        <v>600</v>
      </c>
      <c r="I647" s="32">
        <v>695</v>
      </c>
      <c r="J647" s="32">
        <v>0</v>
      </c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1:20" ht="15.75">
      <c r="A648" s="13">
        <v>61606</v>
      </c>
      <c r="B648" s="41">
        <f t="shared" si="1"/>
        <v>31</v>
      </c>
      <c r="C648" s="32">
        <v>194.20500000000001</v>
      </c>
      <c r="D648" s="32">
        <v>267.46600000000001</v>
      </c>
      <c r="E648" s="38">
        <v>812.32899999999995</v>
      </c>
      <c r="F648" s="32">
        <v>1274</v>
      </c>
      <c r="G648" s="32">
        <v>50</v>
      </c>
      <c r="H648" s="40">
        <v>600</v>
      </c>
      <c r="I648" s="32">
        <v>695</v>
      </c>
      <c r="J648" s="32">
        <v>0</v>
      </c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1:20" ht="15.75">
      <c r="A649" s="13">
        <v>61636</v>
      </c>
      <c r="B649" s="41">
        <f t="shared" si="1"/>
        <v>30</v>
      </c>
      <c r="C649" s="32">
        <v>194.20500000000001</v>
      </c>
      <c r="D649" s="32">
        <v>267.46600000000001</v>
      </c>
      <c r="E649" s="38">
        <v>812.32899999999995</v>
      </c>
      <c r="F649" s="32">
        <v>1274</v>
      </c>
      <c r="G649" s="32">
        <v>50</v>
      </c>
      <c r="H649" s="40">
        <v>600</v>
      </c>
      <c r="I649" s="32">
        <v>695</v>
      </c>
      <c r="J649" s="32">
        <v>0</v>
      </c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15.75">
      <c r="A650" s="13">
        <v>61667</v>
      </c>
      <c r="B650" s="41">
        <f t="shared" si="1"/>
        <v>31</v>
      </c>
      <c r="C650" s="32">
        <v>131.881</v>
      </c>
      <c r="D650" s="32">
        <v>277.16699999999997</v>
      </c>
      <c r="E650" s="38">
        <v>829.952</v>
      </c>
      <c r="F650" s="32">
        <v>1239</v>
      </c>
      <c r="G650" s="32">
        <v>75</v>
      </c>
      <c r="H650" s="40">
        <v>600</v>
      </c>
      <c r="I650" s="32">
        <v>695</v>
      </c>
      <c r="J650" s="32">
        <v>0</v>
      </c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1:20" ht="15.75">
      <c r="A651" s="13">
        <v>61697</v>
      </c>
      <c r="B651" s="41">
        <f t="shared" si="1"/>
        <v>30</v>
      </c>
      <c r="C651" s="32">
        <v>122.58</v>
      </c>
      <c r="D651" s="32">
        <v>297.94099999999997</v>
      </c>
      <c r="E651" s="38">
        <v>729.47900000000004</v>
      </c>
      <c r="F651" s="32">
        <v>1150</v>
      </c>
      <c r="G651" s="32">
        <v>100</v>
      </c>
      <c r="H651" s="40">
        <v>600</v>
      </c>
      <c r="I651" s="32">
        <v>695</v>
      </c>
      <c r="J651" s="32">
        <v>50</v>
      </c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1:20" ht="15.75">
      <c r="A652" s="13">
        <v>61728</v>
      </c>
      <c r="B652" s="41">
        <f t="shared" si="1"/>
        <v>31</v>
      </c>
      <c r="C652" s="32">
        <v>122.58</v>
      </c>
      <c r="D652" s="32">
        <v>297.94099999999997</v>
      </c>
      <c r="E652" s="38">
        <v>729.47900000000004</v>
      </c>
      <c r="F652" s="32">
        <v>1150</v>
      </c>
      <c r="G652" s="32">
        <v>100</v>
      </c>
      <c r="H652" s="40">
        <v>600</v>
      </c>
      <c r="I652" s="32">
        <v>695</v>
      </c>
      <c r="J652" s="32">
        <v>50</v>
      </c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1:20" ht="15.75">
      <c r="A653" s="13">
        <v>61759</v>
      </c>
      <c r="B653" s="41">
        <f t="shared" si="1"/>
        <v>31</v>
      </c>
      <c r="C653" s="32">
        <v>122.58</v>
      </c>
      <c r="D653" s="32">
        <v>297.94099999999997</v>
      </c>
      <c r="E653" s="38">
        <v>729.47900000000004</v>
      </c>
      <c r="F653" s="32">
        <v>1150</v>
      </c>
      <c r="G653" s="32">
        <v>100</v>
      </c>
      <c r="H653" s="40">
        <v>600</v>
      </c>
      <c r="I653" s="32">
        <v>695</v>
      </c>
      <c r="J653" s="32">
        <v>50</v>
      </c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1:20" ht="15.75">
      <c r="A654" s="13">
        <v>61787</v>
      </c>
      <c r="B654" s="41">
        <f t="shared" si="1"/>
        <v>28</v>
      </c>
      <c r="C654" s="32">
        <v>122.58</v>
      </c>
      <c r="D654" s="32">
        <v>297.94099999999997</v>
      </c>
      <c r="E654" s="38">
        <v>729.47900000000004</v>
      </c>
      <c r="F654" s="32">
        <v>1150</v>
      </c>
      <c r="G654" s="32">
        <v>100</v>
      </c>
      <c r="H654" s="40">
        <v>600</v>
      </c>
      <c r="I654" s="32">
        <v>695</v>
      </c>
      <c r="J654" s="32">
        <v>50</v>
      </c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1:20" ht="15.75">
      <c r="A655" s="13">
        <v>61818</v>
      </c>
      <c r="B655" s="41">
        <f t="shared" si="1"/>
        <v>31</v>
      </c>
      <c r="C655" s="32">
        <v>122.58</v>
      </c>
      <c r="D655" s="32">
        <v>297.94099999999997</v>
      </c>
      <c r="E655" s="38">
        <v>729.47900000000004</v>
      </c>
      <c r="F655" s="32">
        <v>1150</v>
      </c>
      <c r="G655" s="32">
        <v>100</v>
      </c>
      <c r="H655" s="40">
        <v>600</v>
      </c>
      <c r="I655" s="32">
        <v>695</v>
      </c>
      <c r="J655" s="32">
        <v>50</v>
      </c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1:20" ht="15.75">
      <c r="A656" s="13">
        <v>61848</v>
      </c>
      <c r="B656" s="41">
        <f t="shared" si="1"/>
        <v>30</v>
      </c>
      <c r="C656" s="32">
        <v>141.29300000000001</v>
      </c>
      <c r="D656" s="32">
        <v>267.99299999999999</v>
      </c>
      <c r="E656" s="38">
        <v>829.71400000000006</v>
      </c>
      <c r="F656" s="32">
        <v>1239</v>
      </c>
      <c r="G656" s="32">
        <v>100</v>
      </c>
      <c r="H656" s="40">
        <v>600</v>
      </c>
      <c r="I656" s="32">
        <v>695</v>
      </c>
      <c r="J656" s="32">
        <v>50</v>
      </c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1:20" ht="15.75">
      <c r="A657" s="13">
        <v>61879</v>
      </c>
      <c r="B657" s="41">
        <f t="shared" si="1"/>
        <v>31</v>
      </c>
      <c r="C657" s="32">
        <v>194.20500000000001</v>
      </c>
      <c r="D657" s="32">
        <v>267.46600000000001</v>
      </c>
      <c r="E657" s="38">
        <v>812.32899999999995</v>
      </c>
      <c r="F657" s="32">
        <v>1274</v>
      </c>
      <c r="G657" s="32">
        <v>75</v>
      </c>
      <c r="H657" s="40">
        <v>600</v>
      </c>
      <c r="I657" s="32">
        <v>695</v>
      </c>
      <c r="J657" s="32">
        <v>50</v>
      </c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1:20" ht="15.75">
      <c r="A658" s="13">
        <v>61909</v>
      </c>
      <c r="B658" s="41">
        <f t="shared" si="1"/>
        <v>30</v>
      </c>
      <c r="C658" s="32">
        <v>194.20500000000001</v>
      </c>
      <c r="D658" s="32">
        <v>267.46600000000001</v>
      </c>
      <c r="E658" s="38">
        <v>812.32899999999995</v>
      </c>
      <c r="F658" s="32">
        <v>1274</v>
      </c>
      <c r="G658" s="32">
        <v>50</v>
      </c>
      <c r="H658" s="40">
        <v>600</v>
      </c>
      <c r="I658" s="32">
        <v>695</v>
      </c>
      <c r="J658" s="32">
        <v>50</v>
      </c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1:20" ht="15.75">
      <c r="A659" s="13">
        <v>61940</v>
      </c>
      <c r="B659" s="41">
        <f t="shared" si="1"/>
        <v>31</v>
      </c>
      <c r="C659" s="32">
        <v>194.20500000000001</v>
      </c>
      <c r="D659" s="32">
        <v>267.46600000000001</v>
      </c>
      <c r="E659" s="38">
        <v>812.32899999999995</v>
      </c>
      <c r="F659" s="32">
        <v>1274</v>
      </c>
      <c r="G659" s="32">
        <v>50</v>
      </c>
      <c r="H659" s="40">
        <v>600</v>
      </c>
      <c r="I659" s="32">
        <v>695</v>
      </c>
      <c r="J659" s="32">
        <v>0</v>
      </c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1:20" ht="15.75">
      <c r="A660" s="13">
        <v>61971</v>
      </c>
      <c r="B660" s="41">
        <f t="shared" si="1"/>
        <v>31</v>
      </c>
      <c r="C660" s="32">
        <v>194.20500000000001</v>
      </c>
      <c r="D660" s="32">
        <v>267.46600000000001</v>
      </c>
      <c r="E660" s="38">
        <v>812.32899999999995</v>
      </c>
      <c r="F660" s="32">
        <v>1274</v>
      </c>
      <c r="G660" s="32">
        <v>50</v>
      </c>
      <c r="H660" s="40">
        <v>600</v>
      </c>
      <c r="I660" s="32">
        <v>695</v>
      </c>
      <c r="J660" s="32">
        <v>0</v>
      </c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15.75">
      <c r="A661" s="13">
        <v>62001</v>
      </c>
      <c r="B661" s="41">
        <f t="shared" si="1"/>
        <v>30</v>
      </c>
      <c r="C661" s="32">
        <v>194.20500000000001</v>
      </c>
      <c r="D661" s="32">
        <v>267.46600000000001</v>
      </c>
      <c r="E661" s="38">
        <v>812.32899999999995</v>
      </c>
      <c r="F661" s="32">
        <v>1274</v>
      </c>
      <c r="G661" s="32">
        <v>50</v>
      </c>
      <c r="H661" s="40">
        <v>600</v>
      </c>
      <c r="I661" s="32">
        <v>695</v>
      </c>
      <c r="J661" s="32">
        <v>0</v>
      </c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1:20" ht="15.75">
      <c r="A662" s="13">
        <v>62032</v>
      </c>
      <c r="B662" s="41">
        <f t="shared" si="1"/>
        <v>31</v>
      </c>
      <c r="C662" s="32">
        <v>131.881</v>
      </c>
      <c r="D662" s="32">
        <v>277.16699999999997</v>
      </c>
      <c r="E662" s="38">
        <v>829.952</v>
      </c>
      <c r="F662" s="32">
        <v>1239</v>
      </c>
      <c r="G662" s="32">
        <v>75</v>
      </c>
      <c r="H662" s="40">
        <v>600</v>
      </c>
      <c r="I662" s="32">
        <v>695</v>
      </c>
      <c r="J662" s="32">
        <v>0</v>
      </c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1:20" ht="15.75">
      <c r="A663" s="13">
        <v>62062</v>
      </c>
      <c r="B663" s="41">
        <f t="shared" si="1"/>
        <v>30</v>
      </c>
      <c r="C663" s="32">
        <v>122.58</v>
      </c>
      <c r="D663" s="32">
        <v>297.94099999999997</v>
      </c>
      <c r="E663" s="38">
        <v>729.47900000000004</v>
      </c>
      <c r="F663" s="32">
        <v>1150</v>
      </c>
      <c r="G663" s="32">
        <v>100</v>
      </c>
      <c r="H663" s="40">
        <v>600</v>
      </c>
      <c r="I663" s="32">
        <v>695</v>
      </c>
      <c r="J663" s="32">
        <v>50</v>
      </c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1:20" ht="15.75">
      <c r="A664" s="13">
        <v>62093</v>
      </c>
      <c r="B664" s="41">
        <f t="shared" si="1"/>
        <v>31</v>
      </c>
      <c r="C664" s="32">
        <v>122.58</v>
      </c>
      <c r="D664" s="32">
        <v>297.94099999999997</v>
      </c>
      <c r="E664" s="38">
        <v>729.47900000000004</v>
      </c>
      <c r="F664" s="32">
        <v>1150</v>
      </c>
      <c r="G664" s="32">
        <v>100</v>
      </c>
      <c r="H664" s="40">
        <v>600</v>
      </c>
      <c r="I664" s="32">
        <v>695</v>
      </c>
      <c r="J664" s="32">
        <v>50</v>
      </c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1:20" ht="15.75">
      <c r="A665" s="13">
        <v>62124</v>
      </c>
      <c r="B665" s="41">
        <f t="shared" si="1"/>
        <v>31</v>
      </c>
      <c r="C665" s="32">
        <v>122.58</v>
      </c>
      <c r="D665" s="32">
        <v>297.94099999999997</v>
      </c>
      <c r="E665" s="38">
        <v>729.47900000000004</v>
      </c>
      <c r="F665" s="32">
        <v>1150</v>
      </c>
      <c r="G665" s="32">
        <v>100</v>
      </c>
      <c r="H665" s="40">
        <v>600</v>
      </c>
      <c r="I665" s="32">
        <v>695</v>
      </c>
      <c r="J665" s="32">
        <v>50</v>
      </c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1:20" ht="15.75">
      <c r="A666" s="13">
        <v>62152</v>
      </c>
      <c r="B666" s="41">
        <f t="shared" si="1"/>
        <v>28</v>
      </c>
      <c r="C666" s="32">
        <v>122.58</v>
      </c>
      <c r="D666" s="32">
        <v>297.94099999999997</v>
      </c>
      <c r="E666" s="38">
        <v>729.47900000000004</v>
      </c>
      <c r="F666" s="32">
        <v>1150</v>
      </c>
      <c r="G666" s="32">
        <v>100</v>
      </c>
      <c r="H666" s="40">
        <v>600</v>
      </c>
      <c r="I666" s="32">
        <v>695</v>
      </c>
      <c r="J666" s="32">
        <v>50</v>
      </c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1:20" ht="15.75">
      <c r="A667" s="13">
        <v>62183</v>
      </c>
      <c r="B667" s="41">
        <f t="shared" si="1"/>
        <v>31</v>
      </c>
      <c r="C667" s="32">
        <v>122.58</v>
      </c>
      <c r="D667" s="32">
        <v>297.94099999999997</v>
      </c>
      <c r="E667" s="38">
        <v>729.47900000000004</v>
      </c>
      <c r="F667" s="32">
        <v>1150</v>
      </c>
      <c r="G667" s="32">
        <v>100</v>
      </c>
      <c r="H667" s="40">
        <v>600</v>
      </c>
      <c r="I667" s="32">
        <v>695</v>
      </c>
      <c r="J667" s="32">
        <v>50</v>
      </c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1:20" ht="15.75">
      <c r="A668" s="13">
        <v>62213</v>
      </c>
      <c r="B668" s="41">
        <f t="shared" si="1"/>
        <v>30</v>
      </c>
      <c r="C668" s="32">
        <v>141.29300000000001</v>
      </c>
      <c r="D668" s="32">
        <v>267.99299999999999</v>
      </c>
      <c r="E668" s="38">
        <v>829.71400000000006</v>
      </c>
      <c r="F668" s="32">
        <v>1239</v>
      </c>
      <c r="G668" s="32">
        <v>100</v>
      </c>
      <c r="H668" s="40">
        <v>600</v>
      </c>
      <c r="I668" s="32">
        <v>695</v>
      </c>
      <c r="J668" s="32">
        <v>50</v>
      </c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1:20" ht="15.75">
      <c r="A669" s="13">
        <v>62244</v>
      </c>
      <c r="B669" s="41">
        <f t="shared" si="1"/>
        <v>31</v>
      </c>
      <c r="C669" s="32">
        <v>194.20500000000001</v>
      </c>
      <c r="D669" s="32">
        <v>267.46600000000001</v>
      </c>
      <c r="E669" s="38">
        <v>812.32899999999995</v>
      </c>
      <c r="F669" s="32">
        <v>1274</v>
      </c>
      <c r="G669" s="32">
        <v>75</v>
      </c>
      <c r="H669" s="40">
        <v>600</v>
      </c>
      <c r="I669" s="32">
        <v>695</v>
      </c>
      <c r="J669" s="32">
        <v>50</v>
      </c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1:20" ht="15.75">
      <c r="A670" s="13">
        <v>62274</v>
      </c>
      <c r="B670" s="41">
        <f t="shared" si="1"/>
        <v>30</v>
      </c>
      <c r="C670" s="32">
        <v>194.20500000000001</v>
      </c>
      <c r="D670" s="32">
        <v>267.46600000000001</v>
      </c>
      <c r="E670" s="38">
        <v>812.32899999999995</v>
      </c>
      <c r="F670" s="32">
        <v>1274</v>
      </c>
      <c r="G670" s="32">
        <v>50</v>
      </c>
      <c r="H670" s="40">
        <v>600</v>
      </c>
      <c r="I670" s="32">
        <v>695</v>
      </c>
      <c r="J670" s="32">
        <v>50</v>
      </c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1:20" ht="15.75">
      <c r="A671" s="13">
        <v>62305</v>
      </c>
      <c r="B671" s="41">
        <f t="shared" si="1"/>
        <v>31</v>
      </c>
      <c r="C671" s="32">
        <v>194.20500000000001</v>
      </c>
      <c r="D671" s="32">
        <v>267.46600000000001</v>
      </c>
      <c r="E671" s="38">
        <v>812.32899999999995</v>
      </c>
      <c r="F671" s="32">
        <v>1274</v>
      </c>
      <c r="G671" s="32">
        <v>50</v>
      </c>
      <c r="H671" s="40">
        <v>600</v>
      </c>
      <c r="I671" s="32">
        <v>695</v>
      </c>
      <c r="J671" s="32">
        <v>0</v>
      </c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1:20" ht="15.75">
      <c r="A672" s="13">
        <v>62336</v>
      </c>
      <c r="B672" s="41">
        <f t="shared" si="1"/>
        <v>31</v>
      </c>
      <c r="C672" s="32">
        <v>194.20500000000001</v>
      </c>
      <c r="D672" s="32">
        <v>267.46600000000001</v>
      </c>
      <c r="E672" s="38">
        <v>812.32899999999995</v>
      </c>
      <c r="F672" s="32">
        <v>1274</v>
      </c>
      <c r="G672" s="32">
        <v>50</v>
      </c>
      <c r="H672" s="40">
        <v>600</v>
      </c>
      <c r="I672" s="32">
        <v>695</v>
      </c>
      <c r="J672" s="32">
        <v>0</v>
      </c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1:20" ht="15.75">
      <c r="A673" s="13">
        <v>62366</v>
      </c>
      <c r="B673" s="41">
        <f t="shared" si="1"/>
        <v>30</v>
      </c>
      <c r="C673" s="32">
        <v>194.20500000000001</v>
      </c>
      <c r="D673" s="32">
        <v>267.46600000000001</v>
      </c>
      <c r="E673" s="38">
        <v>812.32899999999995</v>
      </c>
      <c r="F673" s="32">
        <v>1274</v>
      </c>
      <c r="G673" s="32">
        <v>50</v>
      </c>
      <c r="H673" s="40">
        <v>600</v>
      </c>
      <c r="I673" s="32">
        <v>695</v>
      </c>
      <c r="J673" s="32">
        <v>0</v>
      </c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5.75">
      <c r="A674" s="13">
        <v>62397</v>
      </c>
      <c r="B674" s="41">
        <f t="shared" si="1"/>
        <v>31</v>
      </c>
      <c r="C674" s="32">
        <v>131.881</v>
      </c>
      <c r="D674" s="32">
        <v>277.16699999999997</v>
      </c>
      <c r="E674" s="38">
        <v>829.952</v>
      </c>
      <c r="F674" s="32">
        <v>1239</v>
      </c>
      <c r="G674" s="32">
        <v>75</v>
      </c>
      <c r="H674" s="40">
        <v>600</v>
      </c>
      <c r="I674" s="32">
        <v>695</v>
      </c>
      <c r="J674" s="32">
        <v>0</v>
      </c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1:20" ht="15.75">
      <c r="A675" s="13">
        <v>62427</v>
      </c>
      <c r="B675" s="41">
        <f t="shared" si="1"/>
        <v>30</v>
      </c>
      <c r="C675" s="32">
        <v>122.58</v>
      </c>
      <c r="D675" s="32">
        <v>297.94099999999997</v>
      </c>
      <c r="E675" s="38">
        <v>729.47900000000004</v>
      </c>
      <c r="F675" s="32">
        <v>1150</v>
      </c>
      <c r="G675" s="32">
        <v>100</v>
      </c>
      <c r="H675" s="40">
        <v>600</v>
      </c>
      <c r="I675" s="32">
        <v>695</v>
      </c>
      <c r="J675" s="32">
        <v>50</v>
      </c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5.75">
      <c r="A676" s="13">
        <v>62458</v>
      </c>
      <c r="B676" s="41">
        <f t="shared" si="1"/>
        <v>31</v>
      </c>
      <c r="C676" s="32">
        <v>122.58</v>
      </c>
      <c r="D676" s="32">
        <v>297.94099999999997</v>
      </c>
      <c r="E676" s="38">
        <v>729.47900000000004</v>
      </c>
      <c r="F676" s="32">
        <v>1150</v>
      </c>
      <c r="G676" s="32">
        <v>100</v>
      </c>
      <c r="H676" s="40">
        <v>600</v>
      </c>
      <c r="I676" s="32">
        <v>695</v>
      </c>
      <c r="J676" s="32">
        <v>50</v>
      </c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1:20" ht="15.75">
      <c r="A677" s="13">
        <v>62489</v>
      </c>
      <c r="B677" s="41">
        <f t="shared" si="1"/>
        <v>31</v>
      </c>
      <c r="C677" s="32">
        <v>122.58</v>
      </c>
      <c r="D677" s="32">
        <v>297.94099999999997</v>
      </c>
      <c r="E677" s="38">
        <v>729.47900000000004</v>
      </c>
      <c r="F677" s="32">
        <v>1150</v>
      </c>
      <c r="G677" s="32">
        <v>100</v>
      </c>
      <c r="H677" s="40">
        <v>600</v>
      </c>
      <c r="I677" s="32">
        <v>695</v>
      </c>
      <c r="J677" s="32">
        <v>50</v>
      </c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15.75">
      <c r="A678" s="13">
        <v>62517</v>
      </c>
      <c r="B678" s="41">
        <f t="shared" si="1"/>
        <v>28</v>
      </c>
      <c r="C678" s="32">
        <v>122.58</v>
      </c>
      <c r="D678" s="32">
        <v>297.94099999999997</v>
      </c>
      <c r="E678" s="38">
        <v>729.47900000000004</v>
      </c>
      <c r="F678" s="32">
        <v>1150</v>
      </c>
      <c r="G678" s="32">
        <v>100</v>
      </c>
      <c r="H678" s="40">
        <v>600</v>
      </c>
      <c r="I678" s="32">
        <v>695</v>
      </c>
      <c r="J678" s="32">
        <v>50</v>
      </c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1:20" ht="15.75">
      <c r="A679" s="13">
        <v>62548</v>
      </c>
      <c r="B679" s="41">
        <f t="shared" si="1"/>
        <v>31</v>
      </c>
      <c r="C679" s="32">
        <v>122.58</v>
      </c>
      <c r="D679" s="32">
        <v>297.94099999999997</v>
      </c>
      <c r="E679" s="38">
        <v>729.47900000000004</v>
      </c>
      <c r="F679" s="32">
        <v>1150</v>
      </c>
      <c r="G679" s="32">
        <v>100</v>
      </c>
      <c r="H679" s="40">
        <v>600</v>
      </c>
      <c r="I679" s="32">
        <v>695</v>
      </c>
      <c r="J679" s="32">
        <v>50</v>
      </c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1:20" ht="15.75">
      <c r="A680" s="13">
        <v>62578</v>
      </c>
      <c r="B680" s="41">
        <f t="shared" si="1"/>
        <v>30</v>
      </c>
      <c r="C680" s="32">
        <v>141.29300000000001</v>
      </c>
      <c r="D680" s="32">
        <v>267.99299999999999</v>
      </c>
      <c r="E680" s="38">
        <v>829.71400000000006</v>
      </c>
      <c r="F680" s="32">
        <v>1239</v>
      </c>
      <c r="G680" s="32">
        <v>100</v>
      </c>
      <c r="H680" s="40">
        <v>600</v>
      </c>
      <c r="I680" s="32">
        <v>695</v>
      </c>
      <c r="J680" s="32">
        <v>50</v>
      </c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1:20" ht="15.75">
      <c r="A681" s="13">
        <v>62609</v>
      </c>
      <c r="B681" s="41">
        <f t="shared" si="1"/>
        <v>31</v>
      </c>
      <c r="C681" s="32">
        <v>194.20500000000001</v>
      </c>
      <c r="D681" s="32">
        <v>267.46600000000001</v>
      </c>
      <c r="E681" s="38">
        <v>812.32899999999995</v>
      </c>
      <c r="F681" s="32">
        <v>1274</v>
      </c>
      <c r="G681" s="32">
        <v>75</v>
      </c>
      <c r="H681" s="40">
        <v>600</v>
      </c>
      <c r="I681" s="32">
        <v>695</v>
      </c>
      <c r="J681" s="32">
        <v>50</v>
      </c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1:20" ht="15.75">
      <c r="A682" s="13">
        <v>62639</v>
      </c>
      <c r="B682" s="41">
        <f t="shared" si="1"/>
        <v>30</v>
      </c>
      <c r="C682" s="32">
        <v>194.20500000000001</v>
      </c>
      <c r="D682" s="32">
        <v>267.46600000000001</v>
      </c>
      <c r="E682" s="38">
        <v>812.32899999999995</v>
      </c>
      <c r="F682" s="32">
        <v>1274</v>
      </c>
      <c r="G682" s="32">
        <v>50</v>
      </c>
      <c r="H682" s="40">
        <v>600</v>
      </c>
      <c r="I682" s="32">
        <v>695</v>
      </c>
      <c r="J682" s="32">
        <v>50</v>
      </c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1:20" ht="15.75">
      <c r="A683" s="13">
        <v>62670</v>
      </c>
      <c r="B683" s="41">
        <f t="shared" si="1"/>
        <v>31</v>
      </c>
      <c r="C683" s="32">
        <v>194.20500000000001</v>
      </c>
      <c r="D683" s="32">
        <v>267.46600000000001</v>
      </c>
      <c r="E683" s="38">
        <v>812.32899999999995</v>
      </c>
      <c r="F683" s="32">
        <v>1274</v>
      </c>
      <c r="G683" s="32">
        <v>50</v>
      </c>
      <c r="H683" s="40">
        <v>600</v>
      </c>
      <c r="I683" s="32">
        <v>695</v>
      </c>
      <c r="J683" s="32">
        <v>0</v>
      </c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1:20" ht="15.75">
      <c r="A684" s="13">
        <v>62701</v>
      </c>
      <c r="B684" s="41">
        <f t="shared" si="1"/>
        <v>31</v>
      </c>
      <c r="C684" s="32">
        <v>194.20500000000001</v>
      </c>
      <c r="D684" s="32">
        <v>267.46600000000001</v>
      </c>
      <c r="E684" s="38">
        <v>812.32899999999995</v>
      </c>
      <c r="F684" s="32">
        <v>1274</v>
      </c>
      <c r="G684" s="32">
        <v>50</v>
      </c>
      <c r="H684" s="40">
        <v>600</v>
      </c>
      <c r="I684" s="32">
        <v>695</v>
      </c>
      <c r="J684" s="32">
        <v>0</v>
      </c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1:20" ht="15.75">
      <c r="A685" s="13">
        <v>62731</v>
      </c>
      <c r="B685" s="41">
        <f t="shared" si="1"/>
        <v>30</v>
      </c>
      <c r="C685" s="32">
        <v>194.20500000000001</v>
      </c>
      <c r="D685" s="32">
        <v>267.46600000000001</v>
      </c>
      <c r="E685" s="38">
        <v>812.32899999999995</v>
      </c>
      <c r="F685" s="32">
        <v>1274</v>
      </c>
      <c r="G685" s="32">
        <v>50</v>
      </c>
      <c r="H685" s="40">
        <v>600</v>
      </c>
      <c r="I685" s="32">
        <v>695</v>
      </c>
      <c r="J685" s="32">
        <v>0</v>
      </c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1:20" ht="15.75">
      <c r="A686" s="13">
        <v>62762</v>
      </c>
      <c r="B686" s="41">
        <f t="shared" si="1"/>
        <v>31</v>
      </c>
      <c r="C686" s="32">
        <v>131.881</v>
      </c>
      <c r="D686" s="32">
        <v>277.16699999999997</v>
      </c>
      <c r="E686" s="38">
        <v>829.952</v>
      </c>
      <c r="F686" s="32">
        <v>1239</v>
      </c>
      <c r="G686" s="32">
        <v>75</v>
      </c>
      <c r="H686" s="40">
        <v>600</v>
      </c>
      <c r="I686" s="32">
        <v>695</v>
      </c>
      <c r="J686" s="32">
        <v>0</v>
      </c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ht="15.75">
      <c r="A687" s="13">
        <v>62792</v>
      </c>
      <c r="B687" s="41">
        <f t="shared" si="1"/>
        <v>30</v>
      </c>
      <c r="C687" s="32">
        <v>122.58</v>
      </c>
      <c r="D687" s="32">
        <v>297.94099999999997</v>
      </c>
      <c r="E687" s="38">
        <v>729.47900000000004</v>
      </c>
      <c r="F687" s="32">
        <v>1150</v>
      </c>
      <c r="G687" s="32">
        <v>100</v>
      </c>
      <c r="H687" s="40">
        <v>600</v>
      </c>
      <c r="I687" s="32">
        <v>695</v>
      </c>
      <c r="J687" s="32">
        <v>50</v>
      </c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ht="15.75">
      <c r="A688" s="13">
        <v>62823</v>
      </c>
      <c r="B688" s="41">
        <f t="shared" si="1"/>
        <v>31</v>
      </c>
      <c r="C688" s="32">
        <v>122.58</v>
      </c>
      <c r="D688" s="32">
        <v>297.94099999999997</v>
      </c>
      <c r="E688" s="38">
        <v>729.47900000000004</v>
      </c>
      <c r="F688" s="32">
        <v>1150</v>
      </c>
      <c r="G688" s="32">
        <v>100</v>
      </c>
      <c r="H688" s="40">
        <v>600</v>
      </c>
      <c r="I688" s="32">
        <v>695</v>
      </c>
      <c r="J688" s="32">
        <v>50</v>
      </c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15.75">
      <c r="A689" s="13">
        <v>62854</v>
      </c>
      <c r="B689" s="41">
        <f t="shared" si="1"/>
        <v>31</v>
      </c>
      <c r="C689" s="32">
        <v>122.58</v>
      </c>
      <c r="D689" s="32">
        <v>297.94099999999997</v>
      </c>
      <c r="E689" s="38">
        <v>729.47900000000004</v>
      </c>
      <c r="F689" s="32">
        <v>1150</v>
      </c>
      <c r="G689" s="32">
        <v>100</v>
      </c>
      <c r="H689" s="40">
        <v>600</v>
      </c>
      <c r="I689" s="32">
        <v>695</v>
      </c>
      <c r="J689" s="32">
        <v>50</v>
      </c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0" ht="15.75">
      <c r="A690" s="13">
        <v>62883</v>
      </c>
      <c r="B690" s="41">
        <f t="shared" si="1"/>
        <v>29</v>
      </c>
      <c r="C690" s="32">
        <v>122.58</v>
      </c>
      <c r="D690" s="32">
        <v>297.94099999999997</v>
      </c>
      <c r="E690" s="38">
        <v>729.47900000000004</v>
      </c>
      <c r="F690" s="32">
        <v>1150</v>
      </c>
      <c r="G690" s="32">
        <v>100</v>
      </c>
      <c r="H690" s="40">
        <v>600</v>
      </c>
      <c r="I690" s="32">
        <v>695</v>
      </c>
      <c r="J690" s="32">
        <v>50</v>
      </c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1:20" ht="15.75">
      <c r="A691" s="13">
        <v>62914</v>
      </c>
      <c r="B691" s="41">
        <f t="shared" si="1"/>
        <v>31</v>
      </c>
      <c r="C691" s="32">
        <v>122.58</v>
      </c>
      <c r="D691" s="32">
        <v>297.94099999999997</v>
      </c>
      <c r="E691" s="38">
        <v>729.47900000000004</v>
      </c>
      <c r="F691" s="32">
        <v>1150</v>
      </c>
      <c r="G691" s="32">
        <v>100</v>
      </c>
      <c r="H691" s="40">
        <v>600</v>
      </c>
      <c r="I691" s="32">
        <v>695</v>
      </c>
      <c r="J691" s="32">
        <v>50</v>
      </c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1:20" ht="15.75">
      <c r="A692" s="13">
        <v>62944</v>
      </c>
      <c r="B692" s="41">
        <f t="shared" si="1"/>
        <v>30</v>
      </c>
      <c r="C692" s="32">
        <v>141.29300000000001</v>
      </c>
      <c r="D692" s="32">
        <v>267.99299999999999</v>
      </c>
      <c r="E692" s="38">
        <v>829.71400000000006</v>
      </c>
      <c r="F692" s="32">
        <v>1239</v>
      </c>
      <c r="G692" s="32">
        <v>100</v>
      </c>
      <c r="H692" s="40">
        <v>600</v>
      </c>
      <c r="I692" s="32">
        <v>695</v>
      </c>
      <c r="J692" s="32">
        <v>50</v>
      </c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1:20" ht="15.75">
      <c r="A693" s="13">
        <v>62975</v>
      </c>
      <c r="B693" s="41">
        <f t="shared" si="1"/>
        <v>31</v>
      </c>
      <c r="C693" s="32">
        <v>194.20500000000001</v>
      </c>
      <c r="D693" s="32">
        <v>267.46600000000001</v>
      </c>
      <c r="E693" s="38">
        <v>812.32899999999995</v>
      </c>
      <c r="F693" s="32">
        <v>1274</v>
      </c>
      <c r="G693" s="32">
        <v>75</v>
      </c>
      <c r="H693" s="40">
        <v>600</v>
      </c>
      <c r="I693" s="32">
        <v>695</v>
      </c>
      <c r="J693" s="32">
        <v>50</v>
      </c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1:20" ht="15.75">
      <c r="A694" s="13">
        <v>63005</v>
      </c>
      <c r="B694" s="41">
        <f t="shared" si="1"/>
        <v>30</v>
      </c>
      <c r="C694" s="32">
        <v>194.20500000000001</v>
      </c>
      <c r="D694" s="32">
        <v>267.46600000000001</v>
      </c>
      <c r="E694" s="38">
        <v>812.32899999999995</v>
      </c>
      <c r="F694" s="32">
        <v>1274</v>
      </c>
      <c r="G694" s="32">
        <v>50</v>
      </c>
      <c r="H694" s="40">
        <v>600</v>
      </c>
      <c r="I694" s="32">
        <v>695</v>
      </c>
      <c r="J694" s="32">
        <v>50</v>
      </c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1:20" ht="15.75">
      <c r="A695" s="13">
        <v>63036</v>
      </c>
      <c r="B695" s="41">
        <f t="shared" si="1"/>
        <v>31</v>
      </c>
      <c r="C695" s="32">
        <v>194.20500000000001</v>
      </c>
      <c r="D695" s="32">
        <v>267.46600000000001</v>
      </c>
      <c r="E695" s="38">
        <v>812.32899999999995</v>
      </c>
      <c r="F695" s="32">
        <v>1274</v>
      </c>
      <c r="G695" s="32">
        <v>50</v>
      </c>
      <c r="H695" s="40">
        <v>600</v>
      </c>
      <c r="I695" s="32">
        <v>695</v>
      </c>
      <c r="J695" s="32">
        <v>0</v>
      </c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ht="15.75">
      <c r="A696" s="13">
        <v>63067</v>
      </c>
      <c r="B696" s="41">
        <f t="shared" si="1"/>
        <v>31</v>
      </c>
      <c r="C696" s="32">
        <v>194.20500000000001</v>
      </c>
      <c r="D696" s="32">
        <v>267.46600000000001</v>
      </c>
      <c r="E696" s="38">
        <v>812.32899999999995</v>
      </c>
      <c r="F696" s="32">
        <v>1274</v>
      </c>
      <c r="G696" s="32">
        <v>50</v>
      </c>
      <c r="H696" s="40">
        <v>600</v>
      </c>
      <c r="I696" s="32">
        <v>695</v>
      </c>
      <c r="J696" s="32">
        <v>0</v>
      </c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1:20" ht="15.75">
      <c r="A697" s="13">
        <v>63097</v>
      </c>
      <c r="B697" s="41">
        <f t="shared" ref="B697:B760" si="2">EOMONTH(A697,0)-EOMONTH(A697,-1)</f>
        <v>30</v>
      </c>
      <c r="C697" s="32">
        <v>194.20500000000001</v>
      </c>
      <c r="D697" s="32">
        <v>267.46600000000001</v>
      </c>
      <c r="E697" s="38">
        <v>812.32899999999995</v>
      </c>
      <c r="F697" s="32">
        <v>1274</v>
      </c>
      <c r="G697" s="32">
        <v>50</v>
      </c>
      <c r="H697" s="40">
        <v>600</v>
      </c>
      <c r="I697" s="32">
        <v>695</v>
      </c>
      <c r="J697" s="32">
        <v>0</v>
      </c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1:20" ht="15.75">
      <c r="A698" s="13">
        <v>63128</v>
      </c>
      <c r="B698" s="41">
        <f t="shared" si="2"/>
        <v>31</v>
      </c>
      <c r="C698" s="32">
        <v>131.881</v>
      </c>
      <c r="D698" s="32">
        <v>277.16699999999997</v>
      </c>
      <c r="E698" s="38">
        <v>829.952</v>
      </c>
      <c r="F698" s="32">
        <v>1239</v>
      </c>
      <c r="G698" s="32">
        <v>75</v>
      </c>
      <c r="H698" s="40">
        <v>600</v>
      </c>
      <c r="I698" s="32">
        <v>695</v>
      </c>
      <c r="J698" s="32">
        <v>0</v>
      </c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1:20" ht="15.75">
      <c r="A699" s="13">
        <v>63158</v>
      </c>
      <c r="B699" s="41">
        <f t="shared" si="2"/>
        <v>30</v>
      </c>
      <c r="C699" s="32">
        <v>122.58</v>
      </c>
      <c r="D699" s="32">
        <v>297.94099999999997</v>
      </c>
      <c r="E699" s="38">
        <v>729.47900000000004</v>
      </c>
      <c r="F699" s="32">
        <v>1150</v>
      </c>
      <c r="G699" s="32">
        <v>100</v>
      </c>
      <c r="H699" s="40">
        <v>600</v>
      </c>
      <c r="I699" s="32">
        <v>695</v>
      </c>
      <c r="J699" s="32">
        <v>50</v>
      </c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15.75">
      <c r="A700" s="13">
        <v>63189</v>
      </c>
      <c r="B700" s="41">
        <f t="shared" si="2"/>
        <v>31</v>
      </c>
      <c r="C700" s="32">
        <v>122.58</v>
      </c>
      <c r="D700" s="32">
        <v>297.94099999999997</v>
      </c>
      <c r="E700" s="38">
        <v>729.47900000000004</v>
      </c>
      <c r="F700" s="32">
        <v>1150</v>
      </c>
      <c r="G700" s="32">
        <v>100</v>
      </c>
      <c r="H700" s="40">
        <v>600</v>
      </c>
      <c r="I700" s="32">
        <v>695</v>
      </c>
      <c r="J700" s="32">
        <v>50</v>
      </c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1:20" ht="15.75">
      <c r="A701" s="13">
        <v>63220</v>
      </c>
      <c r="B701" s="41">
        <f t="shared" si="2"/>
        <v>31</v>
      </c>
      <c r="C701" s="32">
        <v>122.58</v>
      </c>
      <c r="D701" s="32">
        <v>297.94099999999997</v>
      </c>
      <c r="E701" s="38">
        <v>729.47900000000004</v>
      </c>
      <c r="F701" s="32">
        <v>1150</v>
      </c>
      <c r="G701" s="32">
        <v>100</v>
      </c>
      <c r="H701" s="40">
        <v>600</v>
      </c>
      <c r="I701" s="32">
        <v>695</v>
      </c>
      <c r="J701" s="32">
        <v>50</v>
      </c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1:20" ht="15.75">
      <c r="A702" s="13">
        <v>63248</v>
      </c>
      <c r="B702" s="41">
        <f t="shared" si="2"/>
        <v>28</v>
      </c>
      <c r="C702" s="32">
        <v>122.58</v>
      </c>
      <c r="D702" s="32">
        <v>297.94099999999997</v>
      </c>
      <c r="E702" s="38">
        <v>729.47900000000004</v>
      </c>
      <c r="F702" s="32">
        <v>1150</v>
      </c>
      <c r="G702" s="32">
        <v>100</v>
      </c>
      <c r="H702" s="40">
        <v>600</v>
      </c>
      <c r="I702" s="32">
        <v>695</v>
      </c>
      <c r="J702" s="32">
        <v>50</v>
      </c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1:20" ht="15.75">
      <c r="A703" s="13">
        <v>63279</v>
      </c>
      <c r="B703" s="41">
        <f t="shared" si="2"/>
        <v>31</v>
      </c>
      <c r="C703" s="32">
        <v>122.58</v>
      </c>
      <c r="D703" s="32">
        <v>297.94099999999997</v>
      </c>
      <c r="E703" s="38">
        <v>729.47900000000004</v>
      </c>
      <c r="F703" s="32">
        <v>1150</v>
      </c>
      <c r="G703" s="32">
        <v>100</v>
      </c>
      <c r="H703" s="40">
        <v>600</v>
      </c>
      <c r="I703" s="32">
        <v>695</v>
      </c>
      <c r="J703" s="32">
        <v>50</v>
      </c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1:20" ht="15.75">
      <c r="A704" s="13">
        <v>63309</v>
      </c>
      <c r="B704" s="41">
        <f t="shared" si="2"/>
        <v>30</v>
      </c>
      <c r="C704" s="32">
        <v>141.29300000000001</v>
      </c>
      <c r="D704" s="32">
        <v>267.99299999999999</v>
      </c>
      <c r="E704" s="38">
        <v>829.71400000000006</v>
      </c>
      <c r="F704" s="32">
        <v>1239</v>
      </c>
      <c r="G704" s="32">
        <v>100</v>
      </c>
      <c r="H704" s="40">
        <v>600</v>
      </c>
      <c r="I704" s="32">
        <v>695</v>
      </c>
      <c r="J704" s="32">
        <v>50</v>
      </c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1:20" ht="15.75">
      <c r="A705" s="13">
        <v>63340</v>
      </c>
      <c r="B705" s="41">
        <f t="shared" si="2"/>
        <v>31</v>
      </c>
      <c r="C705" s="32">
        <v>194.20500000000001</v>
      </c>
      <c r="D705" s="32">
        <v>267.46600000000001</v>
      </c>
      <c r="E705" s="38">
        <v>812.32899999999995</v>
      </c>
      <c r="F705" s="32">
        <v>1274</v>
      </c>
      <c r="G705" s="32">
        <v>75</v>
      </c>
      <c r="H705" s="40">
        <v>600</v>
      </c>
      <c r="I705" s="32">
        <v>695</v>
      </c>
      <c r="J705" s="32">
        <v>50</v>
      </c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1:20" ht="15.75">
      <c r="A706" s="13">
        <v>63370</v>
      </c>
      <c r="B706" s="41">
        <f t="shared" si="2"/>
        <v>30</v>
      </c>
      <c r="C706" s="32">
        <v>194.20500000000001</v>
      </c>
      <c r="D706" s="32">
        <v>267.46600000000001</v>
      </c>
      <c r="E706" s="38">
        <v>812.32899999999995</v>
      </c>
      <c r="F706" s="32">
        <v>1274</v>
      </c>
      <c r="G706" s="32">
        <v>50</v>
      </c>
      <c r="H706" s="40">
        <v>600</v>
      </c>
      <c r="I706" s="32">
        <v>695</v>
      </c>
      <c r="J706" s="32">
        <v>50</v>
      </c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1:20" ht="15.75">
      <c r="A707" s="13">
        <v>63401</v>
      </c>
      <c r="B707" s="41">
        <f t="shared" si="2"/>
        <v>31</v>
      </c>
      <c r="C707" s="32">
        <v>194.20500000000001</v>
      </c>
      <c r="D707" s="32">
        <v>267.46600000000001</v>
      </c>
      <c r="E707" s="38">
        <v>812.32899999999995</v>
      </c>
      <c r="F707" s="32">
        <v>1274</v>
      </c>
      <c r="G707" s="32">
        <v>50</v>
      </c>
      <c r="H707" s="40">
        <v>600</v>
      </c>
      <c r="I707" s="32">
        <v>695</v>
      </c>
      <c r="J707" s="32">
        <v>0</v>
      </c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1:20" ht="15.75">
      <c r="A708" s="13">
        <v>63432</v>
      </c>
      <c r="B708" s="41">
        <f t="shared" si="2"/>
        <v>31</v>
      </c>
      <c r="C708" s="32">
        <v>194.20500000000001</v>
      </c>
      <c r="D708" s="32">
        <v>267.46600000000001</v>
      </c>
      <c r="E708" s="38">
        <v>812.32899999999995</v>
      </c>
      <c r="F708" s="32">
        <v>1274</v>
      </c>
      <c r="G708" s="32">
        <v>50</v>
      </c>
      <c r="H708" s="40">
        <v>600</v>
      </c>
      <c r="I708" s="32">
        <v>695</v>
      </c>
      <c r="J708" s="32">
        <v>0</v>
      </c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1:20" ht="15.75">
      <c r="A709" s="13">
        <v>63462</v>
      </c>
      <c r="B709" s="41">
        <f t="shared" si="2"/>
        <v>30</v>
      </c>
      <c r="C709" s="32">
        <v>194.20500000000001</v>
      </c>
      <c r="D709" s="32">
        <v>267.46600000000001</v>
      </c>
      <c r="E709" s="38">
        <v>812.32899999999995</v>
      </c>
      <c r="F709" s="32">
        <v>1274</v>
      </c>
      <c r="G709" s="32">
        <v>50</v>
      </c>
      <c r="H709" s="40">
        <v>600</v>
      </c>
      <c r="I709" s="32">
        <v>695</v>
      </c>
      <c r="J709" s="32">
        <v>0</v>
      </c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1:20" ht="15.75">
      <c r="A710" s="13">
        <v>63493</v>
      </c>
      <c r="B710" s="41">
        <f t="shared" si="2"/>
        <v>31</v>
      </c>
      <c r="C710" s="32">
        <v>131.881</v>
      </c>
      <c r="D710" s="32">
        <v>277.16699999999997</v>
      </c>
      <c r="E710" s="38">
        <v>829.952</v>
      </c>
      <c r="F710" s="32">
        <v>1239</v>
      </c>
      <c r="G710" s="32">
        <v>75</v>
      </c>
      <c r="H710" s="40">
        <v>600</v>
      </c>
      <c r="I710" s="32">
        <v>695</v>
      </c>
      <c r="J710" s="32">
        <v>0</v>
      </c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15.75">
      <c r="A711" s="13">
        <v>63523</v>
      </c>
      <c r="B711" s="41">
        <f t="shared" si="2"/>
        <v>30</v>
      </c>
      <c r="C711" s="32">
        <v>122.58</v>
      </c>
      <c r="D711" s="32">
        <v>297.94099999999997</v>
      </c>
      <c r="E711" s="38">
        <v>729.47900000000004</v>
      </c>
      <c r="F711" s="32">
        <v>1150</v>
      </c>
      <c r="G711" s="32">
        <v>100</v>
      </c>
      <c r="H711" s="40">
        <v>600</v>
      </c>
      <c r="I711" s="32">
        <v>695</v>
      </c>
      <c r="J711" s="32">
        <v>50</v>
      </c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1:20" ht="15.75">
      <c r="A712" s="13">
        <v>63554</v>
      </c>
      <c r="B712" s="41">
        <f t="shared" si="2"/>
        <v>31</v>
      </c>
      <c r="C712" s="32">
        <v>122.58</v>
      </c>
      <c r="D712" s="32">
        <v>297.94099999999997</v>
      </c>
      <c r="E712" s="38">
        <v>729.47900000000004</v>
      </c>
      <c r="F712" s="32">
        <v>1150</v>
      </c>
      <c r="G712" s="32">
        <v>100</v>
      </c>
      <c r="H712" s="40">
        <v>600</v>
      </c>
      <c r="I712" s="32">
        <v>695</v>
      </c>
      <c r="J712" s="32">
        <v>50</v>
      </c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1:20" ht="15.75">
      <c r="A713" s="13">
        <v>63585</v>
      </c>
      <c r="B713" s="41">
        <f t="shared" si="2"/>
        <v>31</v>
      </c>
      <c r="C713" s="32">
        <v>122.58</v>
      </c>
      <c r="D713" s="32">
        <v>297.94099999999997</v>
      </c>
      <c r="E713" s="38">
        <v>729.47900000000004</v>
      </c>
      <c r="F713" s="32">
        <v>1150</v>
      </c>
      <c r="G713" s="32">
        <v>100</v>
      </c>
      <c r="H713" s="40">
        <v>600</v>
      </c>
      <c r="I713" s="32">
        <v>695</v>
      </c>
      <c r="J713" s="32">
        <v>50</v>
      </c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1:20" ht="15.75">
      <c r="A714" s="13">
        <v>63613</v>
      </c>
      <c r="B714" s="41">
        <f t="shared" si="2"/>
        <v>28</v>
      </c>
      <c r="C714" s="32">
        <v>122.58</v>
      </c>
      <c r="D714" s="32">
        <v>297.94099999999997</v>
      </c>
      <c r="E714" s="38">
        <v>729.47900000000004</v>
      </c>
      <c r="F714" s="32">
        <v>1150</v>
      </c>
      <c r="G714" s="32">
        <v>100</v>
      </c>
      <c r="H714" s="40">
        <v>600</v>
      </c>
      <c r="I714" s="32">
        <v>695</v>
      </c>
      <c r="J714" s="32">
        <v>50</v>
      </c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1:20" ht="15.75">
      <c r="A715" s="13">
        <v>63644</v>
      </c>
      <c r="B715" s="41">
        <f t="shared" si="2"/>
        <v>31</v>
      </c>
      <c r="C715" s="32">
        <v>122.58</v>
      </c>
      <c r="D715" s="32">
        <v>297.94099999999997</v>
      </c>
      <c r="E715" s="38">
        <v>729.47900000000004</v>
      </c>
      <c r="F715" s="32">
        <v>1150</v>
      </c>
      <c r="G715" s="32">
        <v>100</v>
      </c>
      <c r="H715" s="40">
        <v>600</v>
      </c>
      <c r="I715" s="32">
        <v>695</v>
      </c>
      <c r="J715" s="32">
        <v>50</v>
      </c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1:20" ht="15.75">
      <c r="A716" s="13">
        <v>63674</v>
      </c>
      <c r="B716" s="41">
        <f t="shared" si="2"/>
        <v>30</v>
      </c>
      <c r="C716" s="32">
        <v>141.29300000000001</v>
      </c>
      <c r="D716" s="32">
        <v>267.99299999999999</v>
      </c>
      <c r="E716" s="38">
        <v>829.71400000000006</v>
      </c>
      <c r="F716" s="32">
        <v>1239</v>
      </c>
      <c r="G716" s="32">
        <v>100</v>
      </c>
      <c r="H716" s="40">
        <v>600</v>
      </c>
      <c r="I716" s="32">
        <v>695</v>
      </c>
      <c r="J716" s="32">
        <v>50</v>
      </c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1:20" ht="15.75">
      <c r="A717" s="13">
        <v>63705</v>
      </c>
      <c r="B717" s="41">
        <f t="shared" si="2"/>
        <v>31</v>
      </c>
      <c r="C717" s="32">
        <v>194.20500000000001</v>
      </c>
      <c r="D717" s="32">
        <v>267.46600000000001</v>
      </c>
      <c r="E717" s="38">
        <v>812.32899999999995</v>
      </c>
      <c r="F717" s="32">
        <v>1274</v>
      </c>
      <c r="G717" s="32">
        <v>75</v>
      </c>
      <c r="H717" s="40">
        <v>600</v>
      </c>
      <c r="I717" s="32">
        <v>695</v>
      </c>
      <c r="J717" s="32">
        <v>50</v>
      </c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1:20" ht="15.75">
      <c r="A718" s="13">
        <v>63735</v>
      </c>
      <c r="B718" s="41">
        <f t="shared" si="2"/>
        <v>30</v>
      </c>
      <c r="C718" s="32">
        <v>194.20500000000001</v>
      </c>
      <c r="D718" s="32">
        <v>267.46600000000001</v>
      </c>
      <c r="E718" s="38">
        <v>812.32899999999995</v>
      </c>
      <c r="F718" s="32">
        <v>1274</v>
      </c>
      <c r="G718" s="32">
        <v>50</v>
      </c>
      <c r="H718" s="40">
        <v>600</v>
      </c>
      <c r="I718" s="32">
        <v>695</v>
      </c>
      <c r="J718" s="32">
        <v>50</v>
      </c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1:20" ht="15.75">
      <c r="A719" s="13">
        <v>63766</v>
      </c>
      <c r="B719" s="41">
        <f t="shared" si="2"/>
        <v>31</v>
      </c>
      <c r="C719" s="32">
        <v>194.20500000000001</v>
      </c>
      <c r="D719" s="32">
        <v>267.46600000000001</v>
      </c>
      <c r="E719" s="38">
        <v>812.32899999999995</v>
      </c>
      <c r="F719" s="32">
        <v>1274</v>
      </c>
      <c r="G719" s="32">
        <v>50</v>
      </c>
      <c r="H719" s="40">
        <v>600</v>
      </c>
      <c r="I719" s="32">
        <v>695</v>
      </c>
      <c r="J719" s="32">
        <v>0</v>
      </c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1:20" ht="15.75">
      <c r="A720" s="13">
        <v>63797</v>
      </c>
      <c r="B720" s="41">
        <f t="shared" si="2"/>
        <v>31</v>
      </c>
      <c r="C720" s="32">
        <v>194.20500000000001</v>
      </c>
      <c r="D720" s="32">
        <v>267.46600000000001</v>
      </c>
      <c r="E720" s="38">
        <v>812.32899999999995</v>
      </c>
      <c r="F720" s="32">
        <v>1274</v>
      </c>
      <c r="G720" s="32">
        <v>50</v>
      </c>
      <c r="H720" s="40">
        <v>600</v>
      </c>
      <c r="I720" s="32">
        <v>695</v>
      </c>
      <c r="J720" s="32">
        <v>0</v>
      </c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1:20" ht="15.75">
      <c r="A721" s="13">
        <v>63827</v>
      </c>
      <c r="B721" s="41">
        <f t="shared" si="2"/>
        <v>30</v>
      </c>
      <c r="C721" s="32">
        <v>194.20500000000001</v>
      </c>
      <c r="D721" s="32">
        <v>267.46600000000001</v>
      </c>
      <c r="E721" s="38">
        <v>812.32899999999995</v>
      </c>
      <c r="F721" s="32">
        <v>1274</v>
      </c>
      <c r="G721" s="32">
        <v>50</v>
      </c>
      <c r="H721" s="40">
        <v>600</v>
      </c>
      <c r="I721" s="32">
        <v>695</v>
      </c>
      <c r="J721" s="32">
        <v>0</v>
      </c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15.75">
      <c r="A722" s="13">
        <v>63858</v>
      </c>
      <c r="B722" s="41">
        <f t="shared" si="2"/>
        <v>31</v>
      </c>
      <c r="C722" s="32">
        <v>131.881</v>
      </c>
      <c r="D722" s="32">
        <v>277.16699999999997</v>
      </c>
      <c r="E722" s="38">
        <v>829.952</v>
      </c>
      <c r="F722" s="32">
        <v>1239</v>
      </c>
      <c r="G722" s="32">
        <v>75</v>
      </c>
      <c r="H722" s="40">
        <v>600</v>
      </c>
      <c r="I722" s="32">
        <v>695</v>
      </c>
      <c r="J722" s="32">
        <v>0</v>
      </c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1:20" ht="15.75">
      <c r="A723" s="13">
        <v>63888</v>
      </c>
      <c r="B723" s="41">
        <f t="shared" si="2"/>
        <v>30</v>
      </c>
      <c r="C723" s="32">
        <v>122.58</v>
      </c>
      <c r="D723" s="32">
        <v>297.94099999999997</v>
      </c>
      <c r="E723" s="38">
        <v>729.47900000000004</v>
      </c>
      <c r="F723" s="32">
        <v>1150</v>
      </c>
      <c r="G723" s="32">
        <v>100</v>
      </c>
      <c r="H723" s="40">
        <v>600</v>
      </c>
      <c r="I723" s="32">
        <v>695</v>
      </c>
      <c r="J723" s="32">
        <v>50</v>
      </c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1:20" ht="15.75">
      <c r="A724" s="13">
        <v>63919</v>
      </c>
      <c r="B724" s="41">
        <f t="shared" si="2"/>
        <v>31</v>
      </c>
      <c r="C724" s="32">
        <v>122.58</v>
      </c>
      <c r="D724" s="32">
        <v>297.94099999999997</v>
      </c>
      <c r="E724" s="38">
        <v>729.47900000000004</v>
      </c>
      <c r="F724" s="32">
        <v>1150</v>
      </c>
      <c r="G724" s="32">
        <v>100</v>
      </c>
      <c r="H724" s="40">
        <v>600</v>
      </c>
      <c r="I724" s="32">
        <v>695</v>
      </c>
      <c r="J724" s="32">
        <v>50</v>
      </c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1:20" ht="15.75">
      <c r="A725" s="13">
        <v>63950</v>
      </c>
      <c r="B725" s="41">
        <f t="shared" si="2"/>
        <v>31</v>
      </c>
      <c r="C725" s="32">
        <v>122.58</v>
      </c>
      <c r="D725" s="32">
        <v>297.94099999999997</v>
      </c>
      <c r="E725" s="38">
        <v>729.47900000000004</v>
      </c>
      <c r="F725" s="32">
        <v>1150</v>
      </c>
      <c r="G725" s="32">
        <v>100</v>
      </c>
      <c r="H725" s="40">
        <v>600</v>
      </c>
      <c r="I725" s="32">
        <v>695</v>
      </c>
      <c r="J725" s="32">
        <v>50</v>
      </c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1:20" ht="15.75">
      <c r="A726" s="13">
        <v>63978</v>
      </c>
      <c r="B726" s="41">
        <f t="shared" si="2"/>
        <v>28</v>
      </c>
      <c r="C726" s="32">
        <v>122.58</v>
      </c>
      <c r="D726" s="32">
        <v>297.94099999999997</v>
      </c>
      <c r="E726" s="38">
        <v>729.47900000000004</v>
      </c>
      <c r="F726" s="32">
        <v>1150</v>
      </c>
      <c r="G726" s="32">
        <v>100</v>
      </c>
      <c r="H726" s="40">
        <v>600</v>
      </c>
      <c r="I726" s="32">
        <v>695</v>
      </c>
      <c r="J726" s="32">
        <v>50</v>
      </c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1:20" ht="15.75">
      <c r="A727" s="13">
        <v>64009</v>
      </c>
      <c r="B727" s="41">
        <f t="shared" si="2"/>
        <v>31</v>
      </c>
      <c r="C727" s="32">
        <v>122.58</v>
      </c>
      <c r="D727" s="32">
        <v>297.94099999999997</v>
      </c>
      <c r="E727" s="38">
        <v>729.47900000000004</v>
      </c>
      <c r="F727" s="32">
        <v>1150</v>
      </c>
      <c r="G727" s="32">
        <v>100</v>
      </c>
      <c r="H727" s="40">
        <v>600</v>
      </c>
      <c r="I727" s="32">
        <v>695</v>
      </c>
      <c r="J727" s="32">
        <v>50</v>
      </c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1:20" ht="15.75">
      <c r="A728" s="13">
        <v>64039</v>
      </c>
      <c r="B728" s="41">
        <f t="shared" si="2"/>
        <v>30</v>
      </c>
      <c r="C728" s="32">
        <v>141.29300000000001</v>
      </c>
      <c r="D728" s="32">
        <v>267.99299999999999</v>
      </c>
      <c r="E728" s="38">
        <v>829.71400000000006</v>
      </c>
      <c r="F728" s="32">
        <v>1239</v>
      </c>
      <c r="G728" s="32">
        <v>100</v>
      </c>
      <c r="H728" s="40">
        <v>600</v>
      </c>
      <c r="I728" s="32">
        <v>695</v>
      </c>
      <c r="J728" s="32">
        <v>50</v>
      </c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1:20" ht="15.75">
      <c r="A729" s="13">
        <v>64070</v>
      </c>
      <c r="B729" s="41">
        <f t="shared" si="2"/>
        <v>31</v>
      </c>
      <c r="C729" s="32">
        <v>194.20500000000001</v>
      </c>
      <c r="D729" s="32">
        <v>267.46600000000001</v>
      </c>
      <c r="E729" s="38">
        <v>812.32899999999995</v>
      </c>
      <c r="F729" s="32">
        <v>1274</v>
      </c>
      <c r="G729" s="32">
        <v>75</v>
      </c>
      <c r="H729" s="40">
        <v>600</v>
      </c>
      <c r="I729" s="32">
        <v>695</v>
      </c>
      <c r="J729" s="32">
        <v>50</v>
      </c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1:20" ht="15.75">
      <c r="A730" s="13">
        <v>64100</v>
      </c>
      <c r="B730" s="41">
        <f t="shared" si="2"/>
        <v>30</v>
      </c>
      <c r="C730" s="32">
        <v>194.20500000000001</v>
      </c>
      <c r="D730" s="32">
        <v>267.46600000000001</v>
      </c>
      <c r="E730" s="38">
        <v>812.32899999999995</v>
      </c>
      <c r="F730" s="32">
        <v>1274</v>
      </c>
      <c r="G730" s="32">
        <v>50</v>
      </c>
      <c r="H730" s="40">
        <v>600</v>
      </c>
      <c r="I730" s="32">
        <v>695</v>
      </c>
      <c r="J730" s="32">
        <v>50</v>
      </c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1:20" ht="15.75">
      <c r="A731" s="13">
        <v>64131</v>
      </c>
      <c r="B731" s="41">
        <f t="shared" si="2"/>
        <v>31</v>
      </c>
      <c r="C731" s="32">
        <v>194.20500000000001</v>
      </c>
      <c r="D731" s="32">
        <v>267.46600000000001</v>
      </c>
      <c r="E731" s="38">
        <v>812.32899999999995</v>
      </c>
      <c r="F731" s="32">
        <v>1274</v>
      </c>
      <c r="G731" s="32">
        <v>50</v>
      </c>
      <c r="H731" s="40">
        <v>600</v>
      </c>
      <c r="I731" s="32">
        <v>695</v>
      </c>
      <c r="J731" s="32">
        <v>0</v>
      </c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1:20" ht="15.75">
      <c r="A732" s="13">
        <v>64162</v>
      </c>
      <c r="B732" s="41">
        <f t="shared" si="2"/>
        <v>31</v>
      </c>
      <c r="C732" s="32">
        <v>194.20500000000001</v>
      </c>
      <c r="D732" s="32">
        <v>267.46600000000001</v>
      </c>
      <c r="E732" s="38">
        <v>812.32899999999995</v>
      </c>
      <c r="F732" s="32">
        <v>1274</v>
      </c>
      <c r="G732" s="32">
        <v>50</v>
      </c>
      <c r="H732" s="40">
        <v>600</v>
      </c>
      <c r="I732" s="32">
        <v>695</v>
      </c>
      <c r="J732" s="32">
        <v>0</v>
      </c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1:20" ht="15.75">
      <c r="A733" s="13">
        <v>64192</v>
      </c>
      <c r="B733" s="41">
        <f t="shared" si="2"/>
        <v>30</v>
      </c>
      <c r="C733" s="32">
        <v>194.20500000000001</v>
      </c>
      <c r="D733" s="32">
        <v>267.46600000000001</v>
      </c>
      <c r="E733" s="38">
        <v>812.32899999999995</v>
      </c>
      <c r="F733" s="32">
        <v>1274</v>
      </c>
      <c r="G733" s="32">
        <v>50</v>
      </c>
      <c r="H733" s="40">
        <v>600</v>
      </c>
      <c r="I733" s="32">
        <v>695</v>
      </c>
      <c r="J733" s="32">
        <v>0</v>
      </c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1:20" ht="15.75">
      <c r="A734" s="13">
        <v>64223</v>
      </c>
      <c r="B734" s="41">
        <f t="shared" si="2"/>
        <v>31</v>
      </c>
      <c r="C734" s="32">
        <v>131.881</v>
      </c>
      <c r="D734" s="32">
        <v>277.16699999999997</v>
      </c>
      <c r="E734" s="38">
        <v>829.952</v>
      </c>
      <c r="F734" s="32">
        <v>1239</v>
      </c>
      <c r="G734" s="32">
        <v>75</v>
      </c>
      <c r="H734" s="40">
        <v>600</v>
      </c>
      <c r="I734" s="32">
        <v>695</v>
      </c>
      <c r="J734" s="32">
        <v>0</v>
      </c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1:20" ht="15.75">
      <c r="A735" s="13">
        <v>64253</v>
      </c>
      <c r="B735" s="41">
        <f t="shared" si="2"/>
        <v>30</v>
      </c>
      <c r="C735" s="32">
        <v>122.58</v>
      </c>
      <c r="D735" s="32">
        <v>297.94099999999997</v>
      </c>
      <c r="E735" s="38">
        <v>729.47900000000004</v>
      </c>
      <c r="F735" s="32">
        <v>1150</v>
      </c>
      <c r="G735" s="32">
        <v>100</v>
      </c>
      <c r="H735" s="40">
        <v>600</v>
      </c>
      <c r="I735" s="32">
        <v>695</v>
      </c>
      <c r="J735" s="32">
        <v>50</v>
      </c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1:20" ht="15.75">
      <c r="A736" s="13">
        <v>64284</v>
      </c>
      <c r="B736" s="41">
        <f t="shared" si="2"/>
        <v>31</v>
      </c>
      <c r="C736" s="32">
        <v>122.58</v>
      </c>
      <c r="D736" s="32">
        <v>297.94099999999997</v>
      </c>
      <c r="E736" s="38">
        <v>729.47900000000004</v>
      </c>
      <c r="F736" s="32">
        <v>1150</v>
      </c>
      <c r="G736" s="32">
        <v>100</v>
      </c>
      <c r="H736" s="40">
        <v>600</v>
      </c>
      <c r="I736" s="32">
        <v>695</v>
      </c>
      <c r="J736" s="32">
        <v>50</v>
      </c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1:20" ht="15.75">
      <c r="A737" s="13">
        <v>64315</v>
      </c>
      <c r="B737" s="41">
        <f t="shared" si="2"/>
        <v>31</v>
      </c>
      <c r="C737" s="32">
        <v>122.58</v>
      </c>
      <c r="D737" s="32">
        <v>297.94099999999997</v>
      </c>
      <c r="E737" s="38">
        <v>729.47900000000004</v>
      </c>
      <c r="F737" s="32">
        <v>1150</v>
      </c>
      <c r="G737" s="32">
        <v>100</v>
      </c>
      <c r="H737" s="40">
        <v>600</v>
      </c>
      <c r="I737" s="32">
        <v>695</v>
      </c>
      <c r="J737" s="32">
        <v>50</v>
      </c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1:20" ht="15.75">
      <c r="A738" s="13">
        <v>64344</v>
      </c>
      <c r="B738" s="41">
        <f t="shared" si="2"/>
        <v>29</v>
      </c>
      <c r="C738" s="32">
        <v>122.58</v>
      </c>
      <c r="D738" s="32">
        <v>297.94099999999997</v>
      </c>
      <c r="E738" s="38">
        <v>729.47900000000004</v>
      </c>
      <c r="F738" s="32">
        <v>1150</v>
      </c>
      <c r="G738" s="32">
        <v>100</v>
      </c>
      <c r="H738" s="40">
        <v>600</v>
      </c>
      <c r="I738" s="32">
        <v>695</v>
      </c>
      <c r="J738" s="32">
        <v>50</v>
      </c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  <row r="739" spans="1:20" ht="15.75">
      <c r="A739" s="13">
        <v>64375</v>
      </c>
      <c r="B739" s="41">
        <f t="shared" si="2"/>
        <v>31</v>
      </c>
      <c r="C739" s="32">
        <v>122.58</v>
      </c>
      <c r="D739" s="32">
        <v>297.94099999999997</v>
      </c>
      <c r="E739" s="38">
        <v>729.47900000000004</v>
      </c>
      <c r="F739" s="32">
        <v>1150</v>
      </c>
      <c r="G739" s="32">
        <v>100</v>
      </c>
      <c r="H739" s="40">
        <v>600</v>
      </c>
      <c r="I739" s="32">
        <v>695</v>
      </c>
      <c r="J739" s="32">
        <v>50</v>
      </c>
      <c r="K739" s="33"/>
      <c r="L739" s="33"/>
      <c r="M739" s="33"/>
      <c r="N739" s="33"/>
      <c r="O739" s="33"/>
      <c r="P739" s="33"/>
      <c r="Q739" s="33"/>
      <c r="R739" s="33"/>
      <c r="S739" s="33"/>
      <c r="T739" s="33"/>
    </row>
    <row r="740" spans="1:20" ht="15.75">
      <c r="A740" s="13">
        <v>64405</v>
      </c>
      <c r="B740" s="41">
        <f t="shared" si="2"/>
        <v>30</v>
      </c>
      <c r="C740" s="32">
        <v>141.29300000000001</v>
      </c>
      <c r="D740" s="32">
        <v>267.99299999999999</v>
      </c>
      <c r="E740" s="38">
        <v>829.71400000000006</v>
      </c>
      <c r="F740" s="32">
        <v>1239</v>
      </c>
      <c r="G740" s="32">
        <v>100</v>
      </c>
      <c r="H740" s="40">
        <v>600</v>
      </c>
      <c r="I740" s="32">
        <v>695</v>
      </c>
      <c r="J740" s="32">
        <v>50</v>
      </c>
      <c r="K740" s="33"/>
      <c r="L740" s="33"/>
      <c r="M740" s="33"/>
      <c r="N740" s="33"/>
      <c r="O740" s="33"/>
      <c r="P740" s="33"/>
      <c r="Q740" s="33"/>
      <c r="R740" s="33"/>
      <c r="S740" s="33"/>
      <c r="T740" s="33"/>
    </row>
    <row r="741" spans="1:20" ht="15.75">
      <c r="A741" s="13">
        <v>64436</v>
      </c>
      <c r="B741" s="41">
        <f t="shared" si="2"/>
        <v>31</v>
      </c>
      <c r="C741" s="32">
        <v>194.20500000000001</v>
      </c>
      <c r="D741" s="32">
        <v>267.46600000000001</v>
      </c>
      <c r="E741" s="38">
        <v>812.32899999999995</v>
      </c>
      <c r="F741" s="32">
        <v>1274</v>
      </c>
      <c r="G741" s="32">
        <v>75</v>
      </c>
      <c r="H741" s="40">
        <v>600</v>
      </c>
      <c r="I741" s="32">
        <v>695</v>
      </c>
      <c r="J741" s="32">
        <v>50</v>
      </c>
      <c r="K741" s="33"/>
      <c r="L741" s="33"/>
      <c r="M741" s="33"/>
      <c r="N741" s="33"/>
      <c r="O741" s="33"/>
      <c r="P741" s="33"/>
      <c r="Q741" s="33"/>
      <c r="R741" s="33"/>
      <c r="S741" s="33"/>
      <c r="T741" s="33"/>
    </row>
    <row r="742" spans="1:20" ht="15.75">
      <c r="A742" s="13">
        <v>64466</v>
      </c>
      <c r="B742" s="41">
        <f t="shared" si="2"/>
        <v>30</v>
      </c>
      <c r="C742" s="32">
        <v>194.20500000000001</v>
      </c>
      <c r="D742" s="32">
        <v>267.46600000000001</v>
      </c>
      <c r="E742" s="38">
        <v>812.32899999999995</v>
      </c>
      <c r="F742" s="32">
        <v>1274</v>
      </c>
      <c r="G742" s="32">
        <v>50</v>
      </c>
      <c r="H742" s="40">
        <v>600</v>
      </c>
      <c r="I742" s="32">
        <v>695</v>
      </c>
      <c r="J742" s="32">
        <v>50</v>
      </c>
      <c r="K742" s="33"/>
      <c r="L742" s="33"/>
      <c r="M742" s="33"/>
      <c r="N742" s="33"/>
      <c r="O742" s="33"/>
      <c r="P742" s="33"/>
      <c r="Q742" s="33"/>
      <c r="R742" s="33"/>
      <c r="S742" s="33"/>
      <c r="T742" s="33"/>
    </row>
    <row r="743" spans="1:20" ht="15.75">
      <c r="A743" s="13">
        <v>64497</v>
      </c>
      <c r="B743" s="41">
        <f t="shared" si="2"/>
        <v>31</v>
      </c>
      <c r="C743" s="32">
        <v>194.20500000000001</v>
      </c>
      <c r="D743" s="32">
        <v>267.46600000000001</v>
      </c>
      <c r="E743" s="38">
        <v>812.32899999999995</v>
      </c>
      <c r="F743" s="32">
        <v>1274</v>
      </c>
      <c r="G743" s="32">
        <v>50</v>
      </c>
      <c r="H743" s="40">
        <v>600</v>
      </c>
      <c r="I743" s="32">
        <v>695</v>
      </c>
      <c r="J743" s="32">
        <v>0</v>
      </c>
      <c r="K743" s="33"/>
      <c r="L743" s="33"/>
      <c r="M743" s="33"/>
      <c r="N743" s="33"/>
      <c r="O743" s="33"/>
      <c r="P743" s="33"/>
      <c r="Q743" s="33"/>
      <c r="R743" s="33"/>
      <c r="S743" s="33"/>
      <c r="T743" s="33"/>
    </row>
    <row r="744" spans="1:20" ht="15.75">
      <c r="A744" s="13">
        <v>64528</v>
      </c>
      <c r="B744" s="41">
        <f t="shared" si="2"/>
        <v>31</v>
      </c>
      <c r="C744" s="32">
        <v>194.20500000000001</v>
      </c>
      <c r="D744" s="32">
        <v>267.46600000000001</v>
      </c>
      <c r="E744" s="38">
        <v>812.32899999999995</v>
      </c>
      <c r="F744" s="32">
        <v>1274</v>
      </c>
      <c r="G744" s="32">
        <v>50</v>
      </c>
      <c r="H744" s="40">
        <v>600</v>
      </c>
      <c r="I744" s="32">
        <v>695</v>
      </c>
      <c r="J744" s="32">
        <v>0</v>
      </c>
      <c r="K744" s="33"/>
      <c r="L744" s="33"/>
      <c r="M744" s="33"/>
      <c r="N744" s="33"/>
      <c r="O744" s="33"/>
      <c r="P744" s="33"/>
      <c r="Q744" s="33"/>
      <c r="R744" s="33"/>
      <c r="S744" s="33"/>
      <c r="T744" s="33"/>
    </row>
    <row r="745" spans="1:20" ht="15.75">
      <c r="A745" s="13">
        <v>64558</v>
      </c>
      <c r="B745" s="41">
        <f t="shared" si="2"/>
        <v>30</v>
      </c>
      <c r="C745" s="32">
        <v>194.20500000000001</v>
      </c>
      <c r="D745" s="32">
        <v>267.46600000000001</v>
      </c>
      <c r="E745" s="38">
        <v>812.32899999999995</v>
      </c>
      <c r="F745" s="32">
        <v>1274</v>
      </c>
      <c r="G745" s="32">
        <v>50</v>
      </c>
      <c r="H745" s="40">
        <v>600</v>
      </c>
      <c r="I745" s="32">
        <v>695</v>
      </c>
      <c r="J745" s="32">
        <v>0</v>
      </c>
      <c r="K745" s="33"/>
      <c r="L745" s="33"/>
      <c r="M745" s="33"/>
      <c r="N745" s="33"/>
      <c r="O745" s="33"/>
      <c r="P745" s="33"/>
      <c r="Q745" s="33"/>
      <c r="R745" s="33"/>
      <c r="S745" s="33"/>
      <c r="T745" s="33"/>
    </row>
    <row r="746" spans="1:20" ht="15.75">
      <c r="A746" s="13">
        <v>64589</v>
      </c>
      <c r="B746" s="41">
        <f t="shared" si="2"/>
        <v>31</v>
      </c>
      <c r="C746" s="32">
        <v>131.881</v>
      </c>
      <c r="D746" s="32">
        <v>277.16699999999997</v>
      </c>
      <c r="E746" s="38">
        <v>829.952</v>
      </c>
      <c r="F746" s="32">
        <v>1239</v>
      </c>
      <c r="G746" s="32">
        <v>75</v>
      </c>
      <c r="H746" s="40">
        <v>600</v>
      </c>
      <c r="I746" s="32">
        <v>695</v>
      </c>
      <c r="J746" s="32">
        <v>0</v>
      </c>
      <c r="K746" s="33"/>
      <c r="L746" s="33"/>
      <c r="M746" s="33"/>
      <c r="N746" s="33"/>
      <c r="O746" s="33"/>
      <c r="P746" s="33"/>
      <c r="Q746" s="33"/>
      <c r="R746" s="33"/>
      <c r="S746" s="33"/>
      <c r="T746" s="33"/>
    </row>
    <row r="747" spans="1:20" ht="15.75">
      <c r="A747" s="13">
        <v>64619</v>
      </c>
      <c r="B747" s="41">
        <f t="shared" si="2"/>
        <v>30</v>
      </c>
      <c r="C747" s="32">
        <v>122.58</v>
      </c>
      <c r="D747" s="32">
        <v>297.94099999999997</v>
      </c>
      <c r="E747" s="38">
        <v>729.47900000000004</v>
      </c>
      <c r="F747" s="32">
        <v>1150</v>
      </c>
      <c r="G747" s="32">
        <v>100</v>
      </c>
      <c r="H747" s="40">
        <v>600</v>
      </c>
      <c r="I747" s="32">
        <v>695</v>
      </c>
      <c r="J747" s="32">
        <v>50</v>
      </c>
      <c r="K747" s="33"/>
      <c r="L747" s="33"/>
      <c r="M747" s="33"/>
      <c r="N747" s="33"/>
      <c r="O747" s="33"/>
      <c r="P747" s="33"/>
      <c r="Q747" s="33"/>
      <c r="R747" s="33"/>
      <c r="S747" s="33"/>
      <c r="T747" s="33"/>
    </row>
    <row r="748" spans="1:20" ht="15.75">
      <c r="A748" s="13">
        <v>64650</v>
      </c>
      <c r="B748" s="41">
        <f t="shared" si="2"/>
        <v>31</v>
      </c>
      <c r="C748" s="32">
        <v>122.58</v>
      </c>
      <c r="D748" s="32">
        <v>297.94099999999997</v>
      </c>
      <c r="E748" s="38">
        <v>729.47900000000004</v>
      </c>
      <c r="F748" s="32">
        <v>1150</v>
      </c>
      <c r="G748" s="32">
        <v>100</v>
      </c>
      <c r="H748" s="40">
        <v>600</v>
      </c>
      <c r="I748" s="32">
        <v>695</v>
      </c>
      <c r="J748" s="32">
        <v>50</v>
      </c>
      <c r="K748" s="33"/>
      <c r="L748" s="33"/>
      <c r="M748" s="33"/>
      <c r="N748" s="33"/>
      <c r="O748" s="33"/>
      <c r="P748" s="33"/>
      <c r="Q748" s="33"/>
      <c r="R748" s="33"/>
      <c r="S748" s="33"/>
      <c r="T748" s="33"/>
    </row>
    <row r="749" spans="1:20" ht="15.75">
      <c r="A749" s="13">
        <v>64681</v>
      </c>
      <c r="B749" s="41">
        <f t="shared" si="2"/>
        <v>31</v>
      </c>
      <c r="C749" s="32">
        <v>122.58</v>
      </c>
      <c r="D749" s="32">
        <v>297.94099999999997</v>
      </c>
      <c r="E749" s="38">
        <v>729.47900000000004</v>
      </c>
      <c r="F749" s="32">
        <v>1150</v>
      </c>
      <c r="G749" s="32">
        <v>100</v>
      </c>
      <c r="H749" s="40">
        <v>600</v>
      </c>
      <c r="I749" s="32">
        <v>695</v>
      </c>
      <c r="J749" s="32">
        <v>50</v>
      </c>
      <c r="K749" s="33"/>
      <c r="L749" s="33"/>
      <c r="M749" s="33"/>
      <c r="N749" s="33"/>
      <c r="O749" s="33"/>
      <c r="P749" s="33"/>
      <c r="Q749" s="33"/>
      <c r="R749" s="33"/>
      <c r="S749" s="33"/>
      <c r="T749" s="33"/>
    </row>
    <row r="750" spans="1:20" ht="15.75">
      <c r="A750" s="13">
        <v>64709</v>
      </c>
      <c r="B750" s="41">
        <f t="shared" si="2"/>
        <v>28</v>
      </c>
      <c r="C750" s="32">
        <v>122.58</v>
      </c>
      <c r="D750" s="32">
        <v>297.94099999999997</v>
      </c>
      <c r="E750" s="38">
        <v>729.47900000000004</v>
      </c>
      <c r="F750" s="32">
        <v>1150</v>
      </c>
      <c r="G750" s="32">
        <v>100</v>
      </c>
      <c r="H750" s="40">
        <v>600</v>
      </c>
      <c r="I750" s="32">
        <v>695</v>
      </c>
      <c r="J750" s="32">
        <v>50</v>
      </c>
      <c r="K750" s="33"/>
      <c r="L750" s="33"/>
      <c r="M750" s="33"/>
      <c r="N750" s="33"/>
      <c r="O750" s="33"/>
      <c r="P750" s="33"/>
      <c r="Q750" s="33"/>
      <c r="R750" s="33"/>
      <c r="S750" s="33"/>
      <c r="T750" s="33"/>
    </row>
    <row r="751" spans="1:20" ht="15.75">
      <c r="A751" s="13">
        <v>64740</v>
      </c>
      <c r="B751" s="41">
        <f t="shared" si="2"/>
        <v>31</v>
      </c>
      <c r="C751" s="32">
        <v>122.58</v>
      </c>
      <c r="D751" s="32">
        <v>297.94099999999997</v>
      </c>
      <c r="E751" s="38">
        <v>729.47900000000004</v>
      </c>
      <c r="F751" s="32">
        <v>1150</v>
      </c>
      <c r="G751" s="32">
        <v>100</v>
      </c>
      <c r="H751" s="40">
        <v>600</v>
      </c>
      <c r="I751" s="32">
        <v>695</v>
      </c>
      <c r="J751" s="32">
        <v>50</v>
      </c>
      <c r="K751" s="33"/>
      <c r="L751" s="33"/>
      <c r="M751" s="33"/>
      <c r="N751" s="33"/>
      <c r="O751" s="33"/>
      <c r="P751" s="33"/>
      <c r="Q751" s="33"/>
      <c r="R751" s="33"/>
      <c r="S751" s="33"/>
      <c r="T751" s="33"/>
    </row>
    <row r="752" spans="1:20" ht="15.75">
      <c r="A752" s="13">
        <v>64770</v>
      </c>
      <c r="B752" s="41">
        <f t="shared" si="2"/>
        <v>30</v>
      </c>
      <c r="C752" s="32">
        <v>141.29300000000001</v>
      </c>
      <c r="D752" s="32">
        <v>267.99299999999999</v>
      </c>
      <c r="E752" s="38">
        <v>829.71400000000006</v>
      </c>
      <c r="F752" s="32">
        <v>1239</v>
      </c>
      <c r="G752" s="32">
        <v>100</v>
      </c>
      <c r="H752" s="40">
        <v>600</v>
      </c>
      <c r="I752" s="32">
        <v>695</v>
      </c>
      <c r="J752" s="32">
        <v>50</v>
      </c>
      <c r="K752" s="33"/>
      <c r="L752" s="33"/>
      <c r="M752" s="33"/>
      <c r="N752" s="33"/>
      <c r="O752" s="33"/>
      <c r="P752" s="33"/>
      <c r="Q752" s="33"/>
      <c r="R752" s="33"/>
      <c r="S752" s="33"/>
      <c r="T752" s="33"/>
    </row>
    <row r="753" spans="1:20" ht="15.75">
      <c r="A753" s="13">
        <v>64801</v>
      </c>
      <c r="B753" s="41">
        <f t="shared" si="2"/>
        <v>31</v>
      </c>
      <c r="C753" s="32">
        <v>194.20500000000001</v>
      </c>
      <c r="D753" s="32">
        <v>267.46600000000001</v>
      </c>
      <c r="E753" s="38">
        <v>812.32899999999995</v>
      </c>
      <c r="F753" s="32">
        <v>1274</v>
      </c>
      <c r="G753" s="32">
        <v>75</v>
      </c>
      <c r="H753" s="40">
        <v>600</v>
      </c>
      <c r="I753" s="32">
        <v>695</v>
      </c>
      <c r="J753" s="32">
        <v>50</v>
      </c>
      <c r="K753" s="33"/>
      <c r="L753" s="33"/>
      <c r="M753" s="33"/>
      <c r="N753" s="33"/>
      <c r="O753" s="33"/>
      <c r="P753" s="33"/>
      <c r="Q753" s="33"/>
      <c r="R753" s="33"/>
      <c r="S753" s="33"/>
      <c r="T753" s="33"/>
    </row>
    <row r="754" spans="1:20" ht="15.75">
      <c r="A754" s="13">
        <v>64831</v>
      </c>
      <c r="B754" s="41">
        <f t="shared" si="2"/>
        <v>30</v>
      </c>
      <c r="C754" s="32">
        <v>194.20500000000001</v>
      </c>
      <c r="D754" s="32">
        <v>267.46600000000001</v>
      </c>
      <c r="E754" s="38">
        <v>812.32899999999995</v>
      </c>
      <c r="F754" s="32">
        <v>1274</v>
      </c>
      <c r="G754" s="32">
        <v>50</v>
      </c>
      <c r="H754" s="40">
        <v>600</v>
      </c>
      <c r="I754" s="32">
        <v>695</v>
      </c>
      <c r="J754" s="32">
        <v>50</v>
      </c>
      <c r="K754" s="33"/>
      <c r="L754" s="33"/>
      <c r="M754" s="33"/>
      <c r="N754" s="33"/>
      <c r="O754" s="33"/>
      <c r="P754" s="33"/>
      <c r="Q754" s="33"/>
      <c r="R754" s="33"/>
      <c r="S754" s="33"/>
      <c r="T754" s="33"/>
    </row>
    <row r="755" spans="1:20" ht="15.75">
      <c r="A755" s="13">
        <v>64862</v>
      </c>
      <c r="B755" s="41">
        <f t="shared" si="2"/>
        <v>31</v>
      </c>
      <c r="C755" s="32">
        <v>194.20500000000001</v>
      </c>
      <c r="D755" s="32">
        <v>267.46600000000001</v>
      </c>
      <c r="E755" s="38">
        <v>812.32899999999995</v>
      </c>
      <c r="F755" s="32">
        <v>1274</v>
      </c>
      <c r="G755" s="32">
        <v>50</v>
      </c>
      <c r="H755" s="40">
        <v>600</v>
      </c>
      <c r="I755" s="32">
        <v>695</v>
      </c>
      <c r="J755" s="32">
        <v>0</v>
      </c>
      <c r="K755" s="33"/>
      <c r="L755" s="33"/>
      <c r="M755" s="33"/>
      <c r="N755" s="33"/>
      <c r="O755" s="33"/>
      <c r="P755" s="33"/>
      <c r="Q755" s="33"/>
      <c r="R755" s="33"/>
      <c r="S755" s="33"/>
      <c r="T755" s="33"/>
    </row>
    <row r="756" spans="1:20" ht="15.75">
      <c r="A756" s="13">
        <v>64893</v>
      </c>
      <c r="B756" s="41">
        <f t="shared" si="2"/>
        <v>31</v>
      </c>
      <c r="C756" s="32">
        <v>194.20500000000001</v>
      </c>
      <c r="D756" s="32">
        <v>267.46600000000001</v>
      </c>
      <c r="E756" s="38">
        <v>812.32899999999995</v>
      </c>
      <c r="F756" s="32">
        <v>1274</v>
      </c>
      <c r="G756" s="32">
        <v>50</v>
      </c>
      <c r="H756" s="40">
        <v>600</v>
      </c>
      <c r="I756" s="32">
        <v>695</v>
      </c>
      <c r="J756" s="32">
        <v>0</v>
      </c>
      <c r="K756" s="33"/>
      <c r="L756" s="33"/>
      <c r="M756" s="33"/>
      <c r="N756" s="33"/>
      <c r="O756" s="33"/>
      <c r="P756" s="33"/>
      <c r="Q756" s="33"/>
      <c r="R756" s="33"/>
      <c r="S756" s="33"/>
      <c r="T756" s="33"/>
    </row>
    <row r="757" spans="1:20" ht="15.75">
      <c r="A757" s="13">
        <v>64923</v>
      </c>
      <c r="B757" s="41">
        <f t="shared" si="2"/>
        <v>30</v>
      </c>
      <c r="C757" s="32">
        <v>194.20500000000001</v>
      </c>
      <c r="D757" s="32">
        <v>267.46600000000001</v>
      </c>
      <c r="E757" s="38">
        <v>812.32899999999995</v>
      </c>
      <c r="F757" s="32">
        <v>1274</v>
      </c>
      <c r="G757" s="32">
        <v>50</v>
      </c>
      <c r="H757" s="40">
        <v>600</v>
      </c>
      <c r="I757" s="32">
        <v>695</v>
      </c>
      <c r="J757" s="32">
        <v>0</v>
      </c>
      <c r="K757" s="33"/>
      <c r="L757" s="33"/>
      <c r="M757" s="33"/>
      <c r="N757" s="33"/>
      <c r="O757" s="33"/>
      <c r="P757" s="33"/>
      <c r="Q757" s="33"/>
      <c r="R757" s="33"/>
      <c r="S757" s="33"/>
      <c r="T757" s="33"/>
    </row>
    <row r="758" spans="1:20" ht="15.75">
      <c r="A758" s="13">
        <v>64954</v>
      </c>
      <c r="B758" s="41">
        <f t="shared" si="2"/>
        <v>31</v>
      </c>
      <c r="C758" s="32">
        <v>131.881</v>
      </c>
      <c r="D758" s="32">
        <v>277.16699999999997</v>
      </c>
      <c r="E758" s="38">
        <v>829.952</v>
      </c>
      <c r="F758" s="32">
        <v>1239</v>
      </c>
      <c r="G758" s="32">
        <v>75</v>
      </c>
      <c r="H758" s="40">
        <v>600</v>
      </c>
      <c r="I758" s="32">
        <v>695</v>
      </c>
      <c r="J758" s="32">
        <v>0</v>
      </c>
      <c r="K758" s="33"/>
      <c r="L758" s="33"/>
      <c r="M758" s="33"/>
      <c r="N758" s="33"/>
      <c r="O758" s="33"/>
      <c r="P758" s="33"/>
      <c r="Q758" s="33"/>
      <c r="R758" s="33"/>
      <c r="S758" s="33"/>
      <c r="T758" s="33"/>
    </row>
    <row r="759" spans="1:20" ht="15.75">
      <c r="A759" s="13">
        <v>64984</v>
      </c>
      <c r="B759" s="41">
        <f t="shared" si="2"/>
        <v>30</v>
      </c>
      <c r="C759" s="32">
        <v>122.58</v>
      </c>
      <c r="D759" s="32">
        <v>297.94099999999997</v>
      </c>
      <c r="E759" s="38">
        <v>729.47900000000004</v>
      </c>
      <c r="F759" s="32">
        <v>1150</v>
      </c>
      <c r="G759" s="32">
        <v>100</v>
      </c>
      <c r="H759" s="40">
        <v>600</v>
      </c>
      <c r="I759" s="32">
        <v>695</v>
      </c>
      <c r="J759" s="32">
        <v>50</v>
      </c>
      <c r="K759" s="33"/>
      <c r="L759" s="33"/>
      <c r="M759" s="33"/>
      <c r="N759" s="33"/>
      <c r="O759" s="33"/>
      <c r="P759" s="33"/>
      <c r="Q759" s="33"/>
      <c r="R759" s="33"/>
      <c r="S759" s="33"/>
      <c r="T759" s="33"/>
    </row>
    <row r="760" spans="1:20" ht="15.75">
      <c r="A760" s="13">
        <v>65015</v>
      </c>
      <c r="B760" s="41">
        <f t="shared" si="2"/>
        <v>31</v>
      </c>
      <c r="C760" s="32">
        <v>122.58</v>
      </c>
      <c r="D760" s="32">
        <v>297.94099999999997</v>
      </c>
      <c r="E760" s="38">
        <v>729.47900000000004</v>
      </c>
      <c r="F760" s="32">
        <v>1150</v>
      </c>
      <c r="G760" s="32">
        <v>100</v>
      </c>
      <c r="H760" s="40">
        <v>600</v>
      </c>
      <c r="I760" s="32">
        <v>695</v>
      </c>
      <c r="J760" s="32">
        <v>50</v>
      </c>
      <c r="K760" s="33"/>
      <c r="L760" s="33"/>
      <c r="M760" s="33"/>
      <c r="N760" s="33"/>
      <c r="O760" s="33"/>
      <c r="P760" s="33"/>
      <c r="Q760" s="33"/>
      <c r="R760" s="33"/>
      <c r="S760" s="33"/>
      <c r="T760" s="33"/>
    </row>
    <row r="761" spans="1:20" ht="15.75">
      <c r="A761" s="13">
        <v>65046</v>
      </c>
      <c r="B761" s="41">
        <f t="shared" ref="B761:B824" si="3">EOMONTH(A761,0)-EOMONTH(A761,-1)</f>
        <v>31</v>
      </c>
      <c r="C761" s="32">
        <v>122.58</v>
      </c>
      <c r="D761" s="32">
        <v>297.94099999999997</v>
      </c>
      <c r="E761" s="38">
        <v>729.47900000000004</v>
      </c>
      <c r="F761" s="32">
        <v>1150</v>
      </c>
      <c r="G761" s="32">
        <v>100</v>
      </c>
      <c r="H761" s="40">
        <v>600</v>
      </c>
      <c r="I761" s="32">
        <v>695</v>
      </c>
      <c r="J761" s="32">
        <v>50</v>
      </c>
      <c r="K761" s="33"/>
      <c r="L761" s="33"/>
      <c r="M761" s="33"/>
      <c r="N761" s="33"/>
      <c r="O761" s="33"/>
      <c r="P761" s="33"/>
      <c r="Q761" s="33"/>
      <c r="R761" s="33"/>
      <c r="S761" s="33"/>
      <c r="T761" s="33"/>
    </row>
    <row r="762" spans="1:20" ht="15.75">
      <c r="A762" s="13">
        <v>65074</v>
      </c>
      <c r="B762" s="41">
        <f t="shared" si="3"/>
        <v>28</v>
      </c>
      <c r="C762" s="32">
        <v>122.58</v>
      </c>
      <c r="D762" s="32">
        <v>297.94099999999997</v>
      </c>
      <c r="E762" s="38">
        <v>729.47900000000004</v>
      </c>
      <c r="F762" s="32">
        <v>1150</v>
      </c>
      <c r="G762" s="32">
        <v>100</v>
      </c>
      <c r="H762" s="40">
        <v>600</v>
      </c>
      <c r="I762" s="32">
        <v>695</v>
      </c>
      <c r="J762" s="32">
        <v>50</v>
      </c>
      <c r="K762" s="33"/>
      <c r="L762" s="33"/>
      <c r="M762" s="33"/>
      <c r="N762" s="33"/>
      <c r="O762" s="33"/>
      <c r="P762" s="33"/>
      <c r="Q762" s="33"/>
      <c r="R762" s="33"/>
      <c r="S762" s="33"/>
      <c r="T762" s="33"/>
    </row>
    <row r="763" spans="1:20" ht="15.75">
      <c r="A763" s="13">
        <v>65105</v>
      </c>
      <c r="B763" s="41">
        <f t="shared" si="3"/>
        <v>31</v>
      </c>
      <c r="C763" s="32">
        <v>122.58</v>
      </c>
      <c r="D763" s="32">
        <v>297.94099999999997</v>
      </c>
      <c r="E763" s="38">
        <v>729.47900000000004</v>
      </c>
      <c r="F763" s="32">
        <v>1150</v>
      </c>
      <c r="G763" s="32">
        <v>100</v>
      </c>
      <c r="H763" s="40">
        <v>600</v>
      </c>
      <c r="I763" s="32">
        <v>695</v>
      </c>
      <c r="J763" s="32">
        <v>50</v>
      </c>
      <c r="K763" s="33"/>
      <c r="L763" s="33"/>
      <c r="M763" s="33"/>
      <c r="N763" s="33"/>
      <c r="O763" s="33"/>
      <c r="P763" s="33"/>
      <c r="Q763" s="33"/>
      <c r="R763" s="33"/>
      <c r="S763" s="33"/>
      <c r="T763" s="33"/>
    </row>
    <row r="764" spans="1:20" ht="15.75">
      <c r="A764" s="13">
        <v>65135</v>
      </c>
      <c r="B764" s="41">
        <f t="shared" si="3"/>
        <v>30</v>
      </c>
      <c r="C764" s="32">
        <v>141.29300000000001</v>
      </c>
      <c r="D764" s="32">
        <v>267.99299999999999</v>
      </c>
      <c r="E764" s="38">
        <v>829.71400000000006</v>
      </c>
      <c r="F764" s="32">
        <v>1239</v>
      </c>
      <c r="G764" s="32">
        <v>100</v>
      </c>
      <c r="H764" s="40">
        <v>600</v>
      </c>
      <c r="I764" s="32">
        <v>695</v>
      </c>
      <c r="J764" s="32">
        <v>50</v>
      </c>
      <c r="K764" s="33"/>
      <c r="L764" s="33"/>
      <c r="M764" s="33"/>
      <c r="N764" s="33"/>
      <c r="O764" s="33"/>
      <c r="P764" s="33"/>
      <c r="Q764" s="33"/>
      <c r="R764" s="33"/>
      <c r="S764" s="33"/>
      <c r="T764" s="33"/>
    </row>
    <row r="765" spans="1:20" ht="15.75">
      <c r="A765" s="13">
        <v>65166</v>
      </c>
      <c r="B765" s="41">
        <f t="shared" si="3"/>
        <v>31</v>
      </c>
      <c r="C765" s="32">
        <v>194.20500000000001</v>
      </c>
      <c r="D765" s="32">
        <v>267.46600000000001</v>
      </c>
      <c r="E765" s="38">
        <v>812.32899999999995</v>
      </c>
      <c r="F765" s="32">
        <v>1274</v>
      </c>
      <c r="G765" s="32">
        <v>75</v>
      </c>
      <c r="H765" s="40">
        <v>600</v>
      </c>
      <c r="I765" s="32">
        <v>695</v>
      </c>
      <c r="J765" s="32">
        <v>50</v>
      </c>
      <c r="K765" s="33"/>
      <c r="L765" s="33"/>
      <c r="M765" s="33"/>
      <c r="N765" s="33"/>
      <c r="O765" s="33"/>
      <c r="P765" s="33"/>
      <c r="Q765" s="33"/>
      <c r="R765" s="33"/>
      <c r="S765" s="33"/>
      <c r="T765" s="33"/>
    </row>
    <row r="766" spans="1:20" ht="15.75">
      <c r="A766" s="13">
        <v>65196</v>
      </c>
      <c r="B766" s="41">
        <f t="shared" si="3"/>
        <v>30</v>
      </c>
      <c r="C766" s="32">
        <v>194.20500000000001</v>
      </c>
      <c r="D766" s="32">
        <v>267.46600000000001</v>
      </c>
      <c r="E766" s="38">
        <v>812.32899999999995</v>
      </c>
      <c r="F766" s="32">
        <v>1274</v>
      </c>
      <c r="G766" s="32">
        <v>50</v>
      </c>
      <c r="H766" s="40">
        <v>600</v>
      </c>
      <c r="I766" s="32">
        <v>695</v>
      </c>
      <c r="J766" s="32">
        <v>50</v>
      </c>
      <c r="K766" s="33"/>
      <c r="L766" s="33"/>
      <c r="M766" s="33"/>
      <c r="N766" s="33"/>
      <c r="O766" s="33"/>
      <c r="P766" s="33"/>
      <c r="Q766" s="33"/>
      <c r="R766" s="33"/>
      <c r="S766" s="33"/>
      <c r="T766" s="33"/>
    </row>
    <row r="767" spans="1:20" ht="15.75">
      <c r="A767" s="13">
        <v>65227</v>
      </c>
      <c r="B767" s="41">
        <f t="shared" si="3"/>
        <v>31</v>
      </c>
      <c r="C767" s="32">
        <v>194.20500000000001</v>
      </c>
      <c r="D767" s="32">
        <v>267.46600000000001</v>
      </c>
      <c r="E767" s="38">
        <v>812.32899999999995</v>
      </c>
      <c r="F767" s="32">
        <v>1274</v>
      </c>
      <c r="G767" s="32">
        <v>50</v>
      </c>
      <c r="H767" s="40">
        <v>600</v>
      </c>
      <c r="I767" s="32">
        <v>695</v>
      </c>
      <c r="J767" s="32">
        <v>0</v>
      </c>
      <c r="K767" s="33"/>
      <c r="L767" s="33"/>
      <c r="M767" s="33"/>
      <c r="N767" s="33"/>
      <c r="O767" s="33"/>
      <c r="P767" s="33"/>
      <c r="Q767" s="33"/>
      <c r="R767" s="33"/>
      <c r="S767" s="33"/>
      <c r="T767" s="33"/>
    </row>
    <row r="768" spans="1:20" ht="15.75">
      <c r="A768" s="13">
        <v>65258</v>
      </c>
      <c r="B768" s="41">
        <f t="shared" si="3"/>
        <v>31</v>
      </c>
      <c r="C768" s="32">
        <v>194.20500000000001</v>
      </c>
      <c r="D768" s="32">
        <v>267.46600000000001</v>
      </c>
      <c r="E768" s="38">
        <v>812.32899999999995</v>
      </c>
      <c r="F768" s="32">
        <v>1274</v>
      </c>
      <c r="G768" s="32">
        <v>50</v>
      </c>
      <c r="H768" s="40">
        <v>600</v>
      </c>
      <c r="I768" s="32">
        <v>695</v>
      </c>
      <c r="J768" s="32">
        <v>0</v>
      </c>
      <c r="K768" s="33"/>
      <c r="L768" s="33"/>
      <c r="M768" s="33"/>
      <c r="N768" s="33"/>
      <c r="O768" s="33"/>
      <c r="P768" s="33"/>
      <c r="Q768" s="33"/>
      <c r="R768" s="33"/>
      <c r="S768" s="33"/>
      <c r="T768" s="33"/>
    </row>
    <row r="769" spans="1:20" ht="15.75">
      <c r="A769" s="13">
        <v>65288</v>
      </c>
      <c r="B769" s="41">
        <f t="shared" si="3"/>
        <v>30</v>
      </c>
      <c r="C769" s="32">
        <v>194.20500000000001</v>
      </c>
      <c r="D769" s="32">
        <v>267.46600000000001</v>
      </c>
      <c r="E769" s="38">
        <v>812.32899999999995</v>
      </c>
      <c r="F769" s="32">
        <v>1274</v>
      </c>
      <c r="G769" s="32">
        <v>50</v>
      </c>
      <c r="H769" s="40">
        <v>600</v>
      </c>
      <c r="I769" s="32">
        <v>695</v>
      </c>
      <c r="J769" s="32">
        <v>0</v>
      </c>
      <c r="K769" s="33"/>
      <c r="L769" s="33"/>
      <c r="M769" s="33"/>
      <c r="N769" s="33"/>
      <c r="O769" s="33"/>
      <c r="P769" s="33"/>
      <c r="Q769" s="33"/>
      <c r="R769" s="33"/>
      <c r="S769" s="33"/>
      <c r="T769" s="33"/>
    </row>
    <row r="770" spans="1:20" ht="15.75">
      <c r="A770" s="13">
        <v>65319</v>
      </c>
      <c r="B770" s="41">
        <f t="shared" si="3"/>
        <v>31</v>
      </c>
      <c r="C770" s="32">
        <v>131.881</v>
      </c>
      <c r="D770" s="32">
        <v>277.16699999999997</v>
      </c>
      <c r="E770" s="38">
        <v>829.952</v>
      </c>
      <c r="F770" s="32">
        <v>1239</v>
      </c>
      <c r="G770" s="32">
        <v>75</v>
      </c>
      <c r="H770" s="40">
        <v>600</v>
      </c>
      <c r="I770" s="32">
        <v>695</v>
      </c>
      <c r="J770" s="32">
        <v>0</v>
      </c>
      <c r="K770" s="33"/>
      <c r="L770" s="33"/>
      <c r="M770" s="33"/>
      <c r="N770" s="33"/>
      <c r="O770" s="33"/>
      <c r="P770" s="33"/>
      <c r="Q770" s="33"/>
      <c r="R770" s="33"/>
      <c r="S770" s="33"/>
      <c r="T770" s="33"/>
    </row>
    <row r="771" spans="1:20" ht="15.75">
      <c r="A771" s="13">
        <v>65349</v>
      </c>
      <c r="B771" s="41">
        <f t="shared" si="3"/>
        <v>30</v>
      </c>
      <c r="C771" s="32">
        <v>122.58</v>
      </c>
      <c r="D771" s="32">
        <v>297.94099999999997</v>
      </c>
      <c r="E771" s="38">
        <v>729.47900000000004</v>
      </c>
      <c r="F771" s="32">
        <v>1150</v>
      </c>
      <c r="G771" s="32">
        <v>100</v>
      </c>
      <c r="H771" s="40">
        <v>600</v>
      </c>
      <c r="I771" s="32">
        <v>695</v>
      </c>
      <c r="J771" s="32">
        <v>50</v>
      </c>
      <c r="K771" s="33"/>
      <c r="L771" s="33"/>
      <c r="M771" s="33"/>
      <c r="N771" s="33"/>
      <c r="O771" s="33"/>
      <c r="P771" s="33"/>
      <c r="Q771" s="33"/>
      <c r="R771" s="33"/>
      <c r="S771" s="33"/>
      <c r="T771" s="33"/>
    </row>
    <row r="772" spans="1:20" ht="15.75">
      <c r="A772" s="13">
        <v>65380</v>
      </c>
      <c r="B772" s="41">
        <f t="shared" si="3"/>
        <v>31</v>
      </c>
      <c r="C772" s="32">
        <v>122.58</v>
      </c>
      <c r="D772" s="32">
        <v>297.94099999999997</v>
      </c>
      <c r="E772" s="38">
        <v>729.47900000000004</v>
      </c>
      <c r="F772" s="32">
        <v>1150</v>
      </c>
      <c r="G772" s="32">
        <v>100</v>
      </c>
      <c r="H772" s="40">
        <v>600</v>
      </c>
      <c r="I772" s="32">
        <v>695</v>
      </c>
      <c r="J772" s="32">
        <v>50</v>
      </c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spans="1:20" ht="15.75">
      <c r="A773" s="13">
        <v>65411</v>
      </c>
      <c r="B773" s="41">
        <f t="shared" si="3"/>
        <v>31</v>
      </c>
      <c r="C773" s="32">
        <v>122.58</v>
      </c>
      <c r="D773" s="32">
        <v>297.94099999999997</v>
      </c>
      <c r="E773" s="38">
        <v>729.47900000000004</v>
      </c>
      <c r="F773" s="32">
        <v>1150</v>
      </c>
      <c r="G773" s="32">
        <v>100</v>
      </c>
      <c r="H773" s="40">
        <v>600</v>
      </c>
      <c r="I773" s="32">
        <v>695</v>
      </c>
      <c r="J773" s="32">
        <v>50</v>
      </c>
      <c r="K773" s="33"/>
      <c r="L773" s="33"/>
      <c r="M773" s="33"/>
      <c r="N773" s="33"/>
      <c r="O773" s="33"/>
      <c r="P773" s="33"/>
      <c r="Q773" s="33"/>
      <c r="R773" s="33"/>
      <c r="S773" s="33"/>
      <c r="T773" s="33"/>
    </row>
    <row r="774" spans="1:20" ht="15.75">
      <c r="A774" s="13">
        <v>65439</v>
      </c>
      <c r="B774" s="41">
        <f t="shared" si="3"/>
        <v>28</v>
      </c>
      <c r="C774" s="32">
        <v>122.58</v>
      </c>
      <c r="D774" s="32">
        <v>297.94099999999997</v>
      </c>
      <c r="E774" s="38">
        <v>729.47900000000004</v>
      </c>
      <c r="F774" s="32">
        <v>1150</v>
      </c>
      <c r="G774" s="32">
        <v>100</v>
      </c>
      <c r="H774" s="40">
        <v>600</v>
      </c>
      <c r="I774" s="32">
        <v>695</v>
      </c>
      <c r="J774" s="32">
        <v>50</v>
      </c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spans="1:20" ht="15.75">
      <c r="A775" s="13">
        <v>65470</v>
      </c>
      <c r="B775" s="41">
        <f t="shared" si="3"/>
        <v>31</v>
      </c>
      <c r="C775" s="32">
        <v>122.58</v>
      </c>
      <c r="D775" s="32">
        <v>297.94099999999997</v>
      </c>
      <c r="E775" s="38">
        <v>729.47900000000004</v>
      </c>
      <c r="F775" s="32">
        <v>1150</v>
      </c>
      <c r="G775" s="32">
        <v>100</v>
      </c>
      <c r="H775" s="40">
        <v>600</v>
      </c>
      <c r="I775" s="32">
        <v>695</v>
      </c>
      <c r="J775" s="32">
        <v>50</v>
      </c>
      <c r="K775" s="33"/>
      <c r="L775" s="33"/>
      <c r="M775" s="33"/>
      <c r="N775" s="33"/>
      <c r="O775" s="33"/>
      <c r="P775" s="33"/>
      <c r="Q775" s="33"/>
      <c r="R775" s="33"/>
      <c r="S775" s="33"/>
      <c r="T775" s="33"/>
    </row>
    <row r="776" spans="1:20" ht="15.75">
      <c r="A776" s="13">
        <v>65500</v>
      </c>
      <c r="B776" s="41">
        <f t="shared" si="3"/>
        <v>30</v>
      </c>
      <c r="C776" s="32">
        <v>141.29300000000001</v>
      </c>
      <c r="D776" s="32">
        <v>267.99299999999999</v>
      </c>
      <c r="E776" s="38">
        <v>829.71400000000006</v>
      </c>
      <c r="F776" s="32">
        <v>1239</v>
      </c>
      <c r="G776" s="32">
        <v>100</v>
      </c>
      <c r="H776" s="40">
        <v>600</v>
      </c>
      <c r="I776" s="32">
        <v>695</v>
      </c>
      <c r="J776" s="32">
        <v>50</v>
      </c>
      <c r="K776" s="33"/>
      <c r="L776" s="33"/>
      <c r="M776" s="33"/>
      <c r="N776" s="33"/>
      <c r="O776" s="33"/>
      <c r="P776" s="33"/>
      <c r="Q776" s="33"/>
      <c r="R776" s="33"/>
      <c r="S776" s="33"/>
      <c r="T776" s="33"/>
    </row>
    <row r="777" spans="1:20" ht="15.75">
      <c r="A777" s="13">
        <v>65531</v>
      </c>
      <c r="B777" s="41">
        <f t="shared" si="3"/>
        <v>31</v>
      </c>
      <c r="C777" s="32">
        <v>194.20500000000001</v>
      </c>
      <c r="D777" s="32">
        <v>267.46600000000001</v>
      </c>
      <c r="E777" s="38">
        <v>812.32899999999995</v>
      </c>
      <c r="F777" s="32">
        <v>1274</v>
      </c>
      <c r="G777" s="32">
        <v>75</v>
      </c>
      <c r="H777" s="40">
        <v>600</v>
      </c>
      <c r="I777" s="32">
        <v>695</v>
      </c>
      <c r="J777" s="32">
        <v>50</v>
      </c>
      <c r="K777" s="33"/>
      <c r="L777" s="33"/>
      <c r="M777" s="33"/>
      <c r="N777" s="33"/>
      <c r="O777" s="33"/>
      <c r="P777" s="33"/>
      <c r="Q777" s="33"/>
      <c r="R777" s="33"/>
      <c r="S777" s="33"/>
      <c r="T777" s="33"/>
    </row>
    <row r="778" spans="1:20" ht="15.75">
      <c r="A778" s="13">
        <v>65561</v>
      </c>
      <c r="B778" s="41">
        <f t="shared" si="3"/>
        <v>30</v>
      </c>
      <c r="C778" s="32">
        <v>194.20500000000001</v>
      </c>
      <c r="D778" s="32">
        <v>267.46600000000001</v>
      </c>
      <c r="E778" s="38">
        <v>812.32899999999995</v>
      </c>
      <c r="F778" s="32">
        <v>1274</v>
      </c>
      <c r="G778" s="32">
        <v>50</v>
      </c>
      <c r="H778" s="40">
        <v>600</v>
      </c>
      <c r="I778" s="32">
        <v>695</v>
      </c>
      <c r="J778" s="32">
        <v>50</v>
      </c>
      <c r="K778" s="33"/>
      <c r="L778" s="33"/>
      <c r="M778" s="33"/>
      <c r="N778" s="33"/>
      <c r="O778" s="33"/>
      <c r="P778" s="33"/>
      <c r="Q778" s="33"/>
      <c r="R778" s="33"/>
      <c r="S778" s="33"/>
      <c r="T778" s="33"/>
    </row>
    <row r="779" spans="1:20" ht="15.75">
      <c r="A779" s="13">
        <v>65592</v>
      </c>
      <c r="B779" s="41">
        <f t="shared" si="3"/>
        <v>31</v>
      </c>
      <c r="C779" s="32">
        <v>194.20500000000001</v>
      </c>
      <c r="D779" s="32">
        <v>267.46600000000001</v>
      </c>
      <c r="E779" s="38">
        <v>812.32899999999995</v>
      </c>
      <c r="F779" s="32">
        <v>1274</v>
      </c>
      <c r="G779" s="32">
        <v>50</v>
      </c>
      <c r="H779" s="40">
        <v>600</v>
      </c>
      <c r="I779" s="32">
        <v>695</v>
      </c>
      <c r="J779" s="32">
        <v>0</v>
      </c>
      <c r="K779" s="33"/>
      <c r="L779" s="33"/>
      <c r="M779" s="33"/>
      <c r="N779" s="33"/>
      <c r="O779" s="33"/>
      <c r="P779" s="33"/>
      <c r="Q779" s="33"/>
      <c r="R779" s="33"/>
      <c r="S779" s="33"/>
      <c r="T779" s="33"/>
    </row>
    <row r="780" spans="1:20" ht="15.75">
      <c r="A780" s="13">
        <v>65623</v>
      </c>
      <c r="B780" s="41">
        <f t="shared" si="3"/>
        <v>31</v>
      </c>
      <c r="C780" s="32">
        <v>194.20500000000001</v>
      </c>
      <c r="D780" s="32">
        <v>267.46600000000001</v>
      </c>
      <c r="E780" s="38">
        <v>812.32899999999995</v>
      </c>
      <c r="F780" s="32">
        <v>1274</v>
      </c>
      <c r="G780" s="32">
        <v>50</v>
      </c>
      <c r="H780" s="40">
        <v>600</v>
      </c>
      <c r="I780" s="32">
        <v>695</v>
      </c>
      <c r="J780" s="32">
        <v>0</v>
      </c>
      <c r="K780" s="33"/>
      <c r="L780" s="33"/>
      <c r="M780" s="33"/>
      <c r="N780" s="33"/>
      <c r="O780" s="33"/>
      <c r="P780" s="33"/>
      <c r="Q780" s="33"/>
      <c r="R780" s="33"/>
      <c r="S780" s="33"/>
      <c r="T780" s="33"/>
    </row>
    <row r="781" spans="1:20" ht="15.75">
      <c r="A781" s="13">
        <v>65653</v>
      </c>
      <c r="B781" s="41">
        <f t="shared" si="3"/>
        <v>30</v>
      </c>
      <c r="C781" s="32">
        <v>194.20500000000001</v>
      </c>
      <c r="D781" s="32">
        <v>267.46600000000001</v>
      </c>
      <c r="E781" s="38">
        <v>812.32899999999995</v>
      </c>
      <c r="F781" s="32">
        <v>1274</v>
      </c>
      <c r="G781" s="32">
        <v>50</v>
      </c>
      <c r="H781" s="40">
        <v>600</v>
      </c>
      <c r="I781" s="32">
        <v>695</v>
      </c>
      <c r="J781" s="32">
        <v>0</v>
      </c>
      <c r="K781" s="33"/>
      <c r="L781" s="33"/>
      <c r="M781" s="33"/>
      <c r="N781" s="33"/>
      <c r="O781" s="33"/>
      <c r="P781" s="33"/>
      <c r="Q781" s="33"/>
      <c r="R781" s="33"/>
      <c r="S781" s="33"/>
      <c r="T781" s="33"/>
    </row>
    <row r="782" spans="1:20" ht="15.75">
      <c r="A782" s="13">
        <v>65684</v>
      </c>
      <c r="B782" s="41">
        <f t="shared" si="3"/>
        <v>31</v>
      </c>
      <c r="C782" s="32">
        <v>131.881</v>
      </c>
      <c r="D782" s="32">
        <v>277.16699999999997</v>
      </c>
      <c r="E782" s="38">
        <v>829.952</v>
      </c>
      <c r="F782" s="32">
        <v>1239</v>
      </c>
      <c r="G782" s="32">
        <v>75</v>
      </c>
      <c r="H782" s="40">
        <v>600</v>
      </c>
      <c r="I782" s="32">
        <v>695</v>
      </c>
      <c r="J782" s="32">
        <v>0</v>
      </c>
      <c r="K782" s="33"/>
      <c r="L782" s="33"/>
      <c r="M782" s="33"/>
      <c r="N782" s="33"/>
      <c r="O782" s="33"/>
      <c r="P782" s="33"/>
      <c r="Q782" s="33"/>
      <c r="R782" s="33"/>
      <c r="S782" s="33"/>
      <c r="T782" s="33"/>
    </row>
    <row r="783" spans="1:20" ht="15.75">
      <c r="A783" s="13">
        <v>65714</v>
      </c>
      <c r="B783" s="41">
        <f t="shared" si="3"/>
        <v>30</v>
      </c>
      <c r="C783" s="32">
        <v>122.58</v>
      </c>
      <c r="D783" s="32">
        <v>297.94099999999997</v>
      </c>
      <c r="E783" s="38">
        <v>729.47900000000004</v>
      </c>
      <c r="F783" s="32">
        <v>1150</v>
      </c>
      <c r="G783" s="32">
        <v>100</v>
      </c>
      <c r="H783" s="40">
        <v>600</v>
      </c>
      <c r="I783" s="32">
        <v>695</v>
      </c>
      <c r="J783" s="32">
        <v>50</v>
      </c>
      <c r="K783" s="33"/>
      <c r="L783" s="33"/>
      <c r="M783" s="33"/>
      <c r="N783" s="33"/>
      <c r="O783" s="33"/>
      <c r="P783" s="33"/>
      <c r="Q783" s="33"/>
      <c r="R783" s="33"/>
      <c r="S783" s="33"/>
      <c r="T783" s="33"/>
    </row>
    <row r="784" spans="1:20" ht="15.75">
      <c r="A784" s="13">
        <v>65745</v>
      </c>
      <c r="B784" s="41">
        <f t="shared" si="3"/>
        <v>31</v>
      </c>
      <c r="C784" s="32">
        <v>122.58</v>
      </c>
      <c r="D784" s="32">
        <v>297.94099999999997</v>
      </c>
      <c r="E784" s="38">
        <v>729.47900000000004</v>
      </c>
      <c r="F784" s="32">
        <v>1150</v>
      </c>
      <c r="G784" s="32">
        <v>100</v>
      </c>
      <c r="H784" s="40">
        <v>600</v>
      </c>
      <c r="I784" s="32">
        <v>695</v>
      </c>
      <c r="J784" s="32">
        <v>50</v>
      </c>
      <c r="K784" s="33"/>
      <c r="L784" s="33"/>
      <c r="M784" s="33"/>
      <c r="N784" s="33"/>
      <c r="O784" s="33"/>
      <c r="P784" s="33"/>
      <c r="Q784" s="33"/>
      <c r="R784" s="33"/>
      <c r="S784" s="33"/>
      <c r="T784" s="33"/>
    </row>
    <row r="785" spans="1:20" ht="15.75">
      <c r="A785" s="13">
        <v>65776</v>
      </c>
      <c r="B785" s="41">
        <f t="shared" si="3"/>
        <v>31</v>
      </c>
      <c r="C785" s="32">
        <v>122.58</v>
      </c>
      <c r="D785" s="32">
        <v>297.94099999999997</v>
      </c>
      <c r="E785" s="38">
        <v>729.47900000000004</v>
      </c>
      <c r="F785" s="32">
        <v>1150</v>
      </c>
      <c r="G785" s="32">
        <v>100</v>
      </c>
      <c r="H785" s="40">
        <v>600</v>
      </c>
      <c r="I785" s="32">
        <v>695</v>
      </c>
      <c r="J785" s="32">
        <v>50</v>
      </c>
      <c r="K785" s="33"/>
      <c r="L785" s="33"/>
      <c r="M785" s="33"/>
      <c r="N785" s="33"/>
      <c r="O785" s="33"/>
      <c r="P785" s="33"/>
      <c r="Q785" s="33"/>
      <c r="R785" s="33"/>
      <c r="S785" s="33"/>
      <c r="T785" s="33"/>
    </row>
    <row r="786" spans="1:20" ht="15.75">
      <c r="A786" s="13">
        <v>65805</v>
      </c>
      <c r="B786" s="41">
        <f t="shared" si="3"/>
        <v>29</v>
      </c>
      <c r="C786" s="32">
        <v>122.58</v>
      </c>
      <c r="D786" s="32">
        <v>297.94099999999997</v>
      </c>
      <c r="E786" s="38">
        <v>729.47900000000004</v>
      </c>
      <c r="F786" s="32">
        <v>1150</v>
      </c>
      <c r="G786" s="32">
        <v>100</v>
      </c>
      <c r="H786" s="40">
        <v>600</v>
      </c>
      <c r="I786" s="32">
        <v>695</v>
      </c>
      <c r="J786" s="32">
        <v>50</v>
      </c>
      <c r="K786" s="33"/>
      <c r="L786" s="33"/>
      <c r="M786" s="33"/>
      <c r="N786" s="33"/>
      <c r="O786" s="33"/>
      <c r="P786" s="33"/>
      <c r="Q786" s="33"/>
      <c r="R786" s="33"/>
      <c r="S786" s="33"/>
      <c r="T786" s="33"/>
    </row>
    <row r="787" spans="1:20" ht="15.75">
      <c r="A787" s="13">
        <v>65836</v>
      </c>
      <c r="B787" s="41">
        <f t="shared" si="3"/>
        <v>31</v>
      </c>
      <c r="C787" s="32">
        <v>122.58</v>
      </c>
      <c r="D787" s="32">
        <v>297.94099999999997</v>
      </c>
      <c r="E787" s="38">
        <v>729.47900000000004</v>
      </c>
      <c r="F787" s="32">
        <v>1150</v>
      </c>
      <c r="G787" s="32">
        <v>100</v>
      </c>
      <c r="H787" s="40">
        <v>600</v>
      </c>
      <c r="I787" s="32">
        <v>695</v>
      </c>
      <c r="J787" s="32">
        <v>50</v>
      </c>
      <c r="K787" s="33"/>
      <c r="L787" s="33"/>
      <c r="M787" s="33"/>
      <c r="N787" s="33"/>
      <c r="O787" s="33"/>
      <c r="P787" s="33"/>
      <c r="Q787" s="33"/>
      <c r="R787" s="33"/>
      <c r="S787" s="33"/>
      <c r="T787" s="33"/>
    </row>
    <row r="788" spans="1:20" ht="15.75">
      <c r="A788" s="13">
        <v>65866</v>
      </c>
      <c r="B788" s="41">
        <f t="shared" si="3"/>
        <v>30</v>
      </c>
      <c r="C788" s="32">
        <v>141.29300000000001</v>
      </c>
      <c r="D788" s="32">
        <v>267.99299999999999</v>
      </c>
      <c r="E788" s="38">
        <v>829.71400000000006</v>
      </c>
      <c r="F788" s="32">
        <v>1239</v>
      </c>
      <c r="G788" s="32">
        <v>100</v>
      </c>
      <c r="H788" s="40">
        <v>600</v>
      </c>
      <c r="I788" s="32">
        <v>695</v>
      </c>
      <c r="J788" s="32">
        <v>50</v>
      </c>
      <c r="K788" s="33"/>
      <c r="L788" s="33"/>
      <c r="M788" s="33"/>
      <c r="N788" s="33"/>
      <c r="O788" s="33"/>
      <c r="P788" s="33"/>
      <c r="Q788" s="33"/>
      <c r="R788" s="33"/>
      <c r="S788" s="33"/>
      <c r="T788" s="33"/>
    </row>
    <row r="789" spans="1:20" ht="15.75">
      <c r="A789" s="13">
        <v>65897</v>
      </c>
      <c r="B789" s="41">
        <f t="shared" si="3"/>
        <v>31</v>
      </c>
      <c r="C789" s="32">
        <v>194.20500000000001</v>
      </c>
      <c r="D789" s="32">
        <v>267.46600000000001</v>
      </c>
      <c r="E789" s="38">
        <v>812.32899999999995</v>
      </c>
      <c r="F789" s="32">
        <v>1274</v>
      </c>
      <c r="G789" s="32">
        <v>75</v>
      </c>
      <c r="H789" s="40">
        <v>600</v>
      </c>
      <c r="I789" s="32">
        <v>695</v>
      </c>
      <c r="J789" s="32">
        <v>50</v>
      </c>
      <c r="K789" s="33"/>
      <c r="L789" s="33"/>
      <c r="M789" s="33"/>
      <c r="N789" s="33"/>
      <c r="O789" s="33"/>
      <c r="P789" s="33"/>
      <c r="Q789" s="33"/>
      <c r="R789" s="33"/>
      <c r="S789" s="33"/>
      <c r="T789" s="33"/>
    </row>
    <row r="790" spans="1:20" ht="15.75">
      <c r="A790" s="13">
        <v>65927</v>
      </c>
      <c r="B790" s="41">
        <f t="shared" si="3"/>
        <v>30</v>
      </c>
      <c r="C790" s="32">
        <v>194.20500000000001</v>
      </c>
      <c r="D790" s="32">
        <v>267.46600000000001</v>
      </c>
      <c r="E790" s="38">
        <v>812.32899999999995</v>
      </c>
      <c r="F790" s="32">
        <v>1274</v>
      </c>
      <c r="G790" s="32">
        <v>50</v>
      </c>
      <c r="H790" s="40">
        <v>600</v>
      </c>
      <c r="I790" s="32">
        <v>695</v>
      </c>
      <c r="J790" s="32">
        <v>50</v>
      </c>
      <c r="K790" s="33"/>
      <c r="L790" s="33"/>
      <c r="M790" s="33"/>
      <c r="N790" s="33"/>
      <c r="O790" s="33"/>
      <c r="P790" s="33"/>
      <c r="Q790" s="33"/>
      <c r="R790" s="33"/>
      <c r="S790" s="33"/>
      <c r="T790" s="33"/>
    </row>
    <row r="791" spans="1:20" ht="15.75">
      <c r="A791" s="13">
        <v>65958</v>
      </c>
      <c r="B791" s="41">
        <f t="shared" si="3"/>
        <v>31</v>
      </c>
      <c r="C791" s="32">
        <v>194.20500000000001</v>
      </c>
      <c r="D791" s="32">
        <v>267.46600000000001</v>
      </c>
      <c r="E791" s="38">
        <v>812.32899999999995</v>
      </c>
      <c r="F791" s="32">
        <v>1274</v>
      </c>
      <c r="G791" s="32">
        <v>50</v>
      </c>
      <c r="H791" s="40">
        <v>600</v>
      </c>
      <c r="I791" s="32">
        <v>695</v>
      </c>
      <c r="J791" s="32">
        <v>0</v>
      </c>
      <c r="K791" s="33"/>
      <c r="L791" s="33"/>
      <c r="M791" s="33"/>
      <c r="N791" s="33"/>
      <c r="O791" s="33"/>
      <c r="P791" s="33"/>
      <c r="Q791" s="33"/>
      <c r="R791" s="33"/>
      <c r="S791" s="33"/>
      <c r="T791" s="33"/>
    </row>
    <row r="792" spans="1:20" ht="15.75">
      <c r="A792" s="13">
        <v>65989</v>
      </c>
      <c r="B792" s="41">
        <f t="shared" si="3"/>
        <v>31</v>
      </c>
      <c r="C792" s="32">
        <v>194.20500000000001</v>
      </c>
      <c r="D792" s="32">
        <v>267.46600000000001</v>
      </c>
      <c r="E792" s="38">
        <v>812.32899999999995</v>
      </c>
      <c r="F792" s="32">
        <v>1274</v>
      </c>
      <c r="G792" s="32">
        <v>50</v>
      </c>
      <c r="H792" s="40">
        <v>600</v>
      </c>
      <c r="I792" s="32">
        <v>695</v>
      </c>
      <c r="J792" s="32">
        <v>0</v>
      </c>
      <c r="K792" s="33"/>
      <c r="L792" s="33"/>
      <c r="M792" s="33"/>
      <c r="N792" s="33"/>
      <c r="O792" s="33"/>
      <c r="P792" s="33"/>
      <c r="Q792" s="33"/>
      <c r="R792" s="33"/>
      <c r="S792" s="33"/>
      <c r="T792" s="33"/>
    </row>
    <row r="793" spans="1:20" ht="15.75">
      <c r="A793" s="13">
        <v>66019</v>
      </c>
      <c r="B793" s="41">
        <f t="shared" si="3"/>
        <v>30</v>
      </c>
      <c r="C793" s="32">
        <v>194.20500000000001</v>
      </c>
      <c r="D793" s="32">
        <v>267.46600000000001</v>
      </c>
      <c r="E793" s="38">
        <v>812.32899999999995</v>
      </c>
      <c r="F793" s="32">
        <v>1274</v>
      </c>
      <c r="G793" s="32">
        <v>50</v>
      </c>
      <c r="H793" s="40">
        <v>600</v>
      </c>
      <c r="I793" s="32">
        <v>695</v>
      </c>
      <c r="J793" s="32">
        <v>0</v>
      </c>
      <c r="K793" s="33"/>
      <c r="L793" s="33"/>
      <c r="M793" s="33"/>
      <c r="N793" s="33"/>
      <c r="O793" s="33"/>
      <c r="P793" s="33"/>
      <c r="Q793" s="33"/>
      <c r="R793" s="33"/>
      <c r="S793" s="33"/>
      <c r="T793" s="33"/>
    </row>
    <row r="794" spans="1:20" ht="15.75">
      <c r="A794" s="13">
        <v>66050</v>
      </c>
      <c r="B794" s="41">
        <f t="shared" si="3"/>
        <v>31</v>
      </c>
      <c r="C794" s="32">
        <v>131.881</v>
      </c>
      <c r="D794" s="32">
        <v>277.16699999999997</v>
      </c>
      <c r="E794" s="38">
        <v>829.952</v>
      </c>
      <c r="F794" s="32">
        <v>1239</v>
      </c>
      <c r="G794" s="32">
        <v>75</v>
      </c>
      <c r="H794" s="40">
        <v>600</v>
      </c>
      <c r="I794" s="32">
        <v>695</v>
      </c>
      <c r="J794" s="32">
        <v>0</v>
      </c>
      <c r="K794" s="33"/>
      <c r="L794" s="33"/>
      <c r="M794" s="33"/>
      <c r="N794" s="33"/>
      <c r="O794" s="33"/>
      <c r="P794" s="33"/>
      <c r="Q794" s="33"/>
      <c r="R794" s="33"/>
      <c r="S794" s="33"/>
      <c r="T794" s="33"/>
    </row>
    <row r="795" spans="1:20" ht="15.75">
      <c r="A795" s="13">
        <v>66080</v>
      </c>
      <c r="B795" s="41">
        <f t="shared" si="3"/>
        <v>30</v>
      </c>
      <c r="C795" s="32">
        <v>122.58</v>
      </c>
      <c r="D795" s="32">
        <v>297.94099999999997</v>
      </c>
      <c r="E795" s="38">
        <v>729.47900000000004</v>
      </c>
      <c r="F795" s="32">
        <v>1150</v>
      </c>
      <c r="G795" s="32">
        <v>100</v>
      </c>
      <c r="H795" s="40">
        <v>600</v>
      </c>
      <c r="I795" s="32">
        <v>695</v>
      </c>
      <c r="J795" s="32">
        <v>50</v>
      </c>
      <c r="K795" s="33"/>
      <c r="L795" s="33"/>
      <c r="M795" s="33"/>
      <c r="N795" s="33"/>
      <c r="O795" s="33"/>
      <c r="P795" s="33"/>
      <c r="Q795" s="33"/>
      <c r="R795" s="33"/>
      <c r="S795" s="33"/>
      <c r="T795" s="33"/>
    </row>
    <row r="796" spans="1:20" ht="15.75">
      <c r="A796" s="13">
        <v>66111</v>
      </c>
      <c r="B796" s="41">
        <f t="shared" si="3"/>
        <v>31</v>
      </c>
      <c r="C796" s="32">
        <v>122.58</v>
      </c>
      <c r="D796" s="32">
        <v>297.94099999999997</v>
      </c>
      <c r="E796" s="38">
        <v>729.47900000000004</v>
      </c>
      <c r="F796" s="32">
        <v>1150</v>
      </c>
      <c r="G796" s="32">
        <v>100</v>
      </c>
      <c r="H796" s="40">
        <v>600</v>
      </c>
      <c r="I796" s="32">
        <v>695</v>
      </c>
      <c r="J796" s="32">
        <v>50</v>
      </c>
      <c r="K796" s="33"/>
      <c r="L796" s="33"/>
      <c r="M796" s="33"/>
      <c r="N796" s="33"/>
      <c r="O796" s="33"/>
      <c r="P796" s="33"/>
      <c r="Q796" s="33"/>
      <c r="R796" s="33"/>
      <c r="S796" s="33"/>
      <c r="T796" s="33"/>
    </row>
    <row r="797" spans="1:20" ht="15.75">
      <c r="A797" s="13">
        <v>66142</v>
      </c>
      <c r="B797" s="41">
        <f t="shared" si="3"/>
        <v>31</v>
      </c>
      <c r="C797" s="32">
        <v>122.58</v>
      </c>
      <c r="D797" s="32">
        <v>297.94099999999997</v>
      </c>
      <c r="E797" s="38">
        <v>729.47900000000004</v>
      </c>
      <c r="F797" s="32">
        <v>1150</v>
      </c>
      <c r="G797" s="32">
        <v>100</v>
      </c>
      <c r="H797" s="40">
        <v>600</v>
      </c>
      <c r="I797" s="32">
        <v>695</v>
      </c>
      <c r="J797" s="32">
        <v>50</v>
      </c>
      <c r="K797" s="33"/>
      <c r="L797" s="33"/>
      <c r="M797" s="33"/>
      <c r="N797" s="33"/>
      <c r="O797" s="33"/>
      <c r="P797" s="33"/>
      <c r="Q797" s="33"/>
      <c r="R797" s="33"/>
      <c r="S797" s="33"/>
      <c r="T797" s="33"/>
    </row>
    <row r="798" spans="1:20" ht="15.75">
      <c r="A798" s="13">
        <v>66170</v>
      </c>
      <c r="B798" s="41">
        <f t="shared" si="3"/>
        <v>28</v>
      </c>
      <c r="C798" s="32">
        <v>122.58</v>
      </c>
      <c r="D798" s="32">
        <v>297.94099999999997</v>
      </c>
      <c r="E798" s="38">
        <v>729.47900000000004</v>
      </c>
      <c r="F798" s="32">
        <v>1150</v>
      </c>
      <c r="G798" s="32">
        <v>100</v>
      </c>
      <c r="H798" s="40">
        <v>600</v>
      </c>
      <c r="I798" s="32">
        <v>695</v>
      </c>
      <c r="J798" s="32">
        <v>50</v>
      </c>
      <c r="K798" s="33"/>
      <c r="L798" s="33"/>
      <c r="M798" s="33"/>
      <c r="N798" s="33"/>
      <c r="O798" s="33"/>
      <c r="P798" s="33"/>
      <c r="Q798" s="33"/>
      <c r="R798" s="33"/>
      <c r="S798" s="33"/>
      <c r="T798" s="33"/>
    </row>
    <row r="799" spans="1:20" ht="15.75">
      <c r="A799" s="13">
        <v>66201</v>
      </c>
      <c r="B799" s="41">
        <f t="shared" si="3"/>
        <v>31</v>
      </c>
      <c r="C799" s="32">
        <v>122.58</v>
      </c>
      <c r="D799" s="32">
        <v>297.94099999999997</v>
      </c>
      <c r="E799" s="38">
        <v>729.47900000000004</v>
      </c>
      <c r="F799" s="32">
        <v>1150</v>
      </c>
      <c r="G799" s="32">
        <v>100</v>
      </c>
      <c r="H799" s="40">
        <v>600</v>
      </c>
      <c r="I799" s="32">
        <v>695</v>
      </c>
      <c r="J799" s="32">
        <v>50</v>
      </c>
      <c r="K799" s="33"/>
      <c r="L799" s="33"/>
      <c r="M799" s="33"/>
      <c r="N799" s="33"/>
      <c r="O799" s="33"/>
      <c r="P799" s="33"/>
      <c r="Q799" s="33"/>
      <c r="R799" s="33"/>
      <c r="S799" s="33"/>
      <c r="T799" s="33"/>
    </row>
    <row r="800" spans="1:20" ht="15.75">
      <c r="A800" s="13">
        <v>66231</v>
      </c>
      <c r="B800" s="41">
        <f t="shared" si="3"/>
        <v>30</v>
      </c>
      <c r="C800" s="32">
        <v>141.29300000000001</v>
      </c>
      <c r="D800" s="32">
        <v>267.99299999999999</v>
      </c>
      <c r="E800" s="38">
        <v>829.71400000000006</v>
      </c>
      <c r="F800" s="32">
        <v>1239</v>
      </c>
      <c r="G800" s="32">
        <v>100</v>
      </c>
      <c r="H800" s="40">
        <v>600</v>
      </c>
      <c r="I800" s="32">
        <v>695</v>
      </c>
      <c r="J800" s="32">
        <v>50</v>
      </c>
      <c r="K800" s="33"/>
      <c r="L800" s="33"/>
      <c r="M800" s="33"/>
      <c r="N800" s="33"/>
      <c r="O800" s="33"/>
      <c r="P800" s="33"/>
      <c r="Q800" s="33"/>
      <c r="R800" s="33"/>
      <c r="S800" s="33"/>
      <c r="T800" s="33"/>
    </row>
    <row r="801" spans="1:20" ht="15.75">
      <c r="A801" s="13">
        <v>66262</v>
      </c>
      <c r="B801" s="41">
        <f t="shared" si="3"/>
        <v>31</v>
      </c>
      <c r="C801" s="32">
        <v>194.20500000000001</v>
      </c>
      <c r="D801" s="32">
        <v>267.46600000000001</v>
      </c>
      <c r="E801" s="38">
        <v>812.32899999999995</v>
      </c>
      <c r="F801" s="32">
        <v>1274</v>
      </c>
      <c r="G801" s="32">
        <v>75</v>
      </c>
      <c r="H801" s="40">
        <v>600</v>
      </c>
      <c r="I801" s="32">
        <v>695</v>
      </c>
      <c r="J801" s="32">
        <v>50</v>
      </c>
      <c r="K801" s="33"/>
      <c r="L801" s="33"/>
      <c r="M801" s="33"/>
      <c r="N801" s="33"/>
      <c r="O801" s="33"/>
      <c r="P801" s="33"/>
      <c r="Q801" s="33"/>
      <c r="R801" s="33"/>
      <c r="S801" s="33"/>
      <c r="T801" s="33"/>
    </row>
    <row r="802" spans="1:20" ht="15.75">
      <c r="A802" s="13">
        <v>66292</v>
      </c>
      <c r="B802" s="41">
        <f t="shared" si="3"/>
        <v>30</v>
      </c>
      <c r="C802" s="32">
        <v>194.20500000000001</v>
      </c>
      <c r="D802" s="32">
        <v>267.46600000000001</v>
      </c>
      <c r="E802" s="38">
        <v>812.32899999999995</v>
      </c>
      <c r="F802" s="32">
        <v>1274</v>
      </c>
      <c r="G802" s="32">
        <v>50</v>
      </c>
      <c r="H802" s="40">
        <v>600</v>
      </c>
      <c r="I802" s="32">
        <v>695</v>
      </c>
      <c r="J802" s="32">
        <v>50</v>
      </c>
      <c r="K802" s="33"/>
      <c r="L802" s="33"/>
      <c r="M802" s="33"/>
      <c r="N802" s="33"/>
      <c r="O802" s="33"/>
      <c r="P802" s="33"/>
      <c r="Q802" s="33"/>
      <c r="R802" s="33"/>
      <c r="S802" s="33"/>
      <c r="T802" s="33"/>
    </row>
    <row r="803" spans="1:20" ht="15.75">
      <c r="A803" s="13">
        <v>66323</v>
      </c>
      <c r="B803" s="41">
        <f t="shared" si="3"/>
        <v>31</v>
      </c>
      <c r="C803" s="32">
        <v>194.20500000000001</v>
      </c>
      <c r="D803" s="32">
        <v>267.46600000000001</v>
      </c>
      <c r="E803" s="38">
        <v>812.32899999999995</v>
      </c>
      <c r="F803" s="32">
        <v>1274</v>
      </c>
      <c r="G803" s="32">
        <v>50</v>
      </c>
      <c r="H803" s="40">
        <v>600</v>
      </c>
      <c r="I803" s="32">
        <v>695</v>
      </c>
      <c r="J803" s="32">
        <v>0</v>
      </c>
      <c r="K803" s="33"/>
      <c r="L803" s="33"/>
      <c r="M803" s="33"/>
      <c r="N803" s="33"/>
      <c r="O803" s="33"/>
      <c r="P803" s="33"/>
      <c r="Q803" s="33"/>
      <c r="R803" s="33"/>
      <c r="S803" s="33"/>
      <c r="T803" s="33"/>
    </row>
    <row r="804" spans="1:20" ht="15.75">
      <c r="A804" s="13">
        <v>66354</v>
      </c>
      <c r="B804" s="41">
        <f t="shared" si="3"/>
        <v>31</v>
      </c>
      <c r="C804" s="32">
        <v>194.20500000000001</v>
      </c>
      <c r="D804" s="32">
        <v>267.46600000000001</v>
      </c>
      <c r="E804" s="38">
        <v>812.32899999999995</v>
      </c>
      <c r="F804" s="32">
        <v>1274</v>
      </c>
      <c r="G804" s="32">
        <v>50</v>
      </c>
      <c r="H804" s="40">
        <v>600</v>
      </c>
      <c r="I804" s="32">
        <v>695</v>
      </c>
      <c r="J804" s="32">
        <v>0</v>
      </c>
      <c r="K804" s="33"/>
      <c r="L804" s="33"/>
      <c r="M804" s="33"/>
      <c r="N804" s="33"/>
      <c r="O804" s="33"/>
      <c r="P804" s="33"/>
      <c r="Q804" s="33"/>
      <c r="R804" s="33"/>
      <c r="S804" s="33"/>
      <c r="T804" s="33"/>
    </row>
    <row r="805" spans="1:20" ht="15.75">
      <c r="A805" s="13">
        <v>66384</v>
      </c>
      <c r="B805" s="41">
        <f t="shared" si="3"/>
        <v>30</v>
      </c>
      <c r="C805" s="32">
        <v>194.20500000000001</v>
      </c>
      <c r="D805" s="32">
        <v>267.46600000000001</v>
      </c>
      <c r="E805" s="38">
        <v>812.32899999999995</v>
      </c>
      <c r="F805" s="32">
        <v>1274</v>
      </c>
      <c r="G805" s="32">
        <v>50</v>
      </c>
      <c r="H805" s="40">
        <v>600</v>
      </c>
      <c r="I805" s="32">
        <v>695</v>
      </c>
      <c r="J805" s="32">
        <v>0</v>
      </c>
      <c r="K805" s="33"/>
      <c r="L805" s="33"/>
      <c r="M805" s="33"/>
      <c r="N805" s="33"/>
      <c r="O805" s="33"/>
      <c r="P805" s="33"/>
      <c r="Q805" s="33"/>
      <c r="R805" s="33"/>
      <c r="S805" s="33"/>
      <c r="T805" s="33"/>
    </row>
    <row r="806" spans="1:20" ht="15.75">
      <c r="A806" s="13">
        <v>66415</v>
      </c>
      <c r="B806" s="41">
        <f t="shared" si="3"/>
        <v>31</v>
      </c>
      <c r="C806" s="32">
        <v>131.881</v>
      </c>
      <c r="D806" s="32">
        <v>277.16699999999997</v>
      </c>
      <c r="E806" s="38">
        <v>829.952</v>
      </c>
      <c r="F806" s="32">
        <v>1239</v>
      </c>
      <c r="G806" s="32">
        <v>75</v>
      </c>
      <c r="H806" s="40">
        <v>600</v>
      </c>
      <c r="I806" s="32">
        <v>695</v>
      </c>
      <c r="J806" s="32">
        <v>0</v>
      </c>
      <c r="K806" s="33"/>
      <c r="L806" s="33"/>
      <c r="M806" s="33"/>
      <c r="N806" s="33"/>
      <c r="O806" s="33"/>
      <c r="P806" s="33"/>
      <c r="Q806" s="33"/>
      <c r="R806" s="33"/>
      <c r="S806" s="33"/>
      <c r="T806" s="33"/>
    </row>
    <row r="807" spans="1:20" ht="15.75">
      <c r="A807" s="13">
        <v>66445</v>
      </c>
      <c r="B807" s="41">
        <f t="shared" si="3"/>
        <v>30</v>
      </c>
      <c r="C807" s="32">
        <v>122.58</v>
      </c>
      <c r="D807" s="32">
        <v>297.94099999999997</v>
      </c>
      <c r="E807" s="38">
        <v>729.47900000000004</v>
      </c>
      <c r="F807" s="32">
        <v>1150</v>
      </c>
      <c r="G807" s="32">
        <v>100</v>
      </c>
      <c r="H807" s="40">
        <v>600</v>
      </c>
      <c r="I807" s="32">
        <v>695</v>
      </c>
      <c r="J807" s="32">
        <v>50</v>
      </c>
      <c r="K807" s="33"/>
      <c r="L807" s="33"/>
      <c r="M807" s="33"/>
      <c r="N807" s="33"/>
      <c r="O807" s="33"/>
      <c r="P807" s="33"/>
      <c r="Q807" s="33"/>
      <c r="R807" s="33"/>
      <c r="S807" s="33"/>
      <c r="T807" s="33"/>
    </row>
    <row r="808" spans="1:20" ht="15.75">
      <c r="A808" s="13">
        <v>66476</v>
      </c>
      <c r="B808" s="41">
        <f t="shared" si="3"/>
        <v>31</v>
      </c>
      <c r="C808" s="32">
        <v>122.58</v>
      </c>
      <c r="D808" s="32">
        <v>297.94099999999997</v>
      </c>
      <c r="E808" s="38">
        <v>729.47900000000004</v>
      </c>
      <c r="F808" s="32">
        <v>1150</v>
      </c>
      <c r="G808" s="32">
        <v>100</v>
      </c>
      <c r="H808" s="40">
        <v>600</v>
      </c>
      <c r="I808" s="32">
        <v>695</v>
      </c>
      <c r="J808" s="32">
        <v>50</v>
      </c>
      <c r="K808" s="33"/>
      <c r="L808" s="33"/>
      <c r="M808" s="33"/>
      <c r="N808" s="33"/>
      <c r="O808" s="33"/>
      <c r="P808" s="33"/>
      <c r="Q808" s="33"/>
      <c r="R808" s="33"/>
      <c r="S808" s="33"/>
      <c r="T808" s="33"/>
    </row>
    <row r="809" spans="1:20" ht="15.75">
      <c r="A809" s="13">
        <v>66507</v>
      </c>
      <c r="B809" s="41">
        <f t="shared" si="3"/>
        <v>31</v>
      </c>
      <c r="C809" s="32">
        <v>122.58</v>
      </c>
      <c r="D809" s="32">
        <v>297.94099999999997</v>
      </c>
      <c r="E809" s="38">
        <v>729.47900000000004</v>
      </c>
      <c r="F809" s="32">
        <v>1150</v>
      </c>
      <c r="G809" s="32">
        <v>100</v>
      </c>
      <c r="H809" s="40">
        <v>600</v>
      </c>
      <c r="I809" s="32">
        <v>695</v>
      </c>
      <c r="J809" s="32">
        <v>50</v>
      </c>
      <c r="K809" s="33"/>
      <c r="L809" s="33"/>
      <c r="M809" s="33"/>
      <c r="N809" s="33"/>
      <c r="O809" s="33"/>
      <c r="P809" s="33"/>
      <c r="Q809" s="33"/>
      <c r="R809" s="33"/>
      <c r="S809" s="33"/>
      <c r="T809" s="33"/>
    </row>
    <row r="810" spans="1:20" ht="15.75">
      <c r="A810" s="13">
        <v>66535</v>
      </c>
      <c r="B810" s="41">
        <f t="shared" si="3"/>
        <v>28</v>
      </c>
      <c r="C810" s="32">
        <v>122.58</v>
      </c>
      <c r="D810" s="32">
        <v>297.94099999999997</v>
      </c>
      <c r="E810" s="38">
        <v>729.47900000000004</v>
      </c>
      <c r="F810" s="32">
        <v>1150</v>
      </c>
      <c r="G810" s="32">
        <v>100</v>
      </c>
      <c r="H810" s="40">
        <v>600</v>
      </c>
      <c r="I810" s="32">
        <v>695</v>
      </c>
      <c r="J810" s="32">
        <v>50</v>
      </c>
      <c r="K810" s="33"/>
      <c r="L810" s="33"/>
      <c r="M810" s="33"/>
      <c r="N810" s="33"/>
      <c r="O810" s="33"/>
      <c r="P810" s="33"/>
      <c r="Q810" s="33"/>
      <c r="R810" s="33"/>
      <c r="S810" s="33"/>
      <c r="T810" s="33"/>
    </row>
    <row r="811" spans="1:20" ht="15.75">
      <c r="A811" s="13">
        <v>66566</v>
      </c>
      <c r="B811" s="41">
        <f t="shared" si="3"/>
        <v>31</v>
      </c>
      <c r="C811" s="32">
        <v>122.58</v>
      </c>
      <c r="D811" s="32">
        <v>297.94099999999997</v>
      </c>
      <c r="E811" s="38">
        <v>729.47900000000004</v>
      </c>
      <c r="F811" s="32">
        <v>1150</v>
      </c>
      <c r="G811" s="32">
        <v>100</v>
      </c>
      <c r="H811" s="40">
        <v>600</v>
      </c>
      <c r="I811" s="32">
        <v>695</v>
      </c>
      <c r="J811" s="32">
        <v>50</v>
      </c>
      <c r="K811" s="33"/>
      <c r="L811" s="33"/>
      <c r="M811" s="33"/>
      <c r="N811" s="33"/>
      <c r="O811" s="33"/>
      <c r="P811" s="33"/>
      <c r="Q811" s="33"/>
      <c r="R811" s="33"/>
      <c r="S811" s="33"/>
      <c r="T811" s="33"/>
    </row>
    <row r="812" spans="1:20" ht="15.75">
      <c r="A812" s="13">
        <v>66596</v>
      </c>
      <c r="B812" s="41">
        <f t="shared" si="3"/>
        <v>30</v>
      </c>
      <c r="C812" s="32">
        <v>141.29300000000001</v>
      </c>
      <c r="D812" s="32">
        <v>267.99299999999999</v>
      </c>
      <c r="E812" s="38">
        <v>829.71400000000006</v>
      </c>
      <c r="F812" s="32">
        <v>1239</v>
      </c>
      <c r="G812" s="32">
        <v>100</v>
      </c>
      <c r="H812" s="40">
        <v>600</v>
      </c>
      <c r="I812" s="32">
        <v>695</v>
      </c>
      <c r="J812" s="32">
        <v>50</v>
      </c>
      <c r="K812" s="33"/>
      <c r="L812" s="33"/>
      <c r="M812" s="33"/>
      <c r="N812" s="33"/>
      <c r="O812" s="33"/>
      <c r="P812" s="33"/>
      <c r="Q812" s="33"/>
      <c r="R812" s="33"/>
      <c r="S812" s="33"/>
      <c r="T812" s="33"/>
    </row>
    <row r="813" spans="1:20" ht="15.75">
      <c r="A813" s="13">
        <v>66627</v>
      </c>
      <c r="B813" s="41">
        <f t="shared" si="3"/>
        <v>31</v>
      </c>
      <c r="C813" s="32">
        <v>194.20500000000001</v>
      </c>
      <c r="D813" s="32">
        <v>267.46600000000001</v>
      </c>
      <c r="E813" s="38">
        <v>812.32899999999995</v>
      </c>
      <c r="F813" s="32">
        <v>1274</v>
      </c>
      <c r="G813" s="32">
        <v>75</v>
      </c>
      <c r="H813" s="40">
        <v>600</v>
      </c>
      <c r="I813" s="32">
        <v>695</v>
      </c>
      <c r="J813" s="32">
        <v>50</v>
      </c>
      <c r="K813" s="33"/>
      <c r="L813" s="33"/>
      <c r="M813" s="33"/>
      <c r="N813" s="33"/>
      <c r="O813" s="33"/>
      <c r="P813" s="33"/>
      <c r="Q813" s="33"/>
      <c r="R813" s="33"/>
      <c r="S813" s="33"/>
      <c r="T813" s="33"/>
    </row>
    <row r="814" spans="1:20" ht="15.75">
      <c r="A814" s="13">
        <v>66657</v>
      </c>
      <c r="B814" s="41">
        <f t="shared" si="3"/>
        <v>30</v>
      </c>
      <c r="C814" s="32">
        <v>194.20500000000001</v>
      </c>
      <c r="D814" s="32">
        <v>267.46600000000001</v>
      </c>
      <c r="E814" s="38">
        <v>812.32899999999995</v>
      </c>
      <c r="F814" s="32">
        <v>1274</v>
      </c>
      <c r="G814" s="32">
        <v>50</v>
      </c>
      <c r="H814" s="40">
        <v>600</v>
      </c>
      <c r="I814" s="32">
        <v>695</v>
      </c>
      <c r="J814" s="32">
        <v>50</v>
      </c>
      <c r="K814" s="33"/>
      <c r="L814" s="33"/>
      <c r="M814" s="33"/>
      <c r="N814" s="33"/>
      <c r="O814" s="33"/>
      <c r="P814" s="33"/>
      <c r="Q814" s="33"/>
      <c r="R814" s="33"/>
      <c r="S814" s="33"/>
      <c r="T814" s="33"/>
    </row>
    <row r="815" spans="1:20" ht="15.75">
      <c r="A815" s="13">
        <v>66688</v>
      </c>
      <c r="B815" s="41">
        <f t="shared" si="3"/>
        <v>31</v>
      </c>
      <c r="C815" s="32">
        <v>194.20500000000001</v>
      </c>
      <c r="D815" s="32">
        <v>267.46600000000001</v>
      </c>
      <c r="E815" s="38">
        <v>812.32899999999995</v>
      </c>
      <c r="F815" s="32">
        <v>1274</v>
      </c>
      <c r="G815" s="32">
        <v>50</v>
      </c>
      <c r="H815" s="40">
        <v>600</v>
      </c>
      <c r="I815" s="32">
        <v>695</v>
      </c>
      <c r="J815" s="32">
        <v>0</v>
      </c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spans="1:20" ht="15.75">
      <c r="A816" s="13">
        <v>66719</v>
      </c>
      <c r="B816" s="41">
        <f t="shared" si="3"/>
        <v>31</v>
      </c>
      <c r="C816" s="32">
        <v>194.20500000000001</v>
      </c>
      <c r="D816" s="32">
        <v>267.46600000000001</v>
      </c>
      <c r="E816" s="38">
        <v>812.32899999999995</v>
      </c>
      <c r="F816" s="32">
        <v>1274</v>
      </c>
      <c r="G816" s="32">
        <v>50</v>
      </c>
      <c r="H816" s="40">
        <v>600</v>
      </c>
      <c r="I816" s="32">
        <v>695</v>
      </c>
      <c r="J816" s="32">
        <v>0</v>
      </c>
      <c r="K816" s="33"/>
      <c r="L816" s="33"/>
      <c r="M816" s="33"/>
      <c r="N816" s="33"/>
      <c r="O816" s="33"/>
      <c r="P816" s="33"/>
      <c r="Q816" s="33"/>
      <c r="R816" s="33"/>
      <c r="S816" s="33"/>
      <c r="T816" s="33"/>
    </row>
    <row r="817" spans="1:20" ht="15.75">
      <c r="A817" s="13">
        <v>66749</v>
      </c>
      <c r="B817" s="41">
        <f t="shared" si="3"/>
        <v>30</v>
      </c>
      <c r="C817" s="32">
        <v>194.20500000000001</v>
      </c>
      <c r="D817" s="32">
        <v>267.46600000000001</v>
      </c>
      <c r="E817" s="38">
        <v>812.32899999999995</v>
      </c>
      <c r="F817" s="32">
        <v>1274</v>
      </c>
      <c r="G817" s="32">
        <v>50</v>
      </c>
      <c r="H817" s="40">
        <v>600</v>
      </c>
      <c r="I817" s="32">
        <v>695</v>
      </c>
      <c r="J817" s="32">
        <v>0</v>
      </c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spans="1:20" ht="15.75">
      <c r="A818" s="13">
        <v>66780</v>
      </c>
      <c r="B818" s="41">
        <f t="shared" si="3"/>
        <v>31</v>
      </c>
      <c r="C818" s="32">
        <v>131.881</v>
      </c>
      <c r="D818" s="32">
        <v>277.16699999999997</v>
      </c>
      <c r="E818" s="38">
        <v>829.952</v>
      </c>
      <c r="F818" s="32">
        <v>1239</v>
      </c>
      <c r="G818" s="32">
        <v>75</v>
      </c>
      <c r="H818" s="40">
        <v>600</v>
      </c>
      <c r="I818" s="32">
        <v>695</v>
      </c>
      <c r="J818" s="32">
        <v>0</v>
      </c>
      <c r="K818" s="33"/>
      <c r="L818" s="33"/>
      <c r="M818" s="33"/>
      <c r="N818" s="33"/>
      <c r="O818" s="33"/>
      <c r="P818" s="33"/>
      <c r="Q818" s="33"/>
      <c r="R818" s="33"/>
      <c r="S818" s="33"/>
      <c r="T818" s="33"/>
    </row>
    <row r="819" spans="1:20" ht="15.75">
      <c r="A819" s="13">
        <v>66810</v>
      </c>
      <c r="B819" s="41">
        <f t="shared" si="3"/>
        <v>30</v>
      </c>
      <c r="C819" s="32">
        <v>122.58</v>
      </c>
      <c r="D819" s="32">
        <v>297.94099999999997</v>
      </c>
      <c r="E819" s="38">
        <v>729.47900000000004</v>
      </c>
      <c r="F819" s="32">
        <v>1150</v>
      </c>
      <c r="G819" s="32">
        <v>100</v>
      </c>
      <c r="H819" s="40">
        <v>600</v>
      </c>
      <c r="I819" s="32">
        <v>695</v>
      </c>
      <c r="J819" s="32">
        <v>50</v>
      </c>
      <c r="K819" s="33"/>
      <c r="L819" s="33"/>
      <c r="M819" s="33"/>
      <c r="N819" s="33"/>
      <c r="O819" s="33"/>
      <c r="P819" s="33"/>
      <c r="Q819" s="33"/>
      <c r="R819" s="33"/>
      <c r="S819" s="33"/>
      <c r="T819" s="33"/>
    </row>
    <row r="820" spans="1:20" ht="15.75">
      <c r="A820" s="13">
        <v>66841</v>
      </c>
      <c r="B820" s="41">
        <f t="shared" si="3"/>
        <v>31</v>
      </c>
      <c r="C820" s="32">
        <v>122.58</v>
      </c>
      <c r="D820" s="32">
        <v>297.94099999999997</v>
      </c>
      <c r="E820" s="38">
        <v>729.47900000000004</v>
      </c>
      <c r="F820" s="32">
        <v>1150</v>
      </c>
      <c r="G820" s="32">
        <v>100</v>
      </c>
      <c r="H820" s="40">
        <v>600</v>
      </c>
      <c r="I820" s="32">
        <v>695</v>
      </c>
      <c r="J820" s="32">
        <v>50</v>
      </c>
      <c r="K820" s="33"/>
      <c r="L820" s="33"/>
      <c r="M820" s="33"/>
      <c r="N820" s="33"/>
      <c r="O820" s="33"/>
      <c r="P820" s="33"/>
      <c r="Q820" s="33"/>
      <c r="R820" s="33"/>
      <c r="S820" s="33"/>
      <c r="T820" s="33"/>
    </row>
    <row r="821" spans="1:20" ht="15.75">
      <c r="A821" s="13">
        <v>66872</v>
      </c>
      <c r="B821" s="41">
        <f t="shared" si="3"/>
        <v>31</v>
      </c>
      <c r="C821" s="32">
        <v>122.58</v>
      </c>
      <c r="D821" s="32">
        <v>297.94099999999997</v>
      </c>
      <c r="E821" s="38">
        <v>729.47900000000004</v>
      </c>
      <c r="F821" s="32">
        <v>1150</v>
      </c>
      <c r="G821" s="32">
        <v>100</v>
      </c>
      <c r="H821" s="40">
        <v>600</v>
      </c>
      <c r="I821" s="32">
        <v>695</v>
      </c>
      <c r="J821" s="32">
        <v>50</v>
      </c>
      <c r="K821" s="33"/>
      <c r="L821" s="33"/>
      <c r="M821" s="33"/>
      <c r="N821" s="33"/>
      <c r="O821" s="33"/>
      <c r="P821" s="33"/>
      <c r="Q821" s="33"/>
      <c r="R821" s="33"/>
      <c r="S821" s="33"/>
      <c r="T821" s="33"/>
    </row>
    <row r="822" spans="1:20" ht="15.75">
      <c r="A822" s="13">
        <v>66900</v>
      </c>
      <c r="B822" s="41">
        <f t="shared" si="3"/>
        <v>28</v>
      </c>
      <c r="C822" s="32">
        <v>122.58</v>
      </c>
      <c r="D822" s="32">
        <v>297.94099999999997</v>
      </c>
      <c r="E822" s="38">
        <v>729.47900000000004</v>
      </c>
      <c r="F822" s="32">
        <v>1150</v>
      </c>
      <c r="G822" s="32">
        <v>100</v>
      </c>
      <c r="H822" s="40">
        <v>600</v>
      </c>
      <c r="I822" s="32">
        <v>695</v>
      </c>
      <c r="J822" s="32">
        <v>50</v>
      </c>
      <c r="K822" s="33"/>
      <c r="L822" s="33"/>
      <c r="M822" s="33"/>
      <c r="N822" s="33"/>
      <c r="O822" s="33"/>
      <c r="P822" s="33"/>
      <c r="Q822" s="33"/>
      <c r="R822" s="33"/>
      <c r="S822" s="33"/>
      <c r="T822" s="33"/>
    </row>
    <row r="823" spans="1:20" ht="15.75">
      <c r="A823" s="13">
        <v>66931</v>
      </c>
      <c r="B823" s="41">
        <f t="shared" si="3"/>
        <v>31</v>
      </c>
      <c r="C823" s="32">
        <v>122.58</v>
      </c>
      <c r="D823" s="32">
        <v>297.94099999999997</v>
      </c>
      <c r="E823" s="38">
        <v>729.47900000000004</v>
      </c>
      <c r="F823" s="32">
        <v>1150</v>
      </c>
      <c r="G823" s="32">
        <v>100</v>
      </c>
      <c r="H823" s="40">
        <v>600</v>
      </c>
      <c r="I823" s="32">
        <v>695</v>
      </c>
      <c r="J823" s="32">
        <v>50</v>
      </c>
      <c r="K823" s="33"/>
      <c r="L823" s="33"/>
      <c r="M823" s="33"/>
      <c r="N823" s="33"/>
      <c r="O823" s="33"/>
      <c r="P823" s="33"/>
      <c r="Q823" s="33"/>
      <c r="R823" s="33"/>
      <c r="S823" s="33"/>
      <c r="T823" s="33"/>
    </row>
    <row r="824" spans="1:20" ht="15.75">
      <c r="A824" s="13">
        <v>66961</v>
      </c>
      <c r="B824" s="41">
        <f t="shared" si="3"/>
        <v>30</v>
      </c>
      <c r="C824" s="32">
        <v>141.29300000000001</v>
      </c>
      <c r="D824" s="32">
        <v>267.99299999999999</v>
      </c>
      <c r="E824" s="38">
        <v>829.71400000000006</v>
      </c>
      <c r="F824" s="32">
        <v>1239</v>
      </c>
      <c r="G824" s="32">
        <v>100</v>
      </c>
      <c r="H824" s="40">
        <v>600</v>
      </c>
      <c r="I824" s="32">
        <v>695</v>
      </c>
      <c r="J824" s="32">
        <v>50</v>
      </c>
      <c r="K824" s="33"/>
      <c r="L824" s="33"/>
      <c r="M824" s="33"/>
      <c r="N824" s="33"/>
      <c r="O824" s="33"/>
      <c r="P824" s="33"/>
      <c r="Q824" s="33"/>
      <c r="R824" s="33"/>
      <c r="S824" s="33"/>
      <c r="T824" s="33"/>
    </row>
    <row r="825" spans="1:20" ht="15.75">
      <c r="A825" s="13">
        <v>66992</v>
      </c>
      <c r="B825" s="41">
        <f t="shared" ref="B825:B888" si="4">EOMONTH(A825,0)-EOMONTH(A825,-1)</f>
        <v>31</v>
      </c>
      <c r="C825" s="32">
        <v>194.20500000000001</v>
      </c>
      <c r="D825" s="32">
        <v>267.46600000000001</v>
      </c>
      <c r="E825" s="38">
        <v>812.32899999999995</v>
      </c>
      <c r="F825" s="32">
        <v>1274</v>
      </c>
      <c r="G825" s="32">
        <v>75</v>
      </c>
      <c r="H825" s="40">
        <v>600</v>
      </c>
      <c r="I825" s="32">
        <v>695</v>
      </c>
      <c r="J825" s="32">
        <v>50</v>
      </c>
      <c r="K825" s="33"/>
      <c r="L825" s="33"/>
      <c r="M825" s="33"/>
      <c r="N825" s="33"/>
      <c r="O825" s="33"/>
      <c r="P825" s="33"/>
      <c r="Q825" s="33"/>
      <c r="R825" s="33"/>
      <c r="S825" s="33"/>
      <c r="T825" s="33"/>
    </row>
    <row r="826" spans="1:20" ht="15.75">
      <c r="A826" s="13">
        <v>67022</v>
      </c>
      <c r="B826" s="41">
        <f t="shared" si="4"/>
        <v>30</v>
      </c>
      <c r="C826" s="32">
        <v>194.20500000000001</v>
      </c>
      <c r="D826" s="32">
        <v>267.46600000000001</v>
      </c>
      <c r="E826" s="38">
        <v>812.32899999999995</v>
      </c>
      <c r="F826" s="32">
        <v>1274</v>
      </c>
      <c r="G826" s="32">
        <v>50</v>
      </c>
      <c r="H826" s="40">
        <v>600</v>
      </c>
      <c r="I826" s="32">
        <v>695</v>
      </c>
      <c r="J826" s="32">
        <v>50</v>
      </c>
      <c r="K826" s="33"/>
      <c r="L826" s="33"/>
      <c r="M826" s="33"/>
      <c r="N826" s="33"/>
      <c r="O826" s="33"/>
      <c r="P826" s="33"/>
      <c r="Q826" s="33"/>
      <c r="R826" s="33"/>
      <c r="S826" s="33"/>
      <c r="T826" s="33"/>
    </row>
    <row r="827" spans="1:20" ht="15.75">
      <c r="A827" s="13">
        <v>67053</v>
      </c>
      <c r="B827" s="41">
        <f t="shared" si="4"/>
        <v>31</v>
      </c>
      <c r="C827" s="32">
        <v>194.20500000000001</v>
      </c>
      <c r="D827" s="32">
        <v>267.46600000000001</v>
      </c>
      <c r="E827" s="38">
        <v>812.32899999999995</v>
      </c>
      <c r="F827" s="32">
        <v>1274</v>
      </c>
      <c r="G827" s="32">
        <v>50</v>
      </c>
      <c r="H827" s="40">
        <v>600</v>
      </c>
      <c r="I827" s="32">
        <v>695</v>
      </c>
      <c r="J827" s="32">
        <v>0</v>
      </c>
      <c r="K827" s="33"/>
      <c r="L827" s="33"/>
      <c r="M827" s="33"/>
      <c r="N827" s="33"/>
      <c r="O827" s="33"/>
      <c r="P827" s="33"/>
      <c r="Q827" s="33"/>
      <c r="R827" s="33"/>
      <c r="S827" s="33"/>
      <c r="T827" s="33"/>
    </row>
    <row r="828" spans="1:20" ht="15.75">
      <c r="A828" s="13">
        <v>67084</v>
      </c>
      <c r="B828" s="41">
        <f t="shared" si="4"/>
        <v>31</v>
      </c>
      <c r="C828" s="32">
        <v>194.20500000000001</v>
      </c>
      <c r="D828" s="32">
        <v>267.46600000000001</v>
      </c>
      <c r="E828" s="38">
        <v>812.32899999999995</v>
      </c>
      <c r="F828" s="32">
        <v>1274</v>
      </c>
      <c r="G828" s="32">
        <v>50</v>
      </c>
      <c r="H828" s="40">
        <v>600</v>
      </c>
      <c r="I828" s="32">
        <v>695</v>
      </c>
      <c r="J828" s="32">
        <v>0</v>
      </c>
      <c r="K828" s="33"/>
      <c r="L828" s="33"/>
      <c r="M828" s="33"/>
      <c r="N828" s="33"/>
      <c r="O828" s="33"/>
      <c r="P828" s="33"/>
      <c r="Q828" s="33"/>
      <c r="R828" s="33"/>
      <c r="S828" s="33"/>
      <c r="T828" s="33"/>
    </row>
    <row r="829" spans="1:20" ht="15.75">
      <c r="A829" s="13">
        <v>67114</v>
      </c>
      <c r="B829" s="41">
        <f t="shared" si="4"/>
        <v>30</v>
      </c>
      <c r="C829" s="32">
        <v>194.20500000000001</v>
      </c>
      <c r="D829" s="32">
        <v>267.46600000000001</v>
      </c>
      <c r="E829" s="38">
        <v>812.32899999999995</v>
      </c>
      <c r="F829" s="32">
        <v>1274</v>
      </c>
      <c r="G829" s="32">
        <v>50</v>
      </c>
      <c r="H829" s="40">
        <v>600</v>
      </c>
      <c r="I829" s="32">
        <v>695</v>
      </c>
      <c r="J829" s="32">
        <v>0</v>
      </c>
      <c r="K829" s="33"/>
      <c r="L829" s="33"/>
      <c r="M829" s="33"/>
      <c r="N829" s="33"/>
      <c r="O829" s="33"/>
      <c r="P829" s="33"/>
      <c r="Q829" s="33"/>
      <c r="R829" s="33"/>
      <c r="S829" s="33"/>
      <c r="T829" s="33"/>
    </row>
    <row r="830" spans="1:20" ht="15.75">
      <c r="A830" s="13">
        <v>67145</v>
      </c>
      <c r="B830" s="41">
        <f t="shared" si="4"/>
        <v>31</v>
      </c>
      <c r="C830" s="32">
        <v>131.881</v>
      </c>
      <c r="D830" s="32">
        <v>277.16699999999997</v>
      </c>
      <c r="E830" s="38">
        <v>829.952</v>
      </c>
      <c r="F830" s="32">
        <v>1239</v>
      </c>
      <c r="G830" s="32">
        <v>75</v>
      </c>
      <c r="H830" s="40">
        <v>600</v>
      </c>
      <c r="I830" s="32">
        <v>695</v>
      </c>
      <c r="J830" s="32">
        <v>0</v>
      </c>
      <c r="K830" s="33"/>
      <c r="L830" s="33"/>
      <c r="M830" s="33"/>
      <c r="N830" s="33"/>
      <c r="O830" s="33"/>
      <c r="P830" s="33"/>
      <c r="Q830" s="33"/>
      <c r="R830" s="33"/>
      <c r="S830" s="33"/>
      <c r="T830" s="33"/>
    </row>
    <row r="831" spans="1:20" ht="15.75">
      <c r="A831" s="13">
        <v>67175</v>
      </c>
      <c r="B831" s="41">
        <f t="shared" si="4"/>
        <v>30</v>
      </c>
      <c r="C831" s="32">
        <v>122.58</v>
      </c>
      <c r="D831" s="32">
        <v>297.94099999999997</v>
      </c>
      <c r="E831" s="38">
        <v>729.47900000000004</v>
      </c>
      <c r="F831" s="32">
        <v>1150</v>
      </c>
      <c r="G831" s="32">
        <v>100</v>
      </c>
      <c r="H831" s="40">
        <v>600</v>
      </c>
      <c r="I831" s="32">
        <v>695</v>
      </c>
      <c r="J831" s="32">
        <v>50</v>
      </c>
      <c r="K831" s="33"/>
      <c r="L831" s="33"/>
      <c r="M831" s="33"/>
      <c r="N831" s="33"/>
      <c r="O831" s="33"/>
      <c r="P831" s="33"/>
      <c r="Q831" s="33"/>
      <c r="R831" s="33"/>
      <c r="S831" s="33"/>
      <c r="T831" s="33"/>
    </row>
    <row r="832" spans="1:20" ht="15.75">
      <c r="A832" s="13">
        <v>67206</v>
      </c>
      <c r="B832" s="41">
        <f t="shared" si="4"/>
        <v>31</v>
      </c>
      <c r="C832" s="32">
        <v>122.58</v>
      </c>
      <c r="D832" s="32">
        <v>297.94099999999997</v>
      </c>
      <c r="E832" s="38">
        <v>729.47900000000004</v>
      </c>
      <c r="F832" s="32">
        <v>1150</v>
      </c>
      <c r="G832" s="32">
        <v>100</v>
      </c>
      <c r="H832" s="40">
        <v>600</v>
      </c>
      <c r="I832" s="32">
        <v>695</v>
      </c>
      <c r="J832" s="32">
        <v>50</v>
      </c>
      <c r="K832" s="33"/>
      <c r="L832" s="33"/>
      <c r="M832" s="33"/>
      <c r="N832" s="33"/>
      <c r="O832" s="33"/>
      <c r="P832" s="33"/>
      <c r="Q832" s="33"/>
      <c r="R832" s="33"/>
      <c r="S832" s="33"/>
      <c r="T832" s="33"/>
    </row>
    <row r="833" spans="1:20" ht="15.75">
      <c r="A833" s="13">
        <v>67237</v>
      </c>
      <c r="B833" s="41">
        <f t="shared" si="4"/>
        <v>31</v>
      </c>
      <c r="C833" s="32">
        <v>122.58</v>
      </c>
      <c r="D833" s="32">
        <v>297.94099999999997</v>
      </c>
      <c r="E833" s="38">
        <v>729.47900000000004</v>
      </c>
      <c r="F833" s="32">
        <v>1150</v>
      </c>
      <c r="G833" s="32">
        <v>100</v>
      </c>
      <c r="H833" s="40">
        <v>600</v>
      </c>
      <c r="I833" s="32">
        <v>695</v>
      </c>
      <c r="J833" s="32">
        <v>50</v>
      </c>
      <c r="K833" s="33"/>
      <c r="L833" s="33"/>
      <c r="M833" s="33"/>
      <c r="N833" s="33"/>
      <c r="O833" s="33"/>
      <c r="P833" s="33"/>
      <c r="Q833" s="33"/>
      <c r="R833" s="33"/>
      <c r="S833" s="33"/>
      <c r="T833" s="33"/>
    </row>
    <row r="834" spans="1:20" ht="15.75">
      <c r="A834" s="13">
        <v>67266</v>
      </c>
      <c r="B834" s="41">
        <f t="shared" si="4"/>
        <v>29</v>
      </c>
      <c r="C834" s="32">
        <v>122.58</v>
      </c>
      <c r="D834" s="32">
        <v>297.94099999999997</v>
      </c>
      <c r="E834" s="38">
        <v>729.47900000000004</v>
      </c>
      <c r="F834" s="32">
        <v>1150</v>
      </c>
      <c r="G834" s="32">
        <v>100</v>
      </c>
      <c r="H834" s="40">
        <v>600</v>
      </c>
      <c r="I834" s="32">
        <v>695</v>
      </c>
      <c r="J834" s="32">
        <v>50</v>
      </c>
      <c r="K834" s="33"/>
      <c r="L834" s="33"/>
      <c r="M834" s="33"/>
      <c r="N834" s="33"/>
      <c r="O834" s="33"/>
      <c r="P834" s="33"/>
      <c r="Q834" s="33"/>
      <c r="R834" s="33"/>
      <c r="S834" s="33"/>
      <c r="T834" s="33"/>
    </row>
    <row r="835" spans="1:20" ht="15.75">
      <c r="A835" s="13">
        <v>67297</v>
      </c>
      <c r="B835" s="41">
        <f t="shared" si="4"/>
        <v>31</v>
      </c>
      <c r="C835" s="32">
        <v>122.58</v>
      </c>
      <c r="D835" s="32">
        <v>297.94099999999997</v>
      </c>
      <c r="E835" s="38">
        <v>729.47900000000004</v>
      </c>
      <c r="F835" s="32">
        <v>1150</v>
      </c>
      <c r="G835" s="32">
        <v>100</v>
      </c>
      <c r="H835" s="40">
        <v>600</v>
      </c>
      <c r="I835" s="32">
        <v>695</v>
      </c>
      <c r="J835" s="32">
        <v>50</v>
      </c>
      <c r="K835" s="33"/>
      <c r="L835" s="33"/>
      <c r="M835" s="33"/>
      <c r="N835" s="33"/>
      <c r="O835" s="33"/>
      <c r="P835" s="33"/>
      <c r="Q835" s="33"/>
      <c r="R835" s="33"/>
      <c r="S835" s="33"/>
      <c r="T835" s="33"/>
    </row>
    <row r="836" spans="1:20" ht="15.75">
      <c r="A836" s="13">
        <v>67327</v>
      </c>
      <c r="B836" s="41">
        <f t="shared" si="4"/>
        <v>30</v>
      </c>
      <c r="C836" s="32">
        <v>141.29300000000001</v>
      </c>
      <c r="D836" s="32">
        <v>267.99299999999999</v>
      </c>
      <c r="E836" s="38">
        <v>829.71400000000006</v>
      </c>
      <c r="F836" s="32">
        <v>1239</v>
      </c>
      <c r="G836" s="32">
        <v>100</v>
      </c>
      <c r="H836" s="40">
        <v>600</v>
      </c>
      <c r="I836" s="32">
        <v>695</v>
      </c>
      <c r="J836" s="32">
        <v>50</v>
      </c>
      <c r="K836" s="33"/>
      <c r="L836" s="33"/>
      <c r="M836" s="33"/>
      <c r="N836" s="33"/>
      <c r="O836" s="33"/>
      <c r="P836" s="33"/>
      <c r="Q836" s="33"/>
      <c r="R836" s="33"/>
      <c r="S836" s="33"/>
      <c r="T836" s="33"/>
    </row>
    <row r="837" spans="1:20" ht="15.75">
      <c r="A837" s="13">
        <v>67358</v>
      </c>
      <c r="B837" s="41">
        <f t="shared" si="4"/>
        <v>31</v>
      </c>
      <c r="C837" s="32">
        <v>194.20500000000001</v>
      </c>
      <c r="D837" s="32">
        <v>267.46600000000001</v>
      </c>
      <c r="E837" s="38">
        <v>812.32899999999995</v>
      </c>
      <c r="F837" s="32">
        <v>1274</v>
      </c>
      <c r="G837" s="32">
        <v>75</v>
      </c>
      <c r="H837" s="40">
        <v>600</v>
      </c>
      <c r="I837" s="32">
        <v>695</v>
      </c>
      <c r="J837" s="32">
        <v>50</v>
      </c>
      <c r="K837" s="33"/>
      <c r="L837" s="33"/>
      <c r="M837" s="33"/>
      <c r="N837" s="33"/>
      <c r="O837" s="33"/>
      <c r="P837" s="33"/>
      <c r="Q837" s="33"/>
      <c r="R837" s="33"/>
      <c r="S837" s="33"/>
      <c r="T837" s="33"/>
    </row>
    <row r="838" spans="1:20" ht="15.75">
      <c r="A838" s="13">
        <v>67388</v>
      </c>
      <c r="B838" s="41">
        <f t="shared" si="4"/>
        <v>30</v>
      </c>
      <c r="C838" s="32">
        <v>194.20500000000001</v>
      </c>
      <c r="D838" s="32">
        <v>267.46600000000001</v>
      </c>
      <c r="E838" s="38">
        <v>812.32899999999995</v>
      </c>
      <c r="F838" s="32">
        <v>1274</v>
      </c>
      <c r="G838" s="32">
        <v>50</v>
      </c>
      <c r="H838" s="40">
        <v>600</v>
      </c>
      <c r="I838" s="32">
        <v>695</v>
      </c>
      <c r="J838" s="32">
        <v>50</v>
      </c>
      <c r="K838" s="33"/>
      <c r="L838" s="33"/>
      <c r="M838" s="33"/>
      <c r="N838" s="33"/>
      <c r="O838" s="33"/>
      <c r="P838" s="33"/>
      <c r="Q838" s="33"/>
      <c r="R838" s="33"/>
      <c r="S838" s="33"/>
      <c r="T838" s="33"/>
    </row>
    <row r="839" spans="1:20" ht="15.75">
      <c r="A839" s="13">
        <v>67419</v>
      </c>
      <c r="B839" s="41">
        <f t="shared" si="4"/>
        <v>31</v>
      </c>
      <c r="C839" s="32">
        <v>194.20500000000001</v>
      </c>
      <c r="D839" s="32">
        <v>267.46600000000001</v>
      </c>
      <c r="E839" s="38">
        <v>812.32899999999995</v>
      </c>
      <c r="F839" s="32">
        <v>1274</v>
      </c>
      <c r="G839" s="32">
        <v>50</v>
      </c>
      <c r="H839" s="40">
        <v>600</v>
      </c>
      <c r="I839" s="32">
        <v>695</v>
      </c>
      <c r="J839" s="32">
        <v>0</v>
      </c>
      <c r="K839" s="33"/>
      <c r="L839" s="33"/>
      <c r="M839" s="33"/>
      <c r="N839" s="33"/>
      <c r="O839" s="33"/>
      <c r="P839" s="33"/>
      <c r="Q839" s="33"/>
      <c r="R839" s="33"/>
      <c r="S839" s="33"/>
      <c r="T839" s="33"/>
    </row>
    <row r="840" spans="1:20" ht="15.75">
      <c r="A840" s="13">
        <v>67450</v>
      </c>
      <c r="B840" s="41">
        <f t="shared" si="4"/>
        <v>31</v>
      </c>
      <c r="C840" s="32">
        <v>194.20500000000001</v>
      </c>
      <c r="D840" s="32">
        <v>267.46600000000001</v>
      </c>
      <c r="E840" s="38">
        <v>812.32899999999995</v>
      </c>
      <c r="F840" s="32">
        <v>1274</v>
      </c>
      <c r="G840" s="32">
        <v>50</v>
      </c>
      <c r="H840" s="40">
        <v>600</v>
      </c>
      <c r="I840" s="32">
        <v>695</v>
      </c>
      <c r="J840" s="32">
        <v>0</v>
      </c>
      <c r="K840" s="33"/>
      <c r="L840" s="33"/>
      <c r="M840" s="33"/>
      <c r="N840" s="33"/>
      <c r="O840" s="33"/>
      <c r="P840" s="33"/>
      <c r="Q840" s="33"/>
      <c r="R840" s="33"/>
      <c r="S840" s="33"/>
      <c r="T840" s="33"/>
    </row>
    <row r="841" spans="1:20" ht="15.75">
      <c r="A841" s="13">
        <v>67480</v>
      </c>
      <c r="B841" s="41">
        <f t="shared" si="4"/>
        <v>30</v>
      </c>
      <c r="C841" s="32">
        <v>194.20500000000001</v>
      </c>
      <c r="D841" s="32">
        <v>267.46600000000001</v>
      </c>
      <c r="E841" s="38">
        <v>812.32899999999995</v>
      </c>
      <c r="F841" s="32">
        <v>1274</v>
      </c>
      <c r="G841" s="32">
        <v>50</v>
      </c>
      <c r="H841" s="40">
        <v>600</v>
      </c>
      <c r="I841" s="32">
        <v>695</v>
      </c>
      <c r="J841" s="32">
        <v>0</v>
      </c>
      <c r="K841" s="33"/>
      <c r="L841" s="33"/>
      <c r="M841" s="33"/>
      <c r="N841" s="33"/>
      <c r="O841" s="33"/>
      <c r="P841" s="33"/>
      <c r="Q841" s="33"/>
      <c r="R841" s="33"/>
      <c r="S841" s="33"/>
      <c r="T841" s="33"/>
    </row>
    <row r="842" spans="1:20" ht="15.75">
      <c r="A842" s="13">
        <v>67511</v>
      </c>
      <c r="B842" s="41">
        <f t="shared" si="4"/>
        <v>31</v>
      </c>
      <c r="C842" s="32">
        <v>131.881</v>
      </c>
      <c r="D842" s="32">
        <v>277.16699999999997</v>
      </c>
      <c r="E842" s="38">
        <v>829.952</v>
      </c>
      <c r="F842" s="32">
        <v>1239</v>
      </c>
      <c r="G842" s="32">
        <v>75</v>
      </c>
      <c r="H842" s="40">
        <v>600</v>
      </c>
      <c r="I842" s="32">
        <v>695</v>
      </c>
      <c r="J842" s="32">
        <v>0</v>
      </c>
      <c r="K842" s="33"/>
      <c r="L842" s="33"/>
      <c r="M842" s="33"/>
      <c r="N842" s="33"/>
      <c r="O842" s="33"/>
      <c r="P842" s="33"/>
      <c r="Q842" s="33"/>
      <c r="R842" s="33"/>
      <c r="S842" s="33"/>
      <c r="T842" s="33"/>
    </row>
    <row r="843" spans="1:20" ht="15.75">
      <c r="A843" s="13">
        <v>67541</v>
      </c>
      <c r="B843" s="41">
        <f t="shared" si="4"/>
        <v>30</v>
      </c>
      <c r="C843" s="32">
        <v>122.58</v>
      </c>
      <c r="D843" s="32">
        <v>297.94099999999997</v>
      </c>
      <c r="E843" s="38">
        <v>729.47900000000004</v>
      </c>
      <c r="F843" s="32">
        <v>1150</v>
      </c>
      <c r="G843" s="32">
        <v>100</v>
      </c>
      <c r="H843" s="40">
        <v>600</v>
      </c>
      <c r="I843" s="32">
        <v>695</v>
      </c>
      <c r="J843" s="32">
        <v>50</v>
      </c>
      <c r="K843" s="33"/>
      <c r="L843" s="33"/>
      <c r="M843" s="33"/>
      <c r="N843" s="33"/>
      <c r="O843" s="33"/>
      <c r="P843" s="33"/>
      <c r="Q843" s="33"/>
      <c r="R843" s="33"/>
      <c r="S843" s="33"/>
      <c r="T843" s="33"/>
    </row>
    <row r="844" spans="1:20" ht="15.75">
      <c r="A844" s="13">
        <v>67572</v>
      </c>
      <c r="B844" s="41">
        <f t="shared" si="4"/>
        <v>31</v>
      </c>
      <c r="C844" s="32">
        <v>122.58</v>
      </c>
      <c r="D844" s="32">
        <v>297.94099999999997</v>
      </c>
      <c r="E844" s="38">
        <v>729.47900000000004</v>
      </c>
      <c r="F844" s="32">
        <v>1150</v>
      </c>
      <c r="G844" s="32">
        <v>100</v>
      </c>
      <c r="H844" s="40">
        <v>600</v>
      </c>
      <c r="I844" s="32">
        <v>695</v>
      </c>
      <c r="J844" s="32">
        <v>50</v>
      </c>
      <c r="K844" s="33"/>
      <c r="L844" s="33"/>
      <c r="M844" s="33"/>
      <c r="N844" s="33"/>
      <c r="O844" s="33"/>
      <c r="P844" s="33"/>
      <c r="Q844" s="33"/>
      <c r="R844" s="33"/>
      <c r="S844" s="33"/>
      <c r="T844" s="33"/>
    </row>
    <row r="845" spans="1:20" ht="15.75">
      <c r="A845" s="13">
        <v>67603</v>
      </c>
      <c r="B845" s="41">
        <f t="shared" si="4"/>
        <v>31</v>
      </c>
      <c r="C845" s="32">
        <v>122.58</v>
      </c>
      <c r="D845" s="32">
        <v>297.94099999999997</v>
      </c>
      <c r="E845" s="38">
        <v>729.47900000000004</v>
      </c>
      <c r="F845" s="32">
        <v>1150</v>
      </c>
      <c r="G845" s="32">
        <v>100</v>
      </c>
      <c r="H845" s="40">
        <v>600</v>
      </c>
      <c r="I845" s="32">
        <v>695</v>
      </c>
      <c r="J845" s="32">
        <v>50</v>
      </c>
      <c r="K845" s="33"/>
      <c r="L845" s="33"/>
      <c r="M845" s="33"/>
      <c r="N845" s="33"/>
      <c r="O845" s="33"/>
      <c r="P845" s="33"/>
      <c r="Q845" s="33"/>
      <c r="R845" s="33"/>
      <c r="S845" s="33"/>
      <c r="T845" s="33"/>
    </row>
    <row r="846" spans="1:20" ht="15.75">
      <c r="A846" s="13">
        <v>67631</v>
      </c>
      <c r="B846" s="41">
        <f t="shared" si="4"/>
        <v>28</v>
      </c>
      <c r="C846" s="32">
        <v>122.58</v>
      </c>
      <c r="D846" s="32">
        <v>297.94099999999997</v>
      </c>
      <c r="E846" s="38">
        <v>729.47900000000004</v>
      </c>
      <c r="F846" s="32">
        <v>1150</v>
      </c>
      <c r="G846" s="32">
        <v>100</v>
      </c>
      <c r="H846" s="40">
        <v>600</v>
      </c>
      <c r="I846" s="32">
        <v>695</v>
      </c>
      <c r="J846" s="32">
        <v>50</v>
      </c>
      <c r="K846" s="33"/>
      <c r="L846" s="33"/>
      <c r="M846" s="33"/>
      <c r="N846" s="33"/>
      <c r="O846" s="33"/>
      <c r="P846" s="33"/>
      <c r="Q846" s="33"/>
      <c r="R846" s="33"/>
      <c r="S846" s="33"/>
      <c r="T846" s="33"/>
    </row>
    <row r="847" spans="1:20" ht="15.75">
      <c r="A847" s="13">
        <v>67662</v>
      </c>
      <c r="B847" s="41">
        <f t="shared" si="4"/>
        <v>31</v>
      </c>
      <c r="C847" s="32">
        <v>122.58</v>
      </c>
      <c r="D847" s="32">
        <v>297.94099999999997</v>
      </c>
      <c r="E847" s="38">
        <v>729.47900000000004</v>
      </c>
      <c r="F847" s="32">
        <v>1150</v>
      </c>
      <c r="G847" s="32">
        <v>100</v>
      </c>
      <c r="H847" s="40">
        <v>600</v>
      </c>
      <c r="I847" s="32">
        <v>695</v>
      </c>
      <c r="J847" s="32">
        <v>50</v>
      </c>
      <c r="K847" s="33"/>
      <c r="L847" s="33"/>
      <c r="M847" s="33"/>
      <c r="N847" s="33"/>
      <c r="O847" s="33"/>
      <c r="P847" s="33"/>
      <c r="Q847" s="33"/>
      <c r="R847" s="33"/>
      <c r="S847" s="33"/>
      <c r="T847" s="33"/>
    </row>
    <row r="848" spans="1:20" ht="15.75">
      <c r="A848" s="13">
        <v>67692</v>
      </c>
      <c r="B848" s="41">
        <f t="shared" si="4"/>
        <v>30</v>
      </c>
      <c r="C848" s="32">
        <v>141.29300000000001</v>
      </c>
      <c r="D848" s="32">
        <v>267.99299999999999</v>
      </c>
      <c r="E848" s="38">
        <v>829.71400000000006</v>
      </c>
      <c r="F848" s="32">
        <v>1239</v>
      </c>
      <c r="G848" s="32">
        <v>100</v>
      </c>
      <c r="H848" s="40">
        <v>600</v>
      </c>
      <c r="I848" s="32">
        <v>695</v>
      </c>
      <c r="J848" s="32">
        <v>50</v>
      </c>
      <c r="K848" s="33"/>
      <c r="L848" s="33"/>
      <c r="M848" s="33"/>
      <c r="N848" s="33"/>
      <c r="O848" s="33"/>
      <c r="P848" s="33"/>
      <c r="Q848" s="33"/>
      <c r="R848" s="33"/>
      <c r="S848" s="33"/>
      <c r="T848" s="33"/>
    </row>
    <row r="849" spans="1:20" ht="15.75">
      <c r="A849" s="13">
        <v>67723</v>
      </c>
      <c r="B849" s="41">
        <f t="shared" si="4"/>
        <v>31</v>
      </c>
      <c r="C849" s="32">
        <v>194.20500000000001</v>
      </c>
      <c r="D849" s="32">
        <v>267.46600000000001</v>
      </c>
      <c r="E849" s="38">
        <v>812.32899999999995</v>
      </c>
      <c r="F849" s="32">
        <v>1274</v>
      </c>
      <c r="G849" s="32">
        <v>75</v>
      </c>
      <c r="H849" s="40">
        <v>600</v>
      </c>
      <c r="I849" s="32">
        <v>695</v>
      </c>
      <c r="J849" s="32">
        <v>50</v>
      </c>
      <c r="K849" s="33"/>
      <c r="L849" s="33"/>
      <c r="M849" s="33"/>
      <c r="N849" s="33"/>
      <c r="O849" s="33"/>
      <c r="P849" s="33"/>
      <c r="Q849" s="33"/>
      <c r="R849" s="33"/>
      <c r="S849" s="33"/>
      <c r="T849" s="33"/>
    </row>
    <row r="850" spans="1:20" ht="15.75">
      <c r="A850" s="13">
        <v>67753</v>
      </c>
      <c r="B850" s="41">
        <f t="shared" si="4"/>
        <v>30</v>
      </c>
      <c r="C850" s="32">
        <v>194.20500000000001</v>
      </c>
      <c r="D850" s="32">
        <v>267.46600000000001</v>
      </c>
      <c r="E850" s="38">
        <v>812.32899999999995</v>
      </c>
      <c r="F850" s="32">
        <v>1274</v>
      </c>
      <c r="G850" s="32">
        <v>50</v>
      </c>
      <c r="H850" s="40">
        <v>600</v>
      </c>
      <c r="I850" s="32">
        <v>695</v>
      </c>
      <c r="J850" s="32">
        <v>50</v>
      </c>
      <c r="K850" s="33"/>
      <c r="L850" s="33"/>
      <c r="M850" s="33"/>
      <c r="N850" s="33"/>
      <c r="O850" s="33"/>
      <c r="P850" s="33"/>
      <c r="Q850" s="33"/>
      <c r="R850" s="33"/>
      <c r="S850" s="33"/>
      <c r="T850" s="33"/>
    </row>
    <row r="851" spans="1:20" ht="15.75">
      <c r="A851" s="13">
        <v>67784</v>
      </c>
      <c r="B851" s="41">
        <f t="shared" si="4"/>
        <v>31</v>
      </c>
      <c r="C851" s="32">
        <v>194.20500000000001</v>
      </c>
      <c r="D851" s="32">
        <v>267.46600000000001</v>
      </c>
      <c r="E851" s="38">
        <v>812.32899999999995</v>
      </c>
      <c r="F851" s="32">
        <v>1274</v>
      </c>
      <c r="G851" s="32">
        <v>50</v>
      </c>
      <c r="H851" s="40">
        <v>600</v>
      </c>
      <c r="I851" s="32">
        <v>695</v>
      </c>
      <c r="J851" s="32">
        <v>0</v>
      </c>
      <c r="K851" s="33"/>
      <c r="L851" s="33"/>
      <c r="M851" s="33"/>
      <c r="N851" s="33"/>
      <c r="O851" s="33"/>
      <c r="P851" s="33"/>
      <c r="Q851" s="33"/>
      <c r="R851" s="33"/>
      <c r="S851" s="33"/>
      <c r="T851" s="33"/>
    </row>
    <row r="852" spans="1:20" ht="15.75">
      <c r="A852" s="13">
        <v>67815</v>
      </c>
      <c r="B852" s="41">
        <f t="shared" si="4"/>
        <v>31</v>
      </c>
      <c r="C852" s="32">
        <v>194.20500000000001</v>
      </c>
      <c r="D852" s="32">
        <v>267.46600000000001</v>
      </c>
      <c r="E852" s="38">
        <v>812.32899999999995</v>
      </c>
      <c r="F852" s="32">
        <v>1274</v>
      </c>
      <c r="G852" s="32">
        <v>50</v>
      </c>
      <c r="H852" s="40">
        <v>600</v>
      </c>
      <c r="I852" s="32">
        <v>695</v>
      </c>
      <c r="J852" s="32">
        <v>0</v>
      </c>
      <c r="K852" s="33"/>
      <c r="L852" s="33"/>
      <c r="M852" s="33"/>
      <c r="N852" s="33"/>
      <c r="O852" s="33"/>
      <c r="P852" s="33"/>
      <c r="Q852" s="33"/>
      <c r="R852" s="33"/>
      <c r="S852" s="33"/>
      <c r="T852" s="33"/>
    </row>
    <row r="853" spans="1:20" ht="15.75">
      <c r="A853" s="13">
        <v>67845</v>
      </c>
      <c r="B853" s="41">
        <f t="shared" si="4"/>
        <v>30</v>
      </c>
      <c r="C853" s="32">
        <v>194.20500000000001</v>
      </c>
      <c r="D853" s="32">
        <v>267.46600000000001</v>
      </c>
      <c r="E853" s="38">
        <v>812.32899999999995</v>
      </c>
      <c r="F853" s="32">
        <v>1274</v>
      </c>
      <c r="G853" s="32">
        <v>50</v>
      </c>
      <c r="H853" s="40">
        <v>600</v>
      </c>
      <c r="I853" s="32">
        <v>695</v>
      </c>
      <c r="J853" s="32">
        <v>0</v>
      </c>
      <c r="K853" s="33"/>
      <c r="L853" s="33"/>
      <c r="M853" s="33"/>
      <c r="N853" s="33"/>
      <c r="O853" s="33"/>
      <c r="P853" s="33"/>
      <c r="Q853" s="33"/>
      <c r="R853" s="33"/>
      <c r="S853" s="33"/>
      <c r="T853" s="33"/>
    </row>
    <row r="854" spans="1:20" ht="15.75">
      <c r="A854" s="13">
        <v>67876</v>
      </c>
      <c r="B854" s="41">
        <f t="shared" si="4"/>
        <v>31</v>
      </c>
      <c r="C854" s="32">
        <v>131.881</v>
      </c>
      <c r="D854" s="32">
        <v>277.16699999999997</v>
      </c>
      <c r="E854" s="38">
        <v>829.952</v>
      </c>
      <c r="F854" s="32">
        <v>1239</v>
      </c>
      <c r="G854" s="32">
        <v>75</v>
      </c>
      <c r="H854" s="40">
        <v>600</v>
      </c>
      <c r="I854" s="32">
        <v>695</v>
      </c>
      <c r="J854" s="32">
        <v>0</v>
      </c>
      <c r="K854" s="33"/>
      <c r="L854" s="33"/>
      <c r="M854" s="33"/>
      <c r="N854" s="33"/>
      <c r="O854" s="33"/>
      <c r="P854" s="33"/>
      <c r="Q854" s="33"/>
      <c r="R854" s="33"/>
      <c r="S854" s="33"/>
      <c r="T854" s="33"/>
    </row>
    <row r="855" spans="1:20" ht="15.75">
      <c r="A855" s="13">
        <v>67906</v>
      </c>
      <c r="B855" s="41">
        <f t="shared" si="4"/>
        <v>30</v>
      </c>
      <c r="C855" s="32">
        <v>122.58</v>
      </c>
      <c r="D855" s="32">
        <v>297.94099999999997</v>
      </c>
      <c r="E855" s="38">
        <v>729.47900000000004</v>
      </c>
      <c r="F855" s="32">
        <v>1150</v>
      </c>
      <c r="G855" s="32">
        <v>100</v>
      </c>
      <c r="H855" s="40">
        <v>600</v>
      </c>
      <c r="I855" s="32">
        <v>695</v>
      </c>
      <c r="J855" s="32">
        <v>50</v>
      </c>
      <c r="K855" s="33"/>
      <c r="L855" s="33"/>
      <c r="M855" s="33"/>
      <c r="N855" s="33"/>
      <c r="O855" s="33"/>
      <c r="P855" s="33"/>
      <c r="Q855" s="33"/>
      <c r="R855" s="33"/>
      <c r="S855" s="33"/>
      <c r="T855" s="33"/>
    </row>
    <row r="856" spans="1:20" ht="15.75">
      <c r="A856" s="13">
        <v>67937</v>
      </c>
      <c r="B856" s="41">
        <f t="shared" si="4"/>
        <v>31</v>
      </c>
      <c r="C856" s="32">
        <v>122.58</v>
      </c>
      <c r="D856" s="32">
        <v>297.94099999999997</v>
      </c>
      <c r="E856" s="38">
        <v>729.47900000000004</v>
      </c>
      <c r="F856" s="32">
        <v>1150</v>
      </c>
      <c r="G856" s="32">
        <v>100</v>
      </c>
      <c r="H856" s="40">
        <v>600</v>
      </c>
      <c r="I856" s="32">
        <v>695</v>
      </c>
      <c r="J856" s="32">
        <v>50</v>
      </c>
      <c r="K856" s="33"/>
      <c r="L856" s="33"/>
      <c r="M856" s="33"/>
      <c r="N856" s="33"/>
      <c r="O856" s="33"/>
      <c r="P856" s="33"/>
      <c r="Q856" s="33"/>
      <c r="R856" s="33"/>
      <c r="S856" s="33"/>
      <c r="T856" s="33"/>
    </row>
    <row r="857" spans="1:20" ht="15.75">
      <c r="A857" s="13">
        <v>67968</v>
      </c>
      <c r="B857" s="41">
        <f t="shared" si="4"/>
        <v>31</v>
      </c>
      <c r="C857" s="32">
        <v>122.58</v>
      </c>
      <c r="D857" s="32">
        <v>297.94099999999997</v>
      </c>
      <c r="E857" s="38">
        <v>729.47900000000004</v>
      </c>
      <c r="F857" s="32">
        <v>1150</v>
      </c>
      <c r="G857" s="32">
        <v>100</v>
      </c>
      <c r="H857" s="40">
        <v>600</v>
      </c>
      <c r="I857" s="32">
        <v>695</v>
      </c>
      <c r="J857" s="32">
        <v>50</v>
      </c>
      <c r="K857" s="33"/>
      <c r="L857" s="33"/>
      <c r="M857" s="33"/>
      <c r="N857" s="33"/>
      <c r="O857" s="33"/>
      <c r="P857" s="33"/>
      <c r="Q857" s="33"/>
      <c r="R857" s="33"/>
      <c r="S857" s="33"/>
      <c r="T857" s="33"/>
    </row>
    <row r="858" spans="1:20" ht="15.75">
      <c r="A858" s="13">
        <v>67996</v>
      </c>
      <c r="B858" s="41">
        <f t="shared" si="4"/>
        <v>28</v>
      </c>
      <c r="C858" s="32">
        <v>122.58</v>
      </c>
      <c r="D858" s="32">
        <v>297.94099999999997</v>
      </c>
      <c r="E858" s="38">
        <v>729.47900000000004</v>
      </c>
      <c r="F858" s="32">
        <v>1150</v>
      </c>
      <c r="G858" s="32">
        <v>100</v>
      </c>
      <c r="H858" s="40">
        <v>600</v>
      </c>
      <c r="I858" s="32">
        <v>695</v>
      </c>
      <c r="J858" s="32">
        <v>50</v>
      </c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spans="1:20" ht="15.75">
      <c r="A859" s="13">
        <v>68027</v>
      </c>
      <c r="B859" s="41">
        <f t="shared" si="4"/>
        <v>31</v>
      </c>
      <c r="C859" s="32">
        <v>122.58</v>
      </c>
      <c r="D859" s="32">
        <v>297.94099999999997</v>
      </c>
      <c r="E859" s="38">
        <v>729.47900000000004</v>
      </c>
      <c r="F859" s="32">
        <v>1150</v>
      </c>
      <c r="G859" s="32">
        <v>100</v>
      </c>
      <c r="H859" s="40">
        <v>600</v>
      </c>
      <c r="I859" s="32">
        <v>695</v>
      </c>
      <c r="J859" s="32">
        <v>50</v>
      </c>
      <c r="K859" s="33"/>
      <c r="L859" s="33"/>
      <c r="M859" s="33"/>
      <c r="N859" s="33"/>
      <c r="O859" s="33"/>
      <c r="P859" s="33"/>
      <c r="Q859" s="33"/>
      <c r="R859" s="33"/>
      <c r="S859" s="33"/>
      <c r="T859" s="33"/>
    </row>
    <row r="860" spans="1:20" ht="15.75">
      <c r="A860" s="13">
        <v>68057</v>
      </c>
      <c r="B860" s="41">
        <f t="shared" si="4"/>
        <v>30</v>
      </c>
      <c r="C860" s="32">
        <v>141.29300000000001</v>
      </c>
      <c r="D860" s="32">
        <v>267.99299999999999</v>
      </c>
      <c r="E860" s="38">
        <v>829.71400000000006</v>
      </c>
      <c r="F860" s="32">
        <v>1239</v>
      </c>
      <c r="G860" s="32">
        <v>100</v>
      </c>
      <c r="H860" s="40">
        <v>600</v>
      </c>
      <c r="I860" s="32">
        <v>695</v>
      </c>
      <c r="J860" s="32">
        <v>50</v>
      </c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spans="1:20" ht="15.75">
      <c r="A861" s="13">
        <v>68088</v>
      </c>
      <c r="B861" s="41">
        <f t="shared" si="4"/>
        <v>31</v>
      </c>
      <c r="C861" s="32">
        <v>194.20500000000001</v>
      </c>
      <c r="D861" s="32">
        <v>267.46600000000001</v>
      </c>
      <c r="E861" s="38">
        <v>812.32899999999995</v>
      </c>
      <c r="F861" s="32">
        <v>1274</v>
      </c>
      <c r="G861" s="32">
        <v>75</v>
      </c>
      <c r="H861" s="40">
        <v>600</v>
      </c>
      <c r="I861" s="32">
        <v>695</v>
      </c>
      <c r="J861" s="32">
        <v>50</v>
      </c>
      <c r="K861" s="33"/>
      <c r="L861" s="33"/>
      <c r="M861" s="33"/>
      <c r="N861" s="33"/>
      <c r="O861" s="33"/>
      <c r="P861" s="33"/>
      <c r="Q861" s="33"/>
      <c r="R861" s="33"/>
      <c r="S861" s="33"/>
      <c r="T861" s="33"/>
    </row>
    <row r="862" spans="1:20" ht="15.75">
      <c r="A862" s="13">
        <v>68118</v>
      </c>
      <c r="B862" s="41">
        <f t="shared" si="4"/>
        <v>30</v>
      </c>
      <c r="C862" s="32">
        <v>194.20500000000001</v>
      </c>
      <c r="D862" s="32">
        <v>267.46600000000001</v>
      </c>
      <c r="E862" s="38">
        <v>812.32899999999995</v>
      </c>
      <c r="F862" s="32">
        <v>1274</v>
      </c>
      <c r="G862" s="32">
        <v>50</v>
      </c>
      <c r="H862" s="40">
        <v>600</v>
      </c>
      <c r="I862" s="32">
        <v>695</v>
      </c>
      <c r="J862" s="32">
        <v>50</v>
      </c>
      <c r="K862" s="33"/>
      <c r="L862" s="33"/>
      <c r="M862" s="33"/>
      <c r="N862" s="33"/>
      <c r="O862" s="33"/>
      <c r="P862" s="33"/>
      <c r="Q862" s="33"/>
      <c r="R862" s="33"/>
      <c r="S862" s="33"/>
      <c r="T862" s="33"/>
    </row>
    <row r="863" spans="1:20" ht="15.75">
      <c r="A863" s="13">
        <v>68149</v>
      </c>
      <c r="B863" s="41">
        <f t="shared" si="4"/>
        <v>31</v>
      </c>
      <c r="C863" s="32">
        <v>194.20500000000001</v>
      </c>
      <c r="D863" s="32">
        <v>267.46600000000001</v>
      </c>
      <c r="E863" s="38">
        <v>812.32899999999995</v>
      </c>
      <c r="F863" s="32">
        <v>1274</v>
      </c>
      <c r="G863" s="32">
        <v>50</v>
      </c>
      <c r="H863" s="40">
        <v>600</v>
      </c>
      <c r="I863" s="32">
        <v>695</v>
      </c>
      <c r="J863" s="32">
        <v>0</v>
      </c>
      <c r="K863" s="33"/>
      <c r="L863" s="33"/>
      <c r="M863" s="33"/>
      <c r="N863" s="33"/>
      <c r="O863" s="33"/>
      <c r="P863" s="33"/>
      <c r="Q863" s="33"/>
      <c r="R863" s="33"/>
      <c r="S863" s="33"/>
      <c r="T863" s="33"/>
    </row>
    <row r="864" spans="1:20" ht="15.75">
      <c r="A864" s="13">
        <v>68180</v>
      </c>
      <c r="B864" s="41">
        <f t="shared" si="4"/>
        <v>31</v>
      </c>
      <c r="C864" s="32">
        <v>194.20500000000001</v>
      </c>
      <c r="D864" s="32">
        <v>267.46600000000001</v>
      </c>
      <c r="E864" s="38">
        <v>812.32899999999995</v>
      </c>
      <c r="F864" s="32">
        <v>1274</v>
      </c>
      <c r="G864" s="32">
        <v>50</v>
      </c>
      <c r="H864" s="40">
        <v>600</v>
      </c>
      <c r="I864" s="32">
        <v>695</v>
      </c>
      <c r="J864" s="32">
        <v>0</v>
      </c>
      <c r="K864" s="33"/>
      <c r="L864" s="33"/>
      <c r="M864" s="33"/>
      <c r="N864" s="33"/>
      <c r="O864" s="33"/>
      <c r="P864" s="33"/>
      <c r="Q864" s="33"/>
      <c r="R864" s="33"/>
      <c r="S864" s="33"/>
      <c r="T864" s="33"/>
    </row>
    <row r="865" spans="1:20" ht="15.75">
      <c r="A865" s="13">
        <v>68210</v>
      </c>
      <c r="B865" s="41">
        <f t="shared" si="4"/>
        <v>30</v>
      </c>
      <c r="C865" s="32">
        <v>194.20500000000001</v>
      </c>
      <c r="D865" s="32">
        <v>267.46600000000001</v>
      </c>
      <c r="E865" s="38">
        <v>812.32899999999995</v>
      </c>
      <c r="F865" s="32">
        <v>1274</v>
      </c>
      <c r="G865" s="32">
        <v>50</v>
      </c>
      <c r="H865" s="40">
        <v>600</v>
      </c>
      <c r="I865" s="32">
        <v>695</v>
      </c>
      <c r="J865" s="32">
        <v>0</v>
      </c>
      <c r="K865" s="33"/>
      <c r="L865" s="33"/>
      <c r="M865" s="33"/>
      <c r="N865" s="33"/>
      <c r="O865" s="33"/>
      <c r="P865" s="33"/>
      <c r="Q865" s="33"/>
      <c r="R865" s="33"/>
      <c r="S865" s="33"/>
      <c r="T865" s="33"/>
    </row>
    <row r="866" spans="1:20" ht="15.75">
      <c r="A866" s="13">
        <v>68241</v>
      </c>
      <c r="B866" s="41">
        <f t="shared" si="4"/>
        <v>31</v>
      </c>
      <c r="C866" s="32">
        <v>131.881</v>
      </c>
      <c r="D866" s="32">
        <v>277.16699999999997</v>
      </c>
      <c r="E866" s="38">
        <v>829.952</v>
      </c>
      <c r="F866" s="32">
        <v>1239</v>
      </c>
      <c r="G866" s="32">
        <v>75</v>
      </c>
      <c r="H866" s="40">
        <v>600</v>
      </c>
      <c r="I866" s="32">
        <v>695</v>
      </c>
      <c r="J866" s="32">
        <v>0</v>
      </c>
      <c r="K866" s="33"/>
      <c r="L866" s="33"/>
      <c r="M866" s="33"/>
      <c r="N866" s="33"/>
      <c r="O866" s="33"/>
      <c r="P866" s="33"/>
      <c r="Q866" s="33"/>
      <c r="R866" s="33"/>
      <c r="S866" s="33"/>
      <c r="T866" s="33"/>
    </row>
    <row r="867" spans="1:20" ht="15.75">
      <c r="A867" s="13">
        <v>68271</v>
      </c>
      <c r="B867" s="41">
        <f t="shared" si="4"/>
        <v>30</v>
      </c>
      <c r="C867" s="32">
        <v>122.58</v>
      </c>
      <c r="D867" s="32">
        <v>297.94099999999997</v>
      </c>
      <c r="E867" s="38">
        <v>729.47900000000004</v>
      </c>
      <c r="F867" s="32">
        <v>1150</v>
      </c>
      <c r="G867" s="32">
        <v>100</v>
      </c>
      <c r="H867" s="40">
        <v>600</v>
      </c>
      <c r="I867" s="32">
        <v>695</v>
      </c>
      <c r="J867" s="32">
        <v>50</v>
      </c>
      <c r="K867" s="33"/>
      <c r="L867" s="33"/>
      <c r="M867" s="33"/>
      <c r="N867" s="33"/>
      <c r="O867" s="33"/>
      <c r="P867" s="33"/>
      <c r="Q867" s="33"/>
      <c r="R867" s="33"/>
      <c r="S867" s="33"/>
      <c r="T867" s="33"/>
    </row>
    <row r="868" spans="1:20" ht="15.75">
      <c r="A868" s="13">
        <v>68302</v>
      </c>
      <c r="B868" s="41">
        <f t="shared" si="4"/>
        <v>31</v>
      </c>
      <c r="C868" s="32">
        <v>122.58</v>
      </c>
      <c r="D868" s="32">
        <v>297.94099999999997</v>
      </c>
      <c r="E868" s="38">
        <v>729.47900000000004</v>
      </c>
      <c r="F868" s="32">
        <v>1150</v>
      </c>
      <c r="G868" s="32">
        <v>100</v>
      </c>
      <c r="H868" s="40">
        <v>600</v>
      </c>
      <c r="I868" s="32">
        <v>695</v>
      </c>
      <c r="J868" s="32">
        <v>50</v>
      </c>
      <c r="K868" s="33"/>
      <c r="L868" s="33"/>
      <c r="M868" s="33"/>
      <c r="N868" s="33"/>
      <c r="O868" s="33"/>
      <c r="P868" s="33"/>
      <c r="Q868" s="33"/>
      <c r="R868" s="33"/>
      <c r="S868" s="33"/>
      <c r="T868" s="33"/>
    </row>
    <row r="869" spans="1:20" ht="15.75">
      <c r="A869" s="13">
        <v>68333</v>
      </c>
      <c r="B869" s="41">
        <f t="shared" si="4"/>
        <v>31</v>
      </c>
      <c r="C869" s="32">
        <v>122.58</v>
      </c>
      <c r="D869" s="32">
        <v>297.94099999999997</v>
      </c>
      <c r="E869" s="38">
        <v>729.47900000000004</v>
      </c>
      <c r="F869" s="32">
        <v>1150</v>
      </c>
      <c r="G869" s="32">
        <v>100</v>
      </c>
      <c r="H869" s="40">
        <v>600</v>
      </c>
      <c r="I869" s="32">
        <v>695</v>
      </c>
      <c r="J869" s="32">
        <v>50</v>
      </c>
      <c r="K869" s="33"/>
      <c r="L869" s="33"/>
      <c r="M869" s="33"/>
      <c r="N869" s="33"/>
      <c r="O869" s="33"/>
      <c r="P869" s="33"/>
      <c r="Q869" s="33"/>
      <c r="R869" s="33"/>
      <c r="S869" s="33"/>
      <c r="T869" s="33"/>
    </row>
    <row r="870" spans="1:20" ht="15.75">
      <c r="A870" s="13">
        <v>68361</v>
      </c>
      <c r="B870" s="41">
        <f t="shared" si="4"/>
        <v>28</v>
      </c>
      <c r="C870" s="32">
        <v>122.58</v>
      </c>
      <c r="D870" s="32">
        <v>297.94099999999997</v>
      </c>
      <c r="E870" s="38">
        <v>729.47900000000004</v>
      </c>
      <c r="F870" s="32">
        <v>1150</v>
      </c>
      <c r="G870" s="32">
        <v>100</v>
      </c>
      <c r="H870" s="40">
        <v>600</v>
      </c>
      <c r="I870" s="32">
        <v>695</v>
      </c>
      <c r="J870" s="32">
        <v>50</v>
      </c>
      <c r="K870" s="33"/>
      <c r="L870" s="33"/>
      <c r="M870" s="33"/>
      <c r="N870" s="33"/>
      <c r="O870" s="33"/>
      <c r="P870" s="33"/>
      <c r="Q870" s="33"/>
      <c r="R870" s="33"/>
      <c r="S870" s="33"/>
      <c r="T870" s="33"/>
    </row>
    <row r="871" spans="1:20" ht="15.75">
      <c r="A871" s="13">
        <v>68392</v>
      </c>
      <c r="B871" s="41">
        <f t="shared" si="4"/>
        <v>31</v>
      </c>
      <c r="C871" s="32">
        <v>122.58</v>
      </c>
      <c r="D871" s="32">
        <v>297.94099999999997</v>
      </c>
      <c r="E871" s="38">
        <v>729.47900000000004</v>
      </c>
      <c r="F871" s="32">
        <v>1150</v>
      </c>
      <c r="G871" s="32">
        <v>100</v>
      </c>
      <c r="H871" s="40">
        <v>600</v>
      </c>
      <c r="I871" s="32">
        <v>695</v>
      </c>
      <c r="J871" s="32">
        <v>50</v>
      </c>
      <c r="K871" s="33"/>
      <c r="L871" s="33"/>
      <c r="M871" s="33"/>
      <c r="N871" s="33"/>
      <c r="O871" s="33"/>
      <c r="P871" s="33"/>
      <c r="Q871" s="33"/>
      <c r="R871" s="33"/>
      <c r="S871" s="33"/>
      <c r="T871" s="33"/>
    </row>
    <row r="872" spans="1:20" ht="15.75">
      <c r="A872" s="13">
        <v>68422</v>
      </c>
      <c r="B872" s="41">
        <f t="shared" si="4"/>
        <v>30</v>
      </c>
      <c r="C872" s="32">
        <v>141.29300000000001</v>
      </c>
      <c r="D872" s="32">
        <v>267.99299999999999</v>
      </c>
      <c r="E872" s="38">
        <v>829.71400000000006</v>
      </c>
      <c r="F872" s="32">
        <v>1239</v>
      </c>
      <c r="G872" s="32">
        <v>100</v>
      </c>
      <c r="H872" s="40">
        <v>600</v>
      </c>
      <c r="I872" s="32">
        <v>695</v>
      </c>
      <c r="J872" s="32">
        <v>50</v>
      </c>
      <c r="K872" s="33"/>
      <c r="L872" s="33"/>
      <c r="M872" s="33"/>
      <c r="N872" s="33"/>
      <c r="O872" s="33"/>
      <c r="P872" s="33"/>
      <c r="Q872" s="33"/>
      <c r="R872" s="33"/>
      <c r="S872" s="33"/>
      <c r="T872" s="33"/>
    </row>
    <row r="873" spans="1:20" ht="15.75">
      <c r="A873" s="13">
        <v>68453</v>
      </c>
      <c r="B873" s="41">
        <f t="shared" si="4"/>
        <v>31</v>
      </c>
      <c r="C873" s="32">
        <v>194.20500000000001</v>
      </c>
      <c r="D873" s="32">
        <v>267.46600000000001</v>
      </c>
      <c r="E873" s="38">
        <v>812.32899999999995</v>
      </c>
      <c r="F873" s="32">
        <v>1274</v>
      </c>
      <c r="G873" s="32">
        <v>75</v>
      </c>
      <c r="H873" s="40">
        <v>600</v>
      </c>
      <c r="I873" s="32">
        <v>695</v>
      </c>
      <c r="J873" s="32">
        <v>50</v>
      </c>
      <c r="K873" s="33"/>
      <c r="L873" s="33"/>
      <c r="M873" s="33"/>
      <c r="N873" s="33"/>
      <c r="O873" s="33"/>
      <c r="P873" s="33"/>
      <c r="Q873" s="33"/>
      <c r="R873" s="33"/>
      <c r="S873" s="33"/>
      <c r="T873" s="33"/>
    </row>
    <row r="874" spans="1:20" ht="15.75">
      <c r="A874" s="13">
        <v>68483</v>
      </c>
      <c r="B874" s="41">
        <f t="shared" si="4"/>
        <v>30</v>
      </c>
      <c r="C874" s="32">
        <v>194.20500000000001</v>
      </c>
      <c r="D874" s="32">
        <v>267.46600000000001</v>
      </c>
      <c r="E874" s="38">
        <v>812.32899999999995</v>
      </c>
      <c r="F874" s="32">
        <v>1274</v>
      </c>
      <c r="G874" s="32">
        <v>50</v>
      </c>
      <c r="H874" s="40">
        <v>600</v>
      </c>
      <c r="I874" s="32">
        <v>695</v>
      </c>
      <c r="J874" s="32">
        <v>50</v>
      </c>
      <c r="K874" s="33"/>
      <c r="L874" s="33"/>
      <c r="M874" s="33"/>
      <c r="N874" s="33"/>
      <c r="O874" s="33"/>
      <c r="P874" s="33"/>
      <c r="Q874" s="33"/>
      <c r="R874" s="33"/>
      <c r="S874" s="33"/>
      <c r="T874" s="33"/>
    </row>
    <row r="875" spans="1:20" ht="15.75">
      <c r="A875" s="13">
        <v>68514</v>
      </c>
      <c r="B875" s="41">
        <f t="shared" si="4"/>
        <v>31</v>
      </c>
      <c r="C875" s="32">
        <v>194.20500000000001</v>
      </c>
      <c r="D875" s="32">
        <v>267.46600000000001</v>
      </c>
      <c r="E875" s="38">
        <v>812.32899999999995</v>
      </c>
      <c r="F875" s="32">
        <v>1274</v>
      </c>
      <c r="G875" s="32">
        <v>50</v>
      </c>
      <c r="H875" s="40">
        <v>600</v>
      </c>
      <c r="I875" s="32">
        <v>695</v>
      </c>
      <c r="J875" s="32">
        <v>0</v>
      </c>
      <c r="K875" s="33"/>
      <c r="L875" s="33"/>
      <c r="M875" s="33"/>
      <c r="N875" s="33"/>
      <c r="O875" s="33"/>
      <c r="P875" s="33"/>
      <c r="Q875" s="33"/>
      <c r="R875" s="33"/>
      <c r="S875" s="33"/>
      <c r="T875" s="33"/>
    </row>
    <row r="876" spans="1:20" ht="15.75">
      <c r="A876" s="13">
        <v>68545</v>
      </c>
      <c r="B876" s="41">
        <f t="shared" si="4"/>
        <v>31</v>
      </c>
      <c r="C876" s="32">
        <v>194.20500000000001</v>
      </c>
      <c r="D876" s="32">
        <v>267.46600000000001</v>
      </c>
      <c r="E876" s="38">
        <v>812.32899999999995</v>
      </c>
      <c r="F876" s="32">
        <v>1274</v>
      </c>
      <c r="G876" s="32">
        <v>50</v>
      </c>
      <c r="H876" s="40">
        <v>600</v>
      </c>
      <c r="I876" s="32">
        <v>695</v>
      </c>
      <c r="J876" s="32">
        <v>0</v>
      </c>
      <c r="K876" s="33"/>
      <c r="L876" s="33"/>
      <c r="M876" s="33"/>
      <c r="N876" s="33"/>
      <c r="O876" s="33"/>
      <c r="P876" s="33"/>
      <c r="Q876" s="33"/>
      <c r="R876" s="33"/>
      <c r="S876" s="33"/>
      <c r="T876" s="33"/>
    </row>
    <row r="877" spans="1:20" ht="15.75">
      <c r="A877" s="13">
        <v>68575</v>
      </c>
      <c r="B877" s="41">
        <f t="shared" si="4"/>
        <v>30</v>
      </c>
      <c r="C877" s="32">
        <v>194.20500000000001</v>
      </c>
      <c r="D877" s="32">
        <v>267.46600000000001</v>
      </c>
      <c r="E877" s="38">
        <v>812.32899999999995</v>
      </c>
      <c r="F877" s="32">
        <v>1274</v>
      </c>
      <c r="G877" s="32">
        <v>50</v>
      </c>
      <c r="H877" s="40">
        <v>600</v>
      </c>
      <c r="I877" s="32">
        <v>695</v>
      </c>
      <c r="J877" s="32">
        <v>0</v>
      </c>
      <c r="K877" s="33"/>
      <c r="L877" s="33"/>
      <c r="M877" s="33"/>
      <c r="N877" s="33"/>
      <c r="O877" s="33"/>
      <c r="P877" s="33"/>
      <c r="Q877" s="33"/>
      <c r="R877" s="33"/>
      <c r="S877" s="33"/>
      <c r="T877" s="33"/>
    </row>
    <row r="878" spans="1:20" ht="15.75">
      <c r="A878" s="13">
        <v>68606</v>
      </c>
      <c r="B878" s="41">
        <f t="shared" si="4"/>
        <v>31</v>
      </c>
      <c r="C878" s="32">
        <v>131.881</v>
      </c>
      <c r="D878" s="32">
        <v>277.16699999999997</v>
      </c>
      <c r="E878" s="38">
        <v>829.952</v>
      </c>
      <c r="F878" s="32">
        <v>1239</v>
      </c>
      <c r="G878" s="32">
        <v>75</v>
      </c>
      <c r="H878" s="40">
        <v>600</v>
      </c>
      <c r="I878" s="32">
        <v>695</v>
      </c>
      <c r="J878" s="32">
        <v>0</v>
      </c>
      <c r="K878" s="33"/>
      <c r="L878" s="33"/>
      <c r="M878" s="33"/>
      <c r="N878" s="33"/>
      <c r="O878" s="33"/>
      <c r="P878" s="33"/>
      <c r="Q878" s="33"/>
      <c r="R878" s="33"/>
      <c r="S878" s="33"/>
      <c r="T878" s="33"/>
    </row>
    <row r="879" spans="1:20" ht="15.75">
      <c r="A879" s="13">
        <v>68636</v>
      </c>
      <c r="B879" s="41">
        <f t="shared" si="4"/>
        <v>30</v>
      </c>
      <c r="C879" s="32">
        <v>122.58</v>
      </c>
      <c r="D879" s="32">
        <v>297.94099999999997</v>
      </c>
      <c r="E879" s="38">
        <v>729.47900000000004</v>
      </c>
      <c r="F879" s="32">
        <v>1150</v>
      </c>
      <c r="G879" s="32">
        <v>100</v>
      </c>
      <c r="H879" s="40">
        <v>600</v>
      </c>
      <c r="I879" s="32">
        <v>695</v>
      </c>
      <c r="J879" s="32">
        <v>50</v>
      </c>
      <c r="K879" s="33"/>
      <c r="L879" s="33"/>
      <c r="M879" s="33"/>
      <c r="N879" s="33"/>
      <c r="O879" s="33"/>
      <c r="P879" s="33"/>
      <c r="Q879" s="33"/>
      <c r="R879" s="33"/>
      <c r="S879" s="33"/>
      <c r="T879" s="33"/>
    </row>
    <row r="880" spans="1:20" ht="15.75">
      <c r="A880" s="13">
        <v>68667</v>
      </c>
      <c r="B880" s="41">
        <f t="shared" si="4"/>
        <v>31</v>
      </c>
      <c r="C880" s="32">
        <v>122.58</v>
      </c>
      <c r="D880" s="32">
        <v>297.94099999999997</v>
      </c>
      <c r="E880" s="38">
        <v>729.47900000000004</v>
      </c>
      <c r="F880" s="32">
        <v>1150</v>
      </c>
      <c r="G880" s="32">
        <v>100</v>
      </c>
      <c r="H880" s="40">
        <v>600</v>
      </c>
      <c r="I880" s="32">
        <v>695</v>
      </c>
      <c r="J880" s="32">
        <v>50</v>
      </c>
      <c r="K880" s="33"/>
      <c r="L880" s="33"/>
      <c r="M880" s="33"/>
      <c r="N880" s="33"/>
      <c r="O880" s="33"/>
      <c r="P880" s="33"/>
      <c r="Q880" s="33"/>
      <c r="R880" s="33"/>
      <c r="S880" s="33"/>
      <c r="T880" s="33"/>
    </row>
    <row r="881" spans="1:20" ht="15.75">
      <c r="A881" s="13">
        <v>68698</v>
      </c>
      <c r="B881" s="41">
        <f t="shared" si="4"/>
        <v>31</v>
      </c>
      <c r="C881" s="32">
        <v>122.58</v>
      </c>
      <c r="D881" s="32">
        <v>297.94099999999997</v>
      </c>
      <c r="E881" s="38">
        <v>729.47900000000004</v>
      </c>
      <c r="F881" s="32">
        <v>1150</v>
      </c>
      <c r="G881" s="32">
        <v>100</v>
      </c>
      <c r="H881" s="40">
        <v>600</v>
      </c>
      <c r="I881" s="32">
        <v>695</v>
      </c>
      <c r="J881" s="32">
        <v>50</v>
      </c>
      <c r="K881" s="33"/>
      <c r="L881" s="33"/>
      <c r="M881" s="33"/>
      <c r="N881" s="33"/>
      <c r="O881" s="33"/>
      <c r="P881" s="33"/>
      <c r="Q881" s="33"/>
      <c r="R881" s="33"/>
      <c r="S881" s="33"/>
      <c r="T881" s="33"/>
    </row>
    <row r="882" spans="1:20" ht="15.75">
      <c r="A882" s="13">
        <v>68727</v>
      </c>
      <c r="B882" s="41">
        <f t="shared" si="4"/>
        <v>29</v>
      </c>
      <c r="C882" s="32">
        <v>122.58</v>
      </c>
      <c r="D882" s="32">
        <v>297.94099999999997</v>
      </c>
      <c r="E882" s="38">
        <v>729.47900000000004</v>
      </c>
      <c r="F882" s="32">
        <v>1150</v>
      </c>
      <c r="G882" s="32">
        <v>100</v>
      </c>
      <c r="H882" s="40">
        <v>600</v>
      </c>
      <c r="I882" s="32">
        <v>695</v>
      </c>
      <c r="J882" s="32">
        <v>50</v>
      </c>
      <c r="K882" s="33"/>
      <c r="L882" s="33"/>
      <c r="M882" s="33"/>
      <c r="N882" s="33"/>
      <c r="O882" s="33"/>
      <c r="P882" s="33"/>
      <c r="Q882" s="33"/>
      <c r="R882" s="33"/>
      <c r="S882" s="33"/>
      <c r="T882" s="33"/>
    </row>
    <row r="883" spans="1:20" ht="15.75">
      <c r="A883" s="13">
        <v>68758</v>
      </c>
      <c r="B883" s="41">
        <f t="shared" si="4"/>
        <v>31</v>
      </c>
      <c r="C883" s="32">
        <v>122.58</v>
      </c>
      <c r="D883" s="32">
        <v>297.94099999999997</v>
      </c>
      <c r="E883" s="38">
        <v>729.47900000000004</v>
      </c>
      <c r="F883" s="32">
        <v>1150</v>
      </c>
      <c r="G883" s="32">
        <v>100</v>
      </c>
      <c r="H883" s="40">
        <v>600</v>
      </c>
      <c r="I883" s="32">
        <v>695</v>
      </c>
      <c r="J883" s="32">
        <v>50</v>
      </c>
      <c r="K883" s="33"/>
      <c r="L883" s="33"/>
      <c r="M883" s="33"/>
      <c r="N883" s="33"/>
      <c r="O883" s="33"/>
      <c r="P883" s="33"/>
      <c r="Q883" s="33"/>
      <c r="R883" s="33"/>
      <c r="S883" s="33"/>
      <c r="T883" s="33"/>
    </row>
    <row r="884" spans="1:20" ht="15.75">
      <c r="A884" s="13">
        <v>68788</v>
      </c>
      <c r="B884" s="41">
        <f t="shared" si="4"/>
        <v>30</v>
      </c>
      <c r="C884" s="32">
        <v>141.29300000000001</v>
      </c>
      <c r="D884" s="32">
        <v>267.99299999999999</v>
      </c>
      <c r="E884" s="38">
        <v>829.71400000000006</v>
      </c>
      <c r="F884" s="32">
        <v>1239</v>
      </c>
      <c r="G884" s="32">
        <v>100</v>
      </c>
      <c r="H884" s="40">
        <v>600</v>
      </c>
      <c r="I884" s="32">
        <v>695</v>
      </c>
      <c r="J884" s="32">
        <v>50</v>
      </c>
      <c r="K884" s="33"/>
      <c r="L884" s="33"/>
      <c r="M884" s="33"/>
      <c r="N884" s="33"/>
      <c r="O884" s="33"/>
      <c r="P884" s="33"/>
      <c r="Q884" s="33"/>
      <c r="R884" s="33"/>
      <c r="S884" s="33"/>
      <c r="T884" s="33"/>
    </row>
    <row r="885" spans="1:20" ht="15.75">
      <c r="A885" s="13">
        <v>68819</v>
      </c>
      <c r="B885" s="41">
        <f t="shared" si="4"/>
        <v>31</v>
      </c>
      <c r="C885" s="32">
        <v>194.20500000000001</v>
      </c>
      <c r="D885" s="32">
        <v>267.46600000000001</v>
      </c>
      <c r="E885" s="38">
        <v>812.32899999999995</v>
      </c>
      <c r="F885" s="32">
        <v>1274</v>
      </c>
      <c r="G885" s="32">
        <v>75</v>
      </c>
      <c r="H885" s="40">
        <v>600</v>
      </c>
      <c r="I885" s="32">
        <v>695</v>
      </c>
      <c r="J885" s="32">
        <v>50</v>
      </c>
      <c r="K885" s="33"/>
      <c r="L885" s="33"/>
      <c r="M885" s="33"/>
      <c r="N885" s="33"/>
      <c r="O885" s="33"/>
      <c r="P885" s="33"/>
      <c r="Q885" s="33"/>
      <c r="R885" s="33"/>
      <c r="S885" s="33"/>
      <c r="T885" s="33"/>
    </row>
    <row r="886" spans="1:20" ht="15.75">
      <c r="A886" s="13">
        <v>68849</v>
      </c>
      <c r="B886" s="41">
        <f t="shared" si="4"/>
        <v>30</v>
      </c>
      <c r="C886" s="32">
        <v>194.20500000000001</v>
      </c>
      <c r="D886" s="32">
        <v>267.46600000000001</v>
      </c>
      <c r="E886" s="38">
        <v>812.32899999999995</v>
      </c>
      <c r="F886" s="32">
        <v>1274</v>
      </c>
      <c r="G886" s="32">
        <v>50</v>
      </c>
      <c r="H886" s="40">
        <v>600</v>
      </c>
      <c r="I886" s="32">
        <v>695</v>
      </c>
      <c r="J886" s="32">
        <v>50</v>
      </c>
      <c r="K886" s="33"/>
      <c r="L886" s="33"/>
      <c r="M886" s="33"/>
      <c r="N886" s="33"/>
      <c r="O886" s="33"/>
      <c r="P886" s="33"/>
      <c r="Q886" s="33"/>
      <c r="R886" s="33"/>
      <c r="S886" s="33"/>
      <c r="T886" s="33"/>
    </row>
    <row r="887" spans="1:20" ht="15.75">
      <c r="A887" s="13">
        <v>68880</v>
      </c>
      <c r="B887" s="41">
        <f t="shared" si="4"/>
        <v>31</v>
      </c>
      <c r="C887" s="32">
        <v>194.20500000000001</v>
      </c>
      <c r="D887" s="32">
        <v>267.46600000000001</v>
      </c>
      <c r="E887" s="38">
        <v>812.32899999999995</v>
      </c>
      <c r="F887" s="32">
        <v>1274</v>
      </c>
      <c r="G887" s="32">
        <v>50</v>
      </c>
      <c r="H887" s="40">
        <v>600</v>
      </c>
      <c r="I887" s="32">
        <v>695</v>
      </c>
      <c r="J887" s="32">
        <v>0</v>
      </c>
      <c r="K887" s="33"/>
      <c r="L887" s="33"/>
      <c r="M887" s="33"/>
      <c r="N887" s="33"/>
      <c r="O887" s="33"/>
      <c r="P887" s="33"/>
      <c r="Q887" s="33"/>
      <c r="R887" s="33"/>
      <c r="S887" s="33"/>
      <c r="T887" s="33"/>
    </row>
    <row r="888" spans="1:20" ht="15.75">
      <c r="A888" s="13">
        <v>68911</v>
      </c>
      <c r="B888" s="41">
        <f t="shared" si="4"/>
        <v>31</v>
      </c>
      <c r="C888" s="32">
        <v>194.20500000000001</v>
      </c>
      <c r="D888" s="32">
        <v>267.46600000000001</v>
      </c>
      <c r="E888" s="38">
        <v>812.32899999999995</v>
      </c>
      <c r="F888" s="32">
        <v>1274</v>
      </c>
      <c r="G888" s="32">
        <v>50</v>
      </c>
      <c r="H888" s="40">
        <v>600</v>
      </c>
      <c r="I888" s="32">
        <v>695</v>
      </c>
      <c r="J888" s="32">
        <v>0</v>
      </c>
      <c r="K888" s="33"/>
      <c r="L888" s="33"/>
      <c r="M888" s="33"/>
      <c r="N888" s="33"/>
      <c r="O888" s="33"/>
      <c r="P888" s="33"/>
      <c r="Q888" s="33"/>
      <c r="R888" s="33"/>
      <c r="S888" s="33"/>
      <c r="T888" s="33"/>
    </row>
    <row r="889" spans="1:20" ht="15.75">
      <c r="A889" s="13">
        <v>68941</v>
      </c>
      <c r="B889" s="41">
        <f t="shared" ref="B889:B952" si="5">EOMONTH(A889,0)-EOMONTH(A889,-1)</f>
        <v>30</v>
      </c>
      <c r="C889" s="32">
        <v>194.20500000000001</v>
      </c>
      <c r="D889" s="32">
        <v>267.46600000000001</v>
      </c>
      <c r="E889" s="38">
        <v>812.32899999999995</v>
      </c>
      <c r="F889" s="32">
        <v>1274</v>
      </c>
      <c r="G889" s="32">
        <v>50</v>
      </c>
      <c r="H889" s="40">
        <v>600</v>
      </c>
      <c r="I889" s="32">
        <v>695</v>
      </c>
      <c r="J889" s="32">
        <v>0</v>
      </c>
      <c r="K889" s="33"/>
      <c r="L889" s="33"/>
      <c r="M889" s="33"/>
      <c r="N889" s="33"/>
      <c r="O889" s="33"/>
      <c r="P889" s="33"/>
      <c r="Q889" s="33"/>
      <c r="R889" s="33"/>
      <c r="S889" s="33"/>
      <c r="T889" s="33"/>
    </row>
    <row r="890" spans="1:20" ht="15.75">
      <c r="A890" s="13">
        <v>68972</v>
      </c>
      <c r="B890" s="41">
        <f t="shared" si="5"/>
        <v>31</v>
      </c>
      <c r="C890" s="32">
        <v>131.881</v>
      </c>
      <c r="D890" s="32">
        <v>277.16699999999997</v>
      </c>
      <c r="E890" s="38">
        <v>829.952</v>
      </c>
      <c r="F890" s="32">
        <v>1239</v>
      </c>
      <c r="G890" s="32">
        <v>75</v>
      </c>
      <c r="H890" s="40">
        <v>600</v>
      </c>
      <c r="I890" s="32">
        <v>695</v>
      </c>
      <c r="J890" s="32">
        <v>0</v>
      </c>
      <c r="K890" s="33"/>
      <c r="L890" s="33"/>
      <c r="M890" s="33"/>
      <c r="N890" s="33"/>
      <c r="O890" s="33"/>
      <c r="P890" s="33"/>
      <c r="Q890" s="33"/>
      <c r="R890" s="33"/>
      <c r="S890" s="33"/>
      <c r="T890" s="33"/>
    </row>
    <row r="891" spans="1:20" ht="15.75">
      <c r="A891" s="13">
        <v>69002</v>
      </c>
      <c r="B891" s="41">
        <f t="shared" si="5"/>
        <v>30</v>
      </c>
      <c r="C891" s="32">
        <v>122.58</v>
      </c>
      <c r="D891" s="32">
        <v>297.94099999999997</v>
      </c>
      <c r="E891" s="38">
        <v>729.47900000000004</v>
      </c>
      <c r="F891" s="32">
        <v>1150</v>
      </c>
      <c r="G891" s="32">
        <v>100</v>
      </c>
      <c r="H891" s="40">
        <v>600</v>
      </c>
      <c r="I891" s="32">
        <v>695</v>
      </c>
      <c r="J891" s="32">
        <v>50</v>
      </c>
      <c r="K891" s="33"/>
      <c r="L891" s="33"/>
      <c r="M891" s="33"/>
      <c r="N891" s="33"/>
      <c r="O891" s="33"/>
      <c r="P891" s="33"/>
      <c r="Q891" s="33"/>
      <c r="R891" s="33"/>
      <c r="S891" s="33"/>
      <c r="T891" s="33"/>
    </row>
    <row r="892" spans="1:20" ht="15.75">
      <c r="A892" s="13">
        <v>69033</v>
      </c>
      <c r="B892" s="41">
        <f t="shared" si="5"/>
        <v>31</v>
      </c>
      <c r="C892" s="32">
        <v>122.58</v>
      </c>
      <c r="D892" s="32">
        <v>297.94099999999997</v>
      </c>
      <c r="E892" s="38">
        <v>729.47900000000004</v>
      </c>
      <c r="F892" s="32">
        <v>1150</v>
      </c>
      <c r="G892" s="32">
        <v>100</v>
      </c>
      <c r="H892" s="40">
        <v>600</v>
      </c>
      <c r="I892" s="32">
        <v>695</v>
      </c>
      <c r="J892" s="32">
        <v>50</v>
      </c>
      <c r="K892" s="33"/>
      <c r="L892" s="33"/>
      <c r="M892" s="33"/>
      <c r="N892" s="33"/>
      <c r="O892" s="33"/>
      <c r="P892" s="33"/>
      <c r="Q892" s="33"/>
      <c r="R892" s="33"/>
      <c r="S892" s="33"/>
      <c r="T892" s="33"/>
    </row>
    <row r="893" spans="1:20" ht="15.75">
      <c r="A893" s="13">
        <v>69064</v>
      </c>
      <c r="B893" s="41">
        <f t="shared" si="5"/>
        <v>31</v>
      </c>
      <c r="C893" s="32">
        <v>122.58</v>
      </c>
      <c r="D893" s="32">
        <v>297.94099999999997</v>
      </c>
      <c r="E893" s="38">
        <v>729.47900000000004</v>
      </c>
      <c r="F893" s="32">
        <v>1150</v>
      </c>
      <c r="G893" s="32">
        <v>100</v>
      </c>
      <c r="H893" s="40">
        <v>600</v>
      </c>
      <c r="I893" s="32">
        <v>695</v>
      </c>
      <c r="J893" s="32">
        <v>50</v>
      </c>
      <c r="K893" s="33"/>
      <c r="L893" s="33"/>
      <c r="M893" s="33"/>
      <c r="N893" s="33"/>
      <c r="O893" s="33"/>
      <c r="P893" s="33"/>
      <c r="Q893" s="33"/>
      <c r="R893" s="33"/>
      <c r="S893" s="33"/>
      <c r="T893" s="33"/>
    </row>
    <row r="894" spans="1:20" ht="15.75">
      <c r="A894" s="13">
        <v>69092</v>
      </c>
      <c r="B894" s="41">
        <f t="shared" si="5"/>
        <v>28</v>
      </c>
      <c r="C894" s="32">
        <v>122.58</v>
      </c>
      <c r="D894" s="32">
        <v>297.94099999999997</v>
      </c>
      <c r="E894" s="38">
        <v>729.47900000000004</v>
      </c>
      <c r="F894" s="32">
        <v>1150</v>
      </c>
      <c r="G894" s="32">
        <v>100</v>
      </c>
      <c r="H894" s="40">
        <v>600</v>
      </c>
      <c r="I894" s="32">
        <v>695</v>
      </c>
      <c r="J894" s="32">
        <v>50</v>
      </c>
      <c r="K894" s="33"/>
      <c r="L894" s="33"/>
      <c r="M894" s="33"/>
      <c r="N894" s="33"/>
      <c r="O894" s="33"/>
      <c r="P894" s="33"/>
      <c r="Q894" s="33"/>
      <c r="R894" s="33"/>
      <c r="S894" s="33"/>
      <c r="T894" s="33"/>
    </row>
    <row r="895" spans="1:20" ht="15.75">
      <c r="A895" s="13">
        <v>69123</v>
      </c>
      <c r="B895" s="41">
        <f t="shared" si="5"/>
        <v>31</v>
      </c>
      <c r="C895" s="32">
        <v>122.58</v>
      </c>
      <c r="D895" s="32">
        <v>297.94099999999997</v>
      </c>
      <c r="E895" s="38">
        <v>729.47900000000004</v>
      </c>
      <c r="F895" s="32">
        <v>1150</v>
      </c>
      <c r="G895" s="32">
        <v>100</v>
      </c>
      <c r="H895" s="40">
        <v>600</v>
      </c>
      <c r="I895" s="32">
        <v>695</v>
      </c>
      <c r="J895" s="32">
        <v>50</v>
      </c>
      <c r="K895" s="33"/>
      <c r="L895" s="33"/>
      <c r="M895" s="33"/>
      <c r="N895" s="33"/>
      <c r="O895" s="33"/>
      <c r="P895" s="33"/>
      <c r="Q895" s="33"/>
      <c r="R895" s="33"/>
      <c r="S895" s="33"/>
      <c r="T895" s="33"/>
    </row>
    <row r="896" spans="1:20" ht="15.75">
      <c r="A896" s="13">
        <v>69153</v>
      </c>
      <c r="B896" s="41">
        <f t="shared" si="5"/>
        <v>30</v>
      </c>
      <c r="C896" s="32">
        <v>141.29300000000001</v>
      </c>
      <c r="D896" s="32">
        <v>267.99299999999999</v>
      </c>
      <c r="E896" s="38">
        <v>829.71400000000006</v>
      </c>
      <c r="F896" s="32">
        <v>1239</v>
      </c>
      <c r="G896" s="32">
        <v>100</v>
      </c>
      <c r="H896" s="40">
        <v>600</v>
      </c>
      <c r="I896" s="32">
        <v>695</v>
      </c>
      <c r="J896" s="32">
        <v>50</v>
      </c>
      <c r="K896" s="33"/>
      <c r="L896" s="33"/>
      <c r="M896" s="33"/>
      <c r="N896" s="33"/>
      <c r="O896" s="33"/>
      <c r="P896" s="33"/>
      <c r="Q896" s="33"/>
      <c r="R896" s="33"/>
      <c r="S896" s="33"/>
      <c r="T896" s="33"/>
    </row>
    <row r="897" spans="1:20" ht="15.75">
      <c r="A897" s="13">
        <v>69184</v>
      </c>
      <c r="B897" s="41">
        <f t="shared" si="5"/>
        <v>31</v>
      </c>
      <c r="C897" s="32">
        <v>194.20500000000001</v>
      </c>
      <c r="D897" s="32">
        <v>267.46600000000001</v>
      </c>
      <c r="E897" s="38">
        <v>812.32899999999995</v>
      </c>
      <c r="F897" s="32">
        <v>1274</v>
      </c>
      <c r="G897" s="32">
        <v>75</v>
      </c>
      <c r="H897" s="40">
        <v>600</v>
      </c>
      <c r="I897" s="32">
        <v>695</v>
      </c>
      <c r="J897" s="32">
        <v>50</v>
      </c>
      <c r="K897" s="33"/>
      <c r="L897" s="33"/>
      <c r="M897" s="33"/>
      <c r="N897" s="33"/>
      <c r="O897" s="33"/>
      <c r="P897" s="33"/>
      <c r="Q897" s="33"/>
      <c r="R897" s="33"/>
      <c r="S897" s="33"/>
      <c r="T897" s="33"/>
    </row>
    <row r="898" spans="1:20" ht="15.75">
      <c r="A898" s="13">
        <v>69214</v>
      </c>
      <c r="B898" s="41">
        <f t="shared" si="5"/>
        <v>30</v>
      </c>
      <c r="C898" s="32">
        <v>194.20500000000001</v>
      </c>
      <c r="D898" s="32">
        <v>267.46600000000001</v>
      </c>
      <c r="E898" s="38">
        <v>812.32899999999995</v>
      </c>
      <c r="F898" s="32">
        <v>1274</v>
      </c>
      <c r="G898" s="32">
        <v>50</v>
      </c>
      <c r="H898" s="40">
        <v>600</v>
      </c>
      <c r="I898" s="32">
        <v>695</v>
      </c>
      <c r="J898" s="32">
        <v>50</v>
      </c>
      <c r="K898" s="33"/>
      <c r="L898" s="33"/>
      <c r="M898" s="33"/>
      <c r="N898" s="33"/>
      <c r="O898" s="33"/>
      <c r="P898" s="33"/>
      <c r="Q898" s="33"/>
      <c r="R898" s="33"/>
      <c r="S898" s="33"/>
      <c r="T898" s="33"/>
    </row>
    <row r="899" spans="1:20" ht="15.75">
      <c r="A899" s="13">
        <v>69245</v>
      </c>
      <c r="B899" s="41">
        <f t="shared" si="5"/>
        <v>31</v>
      </c>
      <c r="C899" s="32">
        <v>194.20500000000001</v>
      </c>
      <c r="D899" s="32">
        <v>267.46600000000001</v>
      </c>
      <c r="E899" s="38">
        <v>812.32899999999995</v>
      </c>
      <c r="F899" s="32">
        <v>1274</v>
      </c>
      <c r="G899" s="32">
        <v>50</v>
      </c>
      <c r="H899" s="40">
        <v>600</v>
      </c>
      <c r="I899" s="32">
        <v>695</v>
      </c>
      <c r="J899" s="32">
        <v>0</v>
      </c>
      <c r="K899" s="33"/>
      <c r="L899" s="33"/>
      <c r="M899" s="33"/>
      <c r="N899" s="33"/>
      <c r="O899" s="33"/>
      <c r="P899" s="33"/>
      <c r="Q899" s="33"/>
      <c r="R899" s="33"/>
      <c r="S899" s="33"/>
      <c r="T899" s="33"/>
    </row>
    <row r="900" spans="1:20" ht="15.75">
      <c r="A900" s="13">
        <v>69276</v>
      </c>
      <c r="B900" s="41">
        <f t="shared" si="5"/>
        <v>31</v>
      </c>
      <c r="C900" s="32">
        <v>194.20500000000001</v>
      </c>
      <c r="D900" s="32">
        <v>267.46600000000001</v>
      </c>
      <c r="E900" s="38">
        <v>812.32899999999995</v>
      </c>
      <c r="F900" s="32">
        <v>1274</v>
      </c>
      <c r="G900" s="32">
        <v>50</v>
      </c>
      <c r="H900" s="40">
        <v>600</v>
      </c>
      <c r="I900" s="32">
        <v>695</v>
      </c>
      <c r="J900" s="32">
        <v>0</v>
      </c>
      <c r="K900" s="33"/>
      <c r="L900" s="33"/>
      <c r="M900" s="33"/>
      <c r="N900" s="33"/>
      <c r="O900" s="33"/>
      <c r="P900" s="33"/>
      <c r="Q900" s="33"/>
      <c r="R900" s="33"/>
      <c r="S900" s="33"/>
      <c r="T900" s="33"/>
    </row>
    <row r="901" spans="1:20" ht="15.75">
      <c r="A901" s="13">
        <v>69306</v>
      </c>
      <c r="B901" s="41">
        <f t="shared" si="5"/>
        <v>30</v>
      </c>
      <c r="C901" s="32">
        <v>194.20500000000001</v>
      </c>
      <c r="D901" s="32">
        <v>267.46600000000001</v>
      </c>
      <c r="E901" s="38">
        <v>812.32899999999995</v>
      </c>
      <c r="F901" s="32">
        <v>1274</v>
      </c>
      <c r="G901" s="32">
        <v>50</v>
      </c>
      <c r="H901" s="40">
        <v>600</v>
      </c>
      <c r="I901" s="32">
        <v>695</v>
      </c>
      <c r="J901" s="32">
        <v>0</v>
      </c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spans="1:20" ht="15.75">
      <c r="A902" s="13">
        <v>69337</v>
      </c>
      <c r="B902" s="41">
        <f t="shared" si="5"/>
        <v>31</v>
      </c>
      <c r="C902" s="32">
        <v>131.881</v>
      </c>
      <c r="D902" s="32">
        <v>277.16699999999997</v>
      </c>
      <c r="E902" s="38">
        <v>829.952</v>
      </c>
      <c r="F902" s="32">
        <v>1239</v>
      </c>
      <c r="G902" s="32">
        <v>75</v>
      </c>
      <c r="H902" s="40">
        <v>600</v>
      </c>
      <c r="I902" s="32">
        <v>695</v>
      </c>
      <c r="J902" s="32">
        <v>0</v>
      </c>
      <c r="K902" s="33"/>
      <c r="L902" s="33"/>
      <c r="M902" s="33"/>
      <c r="N902" s="33"/>
      <c r="O902" s="33"/>
      <c r="P902" s="33"/>
      <c r="Q902" s="33"/>
      <c r="R902" s="33"/>
      <c r="S902" s="33"/>
      <c r="T902" s="33"/>
    </row>
    <row r="903" spans="1:20" ht="15.75">
      <c r="A903" s="13">
        <v>69367</v>
      </c>
      <c r="B903" s="41">
        <f t="shared" si="5"/>
        <v>30</v>
      </c>
      <c r="C903" s="32">
        <v>122.58</v>
      </c>
      <c r="D903" s="32">
        <v>297.94099999999997</v>
      </c>
      <c r="E903" s="38">
        <v>729.47900000000004</v>
      </c>
      <c r="F903" s="32">
        <v>1150</v>
      </c>
      <c r="G903" s="32">
        <v>100</v>
      </c>
      <c r="H903" s="40">
        <v>600</v>
      </c>
      <c r="I903" s="32">
        <v>695</v>
      </c>
      <c r="J903" s="32">
        <v>50</v>
      </c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spans="1:20" ht="15.75">
      <c r="A904" s="13">
        <v>69398</v>
      </c>
      <c r="B904" s="41">
        <f t="shared" si="5"/>
        <v>31</v>
      </c>
      <c r="C904" s="32">
        <v>122.58</v>
      </c>
      <c r="D904" s="32">
        <v>297.94099999999997</v>
      </c>
      <c r="E904" s="38">
        <v>729.47900000000004</v>
      </c>
      <c r="F904" s="32">
        <v>1150</v>
      </c>
      <c r="G904" s="32">
        <v>100</v>
      </c>
      <c r="H904" s="40">
        <v>600</v>
      </c>
      <c r="I904" s="32">
        <v>695</v>
      </c>
      <c r="J904" s="32">
        <v>50</v>
      </c>
      <c r="K904" s="33"/>
      <c r="L904" s="33"/>
      <c r="M904" s="33"/>
      <c r="N904" s="33"/>
      <c r="O904" s="33"/>
      <c r="P904" s="33"/>
      <c r="Q904" s="33"/>
      <c r="R904" s="33"/>
      <c r="S904" s="33"/>
      <c r="T904" s="33"/>
    </row>
    <row r="905" spans="1:20" ht="15.75">
      <c r="A905" s="13">
        <v>69429</v>
      </c>
      <c r="B905" s="41">
        <f t="shared" si="5"/>
        <v>31</v>
      </c>
      <c r="C905" s="32">
        <v>122.58</v>
      </c>
      <c r="D905" s="32">
        <v>297.94099999999997</v>
      </c>
      <c r="E905" s="38">
        <v>729.47900000000004</v>
      </c>
      <c r="F905" s="32">
        <v>1150</v>
      </c>
      <c r="G905" s="32">
        <v>100</v>
      </c>
      <c r="H905" s="40">
        <v>600</v>
      </c>
      <c r="I905" s="32">
        <v>695</v>
      </c>
      <c r="J905" s="32">
        <v>50</v>
      </c>
      <c r="K905" s="33"/>
      <c r="L905" s="33"/>
      <c r="M905" s="33"/>
      <c r="N905" s="33"/>
      <c r="O905" s="33"/>
      <c r="P905" s="33"/>
      <c r="Q905" s="33"/>
      <c r="R905" s="33"/>
      <c r="S905" s="33"/>
      <c r="T905" s="33"/>
    </row>
    <row r="906" spans="1:20" ht="15.75">
      <c r="A906" s="13">
        <v>69457</v>
      </c>
      <c r="B906" s="41">
        <f t="shared" si="5"/>
        <v>28</v>
      </c>
      <c r="C906" s="32">
        <v>122.58</v>
      </c>
      <c r="D906" s="32">
        <v>297.94099999999997</v>
      </c>
      <c r="E906" s="38">
        <v>729.47900000000004</v>
      </c>
      <c r="F906" s="32">
        <v>1150</v>
      </c>
      <c r="G906" s="32">
        <v>100</v>
      </c>
      <c r="H906" s="40">
        <v>600</v>
      </c>
      <c r="I906" s="32">
        <v>695</v>
      </c>
      <c r="J906" s="32">
        <v>50</v>
      </c>
      <c r="K906" s="33"/>
      <c r="L906" s="33"/>
      <c r="M906" s="33"/>
      <c r="N906" s="33"/>
      <c r="O906" s="33"/>
      <c r="P906" s="33"/>
      <c r="Q906" s="33"/>
      <c r="R906" s="33"/>
      <c r="S906" s="33"/>
      <c r="T906" s="33"/>
    </row>
    <row r="907" spans="1:20" ht="15.75">
      <c r="A907" s="13">
        <v>69488</v>
      </c>
      <c r="B907" s="41">
        <f t="shared" si="5"/>
        <v>31</v>
      </c>
      <c r="C907" s="32">
        <v>122.58</v>
      </c>
      <c r="D907" s="32">
        <v>297.94099999999997</v>
      </c>
      <c r="E907" s="38">
        <v>729.47900000000004</v>
      </c>
      <c r="F907" s="32">
        <v>1150</v>
      </c>
      <c r="G907" s="32">
        <v>100</v>
      </c>
      <c r="H907" s="40">
        <v>600</v>
      </c>
      <c r="I907" s="32">
        <v>695</v>
      </c>
      <c r="J907" s="32">
        <v>50</v>
      </c>
      <c r="K907" s="33"/>
      <c r="L907" s="33"/>
      <c r="M907" s="33"/>
      <c r="N907" s="33"/>
      <c r="O907" s="33"/>
      <c r="P907" s="33"/>
      <c r="Q907" s="33"/>
      <c r="R907" s="33"/>
      <c r="S907" s="33"/>
      <c r="T907" s="33"/>
    </row>
    <row r="908" spans="1:20" ht="15.75">
      <c r="A908" s="13">
        <v>69518</v>
      </c>
      <c r="B908" s="41">
        <f t="shared" si="5"/>
        <v>30</v>
      </c>
      <c r="C908" s="32">
        <v>141.29300000000001</v>
      </c>
      <c r="D908" s="32">
        <v>267.99299999999999</v>
      </c>
      <c r="E908" s="38">
        <v>829.71400000000006</v>
      </c>
      <c r="F908" s="32">
        <v>1239</v>
      </c>
      <c r="G908" s="32">
        <v>100</v>
      </c>
      <c r="H908" s="40">
        <v>600</v>
      </c>
      <c r="I908" s="32">
        <v>695</v>
      </c>
      <c r="J908" s="32">
        <v>50</v>
      </c>
      <c r="K908" s="33"/>
      <c r="L908" s="33"/>
      <c r="M908" s="33"/>
      <c r="N908" s="33"/>
      <c r="O908" s="33"/>
      <c r="P908" s="33"/>
      <c r="Q908" s="33"/>
      <c r="R908" s="33"/>
      <c r="S908" s="33"/>
      <c r="T908" s="33"/>
    </row>
    <row r="909" spans="1:20" ht="15.75">
      <c r="A909" s="13">
        <v>69549</v>
      </c>
      <c r="B909" s="41">
        <f t="shared" si="5"/>
        <v>31</v>
      </c>
      <c r="C909" s="32">
        <v>194.20500000000001</v>
      </c>
      <c r="D909" s="32">
        <v>267.46600000000001</v>
      </c>
      <c r="E909" s="38">
        <v>812.32899999999995</v>
      </c>
      <c r="F909" s="32">
        <v>1274</v>
      </c>
      <c r="G909" s="32">
        <v>75</v>
      </c>
      <c r="H909" s="40">
        <v>600</v>
      </c>
      <c r="I909" s="32">
        <v>695</v>
      </c>
      <c r="J909" s="32">
        <v>50</v>
      </c>
      <c r="K909" s="33"/>
      <c r="L909" s="33"/>
      <c r="M909" s="33"/>
      <c r="N909" s="33"/>
      <c r="O909" s="33"/>
      <c r="P909" s="33"/>
      <c r="Q909" s="33"/>
      <c r="R909" s="33"/>
      <c r="S909" s="33"/>
      <c r="T909" s="33"/>
    </row>
    <row r="910" spans="1:20" ht="15.75">
      <c r="A910" s="13">
        <v>69579</v>
      </c>
      <c r="B910" s="41">
        <f t="shared" si="5"/>
        <v>30</v>
      </c>
      <c r="C910" s="32">
        <v>194.20500000000001</v>
      </c>
      <c r="D910" s="32">
        <v>267.46600000000001</v>
      </c>
      <c r="E910" s="38">
        <v>812.32899999999995</v>
      </c>
      <c r="F910" s="32">
        <v>1274</v>
      </c>
      <c r="G910" s="32">
        <v>50</v>
      </c>
      <c r="H910" s="40">
        <v>600</v>
      </c>
      <c r="I910" s="32">
        <v>695</v>
      </c>
      <c r="J910" s="32">
        <v>50</v>
      </c>
      <c r="K910" s="33"/>
      <c r="L910" s="33"/>
      <c r="M910" s="33"/>
      <c r="N910" s="33"/>
      <c r="O910" s="33"/>
      <c r="P910" s="33"/>
      <c r="Q910" s="33"/>
      <c r="R910" s="33"/>
      <c r="S910" s="33"/>
      <c r="T910" s="33"/>
    </row>
    <row r="911" spans="1:20" ht="15.75">
      <c r="A911" s="13">
        <v>69610</v>
      </c>
      <c r="B911" s="41">
        <f t="shared" si="5"/>
        <v>31</v>
      </c>
      <c r="C911" s="32">
        <v>194.20500000000001</v>
      </c>
      <c r="D911" s="32">
        <v>267.46600000000001</v>
      </c>
      <c r="E911" s="38">
        <v>812.32899999999995</v>
      </c>
      <c r="F911" s="32">
        <v>1274</v>
      </c>
      <c r="G911" s="32">
        <v>50</v>
      </c>
      <c r="H911" s="40">
        <v>600</v>
      </c>
      <c r="I911" s="32">
        <v>695</v>
      </c>
      <c r="J911" s="32">
        <v>0</v>
      </c>
      <c r="K911" s="33"/>
      <c r="L911" s="33"/>
      <c r="M911" s="33"/>
      <c r="N911" s="33"/>
      <c r="O911" s="33"/>
      <c r="P911" s="33"/>
      <c r="Q911" s="33"/>
      <c r="R911" s="33"/>
      <c r="S911" s="33"/>
      <c r="T911" s="33"/>
    </row>
    <row r="912" spans="1:20" ht="15.75">
      <c r="A912" s="13">
        <v>69641</v>
      </c>
      <c r="B912" s="41">
        <f t="shared" si="5"/>
        <v>31</v>
      </c>
      <c r="C912" s="32">
        <v>194.20500000000001</v>
      </c>
      <c r="D912" s="32">
        <v>267.46600000000001</v>
      </c>
      <c r="E912" s="38">
        <v>812.32899999999995</v>
      </c>
      <c r="F912" s="32">
        <v>1274</v>
      </c>
      <c r="G912" s="32">
        <v>50</v>
      </c>
      <c r="H912" s="40">
        <v>600</v>
      </c>
      <c r="I912" s="32">
        <v>695</v>
      </c>
      <c r="J912" s="32">
        <v>0</v>
      </c>
      <c r="K912" s="33"/>
      <c r="L912" s="33"/>
      <c r="M912" s="33"/>
      <c r="N912" s="33"/>
      <c r="O912" s="33"/>
      <c r="P912" s="33"/>
      <c r="Q912" s="33"/>
      <c r="R912" s="33"/>
      <c r="S912" s="33"/>
      <c r="T912" s="33"/>
    </row>
    <row r="913" spans="1:20" ht="15.75">
      <c r="A913" s="13">
        <v>69671</v>
      </c>
      <c r="B913" s="41">
        <f t="shared" si="5"/>
        <v>30</v>
      </c>
      <c r="C913" s="32">
        <v>194.20500000000001</v>
      </c>
      <c r="D913" s="32">
        <v>267.46600000000001</v>
      </c>
      <c r="E913" s="38">
        <v>812.32899999999995</v>
      </c>
      <c r="F913" s="32">
        <v>1274</v>
      </c>
      <c r="G913" s="32">
        <v>50</v>
      </c>
      <c r="H913" s="40">
        <v>600</v>
      </c>
      <c r="I913" s="32">
        <v>695</v>
      </c>
      <c r="J913" s="32">
        <v>0</v>
      </c>
      <c r="K913" s="33"/>
      <c r="L913" s="33"/>
      <c r="M913" s="33"/>
      <c r="N913" s="33"/>
      <c r="O913" s="33"/>
      <c r="P913" s="33"/>
      <c r="Q913" s="33"/>
      <c r="R913" s="33"/>
      <c r="S913" s="33"/>
      <c r="T913" s="33"/>
    </row>
    <row r="914" spans="1:20" ht="15.75">
      <c r="A914" s="13">
        <v>69702</v>
      </c>
      <c r="B914" s="41">
        <f t="shared" si="5"/>
        <v>31</v>
      </c>
      <c r="C914" s="32">
        <v>131.881</v>
      </c>
      <c r="D914" s="32">
        <v>277.16699999999997</v>
      </c>
      <c r="E914" s="38">
        <v>829.952</v>
      </c>
      <c r="F914" s="32">
        <v>1239</v>
      </c>
      <c r="G914" s="32">
        <v>75</v>
      </c>
      <c r="H914" s="40">
        <v>600</v>
      </c>
      <c r="I914" s="32">
        <v>695</v>
      </c>
      <c r="J914" s="32">
        <v>0</v>
      </c>
      <c r="K914" s="33"/>
      <c r="L914" s="33"/>
      <c r="M914" s="33"/>
      <c r="N914" s="33"/>
      <c r="O914" s="33"/>
      <c r="P914" s="33"/>
      <c r="Q914" s="33"/>
      <c r="R914" s="33"/>
      <c r="S914" s="33"/>
      <c r="T914" s="33"/>
    </row>
    <row r="915" spans="1:20" ht="15.75">
      <c r="A915" s="13">
        <v>69732</v>
      </c>
      <c r="B915" s="41">
        <f t="shared" si="5"/>
        <v>30</v>
      </c>
      <c r="C915" s="32">
        <v>122.58</v>
      </c>
      <c r="D915" s="32">
        <v>297.94099999999997</v>
      </c>
      <c r="E915" s="38">
        <v>729.47900000000004</v>
      </c>
      <c r="F915" s="32">
        <v>1150</v>
      </c>
      <c r="G915" s="32">
        <v>100</v>
      </c>
      <c r="H915" s="40">
        <v>600</v>
      </c>
      <c r="I915" s="32">
        <v>695</v>
      </c>
      <c r="J915" s="32">
        <v>50</v>
      </c>
      <c r="K915" s="33"/>
      <c r="L915" s="33"/>
      <c r="M915" s="33"/>
      <c r="N915" s="33"/>
      <c r="O915" s="33"/>
      <c r="P915" s="33"/>
      <c r="Q915" s="33"/>
      <c r="R915" s="33"/>
      <c r="S915" s="33"/>
      <c r="T915" s="33"/>
    </row>
    <row r="916" spans="1:20" ht="15.75">
      <c r="A916" s="13">
        <v>69763</v>
      </c>
      <c r="B916" s="41">
        <f t="shared" si="5"/>
        <v>31</v>
      </c>
      <c r="C916" s="32">
        <v>122.58</v>
      </c>
      <c r="D916" s="32">
        <v>297.94099999999997</v>
      </c>
      <c r="E916" s="38">
        <v>729.47900000000004</v>
      </c>
      <c r="F916" s="32">
        <v>1150</v>
      </c>
      <c r="G916" s="32">
        <v>100</v>
      </c>
      <c r="H916" s="40">
        <v>600</v>
      </c>
      <c r="I916" s="32">
        <v>695</v>
      </c>
      <c r="J916" s="32">
        <v>50</v>
      </c>
      <c r="K916" s="33"/>
      <c r="L916" s="33"/>
      <c r="M916" s="33"/>
      <c r="N916" s="33"/>
      <c r="O916" s="33"/>
      <c r="P916" s="33"/>
      <c r="Q916" s="33"/>
      <c r="R916" s="33"/>
      <c r="S916" s="33"/>
      <c r="T916" s="33"/>
    </row>
    <row r="917" spans="1:20" ht="15.75">
      <c r="A917" s="13">
        <v>69794</v>
      </c>
      <c r="B917" s="41">
        <f t="shared" si="5"/>
        <v>31</v>
      </c>
      <c r="C917" s="32">
        <v>122.58</v>
      </c>
      <c r="D917" s="32">
        <v>297.94099999999997</v>
      </c>
      <c r="E917" s="38">
        <v>729.47900000000004</v>
      </c>
      <c r="F917" s="32">
        <v>1150</v>
      </c>
      <c r="G917" s="32">
        <v>100</v>
      </c>
      <c r="H917" s="40">
        <v>600</v>
      </c>
      <c r="I917" s="32">
        <v>695</v>
      </c>
      <c r="J917" s="32">
        <v>50</v>
      </c>
      <c r="K917" s="33"/>
      <c r="L917" s="33"/>
      <c r="M917" s="33"/>
      <c r="N917" s="33"/>
      <c r="O917" s="33"/>
      <c r="P917" s="33"/>
      <c r="Q917" s="33"/>
      <c r="R917" s="33"/>
      <c r="S917" s="33"/>
      <c r="T917" s="33"/>
    </row>
    <row r="918" spans="1:20" ht="15.75">
      <c r="A918" s="13">
        <v>69822</v>
      </c>
      <c r="B918" s="41">
        <f t="shared" si="5"/>
        <v>28</v>
      </c>
      <c r="C918" s="32">
        <v>122.58</v>
      </c>
      <c r="D918" s="32">
        <v>297.94099999999997</v>
      </c>
      <c r="E918" s="38">
        <v>729.47900000000004</v>
      </c>
      <c r="F918" s="32">
        <v>1150</v>
      </c>
      <c r="G918" s="32">
        <v>100</v>
      </c>
      <c r="H918" s="40">
        <v>600</v>
      </c>
      <c r="I918" s="32">
        <v>695</v>
      </c>
      <c r="J918" s="32">
        <v>50</v>
      </c>
      <c r="K918" s="33"/>
      <c r="L918" s="33"/>
      <c r="M918" s="33"/>
      <c r="N918" s="33"/>
      <c r="O918" s="33"/>
      <c r="P918" s="33"/>
      <c r="Q918" s="33"/>
      <c r="R918" s="33"/>
      <c r="S918" s="33"/>
      <c r="T918" s="33"/>
    </row>
    <row r="919" spans="1:20" ht="15.75">
      <c r="A919" s="13">
        <v>69853</v>
      </c>
      <c r="B919" s="41">
        <f t="shared" si="5"/>
        <v>31</v>
      </c>
      <c r="C919" s="32">
        <v>122.58</v>
      </c>
      <c r="D919" s="32">
        <v>297.94099999999997</v>
      </c>
      <c r="E919" s="38">
        <v>729.47900000000004</v>
      </c>
      <c r="F919" s="32">
        <v>1150</v>
      </c>
      <c r="G919" s="32">
        <v>100</v>
      </c>
      <c r="H919" s="40">
        <v>600</v>
      </c>
      <c r="I919" s="32">
        <v>695</v>
      </c>
      <c r="J919" s="32">
        <v>50</v>
      </c>
      <c r="K919" s="33"/>
      <c r="L919" s="33"/>
      <c r="M919" s="33"/>
      <c r="N919" s="33"/>
      <c r="O919" s="33"/>
      <c r="P919" s="33"/>
      <c r="Q919" s="33"/>
      <c r="R919" s="33"/>
      <c r="S919" s="33"/>
      <c r="T919" s="33"/>
    </row>
    <row r="920" spans="1:20" ht="15.75">
      <c r="A920" s="13">
        <v>69883</v>
      </c>
      <c r="B920" s="41">
        <f t="shared" si="5"/>
        <v>30</v>
      </c>
      <c r="C920" s="32">
        <v>141.29300000000001</v>
      </c>
      <c r="D920" s="32">
        <v>267.99299999999999</v>
      </c>
      <c r="E920" s="38">
        <v>829.71400000000006</v>
      </c>
      <c r="F920" s="32">
        <v>1239</v>
      </c>
      <c r="G920" s="32">
        <v>100</v>
      </c>
      <c r="H920" s="40">
        <v>600</v>
      </c>
      <c r="I920" s="32">
        <v>695</v>
      </c>
      <c r="J920" s="32">
        <v>50</v>
      </c>
      <c r="K920" s="33"/>
      <c r="L920" s="33"/>
      <c r="M920" s="33"/>
      <c r="N920" s="33"/>
      <c r="O920" s="33"/>
      <c r="P920" s="33"/>
      <c r="Q920" s="33"/>
      <c r="R920" s="33"/>
      <c r="S920" s="33"/>
      <c r="T920" s="33"/>
    </row>
    <row r="921" spans="1:20" ht="15.75">
      <c r="A921" s="13">
        <v>69914</v>
      </c>
      <c r="B921" s="41">
        <f t="shared" si="5"/>
        <v>31</v>
      </c>
      <c r="C921" s="32">
        <v>194.20500000000001</v>
      </c>
      <c r="D921" s="32">
        <v>267.46600000000001</v>
      </c>
      <c r="E921" s="38">
        <v>812.32899999999995</v>
      </c>
      <c r="F921" s="32">
        <v>1274</v>
      </c>
      <c r="G921" s="32">
        <v>75</v>
      </c>
      <c r="H921" s="40">
        <v>600</v>
      </c>
      <c r="I921" s="32">
        <v>695</v>
      </c>
      <c r="J921" s="32">
        <v>50</v>
      </c>
      <c r="K921" s="33"/>
      <c r="L921" s="33"/>
      <c r="M921" s="33"/>
      <c r="N921" s="33"/>
      <c r="O921" s="33"/>
      <c r="P921" s="33"/>
      <c r="Q921" s="33"/>
      <c r="R921" s="33"/>
      <c r="S921" s="33"/>
      <c r="T921" s="33"/>
    </row>
    <row r="922" spans="1:20" ht="15.75">
      <c r="A922" s="13">
        <v>69944</v>
      </c>
      <c r="B922" s="41">
        <f t="shared" si="5"/>
        <v>30</v>
      </c>
      <c r="C922" s="32">
        <v>194.20500000000001</v>
      </c>
      <c r="D922" s="32">
        <v>267.46600000000001</v>
      </c>
      <c r="E922" s="38">
        <v>812.32899999999995</v>
      </c>
      <c r="F922" s="32">
        <v>1274</v>
      </c>
      <c r="G922" s="32">
        <v>50</v>
      </c>
      <c r="H922" s="40">
        <v>600</v>
      </c>
      <c r="I922" s="32">
        <v>695</v>
      </c>
      <c r="J922" s="32">
        <v>50</v>
      </c>
      <c r="K922" s="33"/>
      <c r="L922" s="33"/>
      <c r="M922" s="33"/>
      <c r="N922" s="33"/>
      <c r="O922" s="33"/>
      <c r="P922" s="33"/>
      <c r="Q922" s="33"/>
      <c r="R922" s="33"/>
      <c r="S922" s="33"/>
      <c r="T922" s="33"/>
    </row>
    <row r="923" spans="1:20" ht="15.75">
      <c r="A923" s="13">
        <v>69975</v>
      </c>
      <c r="B923" s="41">
        <f t="shared" si="5"/>
        <v>31</v>
      </c>
      <c r="C923" s="32">
        <v>194.20500000000001</v>
      </c>
      <c r="D923" s="32">
        <v>267.46600000000001</v>
      </c>
      <c r="E923" s="38">
        <v>812.32899999999995</v>
      </c>
      <c r="F923" s="32">
        <v>1274</v>
      </c>
      <c r="G923" s="32">
        <v>50</v>
      </c>
      <c r="H923" s="40">
        <v>600</v>
      </c>
      <c r="I923" s="32">
        <v>695</v>
      </c>
      <c r="J923" s="32">
        <v>0</v>
      </c>
      <c r="K923" s="33"/>
      <c r="L923" s="33"/>
      <c r="M923" s="33"/>
      <c r="N923" s="33"/>
      <c r="O923" s="33"/>
      <c r="P923" s="33"/>
      <c r="Q923" s="33"/>
      <c r="R923" s="33"/>
      <c r="S923" s="33"/>
      <c r="T923" s="33"/>
    </row>
    <row r="924" spans="1:20" ht="15.75">
      <c r="A924" s="13">
        <v>70006</v>
      </c>
      <c r="B924" s="41">
        <f t="shared" si="5"/>
        <v>31</v>
      </c>
      <c r="C924" s="32">
        <v>194.20500000000001</v>
      </c>
      <c r="D924" s="32">
        <v>267.46600000000001</v>
      </c>
      <c r="E924" s="38">
        <v>812.32899999999995</v>
      </c>
      <c r="F924" s="32">
        <v>1274</v>
      </c>
      <c r="G924" s="32">
        <v>50</v>
      </c>
      <c r="H924" s="40">
        <v>600</v>
      </c>
      <c r="I924" s="32">
        <v>695</v>
      </c>
      <c r="J924" s="32">
        <v>0</v>
      </c>
      <c r="K924" s="33"/>
      <c r="L924" s="33"/>
      <c r="M924" s="33"/>
      <c r="N924" s="33"/>
      <c r="O924" s="33"/>
      <c r="P924" s="33"/>
      <c r="Q924" s="33"/>
      <c r="R924" s="33"/>
      <c r="S924" s="33"/>
      <c r="T924" s="33"/>
    </row>
    <row r="925" spans="1:20" ht="15.75">
      <c r="A925" s="13">
        <v>70036</v>
      </c>
      <c r="B925" s="41">
        <f t="shared" si="5"/>
        <v>30</v>
      </c>
      <c r="C925" s="32">
        <v>194.20500000000001</v>
      </c>
      <c r="D925" s="32">
        <v>267.46600000000001</v>
      </c>
      <c r="E925" s="38">
        <v>812.32899999999995</v>
      </c>
      <c r="F925" s="32">
        <v>1274</v>
      </c>
      <c r="G925" s="32">
        <v>50</v>
      </c>
      <c r="H925" s="40">
        <v>600</v>
      </c>
      <c r="I925" s="32">
        <v>695</v>
      </c>
      <c r="J925" s="32">
        <v>0</v>
      </c>
      <c r="K925" s="33"/>
      <c r="L925" s="33"/>
      <c r="M925" s="33"/>
      <c r="N925" s="33"/>
      <c r="O925" s="33"/>
      <c r="P925" s="33"/>
      <c r="Q925" s="33"/>
      <c r="R925" s="33"/>
      <c r="S925" s="33"/>
      <c r="T925" s="33"/>
    </row>
    <row r="926" spans="1:20" ht="15.75">
      <c r="A926" s="13">
        <v>70067</v>
      </c>
      <c r="B926" s="41">
        <f t="shared" si="5"/>
        <v>31</v>
      </c>
      <c r="C926" s="32">
        <v>131.881</v>
      </c>
      <c r="D926" s="32">
        <v>277.16699999999997</v>
      </c>
      <c r="E926" s="38">
        <v>829.952</v>
      </c>
      <c r="F926" s="32">
        <v>1239</v>
      </c>
      <c r="G926" s="32">
        <v>75</v>
      </c>
      <c r="H926" s="40">
        <v>600</v>
      </c>
      <c r="I926" s="32">
        <v>695</v>
      </c>
      <c r="J926" s="32">
        <v>0</v>
      </c>
      <c r="K926" s="33"/>
      <c r="L926" s="33"/>
      <c r="M926" s="33"/>
      <c r="N926" s="33"/>
      <c r="O926" s="33"/>
      <c r="P926" s="33"/>
      <c r="Q926" s="33"/>
      <c r="R926" s="33"/>
      <c r="S926" s="33"/>
      <c r="T926" s="33"/>
    </row>
    <row r="927" spans="1:20" ht="15.75">
      <c r="A927" s="13">
        <v>70097</v>
      </c>
      <c r="B927" s="41">
        <f t="shared" si="5"/>
        <v>30</v>
      </c>
      <c r="C927" s="32">
        <v>122.58</v>
      </c>
      <c r="D927" s="32">
        <v>297.94099999999997</v>
      </c>
      <c r="E927" s="38">
        <v>729.47900000000004</v>
      </c>
      <c r="F927" s="32">
        <v>1150</v>
      </c>
      <c r="G927" s="32">
        <v>100</v>
      </c>
      <c r="H927" s="40">
        <v>600</v>
      </c>
      <c r="I927" s="32">
        <v>695</v>
      </c>
      <c r="J927" s="32">
        <v>50</v>
      </c>
      <c r="K927" s="33"/>
      <c r="L927" s="33"/>
      <c r="M927" s="33"/>
      <c r="N927" s="33"/>
      <c r="O927" s="33"/>
      <c r="P927" s="33"/>
      <c r="Q927" s="33"/>
      <c r="R927" s="33"/>
      <c r="S927" s="33"/>
      <c r="T927" s="33"/>
    </row>
    <row r="928" spans="1:20" ht="15.75">
      <c r="A928" s="13">
        <v>70128</v>
      </c>
      <c r="B928" s="41">
        <f t="shared" si="5"/>
        <v>31</v>
      </c>
      <c r="C928" s="32">
        <v>122.58</v>
      </c>
      <c r="D928" s="32">
        <v>297.94099999999997</v>
      </c>
      <c r="E928" s="38">
        <v>729.47900000000004</v>
      </c>
      <c r="F928" s="32">
        <v>1150</v>
      </c>
      <c r="G928" s="32">
        <v>100</v>
      </c>
      <c r="H928" s="40">
        <v>600</v>
      </c>
      <c r="I928" s="32">
        <v>695</v>
      </c>
      <c r="J928" s="32">
        <v>50</v>
      </c>
      <c r="K928" s="33"/>
      <c r="L928" s="33"/>
      <c r="M928" s="33"/>
      <c r="N928" s="33"/>
      <c r="O928" s="33"/>
      <c r="P928" s="33"/>
      <c r="Q928" s="33"/>
      <c r="R928" s="33"/>
      <c r="S928" s="33"/>
      <c r="T928" s="33"/>
    </row>
    <row r="929" spans="1:20" ht="15.75">
      <c r="A929" s="13">
        <v>70159</v>
      </c>
      <c r="B929" s="41">
        <f t="shared" si="5"/>
        <v>31</v>
      </c>
      <c r="C929" s="32">
        <v>122.58</v>
      </c>
      <c r="D929" s="32">
        <v>297.94099999999997</v>
      </c>
      <c r="E929" s="38">
        <v>729.47900000000004</v>
      </c>
      <c r="F929" s="32">
        <v>1150</v>
      </c>
      <c r="G929" s="32">
        <v>100</v>
      </c>
      <c r="H929" s="40">
        <v>600</v>
      </c>
      <c r="I929" s="32">
        <v>695</v>
      </c>
      <c r="J929" s="32">
        <v>50</v>
      </c>
      <c r="K929" s="33"/>
      <c r="L929" s="33"/>
      <c r="M929" s="33"/>
      <c r="N929" s="33"/>
      <c r="O929" s="33"/>
      <c r="P929" s="33"/>
      <c r="Q929" s="33"/>
      <c r="R929" s="33"/>
      <c r="S929" s="33"/>
      <c r="T929" s="33"/>
    </row>
    <row r="930" spans="1:20" ht="15.75">
      <c r="A930" s="13">
        <v>70188</v>
      </c>
      <c r="B930" s="41">
        <f t="shared" si="5"/>
        <v>29</v>
      </c>
      <c r="C930" s="32">
        <v>122.58</v>
      </c>
      <c r="D930" s="32">
        <v>297.94099999999997</v>
      </c>
      <c r="E930" s="38">
        <v>729.47900000000004</v>
      </c>
      <c r="F930" s="32">
        <v>1150</v>
      </c>
      <c r="G930" s="32">
        <v>100</v>
      </c>
      <c r="H930" s="40">
        <v>600</v>
      </c>
      <c r="I930" s="32">
        <v>695</v>
      </c>
      <c r="J930" s="32">
        <v>50</v>
      </c>
      <c r="K930" s="33"/>
      <c r="L930" s="33"/>
      <c r="M930" s="33"/>
      <c r="N930" s="33"/>
      <c r="O930" s="33"/>
      <c r="P930" s="33"/>
      <c r="Q930" s="33"/>
      <c r="R930" s="33"/>
      <c r="S930" s="33"/>
      <c r="T930" s="33"/>
    </row>
    <row r="931" spans="1:20" ht="15.75">
      <c r="A931" s="13">
        <v>70219</v>
      </c>
      <c r="B931" s="41">
        <f t="shared" si="5"/>
        <v>31</v>
      </c>
      <c r="C931" s="32">
        <v>122.58</v>
      </c>
      <c r="D931" s="32">
        <v>297.94099999999997</v>
      </c>
      <c r="E931" s="38">
        <v>729.47900000000004</v>
      </c>
      <c r="F931" s="32">
        <v>1150</v>
      </c>
      <c r="G931" s="32">
        <v>100</v>
      </c>
      <c r="H931" s="40">
        <v>600</v>
      </c>
      <c r="I931" s="32">
        <v>695</v>
      </c>
      <c r="J931" s="32">
        <v>50</v>
      </c>
      <c r="K931" s="33"/>
      <c r="L931" s="33"/>
      <c r="M931" s="33"/>
      <c r="N931" s="33"/>
      <c r="O931" s="33"/>
      <c r="P931" s="33"/>
      <c r="Q931" s="33"/>
      <c r="R931" s="33"/>
      <c r="S931" s="33"/>
      <c r="T931" s="33"/>
    </row>
    <row r="932" spans="1:20" ht="15.75">
      <c r="A932" s="13">
        <v>70249</v>
      </c>
      <c r="B932" s="41">
        <f t="shared" si="5"/>
        <v>30</v>
      </c>
      <c r="C932" s="32">
        <v>141.29300000000001</v>
      </c>
      <c r="D932" s="32">
        <v>267.99299999999999</v>
      </c>
      <c r="E932" s="38">
        <v>829.71400000000006</v>
      </c>
      <c r="F932" s="32">
        <v>1239</v>
      </c>
      <c r="G932" s="32">
        <v>100</v>
      </c>
      <c r="H932" s="40">
        <v>600</v>
      </c>
      <c r="I932" s="32">
        <v>695</v>
      </c>
      <c r="J932" s="32">
        <v>50</v>
      </c>
      <c r="K932" s="33"/>
      <c r="L932" s="33"/>
      <c r="M932" s="33"/>
      <c r="N932" s="33"/>
      <c r="O932" s="33"/>
      <c r="P932" s="33"/>
      <c r="Q932" s="33"/>
      <c r="R932" s="33"/>
      <c r="S932" s="33"/>
      <c r="T932" s="33"/>
    </row>
    <row r="933" spans="1:20" ht="15.75">
      <c r="A933" s="13">
        <v>70280</v>
      </c>
      <c r="B933" s="41">
        <f t="shared" si="5"/>
        <v>31</v>
      </c>
      <c r="C933" s="32">
        <v>194.20500000000001</v>
      </c>
      <c r="D933" s="32">
        <v>267.46600000000001</v>
      </c>
      <c r="E933" s="38">
        <v>812.32899999999995</v>
      </c>
      <c r="F933" s="32">
        <v>1274</v>
      </c>
      <c r="G933" s="32">
        <v>75</v>
      </c>
      <c r="H933" s="40">
        <v>600</v>
      </c>
      <c r="I933" s="32">
        <v>695</v>
      </c>
      <c r="J933" s="32">
        <v>50</v>
      </c>
      <c r="K933" s="33"/>
      <c r="L933" s="33"/>
      <c r="M933" s="33"/>
      <c r="N933" s="33"/>
      <c r="O933" s="33"/>
      <c r="P933" s="33"/>
      <c r="Q933" s="33"/>
      <c r="R933" s="33"/>
      <c r="S933" s="33"/>
      <c r="T933" s="33"/>
    </row>
    <row r="934" spans="1:20" ht="15.75">
      <c r="A934" s="13">
        <v>70310</v>
      </c>
      <c r="B934" s="41">
        <f t="shared" si="5"/>
        <v>30</v>
      </c>
      <c r="C934" s="32">
        <v>194.20500000000001</v>
      </c>
      <c r="D934" s="32">
        <v>267.46600000000001</v>
      </c>
      <c r="E934" s="38">
        <v>812.32899999999995</v>
      </c>
      <c r="F934" s="32">
        <v>1274</v>
      </c>
      <c r="G934" s="32">
        <v>50</v>
      </c>
      <c r="H934" s="40">
        <v>600</v>
      </c>
      <c r="I934" s="32">
        <v>695</v>
      </c>
      <c r="J934" s="32">
        <v>50</v>
      </c>
      <c r="K934" s="33"/>
      <c r="L934" s="33"/>
      <c r="M934" s="33"/>
      <c r="N934" s="33"/>
      <c r="O934" s="33"/>
      <c r="P934" s="33"/>
      <c r="Q934" s="33"/>
      <c r="R934" s="33"/>
      <c r="S934" s="33"/>
      <c r="T934" s="33"/>
    </row>
    <row r="935" spans="1:20" ht="15.75">
      <c r="A935" s="13">
        <v>70341</v>
      </c>
      <c r="B935" s="41">
        <f t="shared" si="5"/>
        <v>31</v>
      </c>
      <c r="C935" s="32">
        <v>194.20500000000001</v>
      </c>
      <c r="D935" s="32">
        <v>267.46600000000001</v>
      </c>
      <c r="E935" s="38">
        <v>812.32899999999995</v>
      </c>
      <c r="F935" s="32">
        <v>1274</v>
      </c>
      <c r="G935" s="32">
        <v>50</v>
      </c>
      <c r="H935" s="40">
        <v>600</v>
      </c>
      <c r="I935" s="32">
        <v>695</v>
      </c>
      <c r="J935" s="32">
        <v>0</v>
      </c>
      <c r="K935" s="33"/>
      <c r="L935" s="33"/>
      <c r="M935" s="33"/>
      <c r="N935" s="33"/>
      <c r="O935" s="33"/>
      <c r="P935" s="33"/>
      <c r="Q935" s="33"/>
      <c r="R935" s="33"/>
      <c r="S935" s="33"/>
      <c r="T935" s="33"/>
    </row>
    <row r="936" spans="1:20" ht="15.75">
      <c r="A936" s="13">
        <v>70372</v>
      </c>
      <c r="B936" s="41">
        <f t="shared" si="5"/>
        <v>31</v>
      </c>
      <c r="C936" s="32">
        <v>194.20500000000001</v>
      </c>
      <c r="D936" s="32">
        <v>267.46600000000001</v>
      </c>
      <c r="E936" s="38">
        <v>812.32899999999995</v>
      </c>
      <c r="F936" s="32">
        <v>1274</v>
      </c>
      <c r="G936" s="32">
        <v>50</v>
      </c>
      <c r="H936" s="40">
        <v>600</v>
      </c>
      <c r="I936" s="32">
        <v>695</v>
      </c>
      <c r="J936" s="32">
        <v>0</v>
      </c>
      <c r="K936" s="33"/>
      <c r="L936" s="33"/>
      <c r="M936" s="33"/>
      <c r="N936" s="33"/>
      <c r="O936" s="33"/>
      <c r="P936" s="33"/>
      <c r="Q936" s="33"/>
      <c r="R936" s="33"/>
      <c r="S936" s="33"/>
      <c r="T936" s="33"/>
    </row>
    <row r="937" spans="1:20" ht="15.75">
      <c r="A937" s="13">
        <v>70402</v>
      </c>
      <c r="B937" s="41">
        <f t="shared" si="5"/>
        <v>30</v>
      </c>
      <c r="C937" s="32">
        <v>194.20500000000001</v>
      </c>
      <c r="D937" s="32">
        <v>267.46600000000001</v>
      </c>
      <c r="E937" s="38">
        <v>812.32899999999995</v>
      </c>
      <c r="F937" s="32">
        <v>1274</v>
      </c>
      <c r="G937" s="32">
        <v>50</v>
      </c>
      <c r="H937" s="40">
        <v>600</v>
      </c>
      <c r="I937" s="32">
        <v>695</v>
      </c>
      <c r="J937" s="32">
        <v>0</v>
      </c>
      <c r="K937" s="33"/>
      <c r="L937" s="33"/>
      <c r="M937" s="33"/>
      <c r="N937" s="33"/>
      <c r="O937" s="33"/>
      <c r="P937" s="33"/>
      <c r="Q937" s="33"/>
      <c r="R937" s="33"/>
      <c r="S937" s="33"/>
      <c r="T937" s="33"/>
    </row>
    <row r="938" spans="1:20" ht="15.75">
      <c r="A938" s="13">
        <v>70433</v>
      </c>
      <c r="B938" s="41">
        <f t="shared" si="5"/>
        <v>31</v>
      </c>
      <c r="C938" s="32">
        <v>131.881</v>
      </c>
      <c r="D938" s="32">
        <v>277.16699999999997</v>
      </c>
      <c r="E938" s="38">
        <v>829.952</v>
      </c>
      <c r="F938" s="32">
        <v>1239</v>
      </c>
      <c r="G938" s="32">
        <v>75</v>
      </c>
      <c r="H938" s="40">
        <v>600</v>
      </c>
      <c r="I938" s="32">
        <v>695</v>
      </c>
      <c r="J938" s="32">
        <v>0</v>
      </c>
      <c r="K938" s="33"/>
      <c r="L938" s="33"/>
      <c r="M938" s="33"/>
      <c r="N938" s="33"/>
      <c r="O938" s="33"/>
      <c r="P938" s="33"/>
      <c r="Q938" s="33"/>
      <c r="R938" s="33"/>
      <c r="S938" s="33"/>
      <c r="T938" s="33"/>
    </row>
    <row r="939" spans="1:20" ht="15.75">
      <c r="A939" s="13">
        <v>70463</v>
      </c>
      <c r="B939" s="41">
        <f t="shared" si="5"/>
        <v>30</v>
      </c>
      <c r="C939" s="32">
        <v>122.58</v>
      </c>
      <c r="D939" s="32">
        <v>297.94099999999997</v>
      </c>
      <c r="E939" s="38">
        <v>729.47900000000004</v>
      </c>
      <c r="F939" s="32">
        <v>1150</v>
      </c>
      <c r="G939" s="32">
        <v>100</v>
      </c>
      <c r="H939" s="40">
        <v>600</v>
      </c>
      <c r="I939" s="32">
        <v>695</v>
      </c>
      <c r="J939" s="32">
        <v>50</v>
      </c>
      <c r="K939" s="33"/>
      <c r="L939" s="33"/>
      <c r="M939" s="33"/>
      <c r="N939" s="33"/>
      <c r="O939" s="33"/>
      <c r="P939" s="33"/>
      <c r="Q939" s="33"/>
      <c r="R939" s="33"/>
      <c r="S939" s="33"/>
      <c r="T939" s="33"/>
    </row>
    <row r="940" spans="1:20" ht="15.75">
      <c r="A940" s="13">
        <v>70494</v>
      </c>
      <c r="B940" s="41">
        <f t="shared" si="5"/>
        <v>31</v>
      </c>
      <c r="C940" s="32">
        <v>122.58</v>
      </c>
      <c r="D940" s="32">
        <v>297.94099999999997</v>
      </c>
      <c r="E940" s="38">
        <v>729.47900000000004</v>
      </c>
      <c r="F940" s="32">
        <v>1150</v>
      </c>
      <c r="G940" s="32">
        <v>100</v>
      </c>
      <c r="H940" s="40">
        <v>600</v>
      </c>
      <c r="I940" s="32">
        <v>695</v>
      </c>
      <c r="J940" s="32">
        <v>50</v>
      </c>
      <c r="K940" s="33"/>
      <c r="L940" s="33"/>
      <c r="M940" s="33"/>
      <c r="N940" s="33"/>
      <c r="O940" s="33"/>
      <c r="P940" s="33"/>
      <c r="Q940" s="33"/>
      <c r="R940" s="33"/>
      <c r="S940" s="33"/>
      <c r="T940" s="33"/>
    </row>
    <row r="941" spans="1:20" ht="15.75">
      <c r="A941" s="13">
        <v>70525</v>
      </c>
      <c r="B941" s="41">
        <f t="shared" si="5"/>
        <v>31</v>
      </c>
      <c r="C941" s="32">
        <v>122.58</v>
      </c>
      <c r="D941" s="32">
        <v>297.94099999999997</v>
      </c>
      <c r="E941" s="38">
        <v>729.47900000000004</v>
      </c>
      <c r="F941" s="32">
        <v>1150</v>
      </c>
      <c r="G941" s="32">
        <v>100</v>
      </c>
      <c r="H941" s="40">
        <v>600</v>
      </c>
      <c r="I941" s="32">
        <v>695</v>
      </c>
      <c r="J941" s="32">
        <v>50</v>
      </c>
      <c r="K941" s="33"/>
      <c r="L941" s="33"/>
      <c r="M941" s="33"/>
      <c r="N941" s="33"/>
      <c r="O941" s="33"/>
      <c r="P941" s="33"/>
      <c r="Q941" s="33"/>
      <c r="R941" s="33"/>
      <c r="S941" s="33"/>
      <c r="T941" s="33"/>
    </row>
    <row r="942" spans="1:20" ht="15.75">
      <c r="A942" s="13">
        <v>70553</v>
      </c>
      <c r="B942" s="41">
        <f t="shared" si="5"/>
        <v>28</v>
      </c>
      <c r="C942" s="32">
        <v>122.58</v>
      </c>
      <c r="D942" s="32">
        <v>297.94099999999997</v>
      </c>
      <c r="E942" s="38">
        <v>729.47900000000004</v>
      </c>
      <c r="F942" s="32">
        <v>1150</v>
      </c>
      <c r="G942" s="32">
        <v>100</v>
      </c>
      <c r="H942" s="40">
        <v>600</v>
      </c>
      <c r="I942" s="32">
        <v>695</v>
      </c>
      <c r="J942" s="32">
        <v>50</v>
      </c>
      <c r="K942" s="33"/>
      <c r="L942" s="33"/>
      <c r="M942" s="33"/>
      <c r="N942" s="33"/>
      <c r="O942" s="33"/>
      <c r="P942" s="33"/>
      <c r="Q942" s="33"/>
      <c r="R942" s="33"/>
      <c r="S942" s="33"/>
      <c r="T942" s="33"/>
    </row>
    <row r="943" spans="1:20" ht="15.75">
      <c r="A943" s="13">
        <v>70584</v>
      </c>
      <c r="B943" s="41">
        <f t="shared" si="5"/>
        <v>31</v>
      </c>
      <c r="C943" s="32">
        <v>122.58</v>
      </c>
      <c r="D943" s="32">
        <v>297.94099999999997</v>
      </c>
      <c r="E943" s="38">
        <v>729.47900000000004</v>
      </c>
      <c r="F943" s="32">
        <v>1150</v>
      </c>
      <c r="G943" s="32">
        <v>100</v>
      </c>
      <c r="H943" s="40">
        <v>600</v>
      </c>
      <c r="I943" s="32">
        <v>695</v>
      </c>
      <c r="J943" s="32">
        <v>50</v>
      </c>
      <c r="K943" s="33"/>
      <c r="L943" s="33"/>
      <c r="M943" s="33"/>
      <c r="N943" s="33"/>
      <c r="O943" s="33"/>
      <c r="P943" s="33"/>
      <c r="Q943" s="33"/>
      <c r="R943" s="33"/>
      <c r="S943" s="33"/>
      <c r="T943" s="33"/>
    </row>
    <row r="944" spans="1:20" ht="15.75">
      <c r="A944" s="13">
        <v>70614</v>
      </c>
      <c r="B944" s="41">
        <f t="shared" si="5"/>
        <v>30</v>
      </c>
      <c r="C944" s="32">
        <v>141.29300000000001</v>
      </c>
      <c r="D944" s="32">
        <v>267.99299999999999</v>
      </c>
      <c r="E944" s="38">
        <v>829.71400000000006</v>
      </c>
      <c r="F944" s="32">
        <v>1239</v>
      </c>
      <c r="G944" s="32">
        <v>100</v>
      </c>
      <c r="H944" s="40">
        <v>600</v>
      </c>
      <c r="I944" s="32">
        <v>695</v>
      </c>
      <c r="J944" s="32">
        <v>50</v>
      </c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spans="1:20" ht="15.75">
      <c r="A945" s="13">
        <v>70645</v>
      </c>
      <c r="B945" s="41">
        <f t="shared" si="5"/>
        <v>31</v>
      </c>
      <c r="C945" s="32">
        <v>194.20500000000001</v>
      </c>
      <c r="D945" s="32">
        <v>267.46600000000001</v>
      </c>
      <c r="E945" s="38">
        <v>812.32899999999995</v>
      </c>
      <c r="F945" s="32">
        <v>1274</v>
      </c>
      <c r="G945" s="32">
        <v>75</v>
      </c>
      <c r="H945" s="40">
        <v>600</v>
      </c>
      <c r="I945" s="32">
        <v>695</v>
      </c>
      <c r="J945" s="32">
        <v>50</v>
      </c>
      <c r="K945" s="33"/>
      <c r="L945" s="33"/>
      <c r="M945" s="33"/>
      <c r="N945" s="33"/>
      <c r="O945" s="33"/>
      <c r="P945" s="33"/>
      <c r="Q945" s="33"/>
      <c r="R945" s="33"/>
      <c r="S945" s="33"/>
      <c r="T945" s="33"/>
    </row>
    <row r="946" spans="1:20" ht="15.75">
      <c r="A946" s="13">
        <v>70675</v>
      </c>
      <c r="B946" s="41">
        <f t="shared" si="5"/>
        <v>30</v>
      </c>
      <c r="C946" s="32">
        <v>194.20500000000001</v>
      </c>
      <c r="D946" s="32">
        <v>267.46600000000001</v>
      </c>
      <c r="E946" s="38">
        <v>812.32899999999995</v>
      </c>
      <c r="F946" s="32">
        <v>1274</v>
      </c>
      <c r="G946" s="32">
        <v>50</v>
      </c>
      <c r="H946" s="40">
        <v>600</v>
      </c>
      <c r="I946" s="32">
        <v>695</v>
      </c>
      <c r="J946" s="32">
        <v>50</v>
      </c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spans="1:20" ht="15.75">
      <c r="A947" s="13">
        <v>70706</v>
      </c>
      <c r="B947" s="41">
        <f t="shared" si="5"/>
        <v>31</v>
      </c>
      <c r="C947" s="32">
        <v>194.20500000000001</v>
      </c>
      <c r="D947" s="32">
        <v>267.46600000000001</v>
      </c>
      <c r="E947" s="38">
        <v>812.32899999999995</v>
      </c>
      <c r="F947" s="32">
        <v>1274</v>
      </c>
      <c r="G947" s="32">
        <v>50</v>
      </c>
      <c r="H947" s="40">
        <v>600</v>
      </c>
      <c r="I947" s="32">
        <v>695</v>
      </c>
      <c r="J947" s="32">
        <v>0</v>
      </c>
      <c r="K947" s="33"/>
      <c r="L947" s="33"/>
      <c r="M947" s="33"/>
      <c r="N947" s="33"/>
      <c r="O947" s="33"/>
      <c r="P947" s="33"/>
      <c r="Q947" s="33"/>
      <c r="R947" s="33"/>
      <c r="S947" s="33"/>
      <c r="T947" s="33"/>
    </row>
    <row r="948" spans="1:20" ht="15.75">
      <c r="A948" s="13">
        <v>70737</v>
      </c>
      <c r="B948" s="41">
        <f t="shared" si="5"/>
        <v>31</v>
      </c>
      <c r="C948" s="32">
        <v>194.20500000000001</v>
      </c>
      <c r="D948" s="32">
        <v>267.46600000000001</v>
      </c>
      <c r="E948" s="38">
        <v>812.32899999999995</v>
      </c>
      <c r="F948" s="32">
        <v>1274</v>
      </c>
      <c r="G948" s="32">
        <v>50</v>
      </c>
      <c r="H948" s="40">
        <v>600</v>
      </c>
      <c r="I948" s="32">
        <v>695</v>
      </c>
      <c r="J948" s="32">
        <v>0</v>
      </c>
      <c r="K948" s="33"/>
      <c r="L948" s="33"/>
      <c r="M948" s="33"/>
      <c r="N948" s="33"/>
      <c r="O948" s="33"/>
      <c r="P948" s="33"/>
      <c r="Q948" s="33"/>
      <c r="R948" s="33"/>
      <c r="S948" s="33"/>
      <c r="T948" s="33"/>
    </row>
    <row r="949" spans="1:20" ht="15.75">
      <c r="A949" s="13">
        <v>70767</v>
      </c>
      <c r="B949" s="41">
        <f t="shared" si="5"/>
        <v>30</v>
      </c>
      <c r="C949" s="32">
        <v>194.20500000000001</v>
      </c>
      <c r="D949" s="32">
        <v>267.46600000000001</v>
      </c>
      <c r="E949" s="38">
        <v>812.32899999999995</v>
      </c>
      <c r="F949" s="32">
        <v>1274</v>
      </c>
      <c r="G949" s="32">
        <v>50</v>
      </c>
      <c r="H949" s="40">
        <v>600</v>
      </c>
      <c r="I949" s="32">
        <v>695</v>
      </c>
      <c r="J949" s="32">
        <v>0</v>
      </c>
      <c r="K949" s="33"/>
      <c r="L949" s="33"/>
      <c r="M949" s="33"/>
      <c r="N949" s="33"/>
      <c r="O949" s="33"/>
      <c r="P949" s="33"/>
      <c r="Q949" s="33"/>
      <c r="R949" s="33"/>
      <c r="S949" s="33"/>
      <c r="T949" s="33"/>
    </row>
    <row r="950" spans="1:20" ht="15.75">
      <c r="A950" s="13">
        <v>70798</v>
      </c>
      <c r="B950" s="41">
        <f t="shared" si="5"/>
        <v>31</v>
      </c>
      <c r="C950" s="32">
        <v>131.881</v>
      </c>
      <c r="D950" s="32">
        <v>277.16699999999997</v>
      </c>
      <c r="E950" s="38">
        <v>829.952</v>
      </c>
      <c r="F950" s="32">
        <v>1239</v>
      </c>
      <c r="G950" s="32">
        <v>75</v>
      </c>
      <c r="H950" s="40">
        <v>600</v>
      </c>
      <c r="I950" s="32">
        <v>695</v>
      </c>
      <c r="J950" s="32">
        <v>0</v>
      </c>
      <c r="K950" s="33"/>
      <c r="L950" s="33"/>
      <c r="M950" s="33"/>
      <c r="N950" s="33"/>
      <c r="O950" s="33"/>
      <c r="P950" s="33"/>
      <c r="Q950" s="33"/>
      <c r="R950" s="33"/>
      <c r="S950" s="33"/>
      <c r="T950" s="33"/>
    </row>
    <row r="951" spans="1:20" ht="15.75">
      <c r="A951" s="13">
        <v>70828</v>
      </c>
      <c r="B951" s="41">
        <f t="shared" si="5"/>
        <v>30</v>
      </c>
      <c r="C951" s="32">
        <v>122.58</v>
      </c>
      <c r="D951" s="32">
        <v>297.94099999999997</v>
      </c>
      <c r="E951" s="38">
        <v>729.47900000000004</v>
      </c>
      <c r="F951" s="32">
        <v>1150</v>
      </c>
      <c r="G951" s="32">
        <v>100</v>
      </c>
      <c r="H951" s="40">
        <v>600</v>
      </c>
      <c r="I951" s="32">
        <v>695</v>
      </c>
      <c r="J951" s="32">
        <v>50</v>
      </c>
      <c r="K951" s="33"/>
      <c r="L951" s="33"/>
      <c r="M951" s="33"/>
      <c r="N951" s="33"/>
      <c r="O951" s="33"/>
      <c r="P951" s="33"/>
      <c r="Q951" s="33"/>
      <c r="R951" s="33"/>
      <c r="S951" s="33"/>
      <c r="T951" s="33"/>
    </row>
    <row r="952" spans="1:20" ht="15.75">
      <c r="A952" s="13">
        <v>70859</v>
      </c>
      <c r="B952" s="41">
        <f t="shared" si="5"/>
        <v>31</v>
      </c>
      <c r="C952" s="32">
        <v>122.58</v>
      </c>
      <c r="D952" s="32">
        <v>297.94099999999997</v>
      </c>
      <c r="E952" s="38">
        <v>729.47900000000004</v>
      </c>
      <c r="F952" s="32">
        <v>1150</v>
      </c>
      <c r="G952" s="32">
        <v>100</v>
      </c>
      <c r="H952" s="40">
        <v>600</v>
      </c>
      <c r="I952" s="32">
        <v>695</v>
      </c>
      <c r="J952" s="32">
        <v>50</v>
      </c>
      <c r="K952" s="33"/>
      <c r="L952" s="33"/>
      <c r="M952" s="33"/>
      <c r="N952" s="33"/>
      <c r="O952" s="33"/>
      <c r="P952" s="33"/>
      <c r="Q952" s="33"/>
      <c r="R952" s="33"/>
      <c r="S952" s="33"/>
      <c r="T952" s="33"/>
    </row>
    <row r="953" spans="1:20" ht="15.75">
      <c r="A953" s="13">
        <v>70890</v>
      </c>
      <c r="B953" s="41">
        <f t="shared" ref="B953:B1016" si="6">EOMONTH(A953,0)-EOMONTH(A953,-1)</f>
        <v>31</v>
      </c>
      <c r="C953" s="32">
        <v>122.58</v>
      </c>
      <c r="D953" s="32">
        <v>297.94099999999997</v>
      </c>
      <c r="E953" s="38">
        <v>729.47900000000004</v>
      </c>
      <c r="F953" s="32">
        <v>1150</v>
      </c>
      <c r="G953" s="32">
        <v>100</v>
      </c>
      <c r="H953" s="40">
        <v>600</v>
      </c>
      <c r="I953" s="32">
        <v>695</v>
      </c>
      <c r="J953" s="32">
        <v>50</v>
      </c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spans="1:20" ht="15.75">
      <c r="A954" s="13">
        <v>70918</v>
      </c>
      <c r="B954" s="41">
        <f t="shared" si="6"/>
        <v>28</v>
      </c>
      <c r="C954" s="32">
        <v>122.58</v>
      </c>
      <c r="D954" s="32">
        <v>297.94099999999997</v>
      </c>
      <c r="E954" s="38">
        <v>729.47900000000004</v>
      </c>
      <c r="F954" s="32">
        <v>1150</v>
      </c>
      <c r="G954" s="32">
        <v>100</v>
      </c>
      <c r="H954" s="40">
        <v>600</v>
      </c>
      <c r="I954" s="32">
        <v>695</v>
      </c>
      <c r="J954" s="32">
        <v>50</v>
      </c>
      <c r="K954" s="33"/>
      <c r="L954" s="33"/>
      <c r="M954" s="33"/>
      <c r="N954" s="33"/>
      <c r="O954" s="33"/>
      <c r="P954" s="33"/>
      <c r="Q954" s="33"/>
      <c r="R954" s="33"/>
      <c r="S954" s="33"/>
      <c r="T954" s="33"/>
    </row>
    <row r="955" spans="1:20" ht="15.75">
      <c r="A955" s="13">
        <v>70949</v>
      </c>
      <c r="B955" s="41">
        <f t="shared" si="6"/>
        <v>31</v>
      </c>
      <c r="C955" s="32">
        <v>122.58</v>
      </c>
      <c r="D955" s="32">
        <v>297.94099999999997</v>
      </c>
      <c r="E955" s="38">
        <v>729.47900000000004</v>
      </c>
      <c r="F955" s="32">
        <v>1150</v>
      </c>
      <c r="G955" s="32">
        <v>100</v>
      </c>
      <c r="H955" s="40">
        <v>600</v>
      </c>
      <c r="I955" s="32">
        <v>695</v>
      </c>
      <c r="J955" s="32">
        <v>50</v>
      </c>
      <c r="K955" s="33"/>
      <c r="L955" s="33"/>
      <c r="M955" s="33"/>
      <c r="N955" s="33"/>
      <c r="O955" s="33"/>
      <c r="P955" s="33"/>
      <c r="Q955" s="33"/>
      <c r="R955" s="33"/>
      <c r="S955" s="33"/>
      <c r="T955" s="33"/>
    </row>
    <row r="956" spans="1:20" ht="15.75">
      <c r="A956" s="13">
        <v>70979</v>
      </c>
      <c r="B956" s="41">
        <f t="shared" si="6"/>
        <v>30</v>
      </c>
      <c r="C956" s="32">
        <v>141.29300000000001</v>
      </c>
      <c r="D956" s="32">
        <v>267.99299999999999</v>
      </c>
      <c r="E956" s="38">
        <v>829.71400000000006</v>
      </c>
      <c r="F956" s="32">
        <v>1239</v>
      </c>
      <c r="G956" s="32">
        <v>100</v>
      </c>
      <c r="H956" s="40">
        <v>600</v>
      </c>
      <c r="I956" s="32">
        <v>695</v>
      </c>
      <c r="J956" s="32">
        <v>50</v>
      </c>
      <c r="K956" s="33"/>
      <c r="L956" s="33"/>
      <c r="M956" s="33"/>
      <c r="N956" s="33"/>
      <c r="O956" s="33"/>
      <c r="P956" s="33"/>
      <c r="Q956" s="33"/>
      <c r="R956" s="33"/>
      <c r="S956" s="33"/>
      <c r="T956" s="33"/>
    </row>
    <row r="957" spans="1:20" ht="15.75">
      <c r="A957" s="13">
        <v>71010</v>
      </c>
      <c r="B957" s="41">
        <f t="shared" si="6"/>
        <v>31</v>
      </c>
      <c r="C957" s="32">
        <v>194.20500000000001</v>
      </c>
      <c r="D957" s="32">
        <v>267.46600000000001</v>
      </c>
      <c r="E957" s="38">
        <v>812.32899999999995</v>
      </c>
      <c r="F957" s="32">
        <v>1274</v>
      </c>
      <c r="G957" s="32">
        <v>75</v>
      </c>
      <c r="H957" s="40">
        <v>600</v>
      </c>
      <c r="I957" s="32">
        <v>695</v>
      </c>
      <c r="J957" s="32">
        <v>50</v>
      </c>
      <c r="K957" s="33"/>
      <c r="L957" s="33"/>
      <c r="M957" s="33"/>
      <c r="N957" s="33"/>
      <c r="O957" s="33"/>
      <c r="P957" s="33"/>
      <c r="Q957" s="33"/>
      <c r="R957" s="33"/>
      <c r="S957" s="33"/>
      <c r="T957" s="33"/>
    </row>
    <row r="958" spans="1:20" ht="15.75">
      <c r="A958" s="13">
        <v>71040</v>
      </c>
      <c r="B958" s="41">
        <f t="shared" si="6"/>
        <v>30</v>
      </c>
      <c r="C958" s="32">
        <v>194.20500000000001</v>
      </c>
      <c r="D958" s="32">
        <v>267.46600000000001</v>
      </c>
      <c r="E958" s="38">
        <v>812.32899999999995</v>
      </c>
      <c r="F958" s="32">
        <v>1274</v>
      </c>
      <c r="G958" s="32">
        <v>50</v>
      </c>
      <c r="H958" s="40">
        <v>600</v>
      </c>
      <c r="I958" s="32">
        <v>695</v>
      </c>
      <c r="J958" s="32">
        <v>50</v>
      </c>
      <c r="K958" s="33"/>
      <c r="L958" s="33"/>
      <c r="M958" s="33"/>
      <c r="N958" s="33"/>
      <c r="O958" s="33"/>
      <c r="P958" s="33"/>
      <c r="Q958" s="33"/>
      <c r="R958" s="33"/>
      <c r="S958" s="33"/>
      <c r="T958" s="33"/>
    </row>
    <row r="959" spans="1:20" ht="15.75">
      <c r="A959" s="13">
        <v>71071</v>
      </c>
      <c r="B959" s="41">
        <f t="shared" si="6"/>
        <v>31</v>
      </c>
      <c r="C959" s="32">
        <v>194.20500000000001</v>
      </c>
      <c r="D959" s="32">
        <v>267.46600000000001</v>
      </c>
      <c r="E959" s="38">
        <v>812.32899999999995</v>
      </c>
      <c r="F959" s="32">
        <v>1274</v>
      </c>
      <c r="G959" s="32">
        <v>50</v>
      </c>
      <c r="H959" s="40">
        <v>600</v>
      </c>
      <c r="I959" s="32">
        <v>695</v>
      </c>
      <c r="J959" s="32">
        <v>0</v>
      </c>
      <c r="K959" s="33"/>
      <c r="L959" s="33"/>
      <c r="M959" s="33"/>
      <c r="N959" s="33"/>
      <c r="O959" s="33"/>
      <c r="P959" s="33"/>
      <c r="Q959" s="33"/>
      <c r="R959" s="33"/>
      <c r="S959" s="33"/>
      <c r="T959" s="33"/>
    </row>
    <row r="960" spans="1:20" ht="15.75">
      <c r="A960" s="13">
        <v>71102</v>
      </c>
      <c r="B960" s="41">
        <f t="shared" si="6"/>
        <v>31</v>
      </c>
      <c r="C960" s="32">
        <v>194.20500000000001</v>
      </c>
      <c r="D960" s="32">
        <v>267.46600000000001</v>
      </c>
      <c r="E960" s="38">
        <v>812.32899999999995</v>
      </c>
      <c r="F960" s="32">
        <v>1274</v>
      </c>
      <c r="G960" s="32">
        <v>50</v>
      </c>
      <c r="H960" s="40">
        <v>600</v>
      </c>
      <c r="I960" s="32">
        <v>695</v>
      </c>
      <c r="J960" s="32">
        <v>0</v>
      </c>
      <c r="K960" s="33"/>
      <c r="L960" s="33"/>
      <c r="M960" s="33"/>
      <c r="N960" s="33"/>
      <c r="O960" s="33"/>
      <c r="P960" s="33"/>
      <c r="Q960" s="33"/>
      <c r="R960" s="33"/>
      <c r="S960" s="33"/>
      <c r="T960" s="33"/>
    </row>
    <row r="961" spans="1:20" ht="15.75">
      <c r="A961" s="13">
        <v>71132</v>
      </c>
      <c r="B961" s="41">
        <f t="shared" si="6"/>
        <v>30</v>
      </c>
      <c r="C961" s="32">
        <v>194.20500000000001</v>
      </c>
      <c r="D961" s="32">
        <v>267.46600000000001</v>
      </c>
      <c r="E961" s="38">
        <v>812.32899999999995</v>
      </c>
      <c r="F961" s="32">
        <v>1274</v>
      </c>
      <c r="G961" s="32">
        <v>50</v>
      </c>
      <c r="H961" s="40">
        <v>600</v>
      </c>
      <c r="I961" s="32">
        <v>695</v>
      </c>
      <c r="J961" s="32">
        <v>0</v>
      </c>
      <c r="K961" s="33"/>
      <c r="L961" s="33"/>
      <c r="M961" s="33"/>
      <c r="N961" s="33"/>
      <c r="O961" s="33"/>
      <c r="P961" s="33"/>
      <c r="Q961" s="33"/>
      <c r="R961" s="33"/>
      <c r="S961" s="33"/>
      <c r="T961" s="33"/>
    </row>
    <row r="962" spans="1:20" ht="15.75">
      <c r="A962" s="13">
        <v>71163</v>
      </c>
      <c r="B962" s="41">
        <f t="shared" si="6"/>
        <v>31</v>
      </c>
      <c r="C962" s="32">
        <v>131.881</v>
      </c>
      <c r="D962" s="32">
        <v>277.16699999999997</v>
      </c>
      <c r="E962" s="38">
        <v>829.952</v>
      </c>
      <c r="F962" s="32">
        <v>1239</v>
      </c>
      <c r="G962" s="32">
        <v>75</v>
      </c>
      <c r="H962" s="40">
        <v>600</v>
      </c>
      <c r="I962" s="32">
        <v>695</v>
      </c>
      <c r="J962" s="32">
        <v>0</v>
      </c>
      <c r="K962" s="33"/>
      <c r="L962" s="33"/>
      <c r="M962" s="33"/>
      <c r="N962" s="33"/>
      <c r="O962" s="33"/>
      <c r="P962" s="33"/>
      <c r="Q962" s="33"/>
      <c r="R962" s="33"/>
      <c r="S962" s="33"/>
      <c r="T962" s="33"/>
    </row>
    <row r="963" spans="1:20" ht="15.75">
      <c r="A963" s="13">
        <v>71193</v>
      </c>
      <c r="B963" s="41">
        <f t="shared" si="6"/>
        <v>30</v>
      </c>
      <c r="C963" s="32">
        <v>122.58</v>
      </c>
      <c r="D963" s="32">
        <v>297.94099999999997</v>
      </c>
      <c r="E963" s="38">
        <v>729.47900000000004</v>
      </c>
      <c r="F963" s="32">
        <v>1150</v>
      </c>
      <c r="G963" s="32">
        <v>100</v>
      </c>
      <c r="H963" s="40">
        <v>600</v>
      </c>
      <c r="I963" s="32">
        <v>695</v>
      </c>
      <c r="J963" s="32">
        <v>50</v>
      </c>
      <c r="K963" s="33"/>
      <c r="L963" s="33"/>
      <c r="M963" s="33"/>
      <c r="N963" s="33"/>
      <c r="O963" s="33"/>
      <c r="P963" s="33"/>
      <c r="Q963" s="33"/>
      <c r="R963" s="33"/>
      <c r="S963" s="33"/>
      <c r="T963" s="33"/>
    </row>
    <row r="964" spans="1:20" ht="15.75">
      <c r="A964" s="13">
        <v>71224</v>
      </c>
      <c r="B964" s="41">
        <f t="shared" si="6"/>
        <v>31</v>
      </c>
      <c r="C964" s="32">
        <v>122.58</v>
      </c>
      <c r="D964" s="32">
        <v>297.94099999999997</v>
      </c>
      <c r="E964" s="38">
        <v>729.47900000000004</v>
      </c>
      <c r="F964" s="32">
        <v>1150</v>
      </c>
      <c r="G964" s="32">
        <v>100</v>
      </c>
      <c r="H964" s="40">
        <v>600</v>
      </c>
      <c r="I964" s="32">
        <v>695</v>
      </c>
      <c r="J964" s="32">
        <v>50</v>
      </c>
      <c r="K964" s="33"/>
      <c r="L964" s="33"/>
      <c r="M964" s="33"/>
      <c r="N964" s="33"/>
      <c r="O964" s="33"/>
      <c r="P964" s="33"/>
      <c r="Q964" s="33"/>
      <c r="R964" s="33"/>
      <c r="S964" s="33"/>
      <c r="T964" s="33"/>
    </row>
    <row r="965" spans="1:20" ht="15.75">
      <c r="A965" s="13">
        <v>71255</v>
      </c>
      <c r="B965" s="41">
        <f t="shared" si="6"/>
        <v>31</v>
      </c>
      <c r="C965" s="32">
        <v>122.58</v>
      </c>
      <c r="D965" s="32">
        <v>297.94099999999997</v>
      </c>
      <c r="E965" s="38">
        <v>729.47900000000004</v>
      </c>
      <c r="F965" s="32">
        <v>1150</v>
      </c>
      <c r="G965" s="32">
        <v>100</v>
      </c>
      <c r="H965" s="40">
        <v>600</v>
      </c>
      <c r="I965" s="32">
        <v>695</v>
      </c>
      <c r="J965" s="32">
        <v>50</v>
      </c>
      <c r="K965" s="33"/>
      <c r="L965" s="33"/>
      <c r="M965" s="33"/>
      <c r="N965" s="33"/>
      <c r="O965" s="33"/>
      <c r="P965" s="33"/>
      <c r="Q965" s="33"/>
      <c r="R965" s="33"/>
      <c r="S965" s="33"/>
      <c r="T965" s="33"/>
    </row>
    <row r="966" spans="1:20" ht="15.75">
      <c r="A966" s="13">
        <v>71283</v>
      </c>
      <c r="B966" s="41">
        <f t="shared" si="6"/>
        <v>28</v>
      </c>
      <c r="C966" s="32">
        <v>122.58</v>
      </c>
      <c r="D966" s="32">
        <v>297.94099999999997</v>
      </c>
      <c r="E966" s="38">
        <v>729.47900000000004</v>
      </c>
      <c r="F966" s="32">
        <v>1150</v>
      </c>
      <c r="G966" s="32">
        <v>100</v>
      </c>
      <c r="H966" s="40">
        <v>600</v>
      </c>
      <c r="I966" s="32">
        <v>695</v>
      </c>
      <c r="J966" s="32">
        <v>50</v>
      </c>
      <c r="K966" s="33"/>
      <c r="L966" s="33"/>
      <c r="M966" s="33"/>
      <c r="N966" s="33"/>
      <c r="O966" s="33"/>
      <c r="P966" s="33"/>
      <c r="Q966" s="33"/>
      <c r="R966" s="33"/>
      <c r="S966" s="33"/>
      <c r="T966" s="33"/>
    </row>
    <row r="967" spans="1:20" ht="15.75">
      <c r="A967" s="13">
        <v>71314</v>
      </c>
      <c r="B967" s="41">
        <f t="shared" si="6"/>
        <v>31</v>
      </c>
      <c r="C967" s="32">
        <v>122.58</v>
      </c>
      <c r="D967" s="32">
        <v>297.94099999999997</v>
      </c>
      <c r="E967" s="38">
        <v>729.47900000000004</v>
      </c>
      <c r="F967" s="32">
        <v>1150</v>
      </c>
      <c r="G967" s="32">
        <v>100</v>
      </c>
      <c r="H967" s="40">
        <v>600</v>
      </c>
      <c r="I967" s="32">
        <v>695</v>
      </c>
      <c r="J967" s="32">
        <v>50</v>
      </c>
      <c r="K967" s="33"/>
      <c r="L967" s="33"/>
      <c r="M967" s="33"/>
      <c r="N967" s="33"/>
      <c r="O967" s="33"/>
      <c r="P967" s="33"/>
      <c r="Q967" s="33"/>
      <c r="R967" s="33"/>
      <c r="S967" s="33"/>
      <c r="T967" s="33"/>
    </row>
    <row r="968" spans="1:20" ht="15.75">
      <c r="A968" s="13">
        <v>71344</v>
      </c>
      <c r="B968" s="41">
        <f t="shared" si="6"/>
        <v>30</v>
      </c>
      <c r="C968" s="32">
        <v>141.29300000000001</v>
      </c>
      <c r="D968" s="32">
        <v>267.99299999999999</v>
      </c>
      <c r="E968" s="38">
        <v>829.71400000000006</v>
      </c>
      <c r="F968" s="32">
        <v>1239</v>
      </c>
      <c r="G968" s="32">
        <v>100</v>
      </c>
      <c r="H968" s="40">
        <v>600</v>
      </c>
      <c r="I968" s="32">
        <v>695</v>
      </c>
      <c r="J968" s="32">
        <v>50</v>
      </c>
      <c r="K968" s="33"/>
      <c r="L968" s="33"/>
      <c r="M968" s="33"/>
      <c r="N968" s="33"/>
      <c r="O968" s="33"/>
      <c r="P968" s="33"/>
      <c r="Q968" s="33"/>
      <c r="R968" s="33"/>
      <c r="S968" s="33"/>
      <c r="T968" s="33"/>
    </row>
    <row r="969" spans="1:20" ht="15.75">
      <c r="A969" s="13">
        <v>71375</v>
      </c>
      <c r="B969" s="41">
        <f t="shared" si="6"/>
        <v>31</v>
      </c>
      <c r="C969" s="32">
        <v>194.20500000000001</v>
      </c>
      <c r="D969" s="32">
        <v>267.46600000000001</v>
      </c>
      <c r="E969" s="38">
        <v>812.32899999999995</v>
      </c>
      <c r="F969" s="32">
        <v>1274</v>
      </c>
      <c r="G969" s="32">
        <v>75</v>
      </c>
      <c r="H969" s="40">
        <v>600</v>
      </c>
      <c r="I969" s="32">
        <v>695</v>
      </c>
      <c r="J969" s="32">
        <v>50</v>
      </c>
      <c r="K969" s="33"/>
      <c r="L969" s="33"/>
      <c r="M969" s="33"/>
      <c r="N969" s="33"/>
      <c r="O969" s="33"/>
      <c r="P969" s="33"/>
      <c r="Q969" s="33"/>
      <c r="R969" s="33"/>
      <c r="S969" s="33"/>
      <c r="T969" s="33"/>
    </row>
    <row r="970" spans="1:20" ht="15.75">
      <c r="A970" s="13">
        <v>71405</v>
      </c>
      <c r="B970" s="41">
        <f t="shared" si="6"/>
        <v>30</v>
      </c>
      <c r="C970" s="32">
        <v>194.20500000000001</v>
      </c>
      <c r="D970" s="32">
        <v>267.46600000000001</v>
      </c>
      <c r="E970" s="38">
        <v>812.32899999999995</v>
      </c>
      <c r="F970" s="32">
        <v>1274</v>
      </c>
      <c r="G970" s="32">
        <v>50</v>
      </c>
      <c r="H970" s="40">
        <v>600</v>
      </c>
      <c r="I970" s="32">
        <v>695</v>
      </c>
      <c r="J970" s="32">
        <v>50</v>
      </c>
      <c r="K970" s="33"/>
      <c r="L970" s="33"/>
      <c r="M970" s="33"/>
      <c r="N970" s="33"/>
      <c r="O970" s="33"/>
      <c r="P970" s="33"/>
      <c r="Q970" s="33"/>
      <c r="R970" s="33"/>
      <c r="S970" s="33"/>
      <c r="T970" s="33"/>
    </row>
    <row r="971" spans="1:20" ht="15.75">
      <c r="A971" s="13">
        <v>71436</v>
      </c>
      <c r="B971" s="41">
        <f t="shared" si="6"/>
        <v>31</v>
      </c>
      <c r="C971" s="32">
        <v>194.20500000000001</v>
      </c>
      <c r="D971" s="32">
        <v>267.46600000000001</v>
      </c>
      <c r="E971" s="38">
        <v>812.32899999999995</v>
      </c>
      <c r="F971" s="32">
        <v>1274</v>
      </c>
      <c r="G971" s="32">
        <v>50</v>
      </c>
      <c r="H971" s="40">
        <v>600</v>
      </c>
      <c r="I971" s="32">
        <v>695</v>
      </c>
      <c r="J971" s="32">
        <v>0</v>
      </c>
      <c r="K971" s="33"/>
      <c r="L971" s="33"/>
      <c r="M971" s="33"/>
      <c r="N971" s="33"/>
      <c r="O971" s="33"/>
      <c r="P971" s="33"/>
      <c r="Q971" s="33"/>
      <c r="R971" s="33"/>
      <c r="S971" s="33"/>
      <c r="T971" s="33"/>
    </row>
    <row r="972" spans="1:20" ht="15.75">
      <c r="A972" s="13">
        <v>71467</v>
      </c>
      <c r="B972" s="41">
        <f t="shared" si="6"/>
        <v>31</v>
      </c>
      <c r="C972" s="32">
        <v>194.20500000000001</v>
      </c>
      <c r="D972" s="32">
        <v>267.46600000000001</v>
      </c>
      <c r="E972" s="38">
        <v>812.32899999999995</v>
      </c>
      <c r="F972" s="32">
        <v>1274</v>
      </c>
      <c r="G972" s="32">
        <v>50</v>
      </c>
      <c r="H972" s="40">
        <v>600</v>
      </c>
      <c r="I972" s="32">
        <v>695</v>
      </c>
      <c r="J972" s="32">
        <v>0</v>
      </c>
      <c r="K972" s="33"/>
      <c r="L972" s="33"/>
      <c r="M972" s="33"/>
      <c r="N972" s="33"/>
      <c r="O972" s="33"/>
      <c r="P972" s="33"/>
      <c r="Q972" s="33"/>
      <c r="R972" s="33"/>
      <c r="S972" s="33"/>
      <c r="T972" s="33"/>
    </row>
    <row r="973" spans="1:20" ht="15.75">
      <c r="A973" s="13">
        <v>71497</v>
      </c>
      <c r="B973" s="41">
        <f t="shared" si="6"/>
        <v>30</v>
      </c>
      <c r="C973" s="32">
        <v>194.20500000000001</v>
      </c>
      <c r="D973" s="32">
        <v>267.46600000000001</v>
      </c>
      <c r="E973" s="38">
        <v>812.32899999999995</v>
      </c>
      <c r="F973" s="32">
        <v>1274</v>
      </c>
      <c r="G973" s="32">
        <v>50</v>
      </c>
      <c r="H973" s="40">
        <v>600</v>
      </c>
      <c r="I973" s="32">
        <v>695</v>
      </c>
      <c r="J973" s="32">
        <v>0</v>
      </c>
      <c r="K973" s="33"/>
      <c r="L973" s="33"/>
      <c r="M973" s="33"/>
      <c r="N973" s="33"/>
      <c r="O973" s="33"/>
      <c r="P973" s="33"/>
      <c r="Q973" s="33"/>
      <c r="R973" s="33"/>
      <c r="S973" s="33"/>
      <c r="T973" s="33"/>
    </row>
    <row r="974" spans="1:20" ht="15.75">
      <c r="A974" s="13">
        <v>71528</v>
      </c>
      <c r="B974" s="41">
        <f t="shared" si="6"/>
        <v>31</v>
      </c>
      <c r="C974" s="32">
        <v>131.881</v>
      </c>
      <c r="D974" s="32">
        <v>277.16699999999997</v>
      </c>
      <c r="E974" s="38">
        <v>829.952</v>
      </c>
      <c r="F974" s="32">
        <v>1239</v>
      </c>
      <c r="G974" s="32">
        <v>75</v>
      </c>
      <c r="H974" s="40">
        <v>600</v>
      </c>
      <c r="I974" s="32">
        <v>695</v>
      </c>
      <c r="J974" s="32">
        <v>0</v>
      </c>
      <c r="K974" s="33"/>
      <c r="L974" s="33"/>
      <c r="M974" s="33"/>
      <c r="N974" s="33"/>
      <c r="O974" s="33"/>
      <c r="P974" s="33"/>
      <c r="Q974" s="33"/>
      <c r="R974" s="33"/>
      <c r="S974" s="33"/>
      <c r="T974" s="33"/>
    </row>
    <row r="975" spans="1:20" ht="15.75">
      <c r="A975" s="13">
        <v>71558</v>
      </c>
      <c r="B975" s="41">
        <f t="shared" si="6"/>
        <v>30</v>
      </c>
      <c r="C975" s="32">
        <v>122.58</v>
      </c>
      <c r="D975" s="32">
        <v>297.94099999999997</v>
      </c>
      <c r="E975" s="38">
        <v>729.47900000000004</v>
      </c>
      <c r="F975" s="32">
        <v>1150</v>
      </c>
      <c r="G975" s="32">
        <v>100</v>
      </c>
      <c r="H975" s="40">
        <v>600</v>
      </c>
      <c r="I975" s="32">
        <v>695</v>
      </c>
      <c r="J975" s="32">
        <v>50</v>
      </c>
      <c r="K975" s="33"/>
      <c r="L975" s="33"/>
      <c r="M975" s="33"/>
      <c r="N975" s="33"/>
      <c r="O975" s="33"/>
      <c r="P975" s="33"/>
      <c r="Q975" s="33"/>
      <c r="R975" s="33"/>
      <c r="S975" s="33"/>
      <c r="T975" s="33"/>
    </row>
    <row r="976" spans="1:20" ht="15.75">
      <c r="A976" s="13">
        <v>71589</v>
      </c>
      <c r="B976" s="41">
        <f t="shared" si="6"/>
        <v>31</v>
      </c>
      <c r="C976" s="32">
        <v>122.58</v>
      </c>
      <c r="D976" s="32">
        <v>297.94099999999997</v>
      </c>
      <c r="E976" s="38">
        <v>729.47900000000004</v>
      </c>
      <c r="F976" s="32">
        <v>1150</v>
      </c>
      <c r="G976" s="32">
        <v>100</v>
      </c>
      <c r="H976" s="40">
        <v>600</v>
      </c>
      <c r="I976" s="32">
        <v>695</v>
      </c>
      <c r="J976" s="32">
        <v>50</v>
      </c>
      <c r="K976" s="33"/>
      <c r="L976" s="33"/>
      <c r="M976" s="33"/>
      <c r="N976" s="33"/>
      <c r="O976" s="33"/>
      <c r="P976" s="33"/>
      <c r="Q976" s="33"/>
      <c r="R976" s="33"/>
      <c r="S976" s="33"/>
      <c r="T976" s="33"/>
    </row>
    <row r="977" spans="1:20" ht="15.75">
      <c r="A977" s="13">
        <v>71620</v>
      </c>
      <c r="B977" s="41">
        <f t="shared" si="6"/>
        <v>31</v>
      </c>
      <c r="C977" s="32">
        <v>122.58</v>
      </c>
      <c r="D977" s="32">
        <v>297.94099999999997</v>
      </c>
      <c r="E977" s="38">
        <v>729.47900000000004</v>
      </c>
      <c r="F977" s="32">
        <v>1150</v>
      </c>
      <c r="G977" s="32">
        <v>100</v>
      </c>
      <c r="H977" s="40">
        <v>600</v>
      </c>
      <c r="I977" s="32">
        <v>695</v>
      </c>
      <c r="J977" s="32">
        <v>50</v>
      </c>
      <c r="K977" s="33"/>
      <c r="L977" s="33"/>
      <c r="M977" s="33"/>
      <c r="N977" s="33"/>
      <c r="O977" s="33"/>
      <c r="P977" s="33"/>
      <c r="Q977" s="33"/>
      <c r="R977" s="33"/>
      <c r="S977" s="33"/>
      <c r="T977" s="33"/>
    </row>
    <row r="978" spans="1:20" ht="15.75">
      <c r="A978" s="13">
        <v>71649</v>
      </c>
      <c r="B978" s="41">
        <f t="shared" si="6"/>
        <v>29</v>
      </c>
      <c r="C978" s="32">
        <v>122.58</v>
      </c>
      <c r="D978" s="32">
        <v>297.94099999999997</v>
      </c>
      <c r="E978" s="38">
        <v>729.47900000000004</v>
      </c>
      <c r="F978" s="32">
        <v>1150</v>
      </c>
      <c r="G978" s="32">
        <v>100</v>
      </c>
      <c r="H978" s="40">
        <v>600</v>
      </c>
      <c r="I978" s="32">
        <v>695</v>
      </c>
      <c r="J978" s="32">
        <v>50</v>
      </c>
      <c r="K978" s="33"/>
      <c r="L978" s="33"/>
      <c r="M978" s="33"/>
      <c r="N978" s="33"/>
      <c r="O978" s="33"/>
      <c r="P978" s="33"/>
      <c r="Q978" s="33"/>
      <c r="R978" s="33"/>
      <c r="S978" s="33"/>
      <c r="T978" s="33"/>
    </row>
    <row r="979" spans="1:20" ht="15.75">
      <c r="A979" s="13">
        <v>71680</v>
      </c>
      <c r="B979" s="41">
        <f t="shared" si="6"/>
        <v>31</v>
      </c>
      <c r="C979" s="32">
        <v>122.58</v>
      </c>
      <c r="D979" s="32">
        <v>297.94099999999997</v>
      </c>
      <c r="E979" s="38">
        <v>729.47900000000004</v>
      </c>
      <c r="F979" s="32">
        <v>1150</v>
      </c>
      <c r="G979" s="32">
        <v>100</v>
      </c>
      <c r="H979" s="40">
        <v>600</v>
      </c>
      <c r="I979" s="32">
        <v>695</v>
      </c>
      <c r="J979" s="32">
        <v>50</v>
      </c>
      <c r="K979" s="33"/>
      <c r="L979" s="33"/>
      <c r="M979" s="33"/>
      <c r="N979" s="33"/>
      <c r="O979" s="33"/>
      <c r="P979" s="33"/>
      <c r="Q979" s="33"/>
      <c r="R979" s="33"/>
      <c r="S979" s="33"/>
      <c r="T979" s="33"/>
    </row>
    <row r="980" spans="1:20" ht="15.75">
      <c r="A980" s="13">
        <v>71710</v>
      </c>
      <c r="B980" s="41">
        <f t="shared" si="6"/>
        <v>30</v>
      </c>
      <c r="C980" s="32">
        <v>141.29300000000001</v>
      </c>
      <c r="D980" s="32">
        <v>267.99299999999999</v>
      </c>
      <c r="E980" s="38">
        <v>829.71400000000006</v>
      </c>
      <c r="F980" s="32">
        <v>1239</v>
      </c>
      <c r="G980" s="32">
        <v>100</v>
      </c>
      <c r="H980" s="40">
        <v>600</v>
      </c>
      <c r="I980" s="32">
        <v>695</v>
      </c>
      <c r="J980" s="32">
        <v>50</v>
      </c>
      <c r="K980" s="33"/>
      <c r="L980" s="33"/>
      <c r="M980" s="33"/>
      <c r="N980" s="33"/>
      <c r="O980" s="33"/>
      <c r="P980" s="33"/>
      <c r="Q980" s="33"/>
      <c r="R980" s="33"/>
      <c r="S980" s="33"/>
      <c r="T980" s="33"/>
    </row>
    <row r="981" spans="1:20" ht="15.75">
      <c r="A981" s="13">
        <v>71741</v>
      </c>
      <c r="B981" s="41">
        <f t="shared" si="6"/>
        <v>31</v>
      </c>
      <c r="C981" s="32">
        <v>194.20500000000001</v>
      </c>
      <c r="D981" s="32">
        <v>267.46600000000001</v>
      </c>
      <c r="E981" s="38">
        <v>812.32899999999995</v>
      </c>
      <c r="F981" s="32">
        <v>1274</v>
      </c>
      <c r="G981" s="32">
        <v>75</v>
      </c>
      <c r="H981" s="40">
        <v>600</v>
      </c>
      <c r="I981" s="32">
        <v>695</v>
      </c>
      <c r="J981" s="32">
        <v>50</v>
      </c>
      <c r="K981" s="33"/>
      <c r="L981" s="33"/>
      <c r="M981" s="33"/>
      <c r="N981" s="33"/>
      <c r="O981" s="33"/>
      <c r="P981" s="33"/>
      <c r="Q981" s="33"/>
      <c r="R981" s="33"/>
      <c r="S981" s="33"/>
      <c r="T981" s="33"/>
    </row>
    <row r="982" spans="1:20" ht="15.75">
      <c r="A982" s="13">
        <v>71771</v>
      </c>
      <c r="B982" s="41">
        <f t="shared" si="6"/>
        <v>30</v>
      </c>
      <c r="C982" s="32">
        <v>194.20500000000001</v>
      </c>
      <c r="D982" s="32">
        <v>267.46600000000001</v>
      </c>
      <c r="E982" s="38">
        <v>812.32899999999995</v>
      </c>
      <c r="F982" s="32">
        <v>1274</v>
      </c>
      <c r="G982" s="32">
        <v>50</v>
      </c>
      <c r="H982" s="40">
        <v>600</v>
      </c>
      <c r="I982" s="32">
        <v>695</v>
      </c>
      <c r="J982" s="32">
        <v>50</v>
      </c>
      <c r="K982" s="33"/>
      <c r="L982" s="33"/>
      <c r="M982" s="33"/>
      <c r="N982" s="33"/>
      <c r="O982" s="33"/>
      <c r="P982" s="33"/>
      <c r="Q982" s="33"/>
      <c r="R982" s="33"/>
      <c r="S982" s="33"/>
      <c r="T982" s="33"/>
    </row>
    <row r="983" spans="1:20" ht="15.75">
      <c r="A983" s="13">
        <v>71802</v>
      </c>
      <c r="B983" s="41">
        <f t="shared" si="6"/>
        <v>31</v>
      </c>
      <c r="C983" s="32">
        <v>194.20500000000001</v>
      </c>
      <c r="D983" s="32">
        <v>267.46600000000001</v>
      </c>
      <c r="E983" s="38">
        <v>812.32899999999995</v>
      </c>
      <c r="F983" s="32">
        <v>1274</v>
      </c>
      <c r="G983" s="32">
        <v>50</v>
      </c>
      <c r="H983" s="40">
        <v>600</v>
      </c>
      <c r="I983" s="32">
        <v>695</v>
      </c>
      <c r="J983" s="32">
        <v>0</v>
      </c>
      <c r="K983" s="33"/>
      <c r="L983" s="33"/>
      <c r="M983" s="33"/>
      <c r="N983" s="33"/>
      <c r="O983" s="33"/>
      <c r="P983" s="33"/>
      <c r="Q983" s="33"/>
      <c r="R983" s="33"/>
      <c r="S983" s="33"/>
      <c r="T983" s="33"/>
    </row>
    <row r="984" spans="1:20" ht="15.75">
      <c r="A984" s="13">
        <v>71833</v>
      </c>
      <c r="B984" s="41">
        <f t="shared" si="6"/>
        <v>31</v>
      </c>
      <c r="C984" s="32">
        <v>194.20500000000001</v>
      </c>
      <c r="D984" s="32">
        <v>267.46600000000001</v>
      </c>
      <c r="E984" s="38">
        <v>812.32899999999995</v>
      </c>
      <c r="F984" s="32">
        <v>1274</v>
      </c>
      <c r="G984" s="32">
        <v>50</v>
      </c>
      <c r="H984" s="40">
        <v>600</v>
      </c>
      <c r="I984" s="32">
        <v>695</v>
      </c>
      <c r="J984" s="32">
        <v>0</v>
      </c>
      <c r="K984" s="33"/>
      <c r="L984" s="33"/>
      <c r="M984" s="33"/>
      <c r="N984" s="33"/>
      <c r="O984" s="33"/>
      <c r="P984" s="33"/>
      <c r="Q984" s="33"/>
      <c r="R984" s="33"/>
      <c r="S984" s="33"/>
      <c r="T984" s="33"/>
    </row>
    <row r="985" spans="1:20" ht="15.75">
      <c r="A985" s="13">
        <v>71863</v>
      </c>
      <c r="B985" s="41">
        <f t="shared" si="6"/>
        <v>30</v>
      </c>
      <c r="C985" s="32">
        <v>194.20500000000001</v>
      </c>
      <c r="D985" s="32">
        <v>267.46600000000001</v>
      </c>
      <c r="E985" s="38">
        <v>812.32899999999995</v>
      </c>
      <c r="F985" s="32">
        <v>1274</v>
      </c>
      <c r="G985" s="32">
        <v>50</v>
      </c>
      <c r="H985" s="40">
        <v>600</v>
      </c>
      <c r="I985" s="32">
        <v>695</v>
      </c>
      <c r="J985" s="32">
        <v>0</v>
      </c>
      <c r="K985" s="33"/>
      <c r="L985" s="33"/>
      <c r="M985" s="33"/>
      <c r="N985" s="33"/>
      <c r="O985" s="33"/>
      <c r="P985" s="33"/>
      <c r="Q985" s="33"/>
      <c r="R985" s="33"/>
      <c r="S985" s="33"/>
      <c r="T985" s="33"/>
    </row>
    <row r="986" spans="1:20" ht="15.75">
      <c r="A986" s="13">
        <v>71894</v>
      </c>
      <c r="B986" s="41">
        <f t="shared" si="6"/>
        <v>31</v>
      </c>
      <c r="C986" s="32">
        <v>131.881</v>
      </c>
      <c r="D986" s="32">
        <v>277.16699999999997</v>
      </c>
      <c r="E986" s="38">
        <v>829.952</v>
      </c>
      <c r="F986" s="32">
        <v>1239</v>
      </c>
      <c r="G986" s="32">
        <v>75</v>
      </c>
      <c r="H986" s="40">
        <v>600</v>
      </c>
      <c r="I986" s="32">
        <v>695</v>
      </c>
      <c r="J986" s="32">
        <v>0</v>
      </c>
      <c r="K986" s="33"/>
      <c r="L986" s="33"/>
      <c r="M986" s="33"/>
      <c r="N986" s="33"/>
      <c r="O986" s="33"/>
      <c r="P986" s="33"/>
      <c r="Q986" s="33"/>
      <c r="R986" s="33"/>
      <c r="S986" s="33"/>
      <c r="T986" s="33"/>
    </row>
    <row r="987" spans="1:20" ht="15.75">
      <c r="A987" s="13">
        <v>71924</v>
      </c>
      <c r="B987" s="41">
        <f t="shared" si="6"/>
        <v>30</v>
      </c>
      <c r="C987" s="32">
        <v>122.58</v>
      </c>
      <c r="D987" s="32">
        <v>297.94099999999997</v>
      </c>
      <c r="E987" s="38">
        <v>729.47900000000004</v>
      </c>
      <c r="F987" s="32">
        <v>1150</v>
      </c>
      <c r="G987" s="32">
        <v>100</v>
      </c>
      <c r="H987" s="40">
        <v>600</v>
      </c>
      <c r="I987" s="32">
        <v>695</v>
      </c>
      <c r="J987" s="32">
        <v>50</v>
      </c>
      <c r="K987" s="33"/>
      <c r="L987" s="33"/>
      <c r="M987" s="33"/>
      <c r="N987" s="33"/>
      <c r="O987" s="33"/>
      <c r="P987" s="33"/>
      <c r="Q987" s="33"/>
      <c r="R987" s="33"/>
      <c r="S987" s="33"/>
      <c r="T987" s="33"/>
    </row>
    <row r="988" spans="1:20" ht="15.75">
      <c r="A988" s="13">
        <v>71955</v>
      </c>
      <c r="B988" s="41">
        <f t="shared" si="6"/>
        <v>31</v>
      </c>
      <c r="C988" s="32">
        <v>122.58</v>
      </c>
      <c r="D988" s="32">
        <v>297.94099999999997</v>
      </c>
      <c r="E988" s="38">
        <v>729.47900000000004</v>
      </c>
      <c r="F988" s="32">
        <v>1150</v>
      </c>
      <c r="G988" s="32">
        <v>100</v>
      </c>
      <c r="H988" s="40">
        <v>600</v>
      </c>
      <c r="I988" s="32">
        <v>695</v>
      </c>
      <c r="J988" s="32">
        <v>50</v>
      </c>
      <c r="K988" s="33"/>
      <c r="L988" s="33"/>
      <c r="M988" s="33"/>
      <c r="N988" s="33"/>
      <c r="O988" s="33"/>
      <c r="P988" s="33"/>
      <c r="Q988" s="33"/>
      <c r="R988" s="33"/>
      <c r="S988" s="33"/>
      <c r="T988" s="33"/>
    </row>
    <row r="989" spans="1:20" ht="15.75">
      <c r="A989" s="13">
        <v>71986</v>
      </c>
      <c r="B989" s="41">
        <f t="shared" si="6"/>
        <v>31</v>
      </c>
      <c r="C989" s="32">
        <v>122.58</v>
      </c>
      <c r="D989" s="32">
        <v>297.94099999999997</v>
      </c>
      <c r="E989" s="38">
        <v>729.47900000000004</v>
      </c>
      <c r="F989" s="32">
        <v>1150</v>
      </c>
      <c r="G989" s="32">
        <v>100</v>
      </c>
      <c r="H989" s="40">
        <v>600</v>
      </c>
      <c r="I989" s="32">
        <v>695</v>
      </c>
      <c r="J989" s="32">
        <v>50</v>
      </c>
      <c r="K989" s="33"/>
      <c r="L989" s="33"/>
      <c r="M989" s="33"/>
      <c r="N989" s="33"/>
      <c r="O989" s="33"/>
      <c r="P989" s="33"/>
      <c r="Q989" s="33"/>
      <c r="R989" s="33"/>
      <c r="S989" s="33"/>
      <c r="T989" s="33"/>
    </row>
    <row r="990" spans="1:20" ht="15.75">
      <c r="A990" s="13">
        <v>72014</v>
      </c>
      <c r="B990" s="41">
        <f t="shared" si="6"/>
        <v>28</v>
      </c>
      <c r="C990" s="32">
        <v>122.58</v>
      </c>
      <c r="D990" s="32">
        <v>297.94099999999997</v>
      </c>
      <c r="E990" s="38">
        <v>729.47900000000004</v>
      </c>
      <c r="F990" s="32">
        <v>1150</v>
      </c>
      <c r="G990" s="32">
        <v>100</v>
      </c>
      <c r="H990" s="40">
        <v>600</v>
      </c>
      <c r="I990" s="32">
        <v>695</v>
      </c>
      <c r="J990" s="32">
        <v>50</v>
      </c>
      <c r="K990" s="33"/>
      <c r="L990" s="33"/>
      <c r="M990" s="33"/>
      <c r="N990" s="33"/>
      <c r="O990" s="33"/>
      <c r="P990" s="33"/>
      <c r="Q990" s="33"/>
      <c r="R990" s="33"/>
      <c r="S990" s="33"/>
      <c r="T990" s="33"/>
    </row>
    <row r="991" spans="1:20" ht="15.75">
      <c r="A991" s="13">
        <v>72045</v>
      </c>
      <c r="B991" s="41">
        <f t="shared" si="6"/>
        <v>31</v>
      </c>
      <c r="C991" s="32">
        <v>122.58</v>
      </c>
      <c r="D991" s="32">
        <v>297.94099999999997</v>
      </c>
      <c r="E991" s="38">
        <v>729.47900000000004</v>
      </c>
      <c r="F991" s="32">
        <v>1150</v>
      </c>
      <c r="G991" s="32">
        <v>100</v>
      </c>
      <c r="H991" s="40">
        <v>600</v>
      </c>
      <c r="I991" s="32">
        <v>695</v>
      </c>
      <c r="J991" s="32">
        <v>50</v>
      </c>
      <c r="K991" s="33"/>
      <c r="L991" s="33"/>
      <c r="M991" s="33"/>
      <c r="N991" s="33"/>
      <c r="O991" s="33"/>
      <c r="P991" s="33"/>
      <c r="Q991" s="33"/>
      <c r="R991" s="33"/>
      <c r="S991" s="33"/>
      <c r="T991" s="33"/>
    </row>
    <row r="992" spans="1:20" ht="15.75">
      <c r="A992" s="13">
        <v>72075</v>
      </c>
      <c r="B992" s="41">
        <f t="shared" si="6"/>
        <v>30</v>
      </c>
      <c r="C992" s="32">
        <v>141.29300000000001</v>
      </c>
      <c r="D992" s="32">
        <v>267.99299999999999</v>
      </c>
      <c r="E992" s="38">
        <v>829.71400000000006</v>
      </c>
      <c r="F992" s="32">
        <v>1239</v>
      </c>
      <c r="G992" s="32">
        <v>100</v>
      </c>
      <c r="H992" s="40">
        <v>600</v>
      </c>
      <c r="I992" s="32">
        <v>695</v>
      </c>
      <c r="J992" s="32">
        <v>50</v>
      </c>
      <c r="K992" s="33"/>
      <c r="L992" s="33"/>
      <c r="M992" s="33"/>
      <c r="N992" s="33"/>
      <c r="O992" s="33"/>
      <c r="P992" s="33"/>
      <c r="Q992" s="33"/>
      <c r="R992" s="33"/>
      <c r="S992" s="33"/>
      <c r="T992" s="33"/>
    </row>
    <row r="993" spans="1:20" ht="15.75">
      <c r="A993" s="13">
        <v>72106</v>
      </c>
      <c r="B993" s="41">
        <f t="shared" si="6"/>
        <v>31</v>
      </c>
      <c r="C993" s="32">
        <v>194.20500000000001</v>
      </c>
      <c r="D993" s="32">
        <v>267.46600000000001</v>
      </c>
      <c r="E993" s="38">
        <v>812.32899999999995</v>
      </c>
      <c r="F993" s="32">
        <v>1274</v>
      </c>
      <c r="G993" s="32">
        <v>75</v>
      </c>
      <c r="H993" s="40">
        <v>600</v>
      </c>
      <c r="I993" s="32">
        <v>695</v>
      </c>
      <c r="J993" s="32">
        <v>50</v>
      </c>
      <c r="K993" s="33"/>
      <c r="L993" s="33"/>
      <c r="M993" s="33"/>
      <c r="N993" s="33"/>
      <c r="O993" s="33"/>
      <c r="P993" s="33"/>
      <c r="Q993" s="33"/>
      <c r="R993" s="33"/>
      <c r="S993" s="33"/>
      <c r="T993" s="33"/>
    </row>
    <row r="994" spans="1:20" ht="15.75">
      <c r="A994" s="13">
        <v>72136</v>
      </c>
      <c r="B994" s="41">
        <f t="shared" si="6"/>
        <v>30</v>
      </c>
      <c r="C994" s="32">
        <v>194.20500000000001</v>
      </c>
      <c r="D994" s="32">
        <v>267.46600000000001</v>
      </c>
      <c r="E994" s="38">
        <v>812.32899999999995</v>
      </c>
      <c r="F994" s="32">
        <v>1274</v>
      </c>
      <c r="G994" s="32">
        <v>50</v>
      </c>
      <c r="H994" s="40">
        <v>600</v>
      </c>
      <c r="I994" s="32">
        <v>695</v>
      </c>
      <c r="J994" s="32">
        <v>50</v>
      </c>
      <c r="K994" s="33"/>
      <c r="L994" s="33"/>
      <c r="M994" s="33"/>
      <c r="N994" s="33"/>
      <c r="O994" s="33"/>
      <c r="P994" s="33"/>
      <c r="Q994" s="33"/>
      <c r="R994" s="33"/>
      <c r="S994" s="33"/>
      <c r="T994" s="33"/>
    </row>
    <row r="995" spans="1:20" ht="15.75">
      <c r="A995" s="13">
        <v>72167</v>
      </c>
      <c r="B995" s="41">
        <f t="shared" si="6"/>
        <v>31</v>
      </c>
      <c r="C995" s="32">
        <v>194.20500000000001</v>
      </c>
      <c r="D995" s="32">
        <v>267.46600000000001</v>
      </c>
      <c r="E995" s="38">
        <v>812.32899999999995</v>
      </c>
      <c r="F995" s="32">
        <v>1274</v>
      </c>
      <c r="G995" s="32">
        <v>50</v>
      </c>
      <c r="H995" s="40">
        <v>600</v>
      </c>
      <c r="I995" s="32">
        <v>695</v>
      </c>
      <c r="J995" s="32">
        <v>0</v>
      </c>
      <c r="K995" s="33"/>
      <c r="L995" s="33"/>
      <c r="M995" s="33"/>
      <c r="N995" s="33"/>
      <c r="O995" s="33"/>
      <c r="P995" s="33"/>
      <c r="Q995" s="33"/>
      <c r="R995" s="33"/>
      <c r="S995" s="33"/>
      <c r="T995" s="33"/>
    </row>
    <row r="996" spans="1:20" ht="15.75">
      <c r="A996" s="13">
        <v>72198</v>
      </c>
      <c r="B996" s="41">
        <f t="shared" si="6"/>
        <v>31</v>
      </c>
      <c r="C996" s="32">
        <v>194.20500000000001</v>
      </c>
      <c r="D996" s="32">
        <v>267.46600000000001</v>
      </c>
      <c r="E996" s="38">
        <v>812.32899999999995</v>
      </c>
      <c r="F996" s="32">
        <v>1274</v>
      </c>
      <c r="G996" s="32">
        <v>50</v>
      </c>
      <c r="H996" s="40">
        <v>600</v>
      </c>
      <c r="I996" s="32">
        <v>695</v>
      </c>
      <c r="J996" s="32">
        <v>0</v>
      </c>
      <c r="K996" s="33"/>
      <c r="L996" s="33"/>
      <c r="M996" s="33"/>
      <c r="N996" s="33"/>
      <c r="O996" s="33"/>
      <c r="P996" s="33"/>
      <c r="Q996" s="33"/>
      <c r="R996" s="33"/>
      <c r="S996" s="33"/>
      <c r="T996" s="33"/>
    </row>
    <row r="997" spans="1:20" ht="15.75">
      <c r="A997" s="13">
        <v>72228</v>
      </c>
      <c r="B997" s="41">
        <f t="shared" si="6"/>
        <v>30</v>
      </c>
      <c r="C997" s="32">
        <v>194.20500000000001</v>
      </c>
      <c r="D997" s="32">
        <v>267.46600000000001</v>
      </c>
      <c r="E997" s="38">
        <v>812.32899999999995</v>
      </c>
      <c r="F997" s="32">
        <v>1274</v>
      </c>
      <c r="G997" s="32">
        <v>50</v>
      </c>
      <c r="H997" s="40">
        <v>600</v>
      </c>
      <c r="I997" s="32">
        <v>695</v>
      </c>
      <c r="J997" s="32">
        <v>0</v>
      </c>
      <c r="K997" s="33"/>
      <c r="L997" s="33"/>
      <c r="M997" s="33"/>
      <c r="N997" s="33"/>
      <c r="O997" s="33"/>
      <c r="P997" s="33"/>
      <c r="Q997" s="33"/>
      <c r="R997" s="33"/>
      <c r="S997" s="33"/>
      <c r="T997" s="33"/>
    </row>
    <row r="998" spans="1:20" ht="15.75">
      <c r="A998" s="13">
        <v>72259</v>
      </c>
      <c r="B998" s="41">
        <f t="shared" si="6"/>
        <v>31</v>
      </c>
      <c r="C998" s="32">
        <v>131.881</v>
      </c>
      <c r="D998" s="32">
        <v>277.16699999999997</v>
      </c>
      <c r="E998" s="38">
        <v>829.952</v>
      </c>
      <c r="F998" s="32">
        <v>1239</v>
      </c>
      <c r="G998" s="32">
        <v>75</v>
      </c>
      <c r="H998" s="40">
        <v>600</v>
      </c>
      <c r="I998" s="32">
        <v>695</v>
      </c>
      <c r="J998" s="32">
        <v>0</v>
      </c>
      <c r="K998" s="33"/>
      <c r="L998" s="33"/>
      <c r="M998" s="33"/>
      <c r="N998" s="33"/>
      <c r="O998" s="33"/>
      <c r="P998" s="33"/>
      <c r="Q998" s="33"/>
      <c r="R998" s="33"/>
      <c r="S998" s="33"/>
      <c r="T998" s="33"/>
    </row>
    <row r="999" spans="1:20" ht="15.75">
      <c r="A999" s="13">
        <v>72289</v>
      </c>
      <c r="B999" s="41">
        <f t="shared" si="6"/>
        <v>30</v>
      </c>
      <c r="C999" s="32">
        <v>122.58</v>
      </c>
      <c r="D999" s="32">
        <v>297.94099999999997</v>
      </c>
      <c r="E999" s="38">
        <v>729.47900000000004</v>
      </c>
      <c r="F999" s="32">
        <v>1150</v>
      </c>
      <c r="G999" s="32">
        <v>100</v>
      </c>
      <c r="H999" s="40">
        <v>600</v>
      </c>
      <c r="I999" s="32">
        <v>695</v>
      </c>
      <c r="J999" s="32">
        <v>50</v>
      </c>
      <c r="K999" s="33"/>
      <c r="L999" s="33"/>
      <c r="M999" s="33"/>
      <c r="N999" s="33"/>
      <c r="O999" s="33"/>
      <c r="P999" s="33"/>
      <c r="Q999" s="33"/>
      <c r="R999" s="33"/>
      <c r="S999" s="33"/>
      <c r="T999" s="33"/>
    </row>
    <row r="1000" spans="1:20" ht="15.75">
      <c r="A1000" s="13">
        <v>72320</v>
      </c>
      <c r="B1000" s="41">
        <f t="shared" si="6"/>
        <v>31</v>
      </c>
      <c r="C1000" s="32">
        <v>122.58</v>
      </c>
      <c r="D1000" s="32">
        <v>297.94099999999997</v>
      </c>
      <c r="E1000" s="38">
        <v>729.47900000000004</v>
      </c>
      <c r="F1000" s="32">
        <v>1150</v>
      </c>
      <c r="G1000" s="32">
        <v>100</v>
      </c>
      <c r="H1000" s="40">
        <v>600</v>
      </c>
      <c r="I1000" s="32">
        <v>695</v>
      </c>
      <c r="J1000" s="32">
        <v>50</v>
      </c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</row>
    <row r="1001" spans="1:20" ht="15.75">
      <c r="A1001" s="13">
        <v>72351</v>
      </c>
      <c r="B1001" s="41">
        <f t="shared" si="6"/>
        <v>31</v>
      </c>
      <c r="C1001" s="32">
        <v>122.58</v>
      </c>
      <c r="D1001" s="32">
        <v>297.94099999999997</v>
      </c>
      <c r="E1001" s="38">
        <v>729.47900000000004</v>
      </c>
      <c r="F1001" s="32">
        <v>1150</v>
      </c>
      <c r="G1001" s="32">
        <v>100</v>
      </c>
      <c r="H1001" s="40">
        <v>600</v>
      </c>
      <c r="I1001" s="32">
        <v>695</v>
      </c>
      <c r="J1001" s="32">
        <v>50</v>
      </c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</row>
    <row r="1002" spans="1:20" ht="15.75">
      <c r="A1002" s="13">
        <v>72379</v>
      </c>
      <c r="B1002" s="41">
        <f t="shared" si="6"/>
        <v>28</v>
      </c>
      <c r="C1002" s="32">
        <v>122.58</v>
      </c>
      <c r="D1002" s="32">
        <v>297.94099999999997</v>
      </c>
      <c r="E1002" s="38">
        <v>729.47900000000004</v>
      </c>
      <c r="F1002" s="32">
        <v>1150</v>
      </c>
      <c r="G1002" s="32">
        <v>100</v>
      </c>
      <c r="H1002" s="40">
        <v>600</v>
      </c>
      <c r="I1002" s="32">
        <v>695</v>
      </c>
      <c r="J1002" s="32">
        <v>50</v>
      </c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</row>
    <row r="1003" spans="1:20" ht="15.75">
      <c r="A1003" s="13">
        <v>72410</v>
      </c>
      <c r="B1003" s="41">
        <f t="shared" si="6"/>
        <v>31</v>
      </c>
      <c r="C1003" s="32">
        <v>122.58</v>
      </c>
      <c r="D1003" s="32">
        <v>297.94099999999997</v>
      </c>
      <c r="E1003" s="38">
        <v>729.47900000000004</v>
      </c>
      <c r="F1003" s="32">
        <v>1150</v>
      </c>
      <c r="G1003" s="32">
        <v>100</v>
      </c>
      <c r="H1003" s="40">
        <v>600</v>
      </c>
      <c r="I1003" s="32">
        <v>695</v>
      </c>
      <c r="J1003" s="32">
        <v>50</v>
      </c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</row>
    <row r="1004" spans="1:20" ht="15.75">
      <c r="A1004" s="13">
        <v>72440</v>
      </c>
      <c r="B1004" s="41">
        <f t="shared" si="6"/>
        <v>30</v>
      </c>
      <c r="C1004" s="32">
        <v>141.29300000000001</v>
      </c>
      <c r="D1004" s="32">
        <v>267.99299999999999</v>
      </c>
      <c r="E1004" s="38">
        <v>829.71400000000006</v>
      </c>
      <c r="F1004" s="32">
        <v>1239</v>
      </c>
      <c r="G1004" s="32">
        <v>100</v>
      </c>
      <c r="H1004" s="40">
        <v>600</v>
      </c>
      <c r="I1004" s="32">
        <v>695</v>
      </c>
      <c r="J1004" s="32">
        <v>50</v>
      </c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</row>
    <row r="1005" spans="1:20" ht="15.75">
      <c r="A1005" s="13">
        <v>72471</v>
      </c>
      <c r="B1005" s="41">
        <f t="shared" si="6"/>
        <v>31</v>
      </c>
      <c r="C1005" s="32">
        <v>194.20500000000001</v>
      </c>
      <c r="D1005" s="32">
        <v>267.46600000000001</v>
      </c>
      <c r="E1005" s="38">
        <v>812.32899999999995</v>
      </c>
      <c r="F1005" s="32">
        <v>1274</v>
      </c>
      <c r="G1005" s="32">
        <v>75</v>
      </c>
      <c r="H1005" s="40">
        <v>600</v>
      </c>
      <c r="I1005" s="32">
        <v>695</v>
      </c>
      <c r="J1005" s="32">
        <v>50</v>
      </c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</row>
    <row r="1006" spans="1:20" ht="15.75">
      <c r="A1006" s="13">
        <v>72501</v>
      </c>
      <c r="B1006" s="41">
        <f t="shared" si="6"/>
        <v>30</v>
      </c>
      <c r="C1006" s="32">
        <v>194.20500000000001</v>
      </c>
      <c r="D1006" s="32">
        <v>267.46600000000001</v>
      </c>
      <c r="E1006" s="38">
        <v>812.32899999999995</v>
      </c>
      <c r="F1006" s="32">
        <v>1274</v>
      </c>
      <c r="G1006" s="32">
        <v>50</v>
      </c>
      <c r="H1006" s="40">
        <v>600</v>
      </c>
      <c r="I1006" s="32">
        <v>695</v>
      </c>
      <c r="J1006" s="32">
        <v>50</v>
      </c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</row>
    <row r="1007" spans="1:20" ht="15.75">
      <c r="A1007" s="13">
        <v>72532</v>
      </c>
      <c r="B1007" s="41">
        <f t="shared" si="6"/>
        <v>31</v>
      </c>
      <c r="C1007" s="32">
        <v>194.20500000000001</v>
      </c>
      <c r="D1007" s="32">
        <v>267.46600000000001</v>
      </c>
      <c r="E1007" s="38">
        <v>812.32899999999995</v>
      </c>
      <c r="F1007" s="32">
        <v>1274</v>
      </c>
      <c r="G1007" s="32">
        <v>50</v>
      </c>
      <c r="H1007" s="40">
        <v>600</v>
      </c>
      <c r="I1007" s="32">
        <v>695</v>
      </c>
      <c r="J1007" s="32">
        <v>0</v>
      </c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</row>
    <row r="1008" spans="1:20" ht="15.75">
      <c r="A1008" s="13">
        <v>72563</v>
      </c>
      <c r="B1008" s="41">
        <f t="shared" si="6"/>
        <v>31</v>
      </c>
      <c r="C1008" s="32">
        <v>194.20500000000001</v>
      </c>
      <c r="D1008" s="32">
        <v>267.46600000000001</v>
      </c>
      <c r="E1008" s="38">
        <v>812.32899999999995</v>
      </c>
      <c r="F1008" s="32">
        <v>1274</v>
      </c>
      <c r="G1008" s="32">
        <v>50</v>
      </c>
      <c r="H1008" s="40">
        <v>600</v>
      </c>
      <c r="I1008" s="32">
        <v>695</v>
      </c>
      <c r="J1008" s="32">
        <v>0</v>
      </c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</row>
    <row r="1009" spans="1:20" ht="15.75">
      <c r="A1009" s="13">
        <v>72593</v>
      </c>
      <c r="B1009" s="41">
        <f t="shared" si="6"/>
        <v>30</v>
      </c>
      <c r="C1009" s="32">
        <v>194.20500000000001</v>
      </c>
      <c r="D1009" s="32">
        <v>267.46600000000001</v>
      </c>
      <c r="E1009" s="38">
        <v>812.32899999999995</v>
      </c>
      <c r="F1009" s="32">
        <v>1274</v>
      </c>
      <c r="G1009" s="32">
        <v>50</v>
      </c>
      <c r="H1009" s="40">
        <v>600</v>
      </c>
      <c r="I1009" s="32">
        <v>695</v>
      </c>
      <c r="J1009" s="32">
        <v>0</v>
      </c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</row>
    <row r="1010" spans="1:20" ht="15.75">
      <c r="A1010" s="13">
        <v>72624</v>
      </c>
      <c r="B1010" s="41">
        <f t="shared" si="6"/>
        <v>31</v>
      </c>
      <c r="C1010" s="32">
        <v>131.881</v>
      </c>
      <c r="D1010" s="32">
        <v>277.16699999999997</v>
      </c>
      <c r="E1010" s="38">
        <v>829.952</v>
      </c>
      <c r="F1010" s="32">
        <v>1239</v>
      </c>
      <c r="G1010" s="32">
        <v>75</v>
      </c>
      <c r="H1010" s="40">
        <v>600</v>
      </c>
      <c r="I1010" s="32">
        <v>695</v>
      </c>
      <c r="J1010" s="32">
        <v>0</v>
      </c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</row>
    <row r="1011" spans="1:20" ht="15.75">
      <c r="A1011" s="13">
        <v>72654</v>
      </c>
      <c r="B1011" s="41">
        <f t="shared" si="6"/>
        <v>30</v>
      </c>
      <c r="C1011" s="32">
        <v>122.58</v>
      </c>
      <c r="D1011" s="32">
        <v>297.94099999999997</v>
      </c>
      <c r="E1011" s="38">
        <v>729.47900000000004</v>
      </c>
      <c r="F1011" s="32">
        <v>1150</v>
      </c>
      <c r="G1011" s="32">
        <v>100</v>
      </c>
      <c r="H1011" s="40">
        <v>600</v>
      </c>
      <c r="I1011" s="32">
        <v>695</v>
      </c>
      <c r="J1011" s="32">
        <v>50</v>
      </c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</row>
    <row r="1012" spans="1:20" ht="15.75">
      <c r="A1012" s="13">
        <v>72685</v>
      </c>
      <c r="B1012" s="41">
        <f t="shared" si="6"/>
        <v>31</v>
      </c>
      <c r="C1012" s="32">
        <v>122.58</v>
      </c>
      <c r="D1012" s="32">
        <v>297.94099999999997</v>
      </c>
      <c r="E1012" s="38">
        <v>729.47900000000004</v>
      </c>
      <c r="F1012" s="32">
        <v>1150</v>
      </c>
      <c r="G1012" s="32">
        <v>100</v>
      </c>
      <c r="H1012" s="40">
        <v>600</v>
      </c>
      <c r="I1012" s="32">
        <v>695</v>
      </c>
      <c r="J1012" s="32">
        <v>50</v>
      </c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</row>
    <row r="1013" spans="1:20" ht="15.75">
      <c r="A1013" s="13">
        <v>72716</v>
      </c>
      <c r="B1013" s="41">
        <f t="shared" si="6"/>
        <v>31</v>
      </c>
      <c r="C1013" s="32">
        <v>122.58</v>
      </c>
      <c r="D1013" s="32">
        <v>297.94099999999997</v>
      </c>
      <c r="E1013" s="38">
        <v>729.47900000000004</v>
      </c>
      <c r="F1013" s="32">
        <v>1150</v>
      </c>
      <c r="G1013" s="32">
        <v>100</v>
      </c>
      <c r="H1013" s="40">
        <v>600</v>
      </c>
      <c r="I1013" s="32">
        <v>695</v>
      </c>
      <c r="J1013" s="32">
        <v>50</v>
      </c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</row>
    <row r="1014" spans="1:20" ht="15.75">
      <c r="A1014" s="13">
        <v>72744</v>
      </c>
      <c r="B1014" s="41">
        <f t="shared" si="6"/>
        <v>28</v>
      </c>
      <c r="C1014" s="32">
        <v>122.58</v>
      </c>
      <c r="D1014" s="32">
        <v>297.94099999999997</v>
      </c>
      <c r="E1014" s="38">
        <v>729.47900000000004</v>
      </c>
      <c r="F1014" s="32">
        <v>1150</v>
      </c>
      <c r="G1014" s="32">
        <v>100</v>
      </c>
      <c r="H1014" s="40">
        <v>600</v>
      </c>
      <c r="I1014" s="32">
        <v>695</v>
      </c>
      <c r="J1014" s="32">
        <v>50</v>
      </c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</row>
    <row r="1015" spans="1:20" ht="15.75">
      <c r="A1015" s="13">
        <v>72775</v>
      </c>
      <c r="B1015" s="41">
        <f t="shared" si="6"/>
        <v>31</v>
      </c>
      <c r="C1015" s="32">
        <v>122.58</v>
      </c>
      <c r="D1015" s="32">
        <v>297.94099999999997</v>
      </c>
      <c r="E1015" s="38">
        <v>729.47900000000004</v>
      </c>
      <c r="F1015" s="32">
        <v>1150</v>
      </c>
      <c r="G1015" s="32">
        <v>100</v>
      </c>
      <c r="H1015" s="40">
        <v>600</v>
      </c>
      <c r="I1015" s="32">
        <v>695</v>
      </c>
      <c r="J1015" s="32">
        <v>50</v>
      </c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</row>
    <row r="1016" spans="1:20" ht="15.75">
      <c r="A1016" s="13">
        <v>72805</v>
      </c>
      <c r="B1016" s="41">
        <f t="shared" si="6"/>
        <v>30</v>
      </c>
      <c r="C1016" s="32">
        <v>141.29300000000001</v>
      </c>
      <c r="D1016" s="32">
        <v>267.99299999999999</v>
      </c>
      <c r="E1016" s="38">
        <v>829.71400000000006</v>
      </c>
      <c r="F1016" s="32">
        <v>1239</v>
      </c>
      <c r="G1016" s="32">
        <v>100</v>
      </c>
      <c r="H1016" s="40">
        <v>600</v>
      </c>
      <c r="I1016" s="32">
        <v>695</v>
      </c>
      <c r="J1016" s="32">
        <v>50</v>
      </c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</row>
    <row r="1017" spans="1:20" ht="15.75">
      <c r="A1017" s="13">
        <v>72836</v>
      </c>
      <c r="B1017" s="41">
        <f t="shared" ref="B1017:B1036" si="7">EOMONTH(A1017,0)-EOMONTH(A1017,-1)</f>
        <v>31</v>
      </c>
      <c r="C1017" s="32">
        <v>194.20500000000001</v>
      </c>
      <c r="D1017" s="32">
        <v>267.46600000000001</v>
      </c>
      <c r="E1017" s="38">
        <v>812.32899999999995</v>
      </c>
      <c r="F1017" s="32">
        <v>1274</v>
      </c>
      <c r="G1017" s="32">
        <v>75</v>
      </c>
      <c r="H1017" s="40">
        <v>600</v>
      </c>
      <c r="I1017" s="32">
        <v>695</v>
      </c>
      <c r="J1017" s="32">
        <v>50</v>
      </c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</row>
    <row r="1018" spans="1:20" ht="15.75">
      <c r="A1018" s="13">
        <v>72866</v>
      </c>
      <c r="B1018" s="41">
        <f t="shared" si="7"/>
        <v>30</v>
      </c>
      <c r="C1018" s="32">
        <v>194.20500000000001</v>
      </c>
      <c r="D1018" s="32">
        <v>267.46600000000001</v>
      </c>
      <c r="E1018" s="38">
        <v>812.32899999999995</v>
      </c>
      <c r="F1018" s="32">
        <v>1274</v>
      </c>
      <c r="G1018" s="32">
        <v>50</v>
      </c>
      <c r="H1018" s="40">
        <v>600</v>
      </c>
      <c r="I1018" s="32">
        <v>695</v>
      </c>
      <c r="J1018" s="32">
        <v>50</v>
      </c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</row>
    <row r="1019" spans="1:20" ht="15.75">
      <c r="A1019" s="13">
        <v>72897</v>
      </c>
      <c r="B1019" s="41">
        <f t="shared" si="7"/>
        <v>31</v>
      </c>
      <c r="C1019" s="32">
        <v>194.20500000000001</v>
      </c>
      <c r="D1019" s="32">
        <v>267.46600000000001</v>
      </c>
      <c r="E1019" s="38">
        <v>812.32899999999995</v>
      </c>
      <c r="F1019" s="32">
        <v>1274</v>
      </c>
      <c r="G1019" s="32">
        <v>50</v>
      </c>
      <c r="H1019" s="40">
        <v>600</v>
      </c>
      <c r="I1019" s="32">
        <v>695</v>
      </c>
      <c r="J1019" s="32">
        <v>0</v>
      </c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</row>
    <row r="1020" spans="1:20" ht="15.75">
      <c r="A1020" s="13">
        <v>72928</v>
      </c>
      <c r="B1020" s="41">
        <f t="shared" si="7"/>
        <v>31</v>
      </c>
      <c r="C1020" s="32">
        <v>194.20500000000001</v>
      </c>
      <c r="D1020" s="32">
        <v>267.46600000000001</v>
      </c>
      <c r="E1020" s="38">
        <v>812.32899999999995</v>
      </c>
      <c r="F1020" s="32">
        <v>1274</v>
      </c>
      <c r="G1020" s="32">
        <v>50</v>
      </c>
      <c r="H1020" s="40">
        <v>600</v>
      </c>
      <c r="I1020" s="32">
        <v>695</v>
      </c>
      <c r="J1020" s="32">
        <v>0</v>
      </c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</row>
    <row r="1021" spans="1:20" ht="15.75">
      <c r="A1021" s="13">
        <v>72958</v>
      </c>
      <c r="B1021" s="41">
        <f t="shared" si="7"/>
        <v>30</v>
      </c>
      <c r="C1021" s="32">
        <v>194.20500000000001</v>
      </c>
      <c r="D1021" s="32">
        <v>267.46600000000001</v>
      </c>
      <c r="E1021" s="38">
        <v>812.32899999999995</v>
      </c>
      <c r="F1021" s="32">
        <v>1274</v>
      </c>
      <c r="G1021" s="32">
        <v>50</v>
      </c>
      <c r="H1021" s="40">
        <v>600</v>
      </c>
      <c r="I1021" s="32">
        <v>695</v>
      </c>
      <c r="J1021" s="32">
        <v>0</v>
      </c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</row>
    <row r="1022" spans="1:20" ht="15.75">
      <c r="A1022" s="13">
        <v>72989</v>
      </c>
      <c r="B1022" s="41">
        <f t="shared" si="7"/>
        <v>31</v>
      </c>
      <c r="C1022" s="32">
        <v>131.881</v>
      </c>
      <c r="D1022" s="32">
        <v>277.16699999999997</v>
      </c>
      <c r="E1022" s="38">
        <v>829.952</v>
      </c>
      <c r="F1022" s="32">
        <v>1239</v>
      </c>
      <c r="G1022" s="32">
        <v>75</v>
      </c>
      <c r="H1022" s="40">
        <v>600</v>
      </c>
      <c r="I1022" s="32">
        <v>695</v>
      </c>
      <c r="J1022" s="32">
        <v>0</v>
      </c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</row>
    <row r="1023" spans="1:20" ht="15.75">
      <c r="A1023" s="13">
        <v>73019</v>
      </c>
      <c r="B1023" s="41">
        <f t="shared" si="7"/>
        <v>30</v>
      </c>
      <c r="C1023" s="32">
        <v>122.58</v>
      </c>
      <c r="D1023" s="32">
        <v>297.94099999999997</v>
      </c>
      <c r="E1023" s="38">
        <v>729.47900000000004</v>
      </c>
      <c r="F1023" s="32">
        <v>1150</v>
      </c>
      <c r="G1023" s="32">
        <v>100</v>
      </c>
      <c r="H1023" s="40">
        <v>600</v>
      </c>
      <c r="I1023" s="32">
        <v>695</v>
      </c>
      <c r="J1023" s="32">
        <v>50</v>
      </c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</row>
    <row r="1024" spans="1:20" ht="15.75">
      <c r="A1024" s="13">
        <v>73050</v>
      </c>
      <c r="B1024" s="41">
        <f t="shared" si="7"/>
        <v>31</v>
      </c>
      <c r="C1024" s="32">
        <v>122.58</v>
      </c>
      <c r="D1024" s="32">
        <v>297.94099999999997</v>
      </c>
      <c r="E1024" s="38">
        <v>729.47900000000004</v>
      </c>
      <c r="F1024" s="32">
        <v>1150</v>
      </c>
      <c r="G1024" s="32">
        <v>100</v>
      </c>
      <c r="H1024" s="40">
        <v>600</v>
      </c>
      <c r="I1024" s="32">
        <v>695</v>
      </c>
      <c r="J1024" s="32">
        <v>50</v>
      </c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</row>
    <row r="1025" spans="1:20" ht="15.75">
      <c r="A1025" s="13">
        <v>73081</v>
      </c>
      <c r="B1025" s="41">
        <f t="shared" si="7"/>
        <v>31</v>
      </c>
      <c r="C1025" s="32">
        <v>122.58</v>
      </c>
      <c r="D1025" s="32">
        <v>297.94099999999997</v>
      </c>
      <c r="E1025" s="38">
        <v>729.47900000000004</v>
      </c>
      <c r="F1025" s="32">
        <v>1150</v>
      </c>
      <c r="G1025" s="32">
        <v>100</v>
      </c>
      <c r="H1025" s="40">
        <v>600</v>
      </c>
      <c r="I1025" s="32">
        <v>695</v>
      </c>
      <c r="J1025" s="32">
        <v>50</v>
      </c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</row>
    <row r="1026" spans="1:20" ht="15.75">
      <c r="A1026" s="13">
        <v>73109</v>
      </c>
      <c r="B1026" s="41">
        <f t="shared" si="7"/>
        <v>28</v>
      </c>
      <c r="C1026" s="32">
        <v>122.58</v>
      </c>
      <c r="D1026" s="32">
        <v>297.94099999999997</v>
      </c>
      <c r="E1026" s="38">
        <v>729.47900000000004</v>
      </c>
      <c r="F1026" s="32">
        <v>1150</v>
      </c>
      <c r="G1026" s="32">
        <v>100</v>
      </c>
      <c r="H1026" s="40">
        <v>600</v>
      </c>
      <c r="I1026" s="32">
        <v>695</v>
      </c>
      <c r="J1026" s="32">
        <v>50</v>
      </c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</row>
    <row r="1027" spans="1:20" ht="15.75">
      <c r="A1027" s="13">
        <v>73140</v>
      </c>
      <c r="B1027" s="41">
        <f t="shared" si="7"/>
        <v>31</v>
      </c>
      <c r="C1027" s="32">
        <v>122.58</v>
      </c>
      <c r="D1027" s="32">
        <v>297.94099999999997</v>
      </c>
      <c r="E1027" s="38">
        <v>729.47900000000004</v>
      </c>
      <c r="F1027" s="32">
        <v>1150</v>
      </c>
      <c r="G1027" s="32">
        <v>100</v>
      </c>
      <c r="H1027" s="40">
        <v>600</v>
      </c>
      <c r="I1027" s="32">
        <v>695</v>
      </c>
      <c r="J1027" s="32">
        <v>50</v>
      </c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</row>
    <row r="1028" spans="1:20" ht="15.75">
      <c r="A1028" s="13">
        <v>73170</v>
      </c>
      <c r="B1028" s="41">
        <f t="shared" si="7"/>
        <v>30</v>
      </c>
      <c r="C1028" s="32">
        <v>141.29300000000001</v>
      </c>
      <c r="D1028" s="32">
        <v>267.99299999999999</v>
      </c>
      <c r="E1028" s="38">
        <v>829.71400000000006</v>
      </c>
      <c r="F1028" s="32">
        <v>1239</v>
      </c>
      <c r="G1028" s="32">
        <v>100</v>
      </c>
      <c r="H1028" s="40">
        <v>600</v>
      </c>
      <c r="I1028" s="32">
        <v>695</v>
      </c>
      <c r="J1028" s="32">
        <v>50</v>
      </c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</row>
    <row r="1029" spans="1:20" ht="15.75">
      <c r="A1029" s="13">
        <v>73201</v>
      </c>
      <c r="B1029" s="41">
        <f t="shared" si="7"/>
        <v>31</v>
      </c>
      <c r="C1029" s="32">
        <v>194.20500000000001</v>
      </c>
      <c r="D1029" s="32">
        <v>267.46600000000001</v>
      </c>
      <c r="E1029" s="38">
        <v>812.32899999999995</v>
      </c>
      <c r="F1029" s="32">
        <v>1274</v>
      </c>
      <c r="G1029" s="32">
        <v>75</v>
      </c>
      <c r="H1029" s="40">
        <v>600</v>
      </c>
      <c r="I1029" s="32">
        <v>695</v>
      </c>
      <c r="J1029" s="32">
        <v>50</v>
      </c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</row>
    <row r="1030" spans="1:20" ht="15.75">
      <c r="A1030" s="13">
        <v>73231</v>
      </c>
      <c r="B1030" s="41">
        <f t="shared" si="7"/>
        <v>30</v>
      </c>
      <c r="C1030" s="32">
        <v>194.20500000000001</v>
      </c>
      <c r="D1030" s="32">
        <v>267.46600000000001</v>
      </c>
      <c r="E1030" s="38">
        <v>812.32899999999995</v>
      </c>
      <c r="F1030" s="32">
        <v>1274</v>
      </c>
      <c r="G1030" s="32">
        <v>50</v>
      </c>
      <c r="H1030" s="40">
        <v>600</v>
      </c>
      <c r="I1030" s="32">
        <v>695</v>
      </c>
      <c r="J1030" s="32">
        <v>50</v>
      </c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</row>
    <row r="1031" spans="1:20" ht="15.75">
      <c r="A1031" s="13">
        <v>73262</v>
      </c>
      <c r="B1031" s="41">
        <f t="shared" si="7"/>
        <v>31</v>
      </c>
      <c r="C1031" s="32">
        <v>194.20500000000001</v>
      </c>
      <c r="D1031" s="32">
        <v>267.46600000000001</v>
      </c>
      <c r="E1031" s="38">
        <v>812.32899999999995</v>
      </c>
      <c r="F1031" s="32">
        <v>1274</v>
      </c>
      <c r="G1031" s="32">
        <v>50</v>
      </c>
      <c r="H1031" s="40">
        <v>600</v>
      </c>
      <c r="I1031" s="32">
        <v>695</v>
      </c>
      <c r="J1031" s="32">
        <v>0</v>
      </c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</row>
    <row r="1032" spans="1:20" ht="15.75">
      <c r="A1032" s="13">
        <v>73293</v>
      </c>
      <c r="B1032" s="41">
        <f t="shared" si="7"/>
        <v>31</v>
      </c>
      <c r="C1032" s="32">
        <v>194.20500000000001</v>
      </c>
      <c r="D1032" s="32">
        <v>267.46600000000001</v>
      </c>
      <c r="E1032" s="38">
        <v>812.32899999999995</v>
      </c>
      <c r="F1032" s="32">
        <v>1274</v>
      </c>
      <c r="G1032" s="32">
        <v>50</v>
      </c>
      <c r="H1032" s="40">
        <v>600</v>
      </c>
      <c r="I1032" s="32">
        <v>695</v>
      </c>
      <c r="J1032" s="32">
        <v>0</v>
      </c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</row>
    <row r="1033" spans="1:20" ht="15.75">
      <c r="A1033" s="13">
        <v>73323</v>
      </c>
      <c r="B1033" s="41">
        <f t="shared" si="7"/>
        <v>30</v>
      </c>
      <c r="C1033" s="32">
        <v>194.20500000000001</v>
      </c>
      <c r="D1033" s="32">
        <v>267.46600000000001</v>
      </c>
      <c r="E1033" s="38">
        <v>812.32899999999995</v>
      </c>
      <c r="F1033" s="32">
        <v>1274</v>
      </c>
      <c r="G1033" s="32">
        <v>50</v>
      </c>
      <c r="H1033" s="40">
        <v>600</v>
      </c>
      <c r="I1033" s="32">
        <v>695</v>
      </c>
      <c r="J1033" s="32">
        <v>0</v>
      </c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</row>
    <row r="1034" spans="1:20" ht="15.75">
      <c r="A1034" s="13">
        <v>73354</v>
      </c>
      <c r="B1034" s="41">
        <f t="shared" si="7"/>
        <v>31</v>
      </c>
      <c r="C1034" s="32">
        <v>131.881</v>
      </c>
      <c r="D1034" s="32">
        <v>277.16699999999997</v>
      </c>
      <c r="E1034" s="38">
        <v>829.952</v>
      </c>
      <c r="F1034" s="32">
        <v>1239</v>
      </c>
      <c r="G1034" s="32">
        <v>75</v>
      </c>
      <c r="H1034" s="40">
        <v>600</v>
      </c>
      <c r="I1034" s="32">
        <v>695</v>
      </c>
      <c r="J1034" s="32">
        <v>0</v>
      </c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</row>
    <row r="1035" spans="1:20" ht="15.75">
      <c r="A1035" s="13">
        <v>73384</v>
      </c>
      <c r="B1035" s="41">
        <f t="shared" si="7"/>
        <v>30</v>
      </c>
      <c r="C1035" s="32">
        <v>122.58</v>
      </c>
      <c r="D1035" s="32">
        <v>297.94099999999997</v>
      </c>
      <c r="E1035" s="38">
        <v>729.47900000000004</v>
      </c>
      <c r="F1035" s="32">
        <v>1150</v>
      </c>
      <c r="G1035" s="32">
        <v>100</v>
      </c>
      <c r="H1035" s="40">
        <v>600</v>
      </c>
      <c r="I1035" s="32">
        <v>695</v>
      </c>
      <c r="J1035" s="32">
        <v>50</v>
      </c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</row>
    <row r="1036" spans="1:20" ht="15.75">
      <c r="A1036" s="13">
        <v>73415</v>
      </c>
      <c r="B1036" s="41">
        <f t="shared" si="7"/>
        <v>31</v>
      </c>
      <c r="C1036" s="32">
        <v>122.58</v>
      </c>
      <c r="D1036" s="32">
        <v>297.94099999999997</v>
      </c>
      <c r="E1036" s="38">
        <v>729.47900000000004</v>
      </c>
      <c r="F1036" s="32">
        <v>1150</v>
      </c>
      <c r="G1036" s="32">
        <v>100</v>
      </c>
      <c r="H1036" s="40">
        <v>600</v>
      </c>
      <c r="I1036" s="32">
        <v>695</v>
      </c>
      <c r="J1036" s="32">
        <v>50</v>
      </c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</row>
    <row r="1037" spans="1:20" ht="15">
      <c r="A1037" s="10"/>
      <c r="B1037" s="39"/>
      <c r="C1037" s="32"/>
      <c r="D1037" s="32"/>
      <c r="E1037" s="38"/>
      <c r="F1037" s="32"/>
      <c r="G1037" s="32"/>
      <c r="H1037" s="32"/>
      <c r="I1037" s="32"/>
      <c r="J1037" s="32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</row>
    <row r="1038" spans="1:20" ht="15.75">
      <c r="A1038" s="3">
        <v>2016</v>
      </c>
      <c r="B1038" s="3">
        <f t="shared" ref="B1038:B1069" si="8">DATE(A1038+1,1,1)-DATE(A1038,1,1)</f>
        <v>366</v>
      </c>
      <c r="C1038" s="35">
        <f>AVERAGE(C17:C28)</f>
        <v>154.75825</v>
      </c>
      <c r="D1038" s="35">
        <f>AVERAGE(D17:D28)</f>
        <v>281.0162499999999</v>
      </c>
      <c r="E1038" s="35">
        <f>AVERAGE(E17:E28)</f>
        <v>840.72549999999967</v>
      </c>
      <c r="F1038" s="35">
        <f>AVERAGE(F17:F28)</f>
        <v>1276.5</v>
      </c>
      <c r="G1038" s="35">
        <f>AVERAGE(G17:G28)</f>
        <v>79.166666666666671</v>
      </c>
      <c r="H1038" s="37"/>
      <c r="I1038" s="35">
        <f>AVERAGE(I17:I28)</f>
        <v>695</v>
      </c>
      <c r="J1038" s="35">
        <f>AVERAGE(J17:J28)</f>
        <v>33.333333333333336</v>
      </c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</row>
    <row r="1039" spans="1:20" ht="15">
      <c r="A1039" s="3">
        <v>2017</v>
      </c>
      <c r="B1039" s="3">
        <f t="shared" si="8"/>
        <v>365</v>
      </c>
      <c r="C1039" s="35">
        <f t="shared" ref="C1039:J1039" si="9">AVERAGE(C29:C40)</f>
        <v>154.75825</v>
      </c>
      <c r="D1039" s="35">
        <f t="shared" si="9"/>
        <v>281.0162499999999</v>
      </c>
      <c r="E1039" s="35">
        <f t="shared" si="9"/>
        <v>780.7254999999999</v>
      </c>
      <c r="F1039" s="35">
        <f t="shared" si="9"/>
        <v>1216.5</v>
      </c>
      <c r="G1039" s="35">
        <f t="shared" si="9"/>
        <v>79.166666666666671</v>
      </c>
      <c r="H1039" s="36">
        <f t="shared" si="9"/>
        <v>400</v>
      </c>
      <c r="I1039" s="35">
        <f t="shared" si="9"/>
        <v>695</v>
      </c>
      <c r="J1039" s="35">
        <f t="shared" si="9"/>
        <v>33.333333333333336</v>
      </c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</row>
    <row r="1040" spans="1:20" ht="15">
      <c r="A1040" s="3">
        <v>2018</v>
      </c>
      <c r="B1040" s="3">
        <f t="shared" si="8"/>
        <v>365</v>
      </c>
      <c r="C1040" s="35">
        <f t="shared" ref="C1040:J1040" si="10">AVERAGE(C41:C52)</f>
        <v>154.75825</v>
      </c>
      <c r="D1040" s="35">
        <f t="shared" si="10"/>
        <v>281.0162499999999</v>
      </c>
      <c r="E1040" s="35">
        <f t="shared" si="10"/>
        <v>780.7254999999999</v>
      </c>
      <c r="F1040" s="35">
        <f t="shared" si="10"/>
        <v>1216.5</v>
      </c>
      <c r="G1040" s="35">
        <f t="shared" si="10"/>
        <v>79.166666666666671</v>
      </c>
      <c r="H1040" s="36">
        <f t="shared" si="10"/>
        <v>400</v>
      </c>
      <c r="I1040" s="35">
        <f t="shared" si="10"/>
        <v>695</v>
      </c>
      <c r="J1040" s="35">
        <f t="shared" si="10"/>
        <v>33.333333333333336</v>
      </c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</row>
    <row r="1041" spans="1:20" ht="15">
      <c r="A1041" s="3">
        <v>2019</v>
      </c>
      <c r="B1041" s="3">
        <f t="shared" si="8"/>
        <v>365</v>
      </c>
      <c r="C1041" s="35">
        <f t="shared" ref="C1041:J1041" si="11">AVERAGE(C53:C64)</f>
        <v>154.75825</v>
      </c>
      <c r="D1041" s="35">
        <f t="shared" si="11"/>
        <v>281.0162499999999</v>
      </c>
      <c r="E1041" s="35">
        <f t="shared" si="11"/>
        <v>780.7254999999999</v>
      </c>
      <c r="F1041" s="35">
        <f t="shared" si="11"/>
        <v>1216.5</v>
      </c>
      <c r="G1041" s="35">
        <f t="shared" si="11"/>
        <v>79.166666666666671</v>
      </c>
      <c r="H1041" s="36">
        <f t="shared" si="11"/>
        <v>400</v>
      </c>
      <c r="I1041" s="35">
        <f t="shared" si="11"/>
        <v>695</v>
      </c>
      <c r="J1041" s="35">
        <f t="shared" si="11"/>
        <v>33.333333333333336</v>
      </c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</row>
    <row r="1042" spans="1:20" ht="15">
      <c r="A1042" s="3">
        <v>2020</v>
      </c>
      <c r="B1042" s="3">
        <f t="shared" si="8"/>
        <v>366</v>
      </c>
      <c r="C1042" s="35">
        <f t="shared" ref="C1042:J1042" si="12">AVERAGE(C65:C76)</f>
        <v>154.75825</v>
      </c>
      <c r="D1042" s="35">
        <f t="shared" si="12"/>
        <v>281.0162499999999</v>
      </c>
      <c r="E1042" s="35">
        <f t="shared" si="12"/>
        <v>780.7254999999999</v>
      </c>
      <c r="F1042" s="35">
        <f t="shared" si="12"/>
        <v>1216.5</v>
      </c>
      <c r="G1042" s="35">
        <f t="shared" si="12"/>
        <v>79.166666666666671</v>
      </c>
      <c r="H1042" s="36">
        <f t="shared" si="12"/>
        <v>533.33333333333337</v>
      </c>
      <c r="I1042" s="35">
        <f t="shared" si="12"/>
        <v>695</v>
      </c>
      <c r="J1042" s="35">
        <f t="shared" si="12"/>
        <v>33.333333333333336</v>
      </c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</row>
    <row r="1043" spans="1:20" ht="15">
      <c r="A1043" s="3">
        <v>2021</v>
      </c>
      <c r="B1043" s="3">
        <f t="shared" si="8"/>
        <v>365</v>
      </c>
      <c r="C1043" s="35">
        <f t="shared" ref="C1043:J1043" si="13">AVERAGE(C77:C88)</f>
        <v>154.75825</v>
      </c>
      <c r="D1043" s="35">
        <f t="shared" si="13"/>
        <v>281.0162499999999</v>
      </c>
      <c r="E1043" s="35">
        <f t="shared" si="13"/>
        <v>780.7254999999999</v>
      </c>
      <c r="F1043" s="35">
        <f t="shared" si="13"/>
        <v>1216.5</v>
      </c>
      <c r="G1043" s="35">
        <f t="shared" si="13"/>
        <v>79.166666666666671</v>
      </c>
      <c r="H1043" s="36">
        <f t="shared" si="13"/>
        <v>600</v>
      </c>
      <c r="I1043" s="35">
        <f t="shared" si="13"/>
        <v>695</v>
      </c>
      <c r="J1043" s="35">
        <f t="shared" si="13"/>
        <v>33.333333333333336</v>
      </c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</row>
    <row r="1044" spans="1:20" ht="15">
      <c r="A1044" s="3">
        <v>2022</v>
      </c>
      <c r="B1044" s="3">
        <f t="shared" si="8"/>
        <v>365</v>
      </c>
      <c r="C1044" s="35">
        <f t="shared" ref="C1044:J1044" si="14">AVERAGE(C89:C100)</f>
        <v>154.75825</v>
      </c>
      <c r="D1044" s="35">
        <f t="shared" si="14"/>
        <v>281.0162499999999</v>
      </c>
      <c r="E1044" s="35">
        <f t="shared" si="14"/>
        <v>780.7254999999999</v>
      </c>
      <c r="F1044" s="35">
        <f t="shared" si="14"/>
        <v>1216.5</v>
      </c>
      <c r="G1044" s="35">
        <f t="shared" si="14"/>
        <v>79.166666666666671</v>
      </c>
      <c r="H1044" s="36">
        <f t="shared" si="14"/>
        <v>600</v>
      </c>
      <c r="I1044" s="35">
        <f t="shared" si="14"/>
        <v>695</v>
      </c>
      <c r="J1044" s="35">
        <f t="shared" si="14"/>
        <v>33.333333333333336</v>
      </c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</row>
    <row r="1045" spans="1:20" ht="15">
      <c r="A1045" s="3">
        <v>2023</v>
      </c>
      <c r="B1045" s="3">
        <f t="shared" si="8"/>
        <v>365</v>
      </c>
      <c r="C1045" s="35">
        <f t="shared" ref="C1045:J1045" si="15">AVERAGE(C101:C112)</f>
        <v>154.75825</v>
      </c>
      <c r="D1045" s="35">
        <f t="shared" si="15"/>
        <v>281.0162499999999</v>
      </c>
      <c r="E1045" s="35">
        <f t="shared" si="15"/>
        <v>780.7254999999999</v>
      </c>
      <c r="F1045" s="35">
        <f t="shared" si="15"/>
        <v>1216.5</v>
      </c>
      <c r="G1045" s="35">
        <f t="shared" si="15"/>
        <v>79.166666666666671</v>
      </c>
      <c r="H1045" s="36">
        <f t="shared" si="15"/>
        <v>600</v>
      </c>
      <c r="I1045" s="35">
        <f t="shared" si="15"/>
        <v>695</v>
      </c>
      <c r="J1045" s="35">
        <f t="shared" si="15"/>
        <v>33.333333333333336</v>
      </c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</row>
    <row r="1046" spans="1:20" ht="15">
      <c r="A1046" s="3">
        <v>2024</v>
      </c>
      <c r="B1046" s="3">
        <f t="shared" si="8"/>
        <v>366</v>
      </c>
      <c r="C1046" s="35">
        <f t="shared" ref="C1046:J1046" si="16">AVERAGE(C113:C124)</f>
        <v>154.75825</v>
      </c>
      <c r="D1046" s="35">
        <f t="shared" si="16"/>
        <v>281.0162499999999</v>
      </c>
      <c r="E1046" s="35">
        <f t="shared" si="16"/>
        <v>780.7254999999999</v>
      </c>
      <c r="F1046" s="35">
        <f t="shared" si="16"/>
        <v>1216.5</v>
      </c>
      <c r="G1046" s="35">
        <f t="shared" si="16"/>
        <v>79.166666666666671</v>
      </c>
      <c r="H1046" s="36">
        <f t="shared" si="16"/>
        <v>600</v>
      </c>
      <c r="I1046" s="35">
        <f t="shared" si="16"/>
        <v>695</v>
      </c>
      <c r="J1046" s="35">
        <f t="shared" si="16"/>
        <v>33.333333333333336</v>
      </c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</row>
    <row r="1047" spans="1:20" ht="15">
      <c r="A1047" s="3">
        <v>2025</v>
      </c>
      <c r="B1047" s="3">
        <f t="shared" si="8"/>
        <v>365</v>
      </c>
      <c r="C1047" s="35">
        <f t="shared" ref="C1047:J1047" si="17">AVERAGE(C125:C136)</f>
        <v>154.75825</v>
      </c>
      <c r="D1047" s="35">
        <f t="shared" si="17"/>
        <v>281.0162499999999</v>
      </c>
      <c r="E1047" s="35">
        <f t="shared" si="17"/>
        <v>780.7254999999999</v>
      </c>
      <c r="F1047" s="35">
        <f t="shared" si="17"/>
        <v>1216.5</v>
      </c>
      <c r="G1047" s="35">
        <f t="shared" si="17"/>
        <v>79.166666666666671</v>
      </c>
      <c r="H1047" s="36">
        <f t="shared" si="17"/>
        <v>600</v>
      </c>
      <c r="I1047" s="35">
        <f t="shared" si="17"/>
        <v>695</v>
      </c>
      <c r="J1047" s="35">
        <f t="shared" si="17"/>
        <v>33.333333333333336</v>
      </c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</row>
    <row r="1048" spans="1:20" ht="15">
      <c r="A1048" s="3">
        <v>2026</v>
      </c>
      <c r="B1048" s="3">
        <f t="shared" si="8"/>
        <v>365</v>
      </c>
      <c r="C1048" s="35">
        <f t="shared" ref="C1048:J1048" si="18">AVERAGE(C137:C148)</f>
        <v>154.75825</v>
      </c>
      <c r="D1048" s="35">
        <f t="shared" si="18"/>
        <v>281.0162499999999</v>
      </c>
      <c r="E1048" s="35">
        <f t="shared" si="18"/>
        <v>780.7254999999999</v>
      </c>
      <c r="F1048" s="35">
        <f t="shared" si="18"/>
        <v>1216.5</v>
      </c>
      <c r="G1048" s="35">
        <f t="shared" si="18"/>
        <v>79.166666666666671</v>
      </c>
      <c r="H1048" s="36">
        <f t="shared" si="18"/>
        <v>600</v>
      </c>
      <c r="I1048" s="35">
        <f t="shared" si="18"/>
        <v>695</v>
      </c>
      <c r="J1048" s="35">
        <f t="shared" si="18"/>
        <v>33.333333333333336</v>
      </c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</row>
    <row r="1049" spans="1:20" ht="15">
      <c r="A1049" s="3">
        <v>2027</v>
      </c>
      <c r="B1049" s="3">
        <f t="shared" si="8"/>
        <v>365</v>
      </c>
      <c r="C1049" s="35">
        <f t="shared" ref="C1049:J1049" si="19">AVERAGE(C149:C160)</f>
        <v>154.75825</v>
      </c>
      <c r="D1049" s="35">
        <f t="shared" si="19"/>
        <v>281.0162499999999</v>
      </c>
      <c r="E1049" s="35">
        <f t="shared" si="19"/>
        <v>780.7254999999999</v>
      </c>
      <c r="F1049" s="35">
        <f t="shared" si="19"/>
        <v>1216.5</v>
      </c>
      <c r="G1049" s="35">
        <f t="shared" si="19"/>
        <v>79.166666666666671</v>
      </c>
      <c r="H1049" s="36">
        <f t="shared" si="19"/>
        <v>600</v>
      </c>
      <c r="I1049" s="35">
        <f t="shared" si="19"/>
        <v>695</v>
      </c>
      <c r="J1049" s="35">
        <f t="shared" si="19"/>
        <v>33.333333333333336</v>
      </c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</row>
    <row r="1050" spans="1:20" ht="15">
      <c r="A1050" s="3">
        <v>2028</v>
      </c>
      <c r="B1050" s="3">
        <f t="shared" si="8"/>
        <v>366</v>
      </c>
      <c r="C1050" s="35">
        <f t="shared" ref="C1050:J1050" si="20">AVERAGE(C161:C172)</f>
        <v>154.75825</v>
      </c>
      <c r="D1050" s="35">
        <f t="shared" si="20"/>
        <v>281.0162499999999</v>
      </c>
      <c r="E1050" s="35">
        <f t="shared" si="20"/>
        <v>780.7254999999999</v>
      </c>
      <c r="F1050" s="35">
        <f t="shared" si="20"/>
        <v>1216.5</v>
      </c>
      <c r="G1050" s="35">
        <f t="shared" si="20"/>
        <v>79.166666666666671</v>
      </c>
      <c r="H1050" s="36">
        <f t="shared" si="20"/>
        <v>600</v>
      </c>
      <c r="I1050" s="35">
        <f t="shared" si="20"/>
        <v>695</v>
      </c>
      <c r="J1050" s="35">
        <f t="shared" si="20"/>
        <v>33.333333333333336</v>
      </c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</row>
    <row r="1051" spans="1:20" ht="15">
      <c r="A1051" s="3">
        <v>2029</v>
      </c>
      <c r="B1051" s="3">
        <f t="shared" si="8"/>
        <v>365</v>
      </c>
      <c r="C1051" s="35">
        <f t="shared" ref="C1051:J1051" si="21">AVERAGE(C173:C184)</f>
        <v>154.75825</v>
      </c>
      <c r="D1051" s="35">
        <f t="shared" si="21"/>
        <v>281.0162499999999</v>
      </c>
      <c r="E1051" s="35">
        <f t="shared" si="21"/>
        <v>780.7254999999999</v>
      </c>
      <c r="F1051" s="35">
        <f t="shared" si="21"/>
        <v>1216.5</v>
      </c>
      <c r="G1051" s="35">
        <f t="shared" si="21"/>
        <v>79.166666666666671</v>
      </c>
      <c r="H1051" s="36">
        <f t="shared" si="21"/>
        <v>600</v>
      </c>
      <c r="I1051" s="35">
        <f t="shared" si="21"/>
        <v>695</v>
      </c>
      <c r="J1051" s="35">
        <f t="shared" si="21"/>
        <v>33.333333333333336</v>
      </c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</row>
    <row r="1052" spans="1:20" ht="15">
      <c r="A1052" s="3">
        <v>2030</v>
      </c>
      <c r="B1052" s="3">
        <f t="shared" si="8"/>
        <v>365</v>
      </c>
      <c r="C1052" s="35">
        <f t="shared" ref="C1052:J1052" si="22">AVERAGE(C185:C196)</f>
        <v>154.75825</v>
      </c>
      <c r="D1052" s="35">
        <f t="shared" si="22"/>
        <v>281.0162499999999</v>
      </c>
      <c r="E1052" s="35">
        <f t="shared" si="22"/>
        <v>780.7254999999999</v>
      </c>
      <c r="F1052" s="35">
        <f t="shared" si="22"/>
        <v>1216.5</v>
      </c>
      <c r="G1052" s="35">
        <f t="shared" si="22"/>
        <v>79.166666666666671</v>
      </c>
      <c r="H1052" s="36">
        <f t="shared" si="22"/>
        <v>600</v>
      </c>
      <c r="I1052" s="35">
        <f t="shared" si="22"/>
        <v>695</v>
      </c>
      <c r="J1052" s="35">
        <f t="shared" si="22"/>
        <v>33.333333333333336</v>
      </c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</row>
    <row r="1053" spans="1:20" ht="15">
      <c r="A1053" s="3">
        <v>2031</v>
      </c>
      <c r="B1053" s="3">
        <f t="shared" si="8"/>
        <v>365</v>
      </c>
      <c r="C1053" s="35">
        <f t="shared" ref="C1053:J1053" si="23">AVERAGE(C197:C208)</f>
        <v>154.75825</v>
      </c>
      <c r="D1053" s="35">
        <f t="shared" si="23"/>
        <v>281.0162499999999</v>
      </c>
      <c r="E1053" s="35">
        <f t="shared" si="23"/>
        <v>780.7254999999999</v>
      </c>
      <c r="F1053" s="35">
        <f t="shared" si="23"/>
        <v>1216.5</v>
      </c>
      <c r="G1053" s="35">
        <f t="shared" si="23"/>
        <v>79.166666666666671</v>
      </c>
      <c r="H1053" s="36">
        <f t="shared" si="23"/>
        <v>600</v>
      </c>
      <c r="I1053" s="35">
        <f t="shared" si="23"/>
        <v>695</v>
      </c>
      <c r="J1053" s="35">
        <f t="shared" si="23"/>
        <v>33.333333333333336</v>
      </c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</row>
    <row r="1054" spans="1:20" ht="15">
      <c r="A1054" s="3">
        <v>2032</v>
      </c>
      <c r="B1054" s="3">
        <f t="shared" si="8"/>
        <v>366</v>
      </c>
      <c r="C1054" s="35">
        <f t="shared" ref="C1054:J1054" si="24">AVERAGE(C209:C220)</f>
        <v>154.75825</v>
      </c>
      <c r="D1054" s="35">
        <f t="shared" si="24"/>
        <v>281.0162499999999</v>
      </c>
      <c r="E1054" s="35">
        <f t="shared" si="24"/>
        <v>780.7254999999999</v>
      </c>
      <c r="F1054" s="35">
        <f t="shared" si="24"/>
        <v>1216.5</v>
      </c>
      <c r="G1054" s="35">
        <f t="shared" si="24"/>
        <v>79.166666666666671</v>
      </c>
      <c r="H1054" s="36">
        <f t="shared" si="24"/>
        <v>600</v>
      </c>
      <c r="I1054" s="35">
        <f t="shared" si="24"/>
        <v>695</v>
      </c>
      <c r="J1054" s="35">
        <f t="shared" si="24"/>
        <v>33.333333333333336</v>
      </c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</row>
    <row r="1055" spans="1:20" ht="15">
      <c r="A1055" s="3">
        <v>2033</v>
      </c>
      <c r="B1055" s="3">
        <f t="shared" si="8"/>
        <v>365</v>
      </c>
      <c r="C1055" s="35">
        <f t="shared" ref="C1055:J1055" si="25">AVERAGE(C221:C232)</f>
        <v>154.75825</v>
      </c>
      <c r="D1055" s="35">
        <f t="shared" si="25"/>
        <v>281.0162499999999</v>
      </c>
      <c r="E1055" s="35">
        <f t="shared" si="25"/>
        <v>780.7254999999999</v>
      </c>
      <c r="F1055" s="35">
        <f t="shared" si="25"/>
        <v>1216.5</v>
      </c>
      <c r="G1055" s="35">
        <f t="shared" si="25"/>
        <v>79.166666666666671</v>
      </c>
      <c r="H1055" s="36">
        <f t="shared" si="25"/>
        <v>600</v>
      </c>
      <c r="I1055" s="35">
        <f t="shared" si="25"/>
        <v>695</v>
      </c>
      <c r="J1055" s="35">
        <f t="shared" si="25"/>
        <v>33.333333333333336</v>
      </c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</row>
    <row r="1056" spans="1:20" ht="15">
      <c r="A1056" s="3">
        <v>2034</v>
      </c>
      <c r="B1056" s="3">
        <f t="shared" si="8"/>
        <v>365</v>
      </c>
      <c r="C1056" s="35">
        <f t="shared" ref="C1056:J1056" si="26">AVERAGE(C233:C244)</f>
        <v>154.75825</v>
      </c>
      <c r="D1056" s="35">
        <f t="shared" si="26"/>
        <v>281.0162499999999</v>
      </c>
      <c r="E1056" s="35">
        <f t="shared" si="26"/>
        <v>780.7254999999999</v>
      </c>
      <c r="F1056" s="35">
        <f t="shared" si="26"/>
        <v>1216.5</v>
      </c>
      <c r="G1056" s="35">
        <f t="shared" si="26"/>
        <v>79.166666666666671</v>
      </c>
      <c r="H1056" s="36">
        <f t="shared" si="26"/>
        <v>600</v>
      </c>
      <c r="I1056" s="35">
        <f t="shared" si="26"/>
        <v>695</v>
      </c>
      <c r="J1056" s="35">
        <f t="shared" si="26"/>
        <v>33.333333333333336</v>
      </c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</row>
    <row r="1057" spans="1:20" ht="15">
      <c r="A1057" s="3">
        <v>2035</v>
      </c>
      <c r="B1057" s="3">
        <f t="shared" si="8"/>
        <v>365</v>
      </c>
      <c r="C1057" s="35">
        <f t="shared" ref="C1057:J1057" si="27">AVERAGE(C245:C256)</f>
        <v>154.75825</v>
      </c>
      <c r="D1057" s="35">
        <f t="shared" si="27"/>
        <v>281.0162499999999</v>
      </c>
      <c r="E1057" s="35">
        <f t="shared" si="27"/>
        <v>780.7254999999999</v>
      </c>
      <c r="F1057" s="35">
        <f t="shared" si="27"/>
        <v>1216.5</v>
      </c>
      <c r="G1057" s="35">
        <f t="shared" si="27"/>
        <v>79.166666666666671</v>
      </c>
      <c r="H1057" s="36">
        <f t="shared" si="27"/>
        <v>600</v>
      </c>
      <c r="I1057" s="35">
        <f t="shared" si="27"/>
        <v>695</v>
      </c>
      <c r="J1057" s="35">
        <f t="shared" si="27"/>
        <v>33.333333333333336</v>
      </c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</row>
    <row r="1058" spans="1:20" ht="15">
      <c r="A1058" s="3">
        <v>2036</v>
      </c>
      <c r="B1058" s="3">
        <f t="shared" si="8"/>
        <v>366</v>
      </c>
      <c r="C1058" s="35">
        <f t="shared" ref="C1058:J1058" si="28">AVERAGE(C257:C268)</f>
        <v>154.75825</v>
      </c>
      <c r="D1058" s="35">
        <f t="shared" si="28"/>
        <v>281.0162499999999</v>
      </c>
      <c r="E1058" s="35">
        <f t="shared" si="28"/>
        <v>780.7254999999999</v>
      </c>
      <c r="F1058" s="35">
        <f t="shared" si="28"/>
        <v>1216.5</v>
      </c>
      <c r="G1058" s="35">
        <f t="shared" si="28"/>
        <v>79.166666666666671</v>
      </c>
      <c r="H1058" s="36">
        <f t="shared" si="28"/>
        <v>600</v>
      </c>
      <c r="I1058" s="35">
        <f t="shared" si="28"/>
        <v>695</v>
      </c>
      <c r="J1058" s="35">
        <f t="shared" si="28"/>
        <v>33.333333333333336</v>
      </c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</row>
    <row r="1059" spans="1:20" ht="15">
      <c r="A1059" s="3">
        <v>2037</v>
      </c>
      <c r="B1059" s="3">
        <f t="shared" si="8"/>
        <v>365</v>
      </c>
      <c r="C1059" s="35">
        <f t="shared" ref="C1059:J1059" si="29">AVERAGE(C269:C280)</f>
        <v>154.75825</v>
      </c>
      <c r="D1059" s="35">
        <f t="shared" si="29"/>
        <v>281.0162499999999</v>
      </c>
      <c r="E1059" s="35">
        <f t="shared" si="29"/>
        <v>780.7254999999999</v>
      </c>
      <c r="F1059" s="35">
        <f t="shared" si="29"/>
        <v>1216.5</v>
      </c>
      <c r="G1059" s="35">
        <f t="shared" si="29"/>
        <v>79.166666666666671</v>
      </c>
      <c r="H1059" s="36">
        <f t="shared" si="29"/>
        <v>600</v>
      </c>
      <c r="I1059" s="35">
        <f t="shared" si="29"/>
        <v>695</v>
      </c>
      <c r="J1059" s="35">
        <f t="shared" si="29"/>
        <v>33.333333333333336</v>
      </c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</row>
    <row r="1060" spans="1:20" ht="15">
      <c r="A1060" s="3">
        <f t="shared" ref="A1060:A1091" si="30">A1059+1</f>
        <v>2038</v>
      </c>
      <c r="B1060" s="3">
        <f t="shared" si="8"/>
        <v>365</v>
      </c>
      <c r="C1060" s="32">
        <f t="shared" ref="C1060:J1060" si="31">AVERAGE(C281:C292)</f>
        <v>154.75825</v>
      </c>
      <c r="D1060" s="32">
        <f t="shared" si="31"/>
        <v>281.0162499999999</v>
      </c>
      <c r="E1060" s="32">
        <f t="shared" si="31"/>
        <v>780.7254999999999</v>
      </c>
      <c r="F1060" s="32">
        <f t="shared" si="31"/>
        <v>1216.5</v>
      </c>
      <c r="G1060" s="32">
        <f t="shared" si="31"/>
        <v>79.166666666666671</v>
      </c>
      <c r="H1060" s="34">
        <f t="shared" si="31"/>
        <v>600</v>
      </c>
      <c r="I1060" s="32">
        <f t="shared" si="31"/>
        <v>695</v>
      </c>
      <c r="J1060" s="32">
        <f t="shared" si="31"/>
        <v>33.333333333333336</v>
      </c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</row>
    <row r="1061" spans="1:20" ht="15">
      <c r="A1061" s="3">
        <f t="shared" si="30"/>
        <v>2039</v>
      </c>
      <c r="B1061" s="3">
        <f t="shared" si="8"/>
        <v>365</v>
      </c>
      <c r="C1061" s="32">
        <f t="shared" ref="C1061:J1061" si="32">AVERAGE(C293:C304)</f>
        <v>154.75825</v>
      </c>
      <c r="D1061" s="32">
        <f t="shared" si="32"/>
        <v>281.0162499999999</v>
      </c>
      <c r="E1061" s="32">
        <f t="shared" si="32"/>
        <v>780.7254999999999</v>
      </c>
      <c r="F1061" s="32">
        <f t="shared" si="32"/>
        <v>1216.5</v>
      </c>
      <c r="G1061" s="32">
        <f t="shared" si="32"/>
        <v>79.166666666666671</v>
      </c>
      <c r="H1061" s="34">
        <f t="shared" si="32"/>
        <v>600</v>
      </c>
      <c r="I1061" s="32">
        <f t="shared" si="32"/>
        <v>695</v>
      </c>
      <c r="J1061" s="32">
        <f t="shared" si="32"/>
        <v>33.333333333333336</v>
      </c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</row>
    <row r="1062" spans="1:20" ht="15">
      <c r="A1062" s="3">
        <f t="shared" si="30"/>
        <v>2040</v>
      </c>
      <c r="B1062" s="3">
        <f t="shared" si="8"/>
        <v>366</v>
      </c>
      <c r="C1062" s="32">
        <f t="shared" ref="C1062:J1062" si="33">AVERAGE(C305:C316)</f>
        <v>154.75825</v>
      </c>
      <c r="D1062" s="32">
        <f t="shared" si="33"/>
        <v>281.0162499999999</v>
      </c>
      <c r="E1062" s="32">
        <f t="shared" si="33"/>
        <v>780.7254999999999</v>
      </c>
      <c r="F1062" s="32">
        <f t="shared" si="33"/>
        <v>1216.5</v>
      </c>
      <c r="G1062" s="32">
        <f t="shared" si="33"/>
        <v>79.166666666666671</v>
      </c>
      <c r="H1062" s="34">
        <f t="shared" si="33"/>
        <v>600</v>
      </c>
      <c r="I1062" s="32">
        <f t="shared" si="33"/>
        <v>695</v>
      </c>
      <c r="J1062" s="32">
        <f t="shared" si="33"/>
        <v>33.333333333333336</v>
      </c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</row>
    <row r="1063" spans="1:20" ht="15">
      <c r="A1063" s="3">
        <f t="shared" si="30"/>
        <v>2041</v>
      </c>
      <c r="B1063" s="3">
        <f t="shared" si="8"/>
        <v>365</v>
      </c>
      <c r="C1063" s="32">
        <f t="shared" ref="C1063:J1063" si="34">AVERAGE(C317:C328)</f>
        <v>154.75825</v>
      </c>
      <c r="D1063" s="32">
        <f t="shared" si="34"/>
        <v>281.0162499999999</v>
      </c>
      <c r="E1063" s="32">
        <f t="shared" si="34"/>
        <v>780.7254999999999</v>
      </c>
      <c r="F1063" s="32">
        <f t="shared" si="34"/>
        <v>1216.5</v>
      </c>
      <c r="G1063" s="32">
        <f t="shared" si="34"/>
        <v>79.166666666666671</v>
      </c>
      <c r="H1063" s="34">
        <f t="shared" si="34"/>
        <v>600</v>
      </c>
      <c r="I1063" s="32">
        <f t="shared" si="34"/>
        <v>695</v>
      </c>
      <c r="J1063" s="32">
        <f t="shared" si="34"/>
        <v>33.333333333333336</v>
      </c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</row>
    <row r="1064" spans="1:20" ht="15">
      <c r="A1064" s="3">
        <f t="shared" si="30"/>
        <v>2042</v>
      </c>
      <c r="B1064" s="3">
        <f t="shared" si="8"/>
        <v>365</v>
      </c>
      <c r="C1064" s="32">
        <f t="shared" ref="C1064:J1064" si="35">AVERAGE(C329:C340)</f>
        <v>154.75825</v>
      </c>
      <c r="D1064" s="32">
        <f t="shared" si="35"/>
        <v>281.0162499999999</v>
      </c>
      <c r="E1064" s="32">
        <f t="shared" si="35"/>
        <v>780.7254999999999</v>
      </c>
      <c r="F1064" s="32">
        <f t="shared" si="35"/>
        <v>1216.5</v>
      </c>
      <c r="G1064" s="32">
        <f t="shared" si="35"/>
        <v>79.166666666666671</v>
      </c>
      <c r="H1064" s="34">
        <f t="shared" si="35"/>
        <v>600</v>
      </c>
      <c r="I1064" s="32">
        <f t="shared" si="35"/>
        <v>695</v>
      </c>
      <c r="J1064" s="32">
        <f t="shared" si="35"/>
        <v>33.333333333333336</v>
      </c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</row>
    <row r="1065" spans="1:20" ht="15">
      <c r="A1065" s="3">
        <f t="shared" si="30"/>
        <v>2043</v>
      </c>
      <c r="B1065" s="3">
        <f t="shared" si="8"/>
        <v>365</v>
      </c>
      <c r="C1065" s="32">
        <f t="shared" ref="C1065:J1065" si="36">AVERAGE(C341:C352)</f>
        <v>154.75825</v>
      </c>
      <c r="D1065" s="32">
        <f t="shared" si="36"/>
        <v>281.0162499999999</v>
      </c>
      <c r="E1065" s="32">
        <f t="shared" si="36"/>
        <v>780.7254999999999</v>
      </c>
      <c r="F1065" s="32">
        <f t="shared" si="36"/>
        <v>1216.5</v>
      </c>
      <c r="G1065" s="32">
        <f t="shared" si="36"/>
        <v>79.166666666666671</v>
      </c>
      <c r="H1065" s="34">
        <f t="shared" si="36"/>
        <v>600</v>
      </c>
      <c r="I1065" s="32">
        <f t="shared" si="36"/>
        <v>695</v>
      </c>
      <c r="J1065" s="32">
        <f t="shared" si="36"/>
        <v>33.333333333333336</v>
      </c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</row>
    <row r="1066" spans="1:20" ht="15">
      <c r="A1066" s="3">
        <f t="shared" si="30"/>
        <v>2044</v>
      </c>
      <c r="B1066" s="3">
        <f t="shared" si="8"/>
        <v>366</v>
      </c>
      <c r="C1066" s="32">
        <f t="shared" ref="C1066:J1066" si="37">AVERAGE(C353:C364)</f>
        <v>154.75825</v>
      </c>
      <c r="D1066" s="32">
        <f t="shared" si="37"/>
        <v>281.0162499999999</v>
      </c>
      <c r="E1066" s="32">
        <f t="shared" si="37"/>
        <v>780.7254999999999</v>
      </c>
      <c r="F1066" s="32">
        <f t="shared" si="37"/>
        <v>1216.5</v>
      </c>
      <c r="G1066" s="32">
        <f t="shared" si="37"/>
        <v>79.166666666666671</v>
      </c>
      <c r="H1066" s="34">
        <f t="shared" si="37"/>
        <v>600</v>
      </c>
      <c r="I1066" s="32">
        <f t="shared" si="37"/>
        <v>695</v>
      </c>
      <c r="J1066" s="32">
        <f t="shared" si="37"/>
        <v>33.333333333333336</v>
      </c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</row>
    <row r="1067" spans="1:20" ht="15">
      <c r="A1067" s="3">
        <f t="shared" si="30"/>
        <v>2045</v>
      </c>
      <c r="B1067" s="3">
        <f t="shared" si="8"/>
        <v>365</v>
      </c>
      <c r="C1067" s="32">
        <f t="shared" ref="C1067:J1067" si="38">AVERAGE(C365:C376)</f>
        <v>154.75825</v>
      </c>
      <c r="D1067" s="32">
        <f t="shared" si="38"/>
        <v>281.0162499999999</v>
      </c>
      <c r="E1067" s="32">
        <f t="shared" si="38"/>
        <v>780.7254999999999</v>
      </c>
      <c r="F1067" s="32">
        <f t="shared" si="38"/>
        <v>1216.5</v>
      </c>
      <c r="G1067" s="32">
        <f t="shared" si="38"/>
        <v>79.166666666666671</v>
      </c>
      <c r="H1067" s="34">
        <f t="shared" si="38"/>
        <v>600</v>
      </c>
      <c r="I1067" s="32">
        <f t="shared" si="38"/>
        <v>695</v>
      </c>
      <c r="J1067" s="32">
        <f t="shared" si="38"/>
        <v>33.333333333333336</v>
      </c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</row>
    <row r="1068" spans="1:20" ht="15">
      <c r="A1068" s="3">
        <f t="shared" si="30"/>
        <v>2046</v>
      </c>
      <c r="B1068" s="3">
        <f t="shared" si="8"/>
        <v>365</v>
      </c>
      <c r="C1068" s="32">
        <f t="shared" ref="C1068:J1068" si="39">AVERAGE(C377:C388)</f>
        <v>154.75825</v>
      </c>
      <c r="D1068" s="32">
        <f t="shared" si="39"/>
        <v>281.0162499999999</v>
      </c>
      <c r="E1068" s="32">
        <f t="shared" si="39"/>
        <v>780.7254999999999</v>
      </c>
      <c r="F1068" s="32">
        <f t="shared" si="39"/>
        <v>1216.5</v>
      </c>
      <c r="G1068" s="32">
        <f t="shared" si="39"/>
        <v>79.166666666666671</v>
      </c>
      <c r="H1068" s="34">
        <f t="shared" si="39"/>
        <v>600</v>
      </c>
      <c r="I1068" s="32">
        <f t="shared" si="39"/>
        <v>695</v>
      </c>
      <c r="J1068" s="32">
        <f t="shared" si="39"/>
        <v>33.333333333333336</v>
      </c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</row>
    <row r="1069" spans="1:20" ht="15">
      <c r="A1069" s="3">
        <f t="shared" si="30"/>
        <v>2047</v>
      </c>
      <c r="B1069" s="3">
        <f t="shared" si="8"/>
        <v>365</v>
      </c>
      <c r="C1069" s="32">
        <f t="shared" ref="C1069:J1069" si="40">AVERAGE(C389:C400)</f>
        <v>154.75825</v>
      </c>
      <c r="D1069" s="32">
        <f t="shared" si="40"/>
        <v>281.0162499999999</v>
      </c>
      <c r="E1069" s="32">
        <f t="shared" si="40"/>
        <v>780.7254999999999</v>
      </c>
      <c r="F1069" s="32">
        <f t="shared" si="40"/>
        <v>1216.5</v>
      </c>
      <c r="G1069" s="32">
        <f t="shared" si="40"/>
        <v>79.166666666666671</v>
      </c>
      <c r="H1069" s="34">
        <f t="shared" si="40"/>
        <v>600</v>
      </c>
      <c r="I1069" s="32">
        <f t="shared" si="40"/>
        <v>695</v>
      </c>
      <c r="J1069" s="32">
        <f t="shared" si="40"/>
        <v>33.333333333333336</v>
      </c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</row>
    <row r="1070" spans="1:20" ht="15">
      <c r="A1070" s="3">
        <f t="shared" si="30"/>
        <v>2048</v>
      </c>
      <c r="B1070" s="3">
        <f t="shared" ref="B1070:B1101" si="41">DATE(A1070+1,1,1)-DATE(A1070,1,1)</f>
        <v>366</v>
      </c>
      <c r="C1070" s="32">
        <f t="shared" ref="C1070:J1070" si="42">AVERAGE(C401:C412)</f>
        <v>154.75825</v>
      </c>
      <c r="D1070" s="32">
        <f t="shared" si="42"/>
        <v>281.0162499999999</v>
      </c>
      <c r="E1070" s="32">
        <f t="shared" si="42"/>
        <v>780.7254999999999</v>
      </c>
      <c r="F1070" s="32">
        <f t="shared" si="42"/>
        <v>1216.5</v>
      </c>
      <c r="G1070" s="32">
        <f t="shared" si="42"/>
        <v>79.166666666666671</v>
      </c>
      <c r="H1070" s="34">
        <f t="shared" si="42"/>
        <v>600</v>
      </c>
      <c r="I1070" s="32">
        <f t="shared" si="42"/>
        <v>695</v>
      </c>
      <c r="J1070" s="32">
        <f t="shared" si="42"/>
        <v>33.333333333333336</v>
      </c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</row>
    <row r="1071" spans="1:20" ht="15">
      <c r="A1071" s="3">
        <f t="shared" si="30"/>
        <v>2049</v>
      </c>
      <c r="B1071" s="3">
        <f t="shared" si="41"/>
        <v>365</v>
      </c>
      <c r="C1071" s="32">
        <f t="shared" ref="C1071:J1071" si="43">AVERAGE(C413:C424)</f>
        <v>154.75825</v>
      </c>
      <c r="D1071" s="32">
        <f t="shared" si="43"/>
        <v>281.0162499999999</v>
      </c>
      <c r="E1071" s="32">
        <f t="shared" si="43"/>
        <v>780.7254999999999</v>
      </c>
      <c r="F1071" s="32">
        <f t="shared" si="43"/>
        <v>1216.5</v>
      </c>
      <c r="G1071" s="32">
        <f t="shared" si="43"/>
        <v>79.166666666666671</v>
      </c>
      <c r="H1071" s="34">
        <f t="shared" si="43"/>
        <v>600</v>
      </c>
      <c r="I1071" s="32">
        <f t="shared" si="43"/>
        <v>695</v>
      </c>
      <c r="J1071" s="32">
        <f t="shared" si="43"/>
        <v>33.333333333333336</v>
      </c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</row>
    <row r="1072" spans="1:20" ht="15">
      <c r="A1072" s="3">
        <f t="shared" si="30"/>
        <v>2050</v>
      </c>
      <c r="B1072" s="3">
        <f t="shared" si="41"/>
        <v>365</v>
      </c>
      <c r="C1072" s="32">
        <f t="shared" ref="C1072:J1072" si="44">AVERAGE(C425:C436)</f>
        <v>154.75825</v>
      </c>
      <c r="D1072" s="32">
        <f t="shared" si="44"/>
        <v>281.0162499999999</v>
      </c>
      <c r="E1072" s="32">
        <f t="shared" si="44"/>
        <v>780.7254999999999</v>
      </c>
      <c r="F1072" s="32">
        <f t="shared" si="44"/>
        <v>1216.5</v>
      </c>
      <c r="G1072" s="32">
        <f t="shared" si="44"/>
        <v>79.166666666666671</v>
      </c>
      <c r="H1072" s="34">
        <f t="shared" si="44"/>
        <v>600</v>
      </c>
      <c r="I1072" s="32">
        <f t="shared" si="44"/>
        <v>695</v>
      </c>
      <c r="J1072" s="32">
        <f t="shared" si="44"/>
        <v>33.333333333333336</v>
      </c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</row>
    <row r="1073" spans="1:20" ht="15">
      <c r="A1073" s="3">
        <f t="shared" si="30"/>
        <v>2051</v>
      </c>
      <c r="B1073" s="3">
        <f t="shared" si="41"/>
        <v>365</v>
      </c>
      <c r="C1073" s="32">
        <f t="shared" ref="C1073:J1073" si="45">AVERAGE(C437:C448)</f>
        <v>154.75825</v>
      </c>
      <c r="D1073" s="32">
        <f t="shared" si="45"/>
        <v>281.0162499999999</v>
      </c>
      <c r="E1073" s="32">
        <f t="shared" si="45"/>
        <v>780.7254999999999</v>
      </c>
      <c r="F1073" s="32">
        <f t="shared" si="45"/>
        <v>1216.5</v>
      </c>
      <c r="G1073" s="32">
        <f t="shared" si="45"/>
        <v>79.166666666666671</v>
      </c>
      <c r="H1073" s="34">
        <f t="shared" si="45"/>
        <v>600</v>
      </c>
      <c r="I1073" s="32">
        <f t="shared" si="45"/>
        <v>695</v>
      </c>
      <c r="J1073" s="32">
        <f t="shared" si="45"/>
        <v>33.333333333333336</v>
      </c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</row>
    <row r="1074" spans="1:20" ht="15">
      <c r="A1074" s="3">
        <f t="shared" si="30"/>
        <v>2052</v>
      </c>
      <c r="B1074" s="3">
        <f t="shared" si="41"/>
        <v>366</v>
      </c>
      <c r="C1074" s="32">
        <f t="shared" ref="C1074:J1074" si="46">AVERAGE(C449:C460)</f>
        <v>154.75825</v>
      </c>
      <c r="D1074" s="32">
        <f t="shared" si="46"/>
        <v>281.0162499999999</v>
      </c>
      <c r="E1074" s="32">
        <f t="shared" si="46"/>
        <v>780.7254999999999</v>
      </c>
      <c r="F1074" s="32">
        <f t="shared" si="46"/>
        <v>1216.5</v>
      </c>
      <c r="G1074" s="32">
        <f t="shared" si="46"/>
        <v>79.166666666666671</v>
      </c>
      <c r="H1074" s="34">
        <f t="shared" si="46"/>
        <v>600</v>
      </c>
      <c r="I1074" s="32">
        <f t="shared" si="46"/>
        <v>695</v>
      </c>
      <c r="J1074" s="32">
        <f t="shared" si="46"/>
        <v>33.333333333333336</v>
      </c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</row>
    <row r="1075" spans="1:20" ht="15">
      <c r="A1075" s="3">
        <f t="shared" si="30"/>
        <v>2053</v>
      </c>
      <c r="B1075" s="3">
        <f t="shared" si="41"/>
        <v>365</v>
      </c>
      <c r="C1075" s="32">
        <f t="shared" ref="C1075:J1075" si="47">AVERAGE(C461:C472)</f>
        <v>154.75825</v>
      </c>
      <c r="D1075" s="32">
        <f t="shared" si="47"/>
        <v>281.0162499999999</v>
      </c>
      <c r="E1075" s="32">
        <f t="shared" si="47"/>
        <v>780.7254999999999</v>
      </c>
      <c r="F1075" s="32">
        <f t="shared" si="47"/>
        <v>1216.5</v>
      </c>
      <c r="G1075" s="32">
        <f t="shared" si="47"/>
        <v>79.166666666666671</v>
      </c>
      <c r="H1075" s="34">
        <f t="shared" si="47"/>
        <v>600</v>
      </c>
      <c r="I1075" s="32">
        <f t="shared" si="47"/>
        <v>695</v>
      </c>
      <c r="J1075" s="32">
        <f t="shared" si="47"/>
        <v>33.333333333333336</v>
      </c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</row>
    <row r="1076" spans="1:20" ht="15">
      <c r="A1076" s="3">
        <f t="shared" si="30"/>
        <v>2054</v>
      </c>
      <c r="B1076" s="3">
        <f t="shared" si="41"/>
        <v>365</v>
      </c>
      <c r="C1076" s="32">
        <f t="shared" ref="C1076:J1083" si="48">AVERAGE(C473:C484)</f>
        <v>154.75825</v>
      </c>
      <c r="D1076" s="32">
        <f t="shared" si="48"/>
        <v>281.0162499999999</v>
      </c>
      <c r="E1076" s="32">
        <f t="shared" si="48"/>
        <v>780.7254999999999</v>
      </c>
      <c r="F1076" s="32">
        <f t="shared" si="48"/>
        <v>1216.5</v>
      </c>
      <c r="G1076" s="32">
        <f t="shared" si="48"/>
        <v>79.166666666666671</v>
      </c>
      <c r="H1076" s="34">
        <f t="shared" si="48"/>
        <v>600</v>
      </c>
      <c r="I1076" s="32">
        <f t="shared" si="48"/>
        <v>695</v>
      </c>
      <c r="J1076" s="32">
        <f t="shared" si="48"/>
        <v>33.333333333333336</v>
      </c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</row>
    <row r="1077" spans="1:20" ht="15">
      <c r="A1077" s="3">
        <f t="shared" si="30"/>
        <v>2055</v>
      </c>
      <c r="B1077" s="3">
        <f t="shared" si="41"/>
        <v>365</v>
      </c>
      <c r="C1077" s="32">
        <f t="shared" si="48"/>
        <v>154.75825</v>
      </c>
      <c r="D1077" s="32">
        <f t="shared" si="48"/>
        <v>281.0162499999999</v>
      </c>
      <c r="E1077" s="32">
        <f t="shared" si="48"/>
        <v>780.7254999999999</v>
      </c>
      <c r="F1077" s="32">
        <f t="shared" si="48"/>
        <v>1216.5</v>
      </c>
      <c r="G1077" s="32">
        <f t="shared" si="48"/>
        <v>79.166666666666671</v>
      </c>
      <c r="H1077" s="34">
        <f t="shared" si="48"/>
        <v>600</v>
      </c>
      <c r="I1077" s="32">
        <f t="shared" si="48"/>
        <v>695</v>
      </c>
      <c r="J1077" s="32">
        <f t="shared" si="48"/>
        <v>33.333333333333336</v>
      </c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</row>
    <row r="1078" spans="1:20" ht="15">
      <c r="A1078" s="3">
        <f t="shared" si="30"/>
        <v>2056</v>
      </c>
      <c r="B1078" s="3">
        <f t="shared" si="41"/>
        <v>366</v>
      </c>
      <c r="C1078" s="32">
        <f t="shared" si="48"/>
        <v>154.75824999999998</v>
      </c>
      <c r="D1078" s="32">
        <f t="shared" si="48"/>
        <v>281.0162499999999</v>
      </c>
      <c r="E1078" s="32">
        <f t="shared" si="48"/>
        <v>780.7254999999999</v>
      </c>
      <c r="F1078" s="32">
        <f t="shared" si="48"/>
        <v>1216.5</v>
      </c>
      <c r="G1078" s="32">
        <f t="shared" si="48"/>
        <v>79.166666666666671</v>
      </c>
      <c r="H1078" s="34">
        <f t="shared" si="48"/>
        <v>600</v>
      </c>
      <c r="I1078" s="32">
        <f t="shared" si="48"/>
        <v>695</v>
      </c>
      <c r="J1078" s="32">
        <f t="shared" si="48"/>
        <v>33.333333333333336</v>
      </c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</row>
    <row r="1079" spans="1:20" ht="15">
      <c r="A1079" s="3">
        <f t="shared" si="30"/>
        <v>2057</v>
      </c>
      <c r="B1079" s="3">
        <f t="shared" si="41"/>
        <v>365</v>
      </c>
      <c r="C1079" s="32">
        <f t="shared" si="48"/>
        <v>154.75825</v>
      </c>
      <c r="D1079" s="32">
        <f t="shared" si="48"/>
        <v>281.0162499999999</v>
      </c>
      <c r="E1079" s="32">
        <f t="shared" si="48"/>
        <v>780.72550000000001</v>
      </c>
      <c r="F1079" s="32">
        <f t="shared" si="48"/>
        <v>1216.5</v>
      </c>
      <c r="G1079" s="32">
        <f t="shared" si="48"/>
        <v>79.166666666666671</v>
      </c>
      <c r="H1079" s="34">
        <f t="shared" si="48"/>
        <v>600</v>
      </c>
      <c r="I1079" s="32">
        <f t="shared" si="48"/>
        <v>695</v>
      </c>
      <c r="J1079" s="32">
        <f t="shared" si="48"/>
        <v>33.333333333333336</v>
      </c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</row>
    <row r="1080" spans="1:20" ht="15">
      <c r="A1080" s="3">
        <f t="shared" si="30"/>
        <v>2058</v>
      </c>
      <c r="B1080" s="3">
        <f t="shared" si="41"/>
        <v>365</v>
      </c>
      <c r="C1080" s="32">
        <f t="shared" si="48"/>
        <v>154.75824999999998</v>
      </c>
      <c r="D1080" s="32">
        <f t="shared" si="48"/>
        <v>281.01624999999996</v>
      </c>
      <c r="E1080" s="32">
        <f t="shared" si="48"/>
        <v>780.72550000000001</v>
      </c>
      <c r="F1080" s="32">
        <f t="shared" si="48"/>
        <v>1216.5</v>
      </c>
      <c r="G1080" s="32">
        <f t="shared" si="48"/>
        <v>79.166666666666671</v>
      </c>
      <c r="H1080" s="34">
        <f t="shared" si="48"/>
        <v>600</v>
      </c>
      <c r="I1080" s="32">
        <f t="shared" si="48"/>
        <v>695</v>
      </c>
      <c r="J1080" s="32">
        <f t="shared" si="48"/>
        <v>33.333333333333336</v>
      </c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</row>
    <row r="1081" spans="1:20" ht="15">
      <c r="A1081" s="3">
        <f t="shared" si="30"/>
        <v>2059</v>
      </c>
      <c r="B1081" s="3">
        <f t="shared" si="41"/>
        <v>365</v>
      </c>
      <c r="C1081" s="32">
        <f t="shared" si="48"/>
        <v>154.75824999999998</v>
      </c>
      <c r="D1081" s="32">
        <f t="shared" si="48"/>
        <v>281.01624999999996</v>
      </c>
      <c r="E1081" s="32">
        <f t="shared" si="48"/>
        <v>780.72550000000012</v>
      </c>
      <c r="F1081" s="32">
        <f t="shared" si="48"/>
        <v>1216.5</v>
      </c>
      <c r="G1081" s="32">
        <f t="shared" si="48"/>
        <v>79.166666666666671</v>
      </c>
      <c r="H1081" s="34">
        <f t="shared" si="48"/>
        <v>600</v>
      </c>
      <c r="I1081" s="32">
        <f t="shared" si="48"/>
        <v>695</v>
      </c>
      <c r="J1081" s="32">
        <f t="shared" si="48"/>
        <v>33.333333333333336</v>
      </c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</row>
    <row r="1082" spans="1:20" ht="15">
      <c r="A1082" s="3">
        <f t="shared" si="30"/>
        <v>2060</v>
      </c>
      <c r="B1082" s="3">
        <f t="shared" si="41"/>
        <v>366</v>
      </c>
      <c r="C1082" s="32">
        <f t="shared" si="48"/>
        <v>154.75824999999998</v>
      </c>
      <c r="D1082" s="32">
        <f t="shared" si="48"/>
        <v>281.01624999999996</v>
      </c>
      <c r="E1082" s="32">
        <f t="shared" si="48"/>
        <v>780.72550000000012</v>
      </c>
      <c r="F1082" s="32">
        <f t="shared" si="48"/>
        <v>1216.5</v>
      </c>
      <c r="G1082" s="32">
        <f t="shared" si="48"/>
        <v>79.166666666666671</v>
      </c>
      <c r="H1082" s="34">
        <f t="shared" si="48"/>
        <v>600</v>
      </c>
      <c r="I1082" s="32">
        <f t="shared" si="48"/>
        <v>695</v>
      </c>
      <c r="J1082" s="32">
        <f t="shared" si="48"/>
        <v>33.333333333333336</v>
      </c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</row>
    <row r="1083" spans="1:20" ht="15">
      <c r="A1083" s="3">
        <f t="shared" si="30"/>
        <v>2061</v>
      </c>
      <c r="B1083" s="3">
        <f t="shared" si="41"/>
        <v>365</v>
      </c>
      <c r="C1083" s="32">
        <f t="shared" si="48"/>
        <v>154.75825</v>
      </c>
      <c r="D1083" s="32">
        <f t="shared" si="48"/>
        <v>281.01624999999996</v>
      </c>
      <c r="E1083" s="32">
        <f t="shared" si="48"/>
        <v>780.72550000000001</v>
      </c>
      <c r="F1083" s="32">
        <f t="shared" si="48"/>
        <v>1216.5</v>
      </c>
      <c r="G1083" s="32">
        <f t="shared" si="48"/>
        <v>79.166666666666671</v>
      </c>
      <c r="H1083" s="34">
        <f t="shared" si="48"/>
        <v>600</v>
      </c>
      <c r="I1083" s="32">
        <f t="shared" si="48"/>
        <v>695</v>
      </c>
      <c r="J1083" s="32">
        <f t="shared" si="48"/>
        <v>33.333333333333336</v>
      </c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</row>
    <row r="1084" spans="1:20" ht="15">
      <c r="A1084" s="3">
        <f t="shared" si="30"/>
        <v>2062</v>
      </c>
      <c r="B1084" s="3">
        <f t="shared" si="41"/>
        <v>365</v>
      </c>
      <c r="C1084" s="32">
        <f t="shared" ref="C1084:J1093" ca="1" si="49">AVERAGE(OFFSET(C$569,($A1084-$A$1084)*12,0,12,1))</f>
        <v>154.75825</v>
      </c>
      <c r="D1084" s="32">
        <f t="shared" ca="1" si="49"/>
        <v>281.0162499999999</v>
      </c>
      <c r="E1084" s="32">
        <f t="shared" ca="1" si="49"/>
        <v>780.7254999999999</v>
      </c>
      <c r="F1084" s="32">
        <f t="shared" ca="1" si="49"/>
        <v>1216.5</v>
      </c>
      <c r="G1084" s="32">
        <f t="shared" ca="1" si="49"/>
        <v>79.166666666666671</v>
      </c>
      <c r="H1084" s="32">
        <f t="shared" ca="1" si="49"/>
        <v>600</v>
      </c>
      <c r="I1084" s="32">
        <f t="shared" ca="1" si="49"/>
        <v>695</v>
      </c>
      <c r="J1084" s="32">
        <f t="shared" ca="1" si="49"/>
        <v>33.333333333333336</v>
      </c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</row>
    <row r="1085" spans="1:20" ht="15">
      <c r="A1085" s="3">
        <f t="shared" si="30"/>
        <v>2063</v>
      </c>
      <c r="B1085" s="3">
        <f t="shared" si="41"/>
        <v>365</v>
      </c>
      <c r="C1085" s="32">
        <f t="shared" ca="1" si="49"/>
        <v>154.75825</v>
      </c>
      <c r="D1085" s="32">
        <f t="shared" ca="1" si="49"/>
        <v>281.0162499999999</v>
      </c>
      <c r="E1085" s="32">
        <f t="shared" ca="1" si="49"/>
        <v>780.7254999999999</v>
      </c>
      <c r="F1085" s="32">
        <f t="shared" ca="1" si="49"/>
        <v>1216.5</v>
      </c>
      <c r="G1085" s="32">
        <f t="shared" ca="1" si="49"/>
        <v>79.166666666666671</v>
      </c>
      <c r="H1085" s="32">
        <f t="shared" ca="1" si="49"/>
        <v>600</v>
      </c>
      <c r="I1085" s="32">
        <f t="shared" ca="1" si="49"/>
        <v>695</v>
      </c>
      <c r="J1085" s="32">
        <f t="shared" ca="1" si="49"/>
        <v>33.333333333333336</v>
      </c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</row>
    <row r="1086" spans="1:20" ht="15">
      <c r="A1086" s="3">
        <f t="shared" si="30"/>
        <v>2064</v>
      </c>
      <c r="B1086" s="3">
        <f t="shared" si="41"/>
        <v>366</v>
      </c>
      <c r="C1086" s="32">
        <f t="shared" ca="1" si="49"/>
        <v>154.75825</v>
      </c>
      <c r="D1086" s="32">
        <f t="shared" ca="1" si="49"/>
        <v>281.0162499999999</v>
      </c>
      <c r="E1086" s="32">
        <f t="shared" ca="1" si="49"/>
        <v>780.7254999999999</v>
      </c>
      <c r="F1086" s="32">
        <f t="shared" ca="1" si="49"/>
        <v>1216.5</v>
      </c>
      <c r="G1086" s="32">
        <f t="shared" ca="1" si="49"/>
        <v>79.166666666666671</v>
      </c>
      <c r="H1086" s="32">
        <f t="shared" ca="1" si="49"/>
        <v>600</v>
      </c>
      <c r="I1086" s="32">
        <f t="shared" ca="1" si="49"/>
        <v>695</v>
      </c>
      <c r="J1086" s="32">
        <f t="shared" ca="1" si="49"/>
        <v>33.333333333333336</v>
      </c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</row>
    <row r="1087" spans="1:20" ht="15">
      <c r="A1087" s="3">
        <f t="shared" si="30"/>
        <v>2065</v>
      </c>
      <c r="B1087" s="3">
        <f t="shared" si="41"/>
        <v>365</v>
      </c>
      <c r="C1087" s="32">
        <f t="shared" ca="1" si="49"/>
        <v>154.75825</v>
      </c>
      <c r="D1087" s="32">
        <f t="shared" ca="1" si="49"/>
        <v>281.0162499999999</v>
      </c>
      <c r="E1087" s="32">
        <f t="shared" ca="1" si="49"/>
        <v>780.7254999999999</v>
      </c>
      <c r="F1087" s="32">
        <f t="shared" ca="1" si="49"/>
        <v>1216.5</v>
      </c>
      <c r="G1087" s="32">
        <f t="shared" ca="1" si="49"/>
        <v>79.166666666666671</v>
      </c>
      <c r="H1087" s="32">
        <f t="shared" ca="1" si="49"/>
        <v>600</v>
      </c>
      <c r="I1087" s="32">
        <f t="shared" ca="1" si="49"/>
        <v>695</v>
      </c>
      <c r="J1087" s="32">
        <f t="shared" ca="1" si="49"/>
        <v>33.333333333333336</v>
      </c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</row>
    <row r="1088" spans="1:20" ht="15">
      <c r="A1088" s="3">
        <f t="shared" si="30"/>
        <v>2066</v>
      </c>
      <c r="B1088" s="3">
        <f t="shared" si="41"/>
        <v>365</v>
      </c>
      <c r="C1088" s="32">
        <f t="shared" ca="1" si="49"/>
        <v>154.75825</v>
      </c>
      <c r="D1088" s="32">
        <f t="shared" ca="1" si="49"/>
        <v>281.0162499999999</v>
      </c>
      <c r="E1088" s="32">
        <f t="shared" ca="1" si="49"/>
        <v>780.7254999999999</v>
      </c>
      <c r="F1088" s="32">
        <f t="shared" ca="1" si="49"/>
        <v>1216.5</v>
      </c>
      <c r="G1088" s="32">
        <f t="shared" ca="1" si="49"/>
        <v>79.166666666666671</v>
      </c>
      <c r="H1088" s="32">
        <f t="shared" ca="1" si="49"/>
        <v>600</v>
      </c>
      <c r="I1088" s="32">
        <f t="shared" ca="1" si="49"/>
        <v>695</v>
      </c>
      <c r="J1088" s="32">
        <f t="shared" ca="1" si="49"/>
        <v>33.333333333333336</v>
      </c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</row>
    <row r="1089" spans="1:20" ht="15">
      <c r="A1089" s="3">
        <f t="shared" si="30"/>
        <v>2067</v>
      </c>
      <c r="B1089" s="3">
        <f t="shared" si="41"/>
        <v>365</v>
      </c>
      <c r="C1089" s="32">
        <f t="shared" ca="1" si="49"/>
        <v>154.75825</v>
      </c>
      <c r="D1089" s="32">
        <f t="shared" ca="1" si="49"/>
        <v>281.0162499999999</v>
      </c>
      <c r="E1089" s="32">
        <f t="shared" ca="1" si="49"/>
        <v>780.7254999999999</v>
      </c>
      <c r="F1089" s="32">
        <f t="shared" ca="1" si="49"/>
        <v>1216.5</v>
      </c>
      <c r="G1089" s="32">
        <f t="shared" ca="1" si="49"/>
        <v>79.166666666666671</v>
      </c>
      <c r="H1089" s="32">
        <f t="shared" ca="1" si="49"/>
        <v>600</v>
      </c>
      <c r="I1089" s="32">
        <f t="shared" ca="1" si="49"/>
        <v>695</v>
      </c>
      <c r="J1089" s="32">
        <f t="shared" ca="1" si="49"/>
        <v>33.333333333333336</v>
      </c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</row>
    <row r="1090" spans="1:20" ht="15">
      <c r="A1090" s="3">
        <f t="shared" si="30"/>
        <v>2068</v>
      </c>
      <c r="B1090" s="3">
        <f t="shared" si="41"/>
        <v>366</v>
      </c>
      <c r="C1090" s="32">
        <f t="shared" ca="1" si="49"/>
        <v>154.75825</v>
      </c>
      <c r="D1090" s="32">
        <f t="shared" ca="1" si="49"/>
        <v>281.0162499999999</v>
      </c>
      <c r="E1090" s="32">
        <f t="shared" ca="1" si="49"/>
        <v>780.7254999999999</v>
      </c>
      <c r="F1090" s="32">
        <f t="shared" ca="1" si="49"/>
        <v>1216.5</v>
      </c>
      <c r="G1090" s="32">
        <f t="shared" ca="1" si="49"/>
        <v>79.166666666666671</v>
      </c>
      <c r="H1090" s="32">
        <f t="shared" ca="1" si="49"/>
        <v>600</v>
      </c>
      <c r="I1090" s="32">
        <f t="shared" ca="1" si="49"/>
        <v>695</v>
      </c>
      <c r="J1090" s="32">
        <f t="shared" ca="1" si="49"/>
        <v>33.333333333333336</v>
      </c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</row>
    <row r="1091" spans="1:20" ht="15">
      <c r="A1091" s="3">
        <f t="shared" si="30"/>
        <v>2069</v>
      </c>
      <c r="B1091" s="3">
        <f t="shared" si="41"/>
        <v>365</v>
      </c>
      <c r="C1091" s="32">
        <f t="shared" ca="1" si="49"/>
        <v>154.75825</v>
      </c>
      <c r="D1091" s="32">
        <f t="shared" ca="1" si="49"/>
        <v>281.0162499999999</v>
      </c>
      <c r="E1091" s="32">
        <f t="shared" ca="1" si="49"/>
        <v>780.7254999999999</v>
      </c>
      <c r="F1091" s="32">
        <f t="shared" ca="1" si="49"/>
        <v>1216.5</v>
      </c>
      <c r="G1091" s="32">
        <f t="shared" ca="1" si="49"/>
        <v>79.166666666666671</v>
      </c>
      <c r="H1091" s="32">
        <f t="shared" ca="1" si="49"/>
        <v>600</v>
      </c>
      <c r="I1091" s="32">
        <f t="shared" ca="1" si="49"/>
        <v>695</v>
      </c>
      <c r="J1091" s="32">
        <f t="shared" ca="1" si="49"/>
        <v>33.333333333333336</v>
      </c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</row>
    <row r="1092" spans="1:20" ht="15">
      <c r="A1092" s="3">
        <f t="shared" ref="A1092:A1122" si="50">A1091+1</f>
        <v>2070</v>
      </c>
      <c r="B1092" s="3">
        <f t="shared" si="41"/>
        <v>365</v>
      </c>
      <c r="C1092" s="32">
        <f t="shared" ca="1" si="49"/>
        <v>154.75825</v>
      </c>
      <c r="D1092" s="32">
        <f t="shared" ca="1" si="49"/>
        <v>281.0162499999999</v>
      </c>
      <c r="E1092" s="32">
        <f t="shared" ca="1" si="49"/>
        <v>780.7254999999999</v>
      </c>
      <c r="F1092" s="32">
        <f t="shared" ca="1" si="49"/>
        <v>1216.5</v>
      </c>
      <c r="G1092" s="32">
        <f t="shared" ca="1" si="49"/>
        <v>79.166666666666671</v>
      </c>
      <c r="H1092" s="32">
        <f t="shared" ca="1" si="49"/>
        <v>600</v>
      </c>
      <c r="I1092" s="32">
        <f t="shared" ca="1" si="49"/>
        <v>695</v>
      </c>
      <c r="J1092" s="32">
        <f t="shared" ca="1" si="49"/>
        <v>33.333333333333336</v>
      </c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</row>
    <row r="1093" spans="1:20" ht="15">
      <c r="A1093" s="3">
        <f t="shared" si="50"/>
        <v>2071</v>
      </c>
      <c r="B1093" s="3">
        <f t="shared" si="41"/>
        <v>365</v>
      </c>
      <c r="C1093" s="32">
        <f t="shared" ca="1" si="49"/>
        <v>154.75825</v>
      </c>
      <c r="D1093" s="32">
        <f t="shared" ca="1" si="49"/>
        <v>281.0162499999999</v>
      </c>
      <c r="E1093" s="32">
        <f t="shared" ca="1" si="49"/>
        <v>780.7254999999999</v>
      </c>
      <c r="F1093" s="32">
        <f t="shared" ca="1" si="49"/>
        <v>1216.5</v>
      </c>
      <c r="G1093" s="32">
        <f t="shared" ca="1" si="49"/>
        <v>79.166666666666671</v>
      </c>
      <c r="H1093" s="32">
        <f t="shared" ca="1" si="49"/>
        <v>600</v>
      </c>
      <c r="I1093" s="32">
        <f t="shared" ca="1" si="49"/>
        <v>695</v>
      </c>
      <c r="J1093" s="32">
        <f t="shared" ca="1" si="49"/>
        <v>33.333333333333336</v>
      </c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</row>
    <row r="1094" spans="1:20" ht="15">
      <c r="A1094" s="3">
        <f t="shared" si="50"/>
        <v>2072</v>
      </c>
      <c r="B1094" s="3">
        <f t="shared" si="41"/>
        <v>366</v>
      </c>
      <c r="C1094" s="32">
        <f t="shared" ref="C1094:J1103" ca="1" si="51">AVERAGE(OFFSET(C$569,($A1094-$A$1084)*12,0,12,1))</f>
        <v>154.75825</v>
      </c>
      <c r="D1094" s="32">
        <f t="shared" ca="1" si="51"/>
        <v>281.0162499999999</v>
      </c>
      <c r="E1094" s="32">
        <f t="shared" ca="1" si="51"/>
        <v>780.7254999999999</v>
      </c>
      <c r="F1094" s="32">
        <f t="shared" ca="1" si="51"/>
        <v>1216.5</v>
      </c>
      <c r="G1094" s="32">
        <f t="shared" ca="1" si="51"/>
        <v>79.166666666666671</v>
      </c>
      <c r="H1094" s="32">
        <f t="shared" ca="1" si="51"/>
        <v>600</v>
      </c>
      <c r="I1094" s="32">
        <f t="shared" ca="1" si="51"/>
        <v>695</v>
      </c>
      <c r="J1094" s="32">
        <f t="shared" ca="1" si="51"/>
        <v>33.333333333333336</v>
      </c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</row>
    <row r="1095" spans="1:20" ht="15">
      <c r="A1095" s="3">
        <f t="shared" si="50"/>
        <v>2073</v>
      </c>
      <c r="B1095" s="3">
        <f t="shared" si="41"/>
        <v>365</v>
      </c>
      <c r="C1095" s="32">
        <f t="shared" ca="1" si="51"/>
        <v>154.75825</v>
      </c>
      <c r="D1095" s="32">
        <f t="shared" ca="1" si="51"/>
        <v>281.0162499999999</v>
      </c>
      <c r="E1095" s="32">
        <f t="shared" ca="1" si="51"/>
        <v>780.7254999999999</v>
      </c>
      <c r="F1095" s="32">
        <f t="shared" ca="1" si="51"/>
        <v>1216.5</v>
      </c>
      <c r="G1095" s="32">
        <f t="shared" ca="1" si="51"/>
        <v>79.166666666666671</v>
      </c>
      <c r="H1095" s="32">
        <f t="shared" ca="1" si="51"/>
        <v>600</v>
      </c>
      <c r="I1095" s="32">
        <f t="shared" ca="1" si="51"/>
        <v>695</v>
      </c>
      <c r="J1095" s="32">
        <f t="shared" ca="1" si="51"/>
        <v>33.333333333333336</v>
      </c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</row>
    <row r="1096" spans="1:20" ht="15">
      <c r="A1096" s="3">
        <f t="shared" si="50"/>
        <v>2074</v>
      </c>
      <c r="B1096" s="3">
        <f t="shared" si="41"/>
        <v>365</v>
      </c>
      <c r="C1096" s="32">
        <f t="shared" ca="1" si="51"/>
        <v>154.75825</v>
      </c>
      <c r="D1096" s="32">
        <f t="shared" ca="1" si="51"/>
        <v>281.0162499999999</v>
      </c>
      <c r="E1096" s="32">
        <f t="shared" ca="1" si="51"/>
        <v>780.7254999999999</v>
      </c>
      <c r="F1096" s="32">
        <f t="shared" ca="1" si="51"/>
        <v>1216.5</v>
      </c>
      <c r="G1096" s="32">
        <f t="shared" ca="1" si="51"/>
        <v>79.166666666666671</v>
      </c>
      <c r="H1096" s="32">
        <f t="shared" ca="1" si="51"/>
        <v>600</v>
      </c>
      <c r="I1096" s="32">
        <f t="shared" ca="1" si="51"/>
        <v>695</v>
      </c>
      <c r="J1096" s="32">
        <f t="shared" ca="1" si="51"/>
        <v>33.333333333333336</v>
      </c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</row>
    <row r="1097" spans="1:20" ht="15">
      <c r="A1097" s="3">
        <f t="shared" si="50"/>
        <v>2075</v>
      </c>
      <c r="B1097" s="3">
        <f t="shared" si="41"/>
        <v>365</v>
      </c>
      <c r="C1097" s="32">
        <f t="shared" ca="1" si="51"/>
        <v>154.75825</v>
      </c>
      <c r="D1097" s="32">
        <f t="shared" ca="1" si="51"/>
        <v>281.0162499999999</v>
      </c>
      <c r="E1097" s="32">
        <f t="shared" ca="1" si="51"/>
        <v>780.7254999999999</v>
      </c>
      <c r="F1097" s="32">
        <f t="shared" ca="1" si="51"/>
        <v>1216.5</v>
      </c>
      <c r="G1097" s="32">
        <f t="shared" ca="1" si="51"/>
        <v>79.166666666666671</v>
      </c>
      <c r="H1097" s="32">
        <f t="shared" ca="1" si="51"/>
        <v>600</v>
      </c>
      <c r="I1097" s="32">
        <f t="shared" ca="1" si="51"/>
        <v>695</v>
      </c>
      <c r="J1097" s="32">
        <f t="shared" ca="1" si="51"/>
        <v>33.333333333333336</v>
      </c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</row>
    <row r="1098" spans="1:20" ht="15">
      <c r="A1098" s="3">
        <f t="shared" si="50"/>
        <v>2076</v>
      </c>
      <c r="B1098" s="3">
        <f t="shared" si="41"/>
        <v>366</v>
      </c>
      <c r="C1098" s="32">
        <f t="shared" ca="1" si="51"/>
        <v>154.75825</v>
      </c>
      <c r="D1098" s="32">
        <f t="shared" ca="1" si="51"/>
        <v>281.0162499999999</v>
      </c>
      <c r="E1098" s="32">
        <f t="shared" ca="1" si="51"/>
        <v>780.7254999999999</v>
      </c>
      <c r="F1098" s="32">
        <f t="shared" ca="1" si="51"/>
        <v>1216.5</v>
      </c>
      <c r="G1098" s="32">
        <f t="shared" ca="1" si="51"/>
        <v>79.166666666666671</v>
      </c>
      <c r="H1098" s="32">
        <f t="shared" ca="1" si="51"/>
        <v>600</v>
      </c>
      <c r="I1098" s="32">
        <f t="shared" ca="1" si="51"/>
        <v>695</v>
      </c>
      <c r="J1098" s="32">
        <f t="shared" ca="1" si="51"/>
        <v>33.333333333333336</v>
      </c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</row>
    <row r="1099" spans="1:20" ht="15">
      <c r="A1099" s="3">
        <f t="shared" si="50"/>
        <v>2077</v>
      </c>
      <c r="B1099" s="3">
        <f t="shared" si="41"/>
        <v>365</v>
      </c>
      <c r="C1099" s="32">
        <f t="shared" ca="1" si="51"/>
        <v>154.75825</v>
      </c>
      <c r="D1099" s="32">
        <f t="shared" ca="1" si="51"/>
        <v>281.0162499999999</v>
      </c>
      <c r="E1099" s="32">
        <f t="shared" ca="1" si="51"/>
        <v>780.7254999999999</v>
      </c>
      <c r="F1099" s="32">
        <f t="shared" ca="1" si="51"/>
        <v>1216.5</v>
      </c>
      <c r="G1099" s="32">
        <f t="shared" ca="1" si="51"/>
        <v>79.166666666666671</v>
      </c>
      <c r="H1099" s="32">
        <f t="shared" ca="1" si="51"/>
        <v>600</v>
      </c>
      <c r="I1099" s="32">
        <f t="shared" ca="1" si="51"/>
        <v>695</v>
      </c>
      <c r="J1099" s="32">
        <f t="shared" ca="1" si="51"/>
        <v>33.333333333333336</v>
      </c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</row>
    <row r="1100" spans="1:20" ht="15">
      <c r="A1100" s="3">
        <f t="shared" si="50"/>
        <v>2078</v>
      </c>
      <c r="B1100" s="3">
        <f t="shared" si="41"/>
        <v>365</v>
      </c>
      <c r="C1100" s="32">
        <f t="shared" ca="1" si="51"/>
        <v>154.75825</v>
      </c>
      <c r="D1100" s="32">
        <f t="shared" ca="1" si="51"/>
        <v>281.0162499999999</v>
      </c>
      <c r="E1100" s="32">
        <f t="shared" ca="1" si="51"/>
        <v>780.7254999999999</v>
      </c>
      <c r="F1100" s="32">
        <f t="shared" ca="1" si="51"/>
        <v>1216.5</v>
      </c>
      <c r="G1100" s="32">
        <f t="shared" ca="1" si="51"/>
        <v>79.166666666666671</v>
      </c>
      <c r="H1100" s="32">
        <f t="shared" ca="1" si="51"/>
        <v>600</v>
      </c>
      <c r="I1100" s="32">
        <f t="shared" ca="1" si="51"/>
        <v>695</v>
      </c>
      <c r="J1100" s="32">
        <f t="shared" ca="1" si="51"/>
        <v>33.333333333333336</v>
      </c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</row>
    <row r="1101" spans="1:20" ht="15">
      <c r="A1101" s="3">
        <f t="shared" si="50"/>
        <v>2079</v>
      </c>
      <c r="B1101" s="3">
        <f t="shared" si="41"/>
        <v>365</v>
      </c>
      <c r="C1101" s="32">
        <f t="shared" ca="1" si="51"/>
        <v>154.75825</v>
      </c>
      <c r="D1101" s="32">
        <f t="shared" ca="1" si="51"/>
        <v>281.0162499999999</v>
      </c>
      <c r="E1101" s="32">
        <f t="shared" ca="1" si="51"/>
        <v>780.7254999999999</v>
      </c>
      <c r="F1101" s="32">
        <f t="shared" ca="1" si="51"/>
        <v>1216.5</v>
      </c>
      <c r="G1101" s="32">
        <f t="shared" ca="1" si="51"/>
        <v>79.166666666666671</v>
      </c>
      <c r="H1101" s="32">
        <f t="shared" ca="1" si="51"/>
        <v>600</v>
      </c>
      <c r="I1101" s="32">
        <f t="shared" ca="1" si="51"/>
        <v>695</v>
      </c>
      <c r="J1101" s="32">
        <f t="shared" ca="1" si="51"/>
        <v>33.333333333333336</v>
      </c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</row>
    <row r="1102" spans="1:20" ht="15">
      <c r="A1102" s="3">
        <f t="shared" si="50"/>
        <v>2080</v>
      </c>
      <c r="B1102" s="3">
        <f t="shared" ref="B1102:B1122" si="52">DATE(A1102+1,1,1)-DATE(A1102,1,1)</f>
        <v>366</v>
      </c>
      <c r="C1102" s="32">
        <f t="shared" ca="1" si="51"/>
        <v>154.75825</v>
      </c>
      <c r="D1102" s="32">
        <f t="shared" ca="1" si="51"/>
        <v>281.0162499999999</v>
      </c>
      <c r="E1102" s="32">
        <f t="shared" ca="1" si="51"/>
        <v>780.7254999999999</v>
      </c>
      <c r="F1102" s="32">
        <f t="shared" ca="1" si="51"/>
        <v>1216.5</v>
      </c>
      <c r="G1102" s="32">
        <f t="shared" ca="1" si="51"/>
        <v>79.166666666666671</v>
      </c>
      <c r="H1102" s="32">
        <f t="shared" ca="1" si="51"/>
        <v>600</v>
      </c>
      <c r="I1102" s="32">
        <f t="shared" ca="1" si="51"/>
        <v>695</v>
      </c>
      <c r="J1102" s="32">
        <f t="shared" ca="1" si="51"/>
        <v>33.333333333333336</v>
      </c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</row>
    <row r="1103" spans="1:20" ht="15">
      <c r="A1103" s="3">
        <f t="shared" si="50"/>
        <v>2081</v>
      </c>
      <c r="B1103" s="3">
        <f t="shared" si="52"/>
        <v>365</v>
      </c>
      <c r="C1103" s="32">
        <f t="shared" ca="1" si="51"/>
        <v>154.75825</v>
      </c>
      <c r="D1103" s="32">
        <f t="shared" ca="1" si="51"/>
        <v>281.0162499999999</v>
      </c>
      <c r="E1103" s="32">
        <f t="shared" ca="1" si="51"/>
        <v>780.7254999999999</v>
      </c>
      <c r="F1103" s="32">
        <f t="shared" ca="1" si="51"/>
        <v>1216.5</v>
      </c>
      <c r="G1103" s="32">
        <f t="shared" ca="1" si="51"/>
        <v>79.166666666666671</v>
      </c>
      <c r="H1103" s="32">
        <f t="shared" ca="1" si="51"/>
        <v>600</v>
      </c>
      <c r="I1103" s="32">
        <f t="shared" ca="1" si="51"/>
        <v>695</v>
      </c>
      <c r="J1103" s="32">
        <f t="shared" ca="1" si="51"/>
        <v>33.333333333333336</v>
      </c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</row>
    <row r="1104" spans="1:20" ht="15">
      <c r="A1104" s="3">
        <f t="shared" si="50"/>
        <v>2082</v>
      </c>
      <c r="B1104" s="3">
        <f t="shared" si="52"/>
        <v>365</v>
      </c>
      <c r="C1104" s="32">
        <f t="shared" ref="C1104:J1113" ca="1" si="53">AVERAGE(OFFSET(C$569,($A1104-$A$1084)*12,0,12,1))</f>
        <v>154.75825</v>
      </c>
      <c r="D1104" s="32">
        <f t="shared" ca="1" si="53"/>
        <v>281.0162499999999</v>
      </c>
      <c r="E1104" s="32">
        <f t="shared" ca="1" si="53"/>
        <v>780.7254999999999</v>
      </c>
      <c r="F1104" s="32">
        <f t="shared" ca="1" si="53"/>
        <v>1216.5</v>
      </c>
      <c r="G1104" s="32">
        <f t="shared" ca="1" si="53"/>
        <v>79.166666666666671</v>
      </c>
      <c r="H1104" s="32">
        <f t="shared" ca="1" si="53"/>
        <v>600</v>
      </c>
      <c r="I1104" s="32">
        <f t="shared" ca="1" si="53"/>
        <v>695</v>
      </c>
      <c r="J1104" s="32">
        <f t="shared" ca="1" si="53"/>
        <v>33.333333333333336</v>
      </c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</row>
    <row r="1105" spans="1:20" ht="15">
      <c r="A1105" s="3">
        <f t="shared" si="50"/>
        <v>2083</v>
      </c>
      <c r="B1105" s="3">
        <f t="shared" si="52"/>
        <v>365</v>
      </c>
      <c r="C1105" s="32">
        <f t="shared" ca="1" si="53"/>
        <v>154.75825</v>
      </c>
      <c r="D1105" s="32">
        <f t="shared" ca="1" si="53"/>
        <v>281.0162499999999</v>
      </c>
      <c r="E1105" s="32">
        <f t="shared" ca="1" si="53"/>
        <v>780.7254999999999</v>
      </c>
      <c r="F1105" s="32">
        <f t="shared" ca="1" si="53"/>
        <v>1216.5</v>
      </c>
      <c r="G1105" s="32">
        <f t="shared" ca="1" si="53"/>
        <v>79.166666666666671</v>
      </c>
      <c r="H1105" s="32">
        <f t="shared" ca="1" si="53"/>
        <v>600</v>
      </c>
      <c r="I1105" s="32">
        <f t="shared" ca="1" si="53"/>
        <v>695</v>
      </c>
      <c r="J1105" s="32">
        <f t="shared" ca="1" si="53"/>
        <v>33.333333333333336</v>
      </c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</row>
    <row r="1106" spans="1:20" ht="15">
      <c r="A1106" s="3">
        <f t="shared" si="50"/>
        <v>2084</v>
      </c>
      <c r="B1106" s="3">
        <f t="shared" si="52"/>
        <v>366</v>
      </c>
      <c r="C1106" s="32">
        <f t="shared" ca="1" si="53"/>
        <v>154.75825</v>
      </c>
      <c r="D1106" s="32">
        <f t="shared" ca="1" si="53"/>
        <v>281.0162499999999</v>
      </c>
      <c r="E1106" s="32">
        <f t="shared" ca="1" si="53"/>
        <v>780.7254999999999</v>
      </c>
      <c r="F1106" s="32">
        <f t="shared" ca="1" si="53"/>
        <v>1216.5</v>
      </c>
      <c r="G1106" s="32">
        <f t="shared" ca="1" si="53"/>
        <v>79.166666666666671</v>
      </c>
      <c r="H1106" s="32">
        <f t="shared" ca="1" si="53"/>
        <v>600</v>
      </c>
      <c r="I1106" s="32">
        <f t="shared" ca="1" si="53"/>
        <v>695</v>
      </c>
      <c r="J1106" s="32">
        <f t="shared" ca="1" si="53"/>
        <v>33.333333333333336</v>
      </c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</row>
    <row r="1107" spans="1:20" ht="15">
      <c r="A1107" s="3">
        <f t="shared" si="50"/>
        <v>2085</v>
      </c>
      <c r="B1107" s="3">
        <f t="shared" si="52"/>
        <v>365</v>
      </c>
      <c r="C1107" s="32">
        <f t="shared" ca="1" si="53"/>
        <v>154.75825</v>
      </c>
      <c r="D1107" s="32">
        <f t="shared" ca="1" si="53"/>
        <v>281.0162499999999</v>
      </c>
      <c r="E1107" s="32">
        <f t="shared" ca="1" si="53"/>
        <v>780.7254999999999</v>
      </c>
      <c r="F1107" s="32">
        <f t="shared" ca="1" si="53"/>
        <v>1216.5</v>
      </c>
      <c r="G1107" s="32">
        <f t="shared" ca="1" si="53"/>
        <v>79.166666666666671</v>
      </c>
      <c r="H1107" s="32">
        <f t="shared" ca="1" si="53"/>
        <v>600</v>
      </c>
      <c r="I1107" s="32">
        <f t="shared" ca="1" si="53"/>
        <v>695</v>
      </c>
      <c r="J1107" s="32">
        <f t="shared" ca="1" si="53"/>
        <v>33.333333333333336</v>
      </c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</row>
    <row r="1108" spans="1:20" ht="15">
      <c r="A1108" s="3">
        <f t="shared" si="50"/>
        <v>2086</v>
      </c>
      <c r="B1108" s="3">
        <f t="shared" si="52"/>
        <v>365</v>
      </c>
      <c r="C1108" s="32">
        <f t="shared" ca="1" si="53"/>
        <v>154.75825</v>
      </c>
      <c r="D1108" s="32">
        <f t="shared" ca="1" si="53"/>
        <v>281.0162499999999</v>
      </c>
      <c r="E1108" s="32">
        <f t="shared" ca="1" si="53"/>
        <v>780.7254999999999</v>
      </c>
      <c r="F1108" s="32">
        <f t="shared" ca="1" si="53"/>
        <v>1216.5</v>
      </c>
      <c r="G1108" s="32">
        <f t="shared" ca="1" si="53"/>
        <v>79.166666666666671</v>
      </c>
      <c r="H1108" s="32">
        <f t="shared" ca="1" si="53"/>
        <v>600</v>
      </c>
      <c r="I1108" s="32">
        <f t="shared" ca="1" si="53"/>
        <v>695</v>
      </c>
      <c r="J1108" s="32">
        <f t="shared" ca="1" si="53"/>
        <v>33.333333333333336</v>
      </c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</row>
    <row r="1109" spans="1:20" ht="15">
      <c r="A1109" s="3">
        <f t="shared" si="50"/>
        <v>2087</v>
      </c>
      <c r="B1109" s="3">
        <f t="shared" si="52"/>
        <v>365</v>
      </c>
      <c r="C1109" s="32">
        <f t="shared" ca="1" si="53"/>
        <v>154.75825</v>
      </c>
      <c r="D1109" s="32">
        <f t="shared" ca="1" si="53"/>
        <v>281.0162499999999</v>
      </c>
      <c r="E1109" s="32">
        <f t="shared" ca="1" si="53"/>
        <v>780.7254999999999</v>
      </c>
      <c r="F1109" s="32">
        <f t="shared" ca="1" si="53"/>
        <v>1216.5</v>
      </c>
      <c r="G1109" s="32">
        <f t="shared" ca="1" si="53"/>
        <v>79.166666666666671</v>
      </c>
      <c r="H1109" s="32">
        <f t="shared" ca="1" si="53"/>
        <v>600</v>
      </c>
      <c r="I1109" s="32">
        <f t="shared" ca="1" si="53"/>
        <v>695</v>
      </c>
      <c r="J1109" s="32">
        <f t="shared" ca="1" si="53"/>
        <v>33.333333333333336</v>
      </c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</row>
    <row r="1110" spans="1:20" ht="15">
      <c r="A1110" s="3">
        <f t="shared" si="50"/>
        <v>2088</v>
      </c>
      <c r="B1110" s="3">
        <f t="shared" si="52"/>
        <v>366</v>
      </c>
      <c r="C1110" s="32">
        <f t="shared" ca="1" si="53"/>
        <v>154.75825</v>
      </c>
      <c r="D1110" s="32">
        <f t="shared" ca="1" si="53"/>
        <v>281.0162499999999</v>
      </c>
      <c r="E1110" s="32">
        <f t="shared" ca="1" si="53"/>
        <v>780.7254999999999</v>
      </c>
      <c r="F1110" s="32">
        <f t="shared" ca="1" si="53"/>
        <v>1216.5</v>
      </c>
      <c r="G1110" s="32">
        <f t="shared" ca="1" si="53"/>
        <v>79.166666666666671</v>
      </c>
      <c r="H1110" s="32">
        <f t="shared" ca="1" si="53"/>
        <v>600</v>
      </c>
      <c r="I1110" s="32">
        <f t="shared" ca="1" si="53"/>
        <v>695</v>
      </c>
      <c r="J1110" s="32">
        <f t="shared" ca="1" si="53"/>
        <v>33.333333333333336</v>
      </c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</row>
    <row r="1111" spans="1:20" ht="15">
      <c r="A1111" s="3">
        <f t="shared" si="50"/>
        <v>2089</v>
      </c>
      <c r="B1111" s="3">
        <f t="shared" si="52"/>
        <v>365</v>
      </c>
      <c r="C1111" s="32">
        <f t="shared" ca="1" si="53"/>
        <v>154.75825</v>
      </c>
      <c r="D1111" s="32">
        <f t="shared" ca="1" si="53"/>
        <v>281.0162499999999</v>
      </c>
      <c r="E1111" s="32">
        <f t="shared" ca="1" si="53"/>
        <v>780.7254999999999</v>
      </c>
      <c r="F1111" s="32">
        <f t="shared" ca="1" si="53"/>
        <v>1216.5</v>
      </c>
      <c r="G1111" s="32">
        <f t="shared" ca="1" si="53"/>
        <v>79.166666666666671</v>
      </c>
      <c r="H1111" s="32">
        <f t="shared" ca="1" si="53"/>
        <v>600</v>
      </c>
      <c r="I1111" s="32">
        <f t="shared" ca="1" si="53"/>
        <v>695</v>
      </c>
      <c r="J1111" s="32">
        <f t="shared" ca="1" si="53"/>
        <v>33.333333333333336</v>
      </c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</row>
    <row r="1112" spans="1:20" ht="15">
      <c r="A1112" s="3">
        <f t="shared" si="50"/>
        <v>2090</v>
      </c>
      <c r="B1112" s="3">
        <f t="shared" si="52"/>
        <v>365</v>
      </c>
      <c r="C1112" s="32">
        <f t="shared" ca="1" si="53"/>
        <v>154.75825</v>
      </c>
      <c r="D1112" s="32">
        <f t="shared" ca="1" si="53"/>
        <v>281.0162499999999</v>
      </c>
      <c r="E1112" s="32">
        <f t="shared" ca="1" si="53"/>
        <v>780.7254999999999</v>
      </c>
      <c r="F1112" s="32">
        <f t="shared" ca="1" si="53"/>
        <v>1216.5</v>
      </c>
      <c r="G1112" s="32">
        <f t="shared" ca="1" si="53"/>
        <v>79.166666666666671</v>
      </c>
      <c r="H1112" s="32">
        <f t="shared" ca="1" si="53"/>
        <v>600</v>
      </c>
      <c r="I1112" s="32">
        <f t="shared" ca="1" si="53"/>
        <v>695</v>
      </c>
      <c r="J1112" s="32">
        <f t="shared" ca="1" si="53"/>
        <v>33.333333333333336</v>
      </c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</row>
    <row r="1113" spans="1:20" ht="15">
      <c r="A1113" s="3">
        <f t="shared" si="50"/>
        <v>2091</v>
      </c>
      <c r="B1113" s="3">
        <f t="shared" si="52"/>
        <v>365</v>
      </c>
      <c r="C1113" s="32">
        <f t="shared" ca="1" si="53"/>
        <v>154.75825</v>
      </c>
      <c r="D1113" s="32">
        <f t="shared" ca="1" si="53"/>
        <v>281.0162499999999</v>
      </c>
      <c r="E1113" s="32">
        <f t="shared" ca="1" si="53"/>
        <v>780.7254999999999</v>
      </c>
      <c r="F1113" s="32">
        <f t="shared" ca="1" si="53"/>
        <v>1216.5</v>
      </c>
      <c r="G1113" s="32">
        <f t="shared" ca="1" si="53"/>
        <v>79.166666666666671</v>
      </c>
      <c r="H1113" s="32">
        <f t="shared" ca="1" si="53"/>
        <v>600</v>
      </c>
      <c r="I1113" s="32">
        <f t="shared" ca="1" si="53"/>
        <v>695</v>
      </c>
      <c r="J1113" s="32">
        <f t="shared" ca="1" si="53"/>
        <v>33.333333333333336</v>
      </c>
    </row>
    <row r="1114" spans="1:20" ht="15">
      <c r="A1114" s="3">
        <f t="shared" si="50"/>
        <v>2092</v>
      </c>
      <c r="B1114" s="3">
        <f t="shared" si="52"/>
        <v>366</v>
      </c>
      <c r="C1114" s="32">
        <f t="shared" ref="C1114:J1122" ca="1" si="54">AVERAGE(OFFSET(C$569,($A1114-$A$1084)*12,0,12,1))</f>
        <v>154.75825</v>
      </c>
      <c r="D1114" s="32">
        <f t="shared" ca="1" si="54"/>
        <v>281.0162499999999</v>
      </c>
      <c r="E1114" s="32">
        <f t="shared" ca="1" si="54"/>
        <v>780.7254999999999</v>
      </c>
      <c r="F1114" s="32">
        <f t="shared" ca="1" si="54"/>
        <v>1216.5</v>
      </c>
      <c r="G1114" s="32">
        <f t="shared" ca="1" si="54"/>
        <v>79.166666666666671</v>
      </c>
      <c r="H1114" s="32">
        <f t="shared" ca="1" si="54"/>
        <v>600</v>
      </c>
      <c r="I1114" s="32">
        <f t="shared" ca="1" si="54"/>
        <v>695</v>
      </c>
      <c r="J1114" s="32">
        <f t="shared" ca="1" si="54"/>
        <v>33.333333333333336</v>
      </c>
    </row>
    <row r="1115" spans="1:20" ht="15">
      <c r="A1115" s="3">
        <f t="shared" si="50"/>
        <v>2093</v>
      </c>
      <c r="B1115" s="3">
        <f t="shared" si="52"/>
        <v>365</v>
      </c>
      <c r="C1115" s="32">
        <f t="shared" ca="1" si="54"/>
        <v>154.75825</v>
      </c>
      <c r="D1115" s="32">
        <f t="shared" ca="1" si="54"/>
        <v>281.0162499999999</v>
      </c>
      <c r="E1115" s="32">
        <f t="shared" ca="1" si="54"/>
        <v>780.7254999999999</v>
      </c>
      <c r="F1115" s="32">
        <f t="shared" ca="1" si="54"/>
        <v>1216.5</v>
      </c>
      <c r="G1115" s="32">
        <f t="shared" ca="1" si="54"/>
        <v>79.166666666666671</v>
      </c>
      <c r="H1115" s="32">
        <f t="shared" ca="1" si="54"/>
        <v>600</v>
      </c>
      <c r="I1115" s="32">
        <f t="shared" ca="1" si="54"/>
        <v>695</v>
      </c>
      <c r="J1115" s="32">
        <f t="shared" ca="1" si="54"/>
        <v>33.333333333333336</v>
      </c>
    </row>
    <row r="1116" spans="1:20" ht="15">
      <c r="A1116" s="3">
        <f t="shared" si="50"/>
        <v>2094</v>
      </c>
      <c r="B1116" s="3">
        <f t="shared" si="52"/>
        <v>365</v>
      </c>
      <c r="C1116" s="32">
        <f t="shared" ca="1" si="54"/>
        <v>154.75825</v>
      </c>
      <c r="D1116" s="32">
        <f t="shared" ca="1" si="54"/>
        <v>281.0162499999999</v>
      </c>
      <c r="E1116" s="32">
        <f t="shared" ca="1" si="54"/>
        <v>780.7254999999999</v>
      </c>
      <c r="F1116" s="32">
        <f t="shared" ca="1" si="54"/>
        <v>1216.5</v>
      </c>
      <c r="G1116" s="32">
        <f t="shared" ca="1" si="54"/>
        <v>79.166666666666671</v>
      </c>
      <c r="H1116" s="32">
        <f t="shared" ca="1" si="54"/>
        <v>600</v>
      </c>
      <c r="I1116" s="32">
        <f t="shared" ca="1" si="54"/>
        <v>695</v>
      </c>
      <c r="J1116" s="32">
        <f t="shared" ca="1" si="54"/>
        <v>33.333333333333336</v>
      </c>
    </row>
    <row r="1117" spans="1:20" ht="15">
      <c r="A1117" s="3">
        <f t="shared" si="50"/>
        <v>2095</v>
      </c>
      <c r="B1117" s="3">
        <f t="shared" si="52"/>
        <v>365</v>
      </c>
      <c r="C1117" s="32">
        <f t="shared" ca="1" si="54"/>
        <v>154.75825</v>
      </c>
      <c r="D1117" s="32">
        <f t="shared" ca="1" si="54"/>
        <v>281.0162499999999</v>
      </c>
      <c r="E1117" s="32">
        <f t="shared" ca="1" si="54"/>
        <v>780.7254999999999</v>
      </c>
      <c r="F1117" s="32">
        <f t="shared" ca="1" si="54"/>
        <v>1216.5</v>
      </c>
      <c r="G1117" s="32">
        <f t="shared" ca="1" si="54"/>
        <v>79.166666666666671</v>
      </c>
      <c r="H1117" s="32">
        <f t="shared" ca="1" si="54"/>
        <v>600</v>
      </c>
      <c r="I1117" s="32">
        <f t="shared" ca="1" si="54"/>
        <v>695</v>
      </c>
      <c r="J1117" s="32">
        <f t="shared" ca="1" si="54"/>
        <v>33.333333333333336</v>
      </c>
    </row>
    <row r="1118" spans="1:20" ht="15">
      <c r="A1118" s="3">
        <f t="shared" si="50"/>
        <v>2096</v>
      </c>
      <c r="B1118" s="3">
        <f t="shared" si="52"/>
        <v>366</v>
      </c>
      <c r="C1118" s="32">
        <f t="shared" ca="1" si="54"/>
        <v>154.75825</v>
      </c>
      <c r="D1118" s="32">
        <f t="shared" ca="1" si="54"/>
        <v>281.0162499999999</v>
      </c>
      <c r="E1118" s="32">
        <f t="shared" ca="1" si="54"/>
        <v>780.7254999999999</v>
      </c>
      <c r="F1118" s="32">
        <f t="shared" ca="1" si="54"/>
        <v>1216.5</v>
      </c>
      <c r="G1118" s="32">
        <f t="shared" ca="1" si="54"/>
        <v>79.166666666666671</v>
      </c>
      <c r="H1118" s="32">
        <f t="shared" ca="1" si="54"/>
        <v>600</v>
      </c>
      <c r="I1118" s="32">
        <f t="shared" ca="1" si="54"/>
        <v>695</v>
      </c>
      <c r="J1118" s="32">
        <f t="shared" ca="1" si="54"/>
        <v>33.333333333333336</v>
      </c>
    </row>
    <row r="1119" spans="1:20" ht="15">
      <c r="A1119" s="3">
        <f t="shared" si="50"/>
        <v>2097</v>
      </c>
      <c r="B1119" s="3">
        <f t="shared" si="52"/>
        <v>365</v>
      </c>
      <c r="C1119" s="32">
        <f t="shared" ca="1" si="54"/>
        <v>154.75825</v>
      </c>
      <c r="D1119" s="32">
        <f t="shared" ca="1" si="54"/>
        <v>281.0162499999999</v>
      </c>
      <c r="E1119" s="32">
        <f t="shared" ca="1" si="54"/>
        <v>780.7254999999999</v>
      </c>
      <c r="F1119" s="32">
        <f t="shared" ca="1" si="54"/>
        <v>1216.5</v>
      </c>
      <c r="G1119" s="32">
        <f t="shared" ca="1" si="54"/>
        <v>79.166666666666671</v>
      </c>
      <c r="H1119" s="32">
        <f t="shared" ca="1" si="54"/>
        <v>600</v>
      </c>
      <c r="I1119" s="32">
        <f t="shared" ca="1" si="54"/>
        <v>695</v>
      </c>
      <c r="J1119" s="32">
        <f t="shared" ca="1" si="54"/>
        <v>33.333333333333336</v>
      </c>
    </row>
    <row r="1120" spans="1:20" ht="15">
      <c r="A1120" s="3">
        <f t="shared" si="50"/>
        <v>2098</v>
      </c>
      <c r="B1120" s="3">
        <f t="shared" si="52"/>
        <v>365</v>
      </c>
      <c r="C1120" s="32">
        <f t="shared" ca="1" si="54"/>
        <v>154.75825</v>
      </c>
      <c r="D1120" s="32">
        <f t="shared" ca="1" si="54"/>
        <v>281.0162499999999</v>
      </c>
      <c r="E1120" s="32">
        <f t="shared" ca="1" si="54"/>
        <v>780.7254999999999</v>
      </c>
      <c r="F1120" s="32">
        <f t="shared" ca="1" si="54"/>
        <v>1216.5</v>
      </c>
      <c r="G1120" s="32">
        <f t="shared" ca="1" si="54"/>
        <v>79.166666666666671</v>
      </c>
      <c r="H1120" s="32">
        <f t="shared" ca="1" si="54"/>
        <v>600</v>
      </c>
      <c r="I1120" s="32">
        <f t="shared" ca="1" si="54"/>
        <v>695</v>
      </c>
      <c r="J1120" s="32">
        <f t="shared" ca="1" si="54"/>
        <v>33.333333333333336</v>
      </c>
    </row>
    <row r="1121" spans="1:10" ht="15">
      <c r="A1121" s="3">
        <f t="shared" si="50"/>
        <v>2099</v>
      </c>
      <c r="B1121" s="3">
        <f t="shared" si="52"/>
        <v>365</v>
      </c>
      <c r="C1121" s="32">
        <f t="shared" ca="1" si="54"/>
        <v>154.75825</v>
      </c>
      <c r="D1121" s="32">
        <f t="shared" ca="1" si="54"/>
        <v>281.0162499999999</v>
      </c>
      <c r="E1121" s="32">
        <f t="shared" ca="1" si="54"/>
        <v>780.7254999999999</v>
      </c>
      <c r="F1121" s="32">
        <f t="shared" ca="1" si="54"/>
        <v>1216.5</v>
      </c>
      <c r="G1121" s="32">
        <f t="shared" ca="1" si="54"/>
        <v>79.166666666666671</v>
      </c>
      <c r="H1121" s="32">
        <f t="shared" ca="1" si="54"/>
        <v>600</v>
      </c>
      <c r="I1121" s="32">
        <f t="shared" ca="1" si="54"/>
        <v>695</v>
      </c>
      <c r="J1121" s="32">
        <f t="shared" ca="1" si="54"/>
        <v>33.333333333333336</v>
      </c>
    </row>
    <row r="1122" spans="1:10" ht="15">
      <c r="A1122" s="3">
        <f t="shared" si="50"/>
        <v>2100</v>
      </c>
      <c r="B1122" s="3">
        <f t="shared" si="52"/>
        <v>365</v>
      </c>
      <c r="C1122" s="32">
        <f t="shared" ca="1" si="54"/>
        <v>154.75825</v>
      </c>
      <c r="D1122" s="32">
        <f t="shared" ca="1" si="54"/>
        <v>281.0162499999999</v>
      </c>
      <c r="E1122" s="32">
        <f t="shared" ca="1" si="54"/>
        <v>780.7254999999999</v>
      </c>
      <c r="F1122" s="32">
        <f t="shared" ca="1" si="54"/>
        <v>1216.5</v>
      </c>
      <c r="G1122" s="32">
        <f t="shared" ca="1" si="54"/>
        <v>79.166666666666671</v>
      </c>
      <c r="H1122" s="32">
        <f t="shared" ca="1" si="54"/>
        <v>600</v>
      </c>
      <c r="I1122" s="32">
        <f t="shared" ca="1" si="54"/>
        <v>695</v>
      </c>
      <c r="J1122" s="32">
        <f t="shared" ca="1" si="54"/>
        <v>33.333333333333336</v>
      </c>
    </row>
    <row r="1123" spans="1:10">
      <c r="A1123" s="29"/>
      <c r="B1123" s="29"/>
      <c r="C1123" s="31"/>
      <c r="D1123" s="31"/>
      <c r="E1123" s="31"/>
      <c r="F1123" s="31"/>
      <c r="G1123" s="31"/>
    </row>
    <row r="1124" spans="1:10">
      <c r="A1124" s="29"/>
      <c r="B1124" s="29"/>
    </row>
    <row r="1125" spans="1:10">
      <c r="A1125" s="29"/>
      <c r="B1125" s="29"/>
    </row>
    <row r="1126" spans="1:10">
      <c r="A1126" s="29"/>
      <c r="B1126" s="29"/>
    </row>
    <row r="1127" spans="1:10">
      <c r="A1127" s="29"/>
      <c r="B1127" s="29"/>
    </row>
    <row r="1128" spans="1:10">
      <c r="A1128" s="29"/>
      <c r="B1128" s="29"/>
    </row>
    <row r="1129" spans="1:10">
      <c r="A1129" s="29"/>
      <c r="B1129" s="29"/>
    </row>
    <row r="1130" spans="1:10">
      <c r="A1130" s="29"/>
      <c r="B1130" s="29"/>
    </row>
    <row r="1131" spans="1:10">
      <c r="A1131" s="29"/>
      <c r="B1131" s="29"/>
    </row>
    <row r="1132" spans="1:10">
      <c r="A1132" s="29"/>
      <c r="B1132" s="29"/>
    </row>
    <row r="1133" spans="1:10">
      <c r="A1133" s="29"/>
      <c r="B1133" s="29"/>
    </row>
    <row r="1134" spans="1:10">
      <c r="A1134" s="29"/>
      <c r="B1134" s="29"/>
    </row>
    <row r="1135" spans="1:10">
      <c r="A1135" s="29"/>
      <c r="B1135" s="29"/>
    </row>
    <row r="1136" spans="1:10">
      <c r="A1136" s="29"/>
      <c r="B1136" s="29"/>
    </row>
    <row r="1137" spans="1:2">
      <c r="A1137" s="29"/>
      <c r="B1137" s="29"/>
    </row>
    <row r="1138" spans="1:2">
      <c r="A1138" s="29"/>
      <c r="B1138" s="29"/>
    </row>
    <row r="1139" spans="1:2">
      <c r="A1139" s="29"/>
      <c r="B1139" s="29"/>
    </row>
    <row r="1140" spans="1:2">
      <c r="A1140" s="29"/>
      <c r="B1140" s="29"/>
    </row>
    <row r="1141" spans="1:2">
      <c r="A1141" s="29"/>
      <c r="B1141" s="29"/>
    </row>
    <row r="1142" spans="1:2">
      <c r="A1142" s="29"/>
      <c r="B1142" s="29"/>
    </row>
  </sheetData>
  <mergeCells count="1">
    <mergeCell ref="C14:E14"/>
  </mergeCells>
  <pageMargins left="0.25" right="0.25" top="0.5" bottom="0.5" header="0.25" footer="0.25"/>
  <pageSetup scale="75" orientation="portrait" horizontalDpi="1200" verticalDpi="120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42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ColWidth="7.109375" defaultRowHeight="12.75"/>
  <cols>
    <col min="1" max="1" width="7.5546875" style="30" bestFit="1" customWidth="1"/>
    <col min="2" max="2" width="10" style="30" customWidth="1"/>
    <col min="3" max="3" width="12" style="30" customWidth="1"/>
    <col min="4" max="4" width="12.109375" style="30" bestFit="1" customWidth="1"/>
    <col min="5" max="5" width="8.44140625" style="30" bestFit="1" customWidth="1"/>
    <col min="6" max="16384" width="7.109375" style="29"/>
  </cols>
  <sheetData>
    <row r="1" spans="1:7" ht="15.75">
      <c r="A1" s="81" t="s">
        <v>64</v>
      </c>
    </row>
    <row r="2" spans="1:7" ht="15.75">
      <c r="A2" s="81" t="s">
        <v>65</v>
      </c>
    </row>
    <row r="3" spans="1:7" ht="15.75">
      <c r="A3" s="81" t="s">
        <v>66</v>
      </c>
    </row>
    <row r="4" spans="1:7" ht="15.75">
      <c r="A4" s="81" t="s">
        <v>67</v>
      </c>
    </row>
    <row r="5" spans="1:7" ht="15.75">
      <c r="A5" s="81" t="s">
        <v>69</v>
      </c>
    </row>
    <row r="6" spans="1:7" ht="15.75">
      <c r="A6" s="81" t="s">
        <v>71</v>
      </c>
    </row>
    <row r="8" spans="1:7" ht="20.25">
      <c r="A8" s="28" t="s">
        <v>43</v>
      </c>
    </row>
    <row r="9" spans="1:7" ht="15" customHeight="1">
      <c r="A9" s="54" t="s">
        <v>25</v>
      </c>
    </row>
    <row r="10" spans="1:7" ht="15" customHeight="1">
      <c r="A10" s="59"/>
      <c r="F10" s="57"/>
      <c r="G10" s="57"/>
    </row>
    <row r="11" spans="1:7" ht="15" customHeight="1">
      <c r="A11" s="59"/>
      <c r="B11" s="58"/>
      <c r="C11" s="58"/>
      <c r="D11" s="58"/>
      <c r="E11" s="58"/>
      <c r="F11" s="57"/>
      <c r="G11" s="57"/>
    </row>
    <row r="12" spans="1:7" ht="15" customHeight="1"/>
    <row r="13" spans="1:7" ht="15" customHeight="1">
      <c r="B13" s="56" t="s">
        <v>24</v>
      </c>
      <c r="C13" s="55">
        <f>1-0.269</f>
        <v>0.73099999999999998</v>
      </c>
      <c r="D13" s="56" t="s">
        <v>23</v>
      </c>
      <c r="E13" s="55">
        <f>1+0.269</f>
        <v>1.2690000000000001</v>
      </c>
    </row>
    <row r="14" spans="1:7" ht="15" customHeight="1">
      <c r="A14" s="54"/>
      <c r="B14" s="84" t="s">
        <v>42</v>
      </c>
      <c r="C14" s="84"/>
      <c r="D14" s="53" t="s">
        <v>41</v>
      </c>
      <c r="E14" s="48"/>
    </row>
    <row r="15" spans="1:7" s="51" customFormat="1" ht="63">
      <c r="B15" s="52" t="s">
        <v>40</v>
      </c>
      <c r="C15" s="52" t="s">
        <v>39</v>
      </c>
      <c r="D15" s="52" t="s">
        <v>38</v>
      </c>
      <c r="E15" s="20" t="s">
        <v>37</v>
      </c>
    </row>
    <row r="16" spans="1:7" s="51" customFormat="1" ht="15.75">
      <c r="A16" s="17" t="s">
        <v>2</v>
      </c>
      <c r="B16" s="43" t="s">
        <v>1</v>
      </c>
      <c r="C16" s="43" t="s">
        <v>1</v>
      </c>
      <c r="D16" s="43" t="s">
        <v>1</v>
      </c>
      <c r="E16" s="17" t="s">
        <v>36</v>
      </c>
    </row>
    <row r="17" spans="1:5" ht="15">
      <c r="A17" s="13">
        <v>42370</v>
      </c>
      <c r="B17" s="4">
        <f>5.3484 * CHOOSE(CONTROL!$C$9, $C$13, 100%, $E$13) + CHOOSE(CONTROL!$C$28, 0.0003, 0)</f>
        <v>5.3487</v>
      </c>
      <c r="C17" s="4">
        <f>5.0359 * CHOOSE(CONTROL!$C$9, $C$13, 100%, $E$13) + CHOOSE(CONTROL!$C$28, 0.0003, 0)</f>
        <v>5.0362</v>
      </c>
      <c r="D17" s="4">
        <f>9.3672 * CHOOSE(CONTROL!$C$9, $C$13, 100%, $E$13) + CHOOSE(CONTROL!$C$28, 0, 0)</f>
        <v>9.3672000000000004</v>
      </c>
      <c r="E17" s="4">
        <f>34.74 * CHOOSE(CONTROL!$C$9, $C$13, 100%, $E$13) + CHOOSE(CONTROL!$C$28, 0, 0)</f>
        <v>34.74</v>
      </c>
    </row>
    <row r="18" spans="1:5" ht="15">
      <c r="A18" s="13">
        <v>42401</v>
      </c>
      <c r="B18" s="4">
        <f>5.5922 * CHOOSE(CONTROL!$C$9, $C$13, 100%, $E$13) + CHOOSE(CONTROL!$C$28, 0.0003, 0)</f>
        <v>5.5925000000000002</v>
      </c>
      <c r="C18" s="4">
        <f>5.2797 * CHOOSE(CONTROL!$C$9, $C$13, 100%, $E$13) + CHOOSE(CONTROL!$C$28, 0.0003, 0)</f>
        <v>5.28</v>
      </c>
      <c r="D18" s="4">
        <f>9.0387 * CHOOSE(CONTROL!$C$9, $C$13, 100%, $E$13) + CHOOSE(CONTROL!$C$28, 0, 0)</f>
        <v>9.0387000000000004</v>
      </c>
      <c r="E18" s="4">
        <f>26.55 * CHOOSE(CONTROL!$C$9, $C$13, 100%, $E$13) + CHOOSE(CONTROL!$C$28, 0, 0)</f>
        <v>26.55</v>
      </c>
    </row>
    <row r="19" spans="1:5" ht="15">
      <c r="A19" s="13">
        <v>42430</v>
      </c>
      <c r="B19" s="4">
        <f>6.0109 * CHOOSE(CONTROL!$C$9, $C$13, 100%, $E$13) + CHOOSE(CONTROL!$C$28, 0.0003, 0)</f>
        <v>6.0112000000000005</v>
      </c>
      <c r="C19" s="4">
        <f>5.6984 * CHOOSE(CONTROL!$C$9, $C$13, 100%, $E$13) + CHOOSE(CONTROL!$C$28, 0.0003, 0)</f>
        <v>5.6987000000000005</v>
      </c>
      <c r="D19" s="4">
        <f>9.1893 * CHOOSE(CONTROL!$C$9, $C$13, 100%, $E$13) + CHOOSE(CONTROL!$C$28, 0, 0)</f>
        <v>9.1892999999999994</v>
      </c>
      <c r="E19" s="4">
        <f>31.48 * CHOOSE(CONTROL!$C$9, $C$13, 100%, $E$13) + CHOOSE(CONTROL!$C$28, 0, 0)</f>
        <v>31.48</v>
      </c>
    </row>
    <row r="20" spans="1:5" ht="15">
      <c r="A20" s="13">
        <v>42461</v>
      </c>
      <c r="B20" s="4">
        <f>6.3266 * CHOOSE(CONTROL!$C$9, $C$13, 100%, $E$13) + CHOOSE(CONTROL!$C$28, 0.0003, 0)</f>
        <v>6.3269000000000002</v>
      </c>
      <c r="C20" s="4">
        <f>6.0141 * CHOOSE(CONTROL!$C$9, $C$13, 100%, $E$13) + CHOOSE(CONTROL!$C$28, 0.0003, 0)</f>
        <v>6.0144000000000002</v>
      </c>
      <c r="D20" s="4">
        <f>9.9731 * CHOOSE(CONTROL!$C$9, $C$13, 100%, $E$13) + CHOOSE(CONTROL!$C$28, 0, 0)</f>
        <v>9.9731000000000005</v>
      </c>
      <c r="E20" s="4">
        <f>39.91 * CHOOSE(CONTROL!$C$9, $C$13, 100%, $E$13) + CHOOSE(CONTROL!$C$28, 0, 0)</f>
        <v>39.909999999999997</v>
      </c>
    </row>
    <row r="21" spans="1:5" ht="15">
      <c r="A21" s="13">
        <v>42491</v>
      </c>
      <c r="B21" s="4">
        <f>6.8266 * CHOOSE(CONTROL!$C$9, $C$13, 100%, $E$13) + CHOOSE(CONTROL!$C$28, 0.0276, 0)</f>
        <v>6.8541999999999996</v>
      </c>
      <c r="C21" s="4">
        <f>6.5141 * CHOOSE(CONTROL!$C$9, $C$13, 100%, $E$13) + CHOOSE(CONTROL!$C$28, 0.0276, 0)</f>
        <v>6.5416999999999996</v>
      </c>
      <c r="D21" s="4">
        <f>11.3642 * CHOOSE(CONTROL!$C$9, $C$13, 100%, $E$13) + CHOOSE(CONTROL!$C$28, 0, 0)</f>
        <v>11.3642</v>
      </c>
      <c r="E21" s="4">
        <f>42.63 * CHOOSE(CONTROL!$C$9, $C$13, 100%, $E$13) + CHOOSE(CONTROL!$C$28, 0, 0)</f>
        <v>42.63</v>
      </c>
    </row>
    <row r="22" spans="1:5" ht="15">
      <c r="A22" s="13">
        <v>42522</v>
      </c>
      <c r="B22" s="4">
        <f>7.4297 * CHOOSE(CONTROL!$C$9, $C$13, 100%, $E$13) + CHOOSE(CONTROL!$C$28, 0.0276, 0)</f>
        <v>7.4573</v>
      </c>
      <c r="C22" s="4">
        <f>7.1172 * CHOOSE(CONTROL!$C$9, $C$13, 100%, $E$13) + CHOOSE(CONTROL!$C$28, 0.0276, 0)</f>
        <v>7.1448</v>
      </c>
      <c r="D22" s="4">
        <f>11.2029 * CHOOSE(CONTROL!$C$9, $C$13, 100%, $E$13) + CHOOSE(CONTROL!$C$28, 0, 0)</f>
        <v>11.2029</v>
      </c>
      <c r="E22" s="4">
        <f>44.78 * CHOOSE(CONTROL!$C$9, $C$13, 100%, $E$13) + CHOOSE(CONTROL!$C$28, 0, 0)</f>
        <v>44.78</v>
      </c>
    </row>
    <row r="23" spans="1:5" ht="15">
      <c r="A23" s="13">
        <v>42552</v>
      </c>
      <c r="B23" s="4">
        <f>7.4922 * CHOOSE(CONTROL!$C$9, $C$13, 100%, $E$13) + CHOOSE(CONTROL!$C$28, 0.0276, 0)</f>
        <v>7.5198</v>
      </c>
      <c r="C23" s="4">
        <f>7.1797 * CHOOSE(CONTROL!$C$9, $C$13, 100%, $E$13) + CHOOSE(CONTROL!$C$28, 0.0276, 0)</f>
        <v>7.2073</v>
      </c>
      <c r="D23" s="4">
        <f>11.2698 * CHOOSE(CONTROL!$C$9, $C$13, 100%, $E$13) + CHOOSE(CONTROL!$C$28, 0, 0)</f>
        <v>11.2698</v>
      </c>
      <c r="E23" s="4">
        <f>45.48 * CHOOSE(CONTROL!$C$9, $C$13, 100%, $E$13) + CHOOSE(CONTROL!$C$28, 0, 0)</f>
        <v>45.48</v>
      </c>
    </row>
    <row r="24" spans="1:5" ht="15">
      <c r="A24" s="13">
        <v>42583</v>
      </c>
      <c r="B24" s="4">
        <f>7.5547 * CHOOSE(CONTROL!$C$9, $C$13, 100%, $E$13) + CHOOSE(CONTROL!$C$28, 0.0276, 0)</f>
        <v>7.5823</v>
      </c>
      <c r="C24" s="4">
        <f>7.2422 * CHOOSE(CONTROL!$C$9, $C$13, 100%, $E$13) + CHOOSE(CONTROL!$C$28, 0.0276, 0)</f>
        <v>7.2698</v>
      </c>
      <c r="D24" s="4">
        <f>11.3556 * CHOOSE(CONTROL!$C$9, $C$13, 100%, $E$13) + CHOOSE(CONTROL!$C$28, 0, 0)</f>
        <v>11.355600000000001</v>
      </c>
      <c r="E24" s="4">
        <f>45.91 * CHOOSE(CONTROL!$C$9, $C$13, 100%, $E$13) + CHOOSE(CONTROL!$C$28, 0, 0)</f>
        <v>45.91</v>
      </c>
    </row>
    <row r="25" spans="1:5" ht="15">
      <c r="A25" s="13">
        <v>42614</v>
      </c>
      <c r="B25" s="4">
        <f>7.6172 * CHOOSE(CONTROL!$C$9, $C$13, 100%, $E$13) + CHOOSE(CONTROL!$C$28, 0.0276, 0)</f>
        <v>7.6448</v>
      </c>
      <c r="C25" s="4">
        <f>7.3047 * CHOOSE(CONTROL!$C$9, $C$13, 100%, $E$13) + CHOOSE(CONTROL!$C$28, 0.0276, 0)</f>
        <v>7.3323</v>
      </c>
      <c r="D25" s="4">
        <f>11.4802 * CHOOSE(CONTROL!$C$9, $C$13, 100%, $E$13) + CHOOSE(CONTROL!$C$28, 0, 0)</f>
        <v>11.4802</v>
      </c>
      <c r="E25" s="4">
        <f>46.26 * CHOOSE(CONTROL!$C$9, $C$13, 100%, $E$13) + CHOOSE(CONTROL!$C$28, 0, 0)</f>
        <v>46.26</v>
      </c>
    </row>
    <row r="26" spans="1:5" ht="15">
      <c r="A26" s="13">
        <v>42644</v>
      </c>
      <c r="B26" s="4">
        <f>7.6875 * CHOOSE(CONTROL!$C$9, $C$13, 100%, $E$13) + CHOOSE(CONTROL!$C$28, 0.0003, 0)</f>
        <v>7.6878000000000002</v>
      </c>
      <c r="C26" s="4">
        <f>7.375 * CHOOSE(CONTROL!$C$9, $C$13, 100%, $E$13) + CHOOSE(CONTROL!$C$28, 0.0003, 0)</f>
        <v>7.3753000000000002</v>
      </c>
      <c r="D26" s="4">
        <f>11.6192 * CHOOSE(CONTROL!$C$9, $C$13, 100%, $E$13) + CHOOSE(CONTROL!$C$28, 0, 0)</f>
        <v>11.619199999999999</v>
      </c>
      <c r="E26" s="4">
        <f>46.56 * CHOOSE(CONTROL!$C$9, $C$13, 100%, $E$13) + CHOOSE(CONTROL!$C$28, 0, 0)</f>
        <v>46.56</v>
      </c>
    </row>
    <row r="27" spans="1:5" ht="15">
      <c r="A27" s="13">
        <v>42675</v>
      </c>
      <c r="B27" s="4">
        <f>7.7578 * CHOOSE(CONTROL!$C$9, $C$13, 100%, $E$13) + CHOOSE(CONTROL!$C$28, 0.0003, 0)</f>
        <v>7.7580999999999998</v>
      </c>
      <c r="C27" s="4">
        <f>7.4453 * CHOOSE(CONTROL!$C$9, $C$13, 100%, $E$13) + CHOOSE(CONTROL!$C$28, 0.0003, 0)</f>
        <v>7.4455999999999998</v>
      </c>
      <c r="D27" s="4">
        <f>11.7561 * CHOOSE(CONTROL!$C$9, $C$13, 100%, $E$13) + CHOOSE(CONTROL!$C$28, 0, 0)</f>
        <v>11.7561</v>
      </c>
      <c r="E27" s="4">
        <f>46.84 * CHOOSE(CONTROL!$C$9, $C$13, 100%, $E$13) + CHOOSE(CONTROL!$C$28, 0, 0)</f>
        <v>46.84</v>
      </c>
    </row>
    <row r="28" spans="1:5" ht="15">
      <c r="A28" s="13">
        <v>42705</v>
      </c>
      <c r="B28" s="4">
        <f>7.8281 * CHOOSE(CONTROL!$C$9, $C$13, 100%, $E$13) + CHOOSE(CONTROL!$C$28, 0.0003, 0)</f>
        <v>7.8284000000000002</v>
      </c>
      <c r="C28" s="4">
        <f>7.5156 * CHOOSE(CONTROL!$C$9, $C$13, 100%, $E$13) + CHOOSE(CONTROL!$C$28, 0.0003, 0)</f>
        <v>7.5159000000000002</v>
      </c>
      <c r="D28" s="4">
        <f>11.8786 * CHOOSE(CONTROL!$C$9, $C$13, 100%, $E$13) + CHOOSE(CONTROL!$C$28, 0, 0)</f>
        <v>11.8786</v>
      </c>
      <c r="E28" s="4">
        <f>47.09 * CHOOSE(CONTROL!$C$9, $C$13, 100%, $E$13) + CHOOSE(CONTROL!$C$28, 0, 0)</f>
        <v>47.09</v>
      </c>
    </row>
    <row r="29" spans="1:5" ht="15">
      <c r="A29" s="13">
        <v>42736</v>
      </c>
      <c r="B29" s="4">
        <f>7.9375 * CHOOSE(CONTROL!$C$9, $C$13, 100%, $E$13) + CHOOSE(CONTROL!$C$28, 0.0003, 0)</f>
        <v>7.9378000000000002</v>
      </c>
      <c r="C29" s="4">
        <f>7.625 * CHOOSE(CONTROL!$C$9, $C$13, 100%, $E$13) + CHOOSE(CONTROL!$C$28, 0.0003, 0)</f>
        <v>7.6253000000000002</v>
      </c>
      <c r="D29" s="4">
        <f>11.9939 * CHOOSE(CONTROL!$C$9, $C$13, 100%, $E$13) + CHOOSE(CONTROL!$C$28, 0, 0)</f>
        <v>11.9939</v>
      </c>
      <c r="E29" s="4">
        <f>47.28 * CHOOSE(CONTROL!$C$9, $C$13, 100%, $E$13) + CHOOSE(CONTROL!$C$28, 0, 0)</f>
        <v>47.28</v>
      </c>
    </row>
    <row r="30" spans="1:5" ht="15">
      <c r="A30" s="13">
        <v>42767</v>
      </c>
      <c r="B30" s="4">
        <f>7.9922 * CHOOSE(CONTROL!$C$9, $C$13, 100%, $E$13) + CHOOSE(CONTROL!$C$28, 0.0003, 0)</f>
        <v>7.9925000000000006</v>
      </c>
      <c r="C30" s="4">
        <f>7.6797 * CHOOSE(CONTROL!$C$9, $C$13, 100%, $E$13) + CHOOSE(CONTROL!$C$28, 0.0003, 0)</f>
        <v>7.6800000000000006</v>
      </c>
      <c r="D30" s="4">
        <f>12.0443 * CHOOSE(CONTROL!$C$9, $C$13, 100%, $E$13) + CHOOSE(CONTROL!$C$28, 0, 0)</f>
        <v>12.0443</v>
      </c>
      <c r="E30" s="4">
        <f>47.43 * CHOOSE(CONTROL!$C$9, $C$13, 100%, $E$13) + CHOOSE(CONTROL!$C$28, 0, 0)</f>
        <v>47.43</v>
      </c>
    </row>
    <row r="31" spans="1:5" ht="15">
      <c r="A31" s="13">
        <v>42795</v>
      </c>
      <c r="B31" s="4">
        <f>8.0469 * CHOOSE(CONTROL!$C$9, $C$13, 100%, $E$13) + CHOOSE(CONTROL!$C$28, 0.0003, 0)</f>
        <v>8.0472000000000001</v>
      </c>
      <c r="C31" s="4">
        <f>7.7344 * CHOOSE(CONTROL!$C$9, $C$13, 100%, $E$13) + CHOOSE(CONTROL!$C$28, 0.0003, 0)</f>
        <v>7.7347000000000001</v>
      </c>
      <c r="D31" s="4">
        <f>12.0457 * CHOOSE(CONTROL!$C$9, $C$13, 100%, $E$13) + CHOOSE(CONTROL!$C$28, 0, 0)</f>
        <v>12.0457</v>
      </c>
      <c r="E31" s="4">
        <f>47.57 * CHOOSE(CONTROL!$C$9, $C$13, 100%, $E$13) + CHOOSE(CONTROL!$C$28, 0, 0)</f>
        <v>47.57</v>
      </c>
    </row>
    <row r="32" spans="1:5" ht="15">
      <c r="A32" s="13">
        <v>42826</v>
      </c>
      <c r="B32" s="4">
        <f>8.1016 * CHOOSE(CONTROL!$C$9, $C$13, 100%, $E$13) + CHOOSE(CONTROL!$C$28, 0.0003, 0)</f>
        <v>8.1018999999999988</v>
      </c>
      <c r="C32" s="4">
        <f>7.7891 * CHOOSE(CONTROL!$C$9, $C$13, 100%, $E$13) + CHOOSE(CONTROL!$C$28, 0.0003, 0)</f>
        <v>7.7894000000000005</v>
      </c>
      <c r="D32" s="4">
        <f>12.0119 * CHOOSE(CONTROL!$C$9, $C$13, 100%, $E$13) + CHOOSE(CONTROL!$C$28, 0, 0)</f>
        <v>12.011900000000001</v>
      </c>
      <c r="E32" s="4">
        <f>47.69 * CHOOSE(CONTROL!$C$9, $C$13, 100%, $E$13) + CHOOSE(CONTROL!$C$28, 0, 0)</f>
        <v>47.69</v>
      </c>
    </row>
    <row r="33" spans="1:5" ht="15">
      <c r="A33" s="13">
        <v>42856</v>
      </c>
      <c r="B33" s="4">
        <f>8.1562 * CHOOSE(CONTROL!$C$9, $C$13, 100%, $E$13) + CHOOSE(CONTROL!$C$28, 0.0276, 0)</f>
        <v>8.1837999999999997</v>
      </c>
      <c r="C33" s="4">
        <f>7.8438 * CHOOSE(CONTROL!$C$9, $C$13, 100%, $E$13) + CHOOSE(CONTROL!$C$28, 0.0276, 0)</f>
        <v>7.8713999999999995</v>
      </c>
      <c r="D33" s="4">
        <f>12.0328 * CHOOSE(CONTROL!$C$9, $C$13, 100%, $E$13) + CHOOSE(CONTROL!$C$28, 0, 0)</f>
        <v>12.0328</v>
      </c>
      <c r="E33" s="4">
        <f>47.81 * CHOOSE(CONTROL!$C$9, $C$13, 100%, $E$13) + CHOOSE(CONTROL!$C$28, 0, 0)</f>
        <v>47.81</v>
      </c>
    </row>
    <row r="34" spans="1:5" ht="15">
      <c r="A34" s="13">
        <v>42887</v>
      </c>
      <c r="B34" s="4">
        <f>8.2031 * CHOOSE(CONTROL!$C$9, $C$13, 100%, $E$13) + CHOOSE(CONTROL!$C$28, 0.0276, 0)</f>
        <v>8.2306999999999988</v>
      </c>
      <c r="C34" s="4">
        <f>7.8906 * CHOOSE(CONTROL!$C$9, $C$13, 100%, $E$13) + CHOOSE(CONTROL!$C$28, 0.0276, 0)</f>
        <v>7.9181999999999997</v>
      </c>
      <c r="D34" s="4">
        <f>12.0724 * CHOOSE(CONTROL!$C$9, $C$13, 100%, $E$13) + CHOOSE(CONTROL!$C$28, 0, 0)</f>
        <v>12.0724</v>
      </c>
      <c r="E34" s="4">
        <f>47.93 * CHOOSE(CONTROL!$C$9, $C$13, 100%, $E$13) + CHOOSE(CONTROL!$C$28, 0, 0)</f>
        <v>47.93</v>
      </c>
    </row>
    <row r="35" spans="1:5" ht="15">
      <c r="A35" s="13">
        <v>42917</v>
      </c>
      <c r="B35" s="4">
        <f>8.25 * CHOOSE(CONTROL!$C$9, $C$13, 100%, $E$13) + CHOOSE(CONTROL!$C$28, 0.0276, 0)</f>
        <v>8.2775999999999996</v>
      </c>
      <c r="C35" s="4">
        <f>7.9375 * CHOOSE(CONTROL!$C$9, $C$13, 100%, $E$13) + CHOOSE(CONTROL!$C$28, 0.0276, 0)</f>
        <v>7.9650999999999996</v>
      </c>
      <c r="D35" s="4">
        <f>12.1358 * CHOOSE(CONTROL!$C$9, $C$13, 100%, $E$13) + CHOOSE(CONTROL!$C$28, 0, 0)</f>
        <v>12.1358</v>
      </c>
      <c r="E35" s="4">
        <f>48.01 * CHOOSE(CONTROL!$C$9, $C$13, 100%, $E$13) + CHOOSE(CONTROL!$C$28, 0, 0)</f>
        <v>48.01</v>
      </c>
    </row>
    <row r="36" spans="1:5" ht="15">
      <c r="A36" s="13">
        <v>42948</v>
      </c>
      <c r="B36" s="4">
        <f>8.2891 * CHOOSE(CONTROL!$C$9, $C$13, 100%, $E$13) + CHOOSE(CONTROL!$C$28, 0.0276, 0)</f>
        <v>8.3166999999999991</v>
      </c>
      <c r="C36" s="4">
        <f>7.9766 * CHOOSE(CONTROL!$C$9, $C$13, 100%, $E$13) + CHOOSE(CONTROL!$C$28, 0.0276, 0)</f>
        <v>8.0042000000000009</v>
      </c>
      <c r="D36" s="4">
        <f>12.2085 * CHOOSE(CONTROL!$C$9, $C$13, 100%, $E$13) + CHOOSE(CONTROL!$C$28, 0, 0)</f>
        <v>12.208500000000001</v>
      </c>
      <c r="E36" s="4">
        <f>48.11 * CHOOSE(CONTROL!$C$9, $C$13, 100%, $E$13) + CHOOSE(CONTROL!$C$28, 0, 0)</f>
        <v>48.11</v>
      </c>
    </row>
    <row r="37" spans="1:5" ht="15">
      <c r="A37" s="13">
        <v>42979</v>
      </c>
      <c r="B37" s="4">
        <f>8.3281 * CHOOSE(CONTROL!$C$9, $C$13, 100%, $E$13) + CHOOSE(CONTROL!$C$28, 0.0276, 0)</f>
        <v>8.3556999999999988</v>
      </c>
      <c r="C37" s="4">
        <f>8.0156 * CHOOSE(CONTROL!$C$9, $C$13, 100%, $E$13) + CHOOSE(CONTROL!$C$28, 0.0276, 0)</f>
        <v>8.0431999999999988</v>
      </c>
      <c r="D37" s="4">
        <f>12.29 * CHOOSE(CONTROL!$C$9, $C$13, 100%, $E$13) + CHOOSE(CONTROL!$C$28, 0, 0)</f>
        <v>12.29</v>
      </c>
      <c r="E37" s="4">
        <f>48.24 * CHOOSE(CONTROL!$C$9, $C$13, 100%, $E$13) + CHOOSE(CONTROL!$C$28, 0, 0)</f>
        <v>48.24</v>
      </c>
    </row>
    <row r="38" spans="1:5" ht="15">
      <c r="A38" s="13">
        <v>43009</v>
      </c>
      <c r="B38" s="4">
        <f>8.3672 * CHOOSE(CONTROL!$C$9, $C$13, 100%, $E$13) + CHOOSE(CONTROL!$C$28, 0.0003, 0)</f>
        <v>8.3674999999999997</v>
      </c>
      <c r="C38" s="4">
        <f>8.0547 * CHOOSE(CONTROL!$C$9, $C$13, 100%, $E$13) + CHOOSE(CONTROL!$C$28, 0.0003, 0)</f>
        <v>8.0549999999999997</v>
      </c>
      <c r="D38" s="4">
        <f>12.3642 * CHOOSE(CONTROL!$C$9, $C$13, 100%, $E$13) + CHOOSE(CONTROL!$C$28, 0, 0)</f>
        <v>12.3642</v>
      </c>
      <c r="E38" s="4">
        <f>48.38 * CHOOSE(CONTROL!$C$9, $C$13, 100%, $E$13) + CHOOSE(CONTROL!$C$28, 0, 0)</f>
        <v>48.38</v>
      </c>
    </row>
    <row r="39" spans="1:5" ht="15">
      <c r="A39" s="13">
        <v>43040</v>
      </c>
      <c r="B39" s="4">
        <f>8.3984 * CHOOSE(CONTROL!$C$9, $C$13, 100%, $E$13) + CHOOSE(CONTROL!$C$28, 0.0003, 0)</f>
        <v>8.3986999999999998</v>
      </c>
      <c r="C39" s="4">
        <f>8.0859 * CHOOSE(CONTROL!$C$9, $C$13, 100%, $E$13) + CHOOSE(CONTROL!$C$28, 0.0003, 0)</f>
        <v>8.0861999999999998</v>
      </c>
      <c r="D39" s="4">
        <f>12.4326 * CHOOSE(CONTROL!$C$9, $C$13, 100%, $E$13) + CHOOSE(CONTROL!$C$28, 0, 0)</f>
        <v>12.432600000000001</v>
      </c>
      <c r="E39" s="4">
        <f>48.55 * CHOOSE(CONTROL!$C$9, $C$13, 100%, $E$13) + CHOOSE(CONTROL!$C$28, 0, 0)</f>
        <v>48.55</v>
      </c>
    </row>
    <row r="40" spans="1:5" ht="15">
      <c r="A40" s="13">
        <v>43070</v>
      </c>
      <c r="B40" s="4">
        <f>8.4297 * CHOOSE(CONTROL!$C$9, $C$13, 100%, $E$13) + CHOOSE(CONTROL!$C$28, 0.0003, 0)</f>
        <v>8.43</v>
      </c>
      <c r="C40" s="4">
        <f>8.1172 * CHOOSE(CONTROL!$C$9, $C$13, 100%, $E$13) + CHOOSE(CONTROL!$C$28, 0.0003, 0)</f>
        <v>8.1174999999999997</v>
      </c>
      <c r="D40" s="4">
        <f>12.4895 * CHOOSE(CONTROL!$C$9, $C$13, 100%, $E$13) + CHOOSE(CONTROL!$C$28, 0, 0)</f>
        <v>12.4895</v>
      </c>
      <c r="E40" s="4">
        <f>48.72 * CHOOSE(CONTROL!$C$9, $C$13, 100%, $E$13) + CHOOSE(CONTROL!$C$28, 0, 0)</f>
        <v>48.72</v>
      </c>
    </row>
    <row r="41" spans="1:5" ht="15">
      <c r="A41" s="13">
        <v>43101</v>
      </c>
      <c r="B41" s="4">
        <f>8.175 * CHOOSE(CONTROL!$C$9, $C$13, 100%, $E$13) + CHOOSE(CONTROL!$C$28, 0.0003, 0)</f>
        <v>8.1753</v>
      </c>
      <c r="C41" s="4">
        <f>7.8625 * CHOOSE(CONTROL!$C$9, $C$13, 100%, $E$13) + CHOOSE(CONTROL!$C$28, 0.0003, 0)</f>
        <v>7.8628</v>
      </c>
      <c r="D41" s="4">
        <f>12.5371 * CHOOSE(CONTROL!$C$9, $C$13, 100%, $E$13) + CHOOSE(CONTROL!$C$28, 0, 0)</f>
        <v>12.537100000000001</v>
      </c>
      <c r="E41" s="4">
        <f>48.8 * CHOOSE(CONTROL!$C$9, $C$13, 100%, $E$13) + CHOOSE(CONTROL!$C$28, 0, 0)</f>
        <v>48.8</v>
      </c>
    </row>
    <row r="42" spans="1:5" ht="15">
      <c r="A42" s="13">
        <v>43132</v>
      </c>
      <c r="B42" s="4">
        <f>8.2188 * CHOOSE(CONTROL!$C$9, $C$13, 100%, $E$13) + CHOOSE(CONTROL!$C$28, 0.0003, 0)</f>
        <v>8.2190999999999992</v>
      </c>
      <c r="C42" s="4">
        <f>7.9062 * CHOOSE(CONTROL!$C$9, $C$13, 100%, $E$13) + CHOOSE(CONTROL!$C$28, 0.0003, 0)</f>
        <v>7.9065000000000003</v>
      </c>
      <c r="D42" s="4">
        <f>12.5385 * CHOOSE(CONTROL!$C$9, $C$13, 100%, $E$13) + CHOOSE(CONTROL!$C$28, 0, 0)</f>
        <v>12.538500000000001</v>
      </c>
      <c r="E42" s="4">
        <f>48.88 * CHOOSE(CONTROL!$C$9, $C$13, 100%, $E$13) + CHOOSE(CONTROL!$C$28, 0, 0)</f>
        <v>48.88</v>
      </c>
    </row>
    <row r="43" spans="1:5" ht="15">
      <c r="A43" s="13">
        <v>43160</v>
      </c>
      <c r="B43" s="4">
        <f>8.2656 * CHOOSE(CONTROL!$C$9, $C$13, 100%, $E$13) + CHOOSE(CONTROL!$C$28, 0.0003, 0)</f>
        <v>8.2658999999999985</v>
      </c>
      <c r="C43" s="4">
        <f>7.9531 * CHOOSE(CONTROL!$C$9, $C$13, 100%, $E$13) + CHOOSE(CONTROL!$C$28, 0.0003, 0)</f>
        <v>7.9534000000000002</v>
      </c>
      <c r="D43" s="4">
        <f>12.5097 * CHOOSE(CONTROL!$C$9, $C$13, 100%, $E$13) + CHOOSE(CONTROL!$C$28, 0, 0)</f>
        <v>12.5097</v>
      </c>
      <c r="E43" s="4">
        <f>48.97 * CHOOSE(CONTROL!$C$9, $C$13, 100%, $E$13) + CHOOSE(CONTROL!$C$28, 0, 0)</f>
        <v>48.97</v>
      </c>
    </row>
    <row r="44" spans="1:5" ht="15">
      <c r="A44" s="13">
        <v>43191</v>
      </c>
      <c r="B44" s="4">
        <f>8.3156 * CHOOSE(CONTROL!$C$9, $C$13, 100%, $E$13) + CHOOSE(CONTROL!$C$28, 0.0003, 0)</f>
        <v>8.3158999999999992</v>
      </c>
      <c r="C44" s="4">
        <f>8.0031 * CHOOSE(CONTROL!$C$9, $C$13, 100%, $E$13) + CHOOSE(CONTROL!$C$28, 0.0003, 0)</f>
        <v>8.0033999999999992</v>
      </c>
      <c r="D44" s="4">
        <f>12.4701 * CHOOSE(CONTROL!$C$9, $C$13, 100%, $E$13) + CHOOSE(CONTROL!$C$28, 0, 0)</f>
        <v>12.4701</v>
      </c>
      <c r="E44" s="4">
        <f>49.06 * CHOOSE(CONTROL!$C$9, $C$13, 100%, $E$13) + CHOOSE(CONTROL!$C$28, 0, 0)</f>
        <v>49.06</v>
      </c>
    </row>
    <row r="45" spans="1:5" ht="15">
      <c r="A45" s="13">
        <v>43221</v>
      </c>
      <c r="B45" s="4">
        <f>8.3688 * CHOOSE(CONTROL!$C$9, $C$13, 100%, $E$13) + CHOOSE(CONTROL!$C$28, 0.0276, 0)</f>
        <v>8.3963999999999999</v>
      </c>
      <c r="C45" s="4">
        <f>8.0563 * CHOOSE(CONTROL!$C$9, $C$13, 100%, $E$13) + CHOOSE(CONTROL!$C$28, 0.0276, 0)</f>
        <v>8.0838999999999999</v>
      </c>
      <c r="D45" s="4">
        <f>12.4845 * CHOOSE(CONTROL!$C$9, $C$13, 100%, $E$13) + CHOOSE(CONTROL!$C$28, 0, 0)</f>
        <v>12.484500000000001</v>
      </c>
      <c r="E45" s="4">
        <f>49.17 * CHOOSE(CONTROL!$C$9, $C$13, 100%, $E$13) + CHOOSE(CONTROL!$C$28, 0, 0)</f>
        <v>49.17</v>
      </c>
    </row>
    <row r="46" spans="1:5" ht="15">
      <c r="A46" s="13">
        <v>43252</v>
      </c>
      <c r="B46" s="4">
        <f>8.4172 * CHOOSE(CONTROL!$C$9, $C$13, 100%, $E$13) + CHOOSE(CONTROL!$C$28, 0.0276, 0)</f>
        <v>8.444799999999999</v>
      </c>
      <c r="C46" s="4">
        <f>8.1047 * CHOOSE(CONTROL!$C$9, $C$13, 100%, $E$13) + CHOOSE(CONTROL!$C$28, 0.0276, 0)</f>
        <v>8.132299999999999</v>
      </c>
      <c r="D46" s="4">
        <f>12.5205 * CHOOSE(CONTROL!$C$9, $C$13, 100%, $E$13) + CHOOSE(CONTROL!$C$28, 0, 0)</f>
        <v>12.5205</v>
      </c>
      <c r="E46" s="4">
        <f>49.3 * CHOOSE(CONTROL!$C$9, $C$13, 100%, $E$13) + CHOOSE(CONTROL!$C$28, 0, 0)</f>
        <v>49.3</v>
      </c>
    </row>
    <row r="47" spans="1:5" ht="15">
      <c r="A47" s="13">
        <v>43282</v>
      </c>
      <c r="B47" s="4">
        <f>8.4641 * CHOOSE(CONTROL!$C$9, $C$13, 100%, $E$13) + CHOOSE(CONTROL!$C$28, 0.0276, 0)</f>
        <v>8.4916999999999998</v>
      </c>
      <c r="C47" s="4">
        <f>8.1516 * CHOOSE(CONTROL!$C$9, $C$13, 100%, $E$13) + CHOOSE(CONTROL!$C$28, 0.0276, 0)</f>
        <v>8.1791999999999998</v>
      </c>
      <c r="D47" s="4">
        <f>12.5853 * CHOOSE(CONTROL!$C$9, $C$13, 100%, $E$13) + CHOOSE(CONTROL!$C$28, 0, 0)</f>
        <v>12.5853</v>
      </c>
      <c r="E47" s="4">
        <f>49.38 * CHOOSE(CONTROL!$C$9, $C$13, 100%, $E$13) + CHOOSE(CONTROL!$C$28, 0, 0)</f>
        <v>49.38</v>
      </c>
    </row>
    <row r="48" spans="1:5" ht="15">
      <c r="A48" s="13">
        <v>43313</v>
      </c>
      <c r="B48" s="4">
        <f>8.5016 * CHOOSE(CONTROL!$C$9, $C$13, 100%, $E$13) + CHOOSE(CONTROL!$C$28, 0.0276, 0)</f>
        <v>8.5291999999999994</v>
      </c>
      <c r="C48" s="4">
        <f>8.1891 * CHOOSE(CONTROL!$C$9, $C$13, 100%, $E$13) + CHOOSE(CONTROL!$C$28, 0.0276, 0)</f>
        <v>8.2166999999999994</v>
      </c>
      <c r="D48" s="4">
        <f>12.6538 * CHOOSE(CONTROL!$C$9, $C$13, 100%, $E$13) + CHOOSE(CONTROL!$C$28, 0, 0)</f>
        <v>12.6538</v>
      </c>
      <c r="E48" s="4">
        <f>49.47 * CHOOSE(CONTROL!$C$9, $C$13, 100%, $E$13) + CHOOSE(CONTROL!$C$28, 0, 0)</f>
        <v>49.47</v>
      </c>
    </row>
    <row r="49" spans="1:5" ht="15">
      <c r="A49" s="13">
        <v>43344</v>
      </c>
      <c r="B49" s="4">
        <f>8.5375 * CHOOSE(CONTROL!$C$9, $C$13, 100%, $E$13) + CHOOSE(CONTROL!$C$28, 0.0276, 0)</f>
        <v>8.5650999999999993</v>
      </c>
      <c r="C49" s="4">
        <f>8.225 * CHOOSE(CONTROL!$C$9, $C$13, 100%, $E$13) + CHOOSE(CONTROL!$C$28, 0.0276, 0)</f>
        <v>8.2525999999999993</v>
      </c>
      <c r="D49" s="4">
        <f>12.7352 * CHOOSE(CONTROL!$C$9, $C$13, 100%, $E$13) + CHOOSE(CONTROL!$C$28, 0, 0)</f>
        <v>12.735200000000001</v>
      </c>
      <c r="E49" s="4">
        <f>49.58 * CHOOSE(CONTROL!$C$9, $C$13, 100%, $E$13) + CHOOSE(CONTROL!$C$28, 0, 0)</f>
        <v>49.58</v>
      </c>
    </row>
    <row r="50" spans="1:5" ht="15">
      <c r="A50" s="13">
        <v>43374</v>
      </c>
      <c r="B50" s="4">
        <f>8.575 * CHOOSE(CONTROL!$C$9, $C$13, 100%, $E$13) + CHOOSE(CONTROL!$C$28, 0.0003, 0)</f>
        <v>8.5752999999999986</v>
      </c>
      <c r="C50" s="4">
        <f>8.2625 * CHOOSE(CONTROL!$C$9, $C$13, 100%, $E$13) + CHOOSE(CONTROL!$C$28, 0.0003, 0)</f>
        <v>8.2627999999999986</v>
      </c>
      <c r="D50" s="4">
        <f>12.8166 * CHOOSE(CONTROL!$C$9, $C$13, 100%, $E$13) + CHOOSE(CONTROL!$C$28, 0, 0)</f>
        <v>12.816599999999999</v>
      </c>
      <c r="E50" s="4">
        <f>49.71 * CHOOSE(CONTROL!$C$9, $C$13, 100%, $E$13) + CHOOSE(CONTROL!$C$28, 0, 0)</f>
        <v>49.71</v>
      </c>
    </row>
    <row r="51" spans="1:5" ht="15">
      <c r="A51" s="13">
        <v>43405</v>
      </c>
      <c r="B51" s="4">
        <f>8.6 * CHOOSE(CONTROL!$C$9, $C$13, 100%, $E$13) + CHOOSE(CONTROL!$C$28, 0.0003, 0)</f>
        <v>8.6002999999999989</v>
      </c>
      <c r="C51" s="4">
        <f>8.2875 * CHOOSE(CONTROL!$C$9, $C$13, 100%, $E$13) + CHOOSE(CONTROL!$C$28, 0.0003, 0)</f>
        <v>8.2877999999999989</v>
      </c>
      <c r="D51" s="4">
        <f>12.8886 * CHOOSE(CONTROL!$C$9, $C$13, 100%, $E$13) + CHOOSE(CONTROL!$C$28, 0, 0)</f>
        <v>12.8886</v>
      </c>
      <c r="E51" s="4">
        <f>49.84 * CHOOSE(CONTROL!$C$9, $C$13, 100%, $E$13) + CHOOSE(CONTROL!$C$28, 0, 0)</f>
        <v>49.84</v>
      </c>
    </row>
    <row r="52" spans="1:5" ht="15">
      <c r="A52" s="13">
        <v>43435</v>
      </c>
      <c r="B52" s="4">
        <f>8.6281 * CHOOSE(CONTROL!$C$9, $C$13, 100%, $E$13) + CHOOSE(CONTROL!$C$28, 0.0003, 0)</f>
        <v>8.6283999999999992</v>
      </c>
      <c r="C52" s="4">
        <f>8.3156 * CHOOSE(CONTROL!$C$9, $C$13, 100%, $E$13) + CHOOSE(CONTROL!$C$28, 0.0003, 0)</f>
        <v>8.3158999999999992</v>
      </c>
      <c r="D52" s="4">
        <f>12.9462 * CHOOSE(CONTROL!$C$9, $C$13, 100%, $E$13) + CHOOSE(CONTROL!$C$28, 0, 0)</f>
        <v>12.946199999999999</v>
      </c>
      <c r="E52" s="4">
        <f>49.99 * CHOOSE(CONTROL!$C$9, $C$13, 100%, $E$13) + CHOOSE(CONTROL!$C$28, 0, 0)</f>
        <v>49.99</v>
      </c>
    </row>
    <row r="53" spans="1:5" ht="15">
      <c r="A53" s="13">
        <v>43466</v>
      </c>
      <c r="B53" s="4">
        <f>9.5713 * CHOOSE(CONTROL!$C$9, $C$13, 100%, $E$13) + CHOOSE(CONTROL!$C$28, 0.0003, 0)</f>
        <v>9.5716000000000001</v>
      </c>
      <c r="C53" s="4">
        <f>9.2588 * CHOOSE(CONTROL!$C$9, $C$13, 100%, $E$13) + CHOOSE(CONTROL!$C$28, 0.0003, 0)</f>
        <v>9.2591000000000001</v>
      </c>
      <c r="D53" s="4">
        <f>13.9346 * CHOOSE(CONTROL!$C$9, $C$13, 100%, $E$13) + CHOOSE(CONTROL!$C$28, 0, 0)</f>
        <v>13.9346</v>
      </c>
      <c r="E53" s="4">
        <f>54.7777842347437 * CHOOSE(CONTROL!$C$9, $C$13, 100%, $E$13) + CHOOSE(CONTROL!$C$28, 0, 0)</f>
        <v>54.777784234743699</v>
      </c>
    </row>
    <row r="54" spans="1:5" ht="15">
      <c r="A54" s="13">
        <v>43497</v>
      </c>
      <c r="B54" s="4">
        <f>9.754 * CHOOSE(CONTROL!$C$9, $C$13, 100%, $E$13) + CHOOSE(CONTROL!$C$28, 0.0003, 0)</f>
        <v>9.7542999999999989</v>
      </c>
      <c r="C54" s="4">
        <f>9.4415 * CHOOSE(CONTROL!$C$9, $C$13, 100%, $E$13) + CHOOSE(CONTROL!$C$28, 0.0003, 0)</f>
        <v>9.4417999999999989</v>
      </c>
      <c r="D54" s="4">
        <f>14.3757 * CHOOSE(CONTROL!$C$9, $C$13, 100%, $E$13) + CHOOSE(CONTROL!$C$28, 0, 0)</f>
        <v>14.3757</v>
      </c>
      <c r="E54" s="4">
        <f>56.0784247067636 * CHOOSE(CONTROL!$C$9, $C$13, 100%, $E$13) + CHOOSE(CONTROL!$C$28, 0, 0)</f>
        <v>56.078424706763599</v>
      </c>
    </row>
    <row r="55" spans="1:5" ht="15">
      <c r="A55" s="13">
        <v>43525</v>
      </c>
      <c r="B55" s="4">
        <f>10.2339 * CHOOSE(CONTROL!$C$9, $C$13, 100%, $E$13) + CHOOSE(CONTROL!$C$28, 0.0003, 0)</f>
        <v>10.2342</v>
      </c>
      <c r="C55" s="4">
        <f>9.9214 * CHOOSE(CONTROL!$C$9, $C$13, 100%, $E$13) + CHOOSE(CONTROL!$C$28, 0.0003, 0)</f>
        <v>9.9216999999999995</v>
      </c>
      <c r="D55" s="4">
        <f>15.0661 * CHOOSE(CONTROL!$C$9, $C$13, 100%, $E$13) + CHOOSE(CONTROL!$C$28, 0, 0)</f>
        <v>15.0661</v>
      </c>
      <c r="E55" s="4">
        <f>59.4939757065201 * CHOOSE(CONTROL!$C$9, $C$13, 100%, $E$13) + CHOOSE(CONTROL!$C$28, 0, 0)</f>
        <v>59.493975706520096</v>
      </c>
    </row>
    <row r="56" spans="1:5" ht="15">
      <c r="A56" s="13">
        <v>43556</v>
      </c>
      <c r="B56" s="4">
        <f>10.5749 * CHOOSE(CONTROL!$C$9, $C$13, 100%, $E$13) + CHOOSE(CONTROL!$C$28, 0.0003, 0)</f>
        <v>10.575199999999999</v>
      </c>
      <c r="C56" s="4">
        <f>10.2624 * CHOOSE(CONTROL!$C$9, $C$13, 100%, $E$13) + CHOOSE(CONTROL!$C$28, 0.0003, 0)</f>
        <v>10.262699999999999</v>
      </c>
      <c r="D56" s="4">
        <f>15.4638 * CHOOSE(CONTROL!$C$9, $C$13, 100%, $E$13) + CHOOSE(CONTROL!$C$28, 0, 0)</f>
        <v>15.463800000000001</v>
      </c>
      <c r="E56" s="4">
        <f>61.9207702100491 * CHOOSE(CONTROL!$C$9, $C$13, 100%, $E$13) + CHOOSE(CONTROL!$C$28, 0, 0)</f>
        <v>61.920770210049099</v>
      </c>
    </row>
    <row r="57" spans="1:5" ht="15">
      <c r="A57" s="13">
        <v>43586</v>
      </c>
      <c r="B57" s="4">
        <f>10.7832 * CHOOSE(CONTROL!$C$9, $C$13, 100%, $E$13) + CHOOSE(CONTROL!$C$28, 0.0276, 0)</f>
        <v>10.8108</v>
      </c>
      <c r="C57" s="4">
        <f>10.4707 * CHOOSE(CONTROL!$C$9, $C$13, 100%, $E$13) + CHOOSE(CONTROL!$C$28, 0.0276, 0)</f>
        <v>10.4983</v>
      </c>
      <c r="D57" s="4">
        <f>15.3067 * CHOOSE(CONTROL!$C$9, $C$13, 100%, $E$13) + CHOOSE(CONTROL!$C$28, 0, 0)</f>
        <v>15.306699999999999</v>
      </c>
      <c r="E57" s="4">
        <f>63.4034834895584 * CHOOSE(CONTROL!$C$9, $C$13, 100%, $E$13) + CHOOSE(CONTROL!$C$28, 0, 0)</f>
        <v>63.403483489558397</v>
      </c>
    </row>
    <row r="58" spans="1:5" ht="15">
      <c r="A58" s="13">
        <v>43617</v>
      </c>
      <c r="B58" s="4">
        <f>10.8114 * CHOOSE(CONTROL!$C$9, $C$13, 100%, $E$13) + CHOOSE(CONTROL!$C$28, 0.0276, 0)</f>
        <v>10.839</v>
      </c>
      <c r="C58" s="4">
        <f>10.4989 * CHOOSE(CONTROL!$C$9, $C$13, 100%, $E$13) + CHOOSE(CONTROL!$C$28, 0.0276, 0)</f>
        <v>10.5265</v>
      </c>
      <c r="D58" s="4">
        <f>15.4347 * CHOOSE(CONTROL!$C$9, $C$13, 100%, $E$13) + CHOOSE(CONTROL!$C$28, 0, 0)</f>
        <v>15.434699999999999</v>
      </c>
      <c r="E58" s="4">
        <f>63.6041007496626 * CHOOSE(CONTROL!$C$9, $C$13, 100%, $E$13) + CHOOSE(CONTROL!$C$28, 0, 0)</f>
        <v>63.604100749662599</v>
      </c>
    </row>
    <row r="59" spans="1:5" ht="15">
      <c r="A59" s="13">
        <v>43647</v>
      </c>
      <c r="B59" s="4">
        <f>10.8085 * CHOOSE(CONTROL!$C$9, $C$13, 100%, $E$13) + CHOOSE(CONTROL!$C$28, 0.0276, 0)</f>
        <v>10.8361</v>
      </c>
      <c r="C59" s="4">
        <f>10.496 * CHOOSE(CONTROL!$C$9, $C$13, 100%, $E$13) + CHOOSE(CONTROL!$C$28, 0.0276, 0)</f>
        <v>10.5236</v>
      </c>
      <c r="D59" s="4">
        <f>15.6656 * CHOOSE(CONTROL!$C$9, $C$13, 100%, $E$13) + CHOOSE(CONTROL!$C$28, 0, 0)</f>
        <v>15.6656</v>
      </c>
      <c r="E59" s="4">
        <f>63.5838704377193 * CHOOSE(CONTROL!$C$9, $C$13, 100%, $E$13) + CHOOSE(CONTROL!$C$28, 0, 0)</f>
        <v>63.583870437719298</v>
      </c>
    </row>
    <row r="60" spans="1:5" ht="15">
      <c r="A60" s="13">
        <v>43678</v>
      </c>
      <c r="B60" s="4">
        <f>11.0224 * CHOOSE(CONTROL!$C$9, $C$13, 100%, $E$13) + CHOOSE(CONTROL!$C$28, 0.0276, 0)</f>
        <v>11.049999999999999</v>
      </c>
      <c r="C60" s="4">
        <f>10.7099 * CHOOSE(CONTROL!$C$9, $C$13, 100%, $E$13) + CHOOSE(CONTROL!$C$28, 0.0276, 0)</f>
        <v>10.737499999999999</v>
      </c>
      <c r="D60" s="4">
        <f>15.5131 * CHOOSE(CONTROL!$C$9, $C$13, 100%, $E$13) + CHOOSE(CONTROL!$C$28, 0, 0)</f>
        <v>15.5131</v>
      </c>
      <c r="E60" s="4">
        <f>65.1062014114509 * CHOOSE(CONTROL!$C$9, $C$13, 100%, $E$13) + CHOOSE(CONTROL!$C$28, 0, 0)</f>
        <v>65.106201411450897</v>
      </c>
    </row>
    <row r="61" spans="1:5" ht="15">
      <c r="A61" s="13">
        <v>43709</v>
      </c>
      <c r="B61" s="4">
        <f>10.6579 * CHOOSE(CONTROL!$C$9, $C$13, 100%, $E$13) + CHOOSE(CONTROL!$C$28, 0.0276, 0)</f>
        <v>10.685499999999999</v>
      </c>
      <c r="C61" s="4">
        <f>10.3454 * CHOOSE(CONTROL!$C$9, $C$13, 100%, $E$13) + CHOOSE(CONTROL!$C$28, 0.0276, 0)</f>
        <v>10.372999999999999</v>
      </c>
      <c r="D61" s="4">
        <f>15.441 * CHOOSE(CONTROL!$C$9, $C$13, 100%, $E$13) + CHOOSE(CONTROL!$C$28, 0, 0)</f>
        <v>15.441000000000001</v>
      </c>
      <c r="E61" s="4">
        <f>62.5116639047256 * CHOOSE(CONTROL!$C$9, $C$13, 100%, $E$13) + CHOOSE(CONTROL!$C$28, 0, 0)</f>
        <v>62.511663904725602</v>
      </c>
    </row>
    <row r="62" spans="1:5" ht="15">
      <c r="A62" s="13">
        <v>43739</v>
      </c>
      <c r="B62" s="4">
        <f>10.3661 * CHOOSE(CONTROL!$C$9, $C$13, 100%, $E$13) + CHOOSE(CONTROL!$C$28, 0.0003, 0)</f>
        <v>10.366399999999999</v>
      </c>
      <c r="C62" s="4">
        <f>10.0536 * CHOOSE(CONTROL!$C$9, $C$13, 100%, $E$13) + CHOOSE(CONTROL!$C$28, 0.0003, 0)</f>
        <v>10.053899999999999</v>
      </c>
      <c r="D62" s="4">
        <f>15.2481 * CHOOSE(CONTROL!$C$9, $C$13, 100%, $E$13) + CHOOSE(CONTROL!$C$28, 0, 0)</f>
        <v>15.248100000000001</v>
      </c>
      <c r="E62" s="4">
        <f>60.4346852118825 * CHOOSE(CONTROL!$C$9, $C$13, 100%, $E$13) + CHOOSE(CONTROL!$C$28, 0, 0)</f>
        <v>60.434685211882503</v>
      </c>
    </row>
    <row r="63" spans="1:5" ht="15">
      <c r="A63" s="13">
        <v>43770</v>
      </c>
      <c r="B63" s="4">
        <f>10.1781 * CHOOSE(CONTROL!$C$9, $C$13, 100%, $E$13) + CHOOSE(CONTROL!$C$28, 0.0003, 0)</f>
        <v>10.1784</v>
      </c>
      <c r="C63" s="4">
        <f>9.8656 * CHOOSE(CONTROL!$C$9, $C$13, 100%, $E$13) + CHOOSE(CONTROL!$C$28, 0.0003, 0)</f>
        <v>9.8658999999999999</v>
      </c>
      <c r="D63" s="4">
        <f>15.1818 * CHOOSE(CONTROL!$C$9, $C$13, 100%, $E$13) + CHOOSE(CONTROL!$C$28, 0, 0)</f>
        <v>15.181800000000001</v>
      </c>
      <c r="E63" s="4">
        <f>59.0969558346333 * CHOOSE(CONTROL!$C$9, $C$13, 100%, $E$13) + CHOOSE(CONTROL!$C$28, 0, 0)</f>
        <v>59.096955834633299</v>
      </c>
    </row>
    <row r="64" spans="1:5" ht="15">
      <c r="A64" s="13">
        <v>43800</v>
      </c>
      <c r="B64" s="4">
        <f>10.0481 * CHOOSE(CONTROL!$C$9, $C$13, 100%, $E$13) + CHOOSE(CONTROL!$C$28, 0.0003, 0)</f>
        <v>10.048399999999999</v>
      </c>
      <c r="C64" s="4">
        <f>9.7356 * CHOOSE(CONTROL!$C$9, $C$13, 100%, $E$13) + CHOOSE(CONTROL!$C$28, 0.0003, 0)</f>
        <v>9.7358999999999991</v>
      </c>
      <c r="D64" s="4">
        <f>14.6934 * CHOOSE(CONTROL!$C$9, $C$13, 100%, $E$13) + CHOOSE(CONTROL!$C$28, 0, 0)</f>
        <v>14.6934</v>
      </c>
      <c r="E64" s="4">
        <f>58.1714190632284 * CHOOSE(CONTROL!$C$9, $C$13, 100%, $E$13) + CHOOSE(CONTROL!$C$28, 0, 0)</f>
        <v>58.171419063228399</v>
      </c>
    </row>
    <row r="65" spans="1:5" ht="15">
      <c r="A65" s="13">
        <v>43831</v>
      </c>
      <c r="B65" s="4">
        <f>10.0526 * CHOOSE(CONTROL!$C$9, $C$13, 100%, $E$13) + CHOOSE(CONTROL!$C$28, 0.0003, 0)</f>
        <v>10.052899999999999</v>
      </c>
      <c r="C65" s="4">
        <f>9.7401 * CHOOSE(CONTROL!$C$9, $C$13, 100%, $E$13) + CHOOSE(CONTROL!$C$28, 0.0003, 0)</f>
        <v>9.7403999999999993</v>
      </c>
      <c r="D65" s="4">
        <f>14.5193 * CHOOSE(CONTROL!$C$9, $C$13, 100%, $E$13) + CHOOSE(CONTROL!$C$28, 0, 0)</f>
        <v>14.519299999999999</v>
      </c>
      <c r="E65" s="4">
        <f>57.5646244655699 * CHOOSE(CONTROL!$C$9, $C$13, 100%, $E$13) + CHOOSE(CONTROL!$C$28, 0, 0)</f>
        <v>57.564624465569899</v>
      </c>
    </row>
    <row r="66" spans="1:5" ht="15">
      <c r="A66" s="13">
        <v>43862</v>
      </c>
      <c r="B66" s="4">
        <f>10.2468 * CHOOSE(CONTROL!$C$9, $C$13, 100%, $E$13) + CHOOSE(CONTROL!$C$28, 0.0003, 0)</f>
        <v>10.2471</v>
      </c>
      <c r="C66" s="4">
        <f>9.9343 * CHOOSE(CONTROL!$C$9, $C$13, 100%, $E$13) + CHOOSE(CONTROL!$C$28, 0.0003, 0)</f>
        <v>9.9345999999999997</v>
      </c>
      <c r="D66" s="4">
        <f>14.9811 * CHOOSE(CONTROL!$C$9, $C$13, 100%, $E$13) + CHOOSE(CONTROL!$C$28, 0, 0)</f>
        <v>14.9811</v>
      </c>
      <c r="E66" s="4">
        <f>58.9314355073546 * CHOOSE(CONTROL!$C$9, $C$13, 100%, $E$13) + CHOOSE(CONTROL!$C$28, 0, 0)</f>
        <v>58.9314355073546</v>
      </c>
    </row>
    <row r="67" spans="1:5" ht="15">
      <c r="A67" s="13">
        <v>43891</v>
      </c>
      <c r="B67" s="4">
        <f>10.7567 * CHOOSE(CONTROL!$C$9, $C$13, 100%, $E$13) + CHOOSE(CONTROL!$C$28, 0.0003, 0)</f>
        <v>10.757</v>
      </c>
      <c r="C67" s="4">
        <f>10.4442 * CHOOSE(CONTROL!$C$9, $C$13, 100%, $E$13) + CHOOSE(CONTROL!$C$28, 0.0003, 0)</f>
        <v>10.4445</v>
      </c>
      <c r="D67" s="4">
        <f>15.7038 * CHOOSE(CONTROL!$C$9, $C$13, 100%, $E$13) + CHOOSE(CONTROL!$C$28, 0, 0)</f>
        <v>15.703799999999999</v>
      </c>
      <c r="E67" s="4">
        <f>62.5207539398311 * CHOOSE(CONTROL!$C$9, $C$13, 100%, $E$13) + CHOOSE(CONTROL!$C$28, 0, 0)</f>
        <v>62.520753939831103</v>
      </c>
    </row>
    <row r="68" spans="1:5" ht="15">
      <c r="A68" s="13">
        <v>43922</v>
      </c>
      <c r="B68" s="4">
        <f>11.119 * CHOOSE(CONTROL!$C$9, $C$13, 100%, $E$13) + CHOOSE(CONTROL!$C$28, 0.0003, 0)</f>
        <v>11.119299999999999</v>
      </c>
      <c r="C68" s="4">
        <f>10.8065 * CHOOSE(CONTROL!$C$9, $C$13, 100%, $E$13) + CHOOSE(CONTROL!$C$28, 0.0003, 0)</f>
        <v>10.806799999999999</v>
      </c>
      <c r="D68" s="4">
        <f>16.1201 * CHOOSE(CONTROL!$C$9, $C$13, 100%, $E$13) + CHOOSE(CONTROL!$C$28, 0, 0)</f>
        <v>16.120100000000001</v>
      </c>
      <c r="E68" s="4">
        <f>65.0710125200631 * CHOOSE(CONTROL!$C$9, $C$13, 100%, $E$13) + CHOOSE(CONTROL!$C$28, 0, 0)</f>
        <v>65.071012520063107</v>
      </c>
    </row>
    <row r="69" spans="1:5" ht="15">
      <c r="A69" s="13">
        <v>43952</v>
      </c>
      <c r="B69" s="4">
        <f>11.3404 * CHOOSE(CONTROL!$C$9, $C$13, 100%, $E$13) + CHOOSE(CONTROL!$C$28, 0.0276, 0)</f>
        <v>11.368</v>
      </c>
      <c r="C69" s="4">
        <f>11.0279 * CHOOSE(CONTROL!$C$9, $C$13, 100%, $E$13) + CHOOSE(CONTROL!$C$28, 0.0276, 0)</f>
        <v>11.0555</v>
      </c>
      <c r="D69" s="4">
        <f>15.9556 * CHOOSE(CONTROL!$C$9, $C$13, 100%, $E$13) + CHOOSE(CONTROL!$C$28, 0, 0)</f>
        <v>15.9556</v>
      </c>
      <c r="E69" s="4">
        <f>66.6291593914171 * CHOOSE(CONTROL!$C$9, $C$13, 100%, $E$13) + CHOOSE(CONTROL!$C$28, 0, 0)</f>
        <v>66.629159391417105</v>
      </c>
    </row>
    <row r="70" spans="1:5" ht="15">
      <c r="A70" s="13">
        <v>43983</v>
      </c>
      <c r="B70" s="4">
        <f>11.3703 * CHOOSE(CONTROL!$C$9, $C$13, 100%, $E$13) + CHOOSE(CONTROL!$C$28, 0.0276, 0)</f>
        <v>11.3979</v>
      </c>
      <c r="C70" s="4">
        <f>11.0578 * CHOOSE(CONTROL!$C$9, $C$13, 100%, $E$13) + CHOOSE(CONTROL!$C$28, 0.0276, 0)</f>
        <v>11.0854</v>
      </c>
      <c r="D70" s="4">
        <f>16.0896 * CHOOSE(CONTROL!$C$9, $C$13, 100%, $E$13) + CHOOSE(CONTROL!$C$28, 0, 0)</f>
        <v>16.089600000000001</v>
      </c>
      <c r="E70" s="4">
        <f>66.8399831295536 * CHOOSE(CONTROL!$C$9, $C$13, 100%, $E$13) + CHOOSE(CONTROL!$C$28, 0, 0)</f>
        <v>66.839983129553602</v>
      </c>
    </row>
    <row r="71" spans="1:5" ht="15">
      <c r="A71" s="13">
        <v>44013</v>
      </c>
      <c r="B71" s="4">
        <f>11.3673 * CHOOSE(CONTROL!$C$9, $C$13, 100%, $E$13) + CHOOSE(CONTROL!$C$28, 0.0276, 0)</f>
        <v>11.3949</v>
      </c>
      <c r="C71" s="4">
        <f>11.0548 * CHOOSE(CONTROL!$C$9, $C$13, 100%, $E$13) + CHOOSE(CONTROL!$C$28, 0.0276, 0)</f>
        <v>11.0824</v>
      </c>
      <c r="D71" s="4">
        <f>16.3314 * CHOOSE(CONTROL!$C$9, $C$13, 100%, $E$13) + CHOOSE(CONTROL!$C$28, 0, 0)</f>
        <v>16.331399999999999</v>
      </c>
      <c r="E71" s="4">
        <f>66.8187235929348 * CHOOSE(CONTROL!$C$9, $C$13, 100%, $E$13) + CHOOSE(CONTROL!$C$28, 0, 0)</f>
        <v>66.818723592934802</v>
      </c>
    </row>
    <row r="72" spans="1:5" ht="15">
      <c r="A72" s="13">
        <v>44044</v>
      </c>
      <c r="B72" s="4">
        <f>11.5946 * CHOOSE(CONTROL!$C$9, $C$13, 100%, $E$13) + CHOOSE(CONTROL!$C$28, 0.0276, 0)</f>
        <v>11.622199999999999</v>
      </c>
      <c r="C72" s="4">
        <f>11.2821 * CHOOSE(CONTROL!$C$9, $C$13, 100%, $E$13) + CHOOSE(CONTROL!$C$28, 0.0276, 0)</f>
        <v>11.309699999999999</v>
      </c>
      <c r="D72" s="4">
        <f>16.1717 * CHOOSE(CONTROL!$C$9, $C$13, 100%, $E$13) + CHOOSE(CONTROL!$C$28, 0, 0)</f>
        <v>16.171700000000001</v>
      </c>
      <c r="E72" s="4">
        <f>68.4185037235006 * CHOOSE(CONTROL!$C$9, $C$13, 100%, $E$13) + CHOOSE(CONTROL!$C$28, 0, 0)</f>
        <v>68.418503723500606</v>
      </c>
    </row>
    <row r="73" spans="1:5" ht="15">
      <c r="A73" s="13">
        <v>44075</v>
      </c>
      <c r="B73" s="4">
        <f>11.2072 * CHOOSE(CONTROL!$C$9, $C$13, 100%, $E$13) + CHOOSE(CONTROL!$C$28, 0.0276, 0)</f>
        <v>11.2348</v>
      </c>
      <c r="C73" s="4">
        <f>10.8947 * CHOOSE(CONTROL!$C$9, $C$13, 100%, $E$13) + CHOOSE(CONTROL!$C$28, 0.0276, 0)</f>
        <v>10.9223</v>
      </c>
      <c r="D73" s="4">
        <f>16.0963 * CHOOSE(CONTROL!$C$9, $C$13, 100%, $E$13) + CHOOSE(CONTROL!$C$28, 0, 0)</f>
        <v>16.096299999999999</v>
      </c>
      <c r="E73" s="4">
        <f>65.6919681521376 * CHOOSE(CONTROL!$C$9, $C$13, 100%, $E$13) + CHOOSE(CONTROL!$C$28, 0, 0)</f>
        <v>65.691968152137605</v>
      </c>
    </row>
    <row r="74" spans="1:5" ht="15">
      <c r="A74" s="13">
        <v>44105</v>
      </c>
      <c r="B74" s="4">
        <f>10.8972 * CHOOSE(CONTROL!$C$9, $C$13, 100%, $E$13) + CHOOSE(CONTROL!$C$28, 0.0003, 0)</f>
        <v>10.897499999999999</v>
      </c>
      <c r="C74" s="4">
        <f>10.5847 * CHOOSE(CONTROL!$C$9, $C$13, 100%, $E$13) + CHOOSE(CONTROL!$C$28, 0.0003, 0)</f>
        <v>10.584999999999999</v>
      </c>
      <c r="D74" s="4">
        <f>15.8943 * CHOOSE(CONTROL!$C$9, $C$13, 100%, $E$13) + CHOOSE(CONTROL!$C$28, 0, 0)</f>
        <v>15.894299999999999</v>
      </c>
      <c r="E74" s="4">
        <f>63.509322392606 * CHOOSE(CONTROL!$C$9, $C$13, 100%, $E$13) + CHOOSE(CONTROL!$C$28, 0, 0)</f>
        <v>63.509322392606002</v>
      </c>
    </row>
    <row r="75" spans="1:5" ht="15">
      <c r="A75" s="13">
        <v>44136</v>
      </c>
      <c r="B75" s="4">
        <f>10.6974 * CHOOSE(CONTROL!$C$9, $C$13, 100%, $E$13) + CHOOSE(CONTROL!$C$28, 0.0003, 0)</f>
        <v>10.697699999999999</v>
      </c>
      <c r="C75" s="4">
        <f>10.3849 * CHOOSE(CONTROL!$C$9, $C$13, 100%, $E$13) + CHOOSE(CONTROL!$C$28, 0.0003, 0)</f>
        <v>10.385199999999999</v>
      </c>
      <c r="D75" s="4">
        <f>15.8249 * CHOOSE(CONTROL!$C$9, $C$13, 100%, $E$13) + CHOOSE(CONTROL!$C$28, 0, 0)</f>
        <v>15.8249</v>
      </c>
      <c r="E75" s="4">
        <f>62.1035355336869 * CHOOSE(CONTROL!$C$9, $C$13, 100%, $E$13) + CHOOSE(CONTROL!$C$28, 0, 0)</f>
        <v>62.103535533686902</v>
      </c>
    </row>
    <row r="76" spans="1:5" ht="15">
      <c r="A76" s="13">
        <v>44166</v>
      </c>
      <c r="B76" s="4">
        <f>10.5593 * CHOOSE(CONTROL!$C$9, $C$13, 100%, $E$13) + CHOOSE(CONTROL!$C$28, 0.0003, 0)</f>
        <v>10.5596</v>
      </c>
      <c r="C76" s="4">
        <f>10.2468 * CHOOSE(CONTROL!$C$9, $C$13, 100%, $E$13) + CHOOSE(CONTROL!$C$28, 0.0003, 0)</f>
        <v>10.2471</v>
      </c>
      <c r="D76" s="4">
        <f>15.3136 * CHOOSE(CONTROL!$C$9, $C$13, 100%, $E$13) + CHOOSE(CONTROL!$C$28, 0, 0)</f>
        <v>15.313599999999999</v>
      </c>
      <c r="E76" s="4">
        <f>61.1309117333761 * CHOOSE(CONTROL!$C$9, $C$13, 100%, $E$13) + CHOOSE(CONTROL!$C$28, 0, 0)</f>
        <v>61.130911733376102</v>
      </c>
    </row>
    <row r="77" spans="1:5" ht="15">
      <c r="A77" s="13">
        <v>44197</v>
      </c>
      <c r="B77" s="4">
        <f>12.68 * CHOOSE(CONTROL!$C$9, $C$13, 100%, $E$13) + CHOOSE(CONTROL!$C$28, 0.0003, 0)</f>
        <v>12.680299999999999</v>
      </c>
      <c r="C77" s="4">
        <f>12.3675 * CHOOSE(CONTROL!$C$9, $C$13, 100%, $E$13) + CHOOSE(CONTROL!$C$28, 0.0003, 0)</f>
        <v>12.367799999999999</v>
      </c>
      <c r="D77" s="4">
        <f>17.2917 * CHOOSE(CONTROL!$C$9, $C$13, 100%, $E$13) + CHOOSE(CONTROL!$C$28, 0, 0)</f>
        <v>17.291699999999999</v>
      </c>
      <c r="E77" s="4">
        <f>71.7047853608682 * CHOOSE(CONTROL!$C$9, $C$13, 100%, $E$13) + CHOOSE(CONTROL!$C$28, 0, 0)</f>
        <v>71.7047853608682</v>
      </c>
    </row>
    <row r="78" spans="1:5" ht="15">
      <c r="A78" s="13">
        <v>44228</v>
      </c>
      <c r="B78" s="4">
        <f>12.9365 * CHOOSE(CONTROL!$C$9, $C$13, 100%, $E$13) + CHOOSE(CONTROL!$C$28, 0.0003, 0)</f>
        <v>12.9368</v>
      </c>
      <c r="C78" s="4">
        <f>12.624 * CHOOSE(CONTROL!$C$9, $C$13, 100%, $E$13) + CHOOSE(CONTROL!$C$28, 0.0003, 0)</f>
        <v>12.6243</v>
      </c>
      <c r="D78" s="4">
        <f>17.8513 * CHOOSE(CONTROL!$C$9, $C$13, 100%, $E$13) + CHOOSE(CONTROL!$C$28, 0, 0)</f>
        <v>17.851299999999998</v>
      </c>
      <c r="E78" s="4">
        <f>73.4073395474008 * CHOOSE(CONTROL!$C$9, $C$13, 100%, $E$13) + CHOOSE(CONTROL!$C$28, 0, 0)</f>
        <v>73.407339547400795</v>
      </c>
    </row>
    <row r="79" spans="1:5" ht="15">
      <c r="A79" s="13">
        <v>44256</v>
      </c>
      <c r="B79" s="4">
        <f>13.6103 * CHOOSE(CONTROL!$C$9, $C$13, 100%, $E$13) + CHOOSE(CONTROL!$C$28, 0.0003, 0)</f>
        <v>13.6106</v>
      </c>
      <c r="C79" s="4">
        <f>13.2978 * CHOOSE(CONTROL!$C$9, $C$13, 100%, $E$13) + CHOOSE(CONTROL!$C$28, 0.0003, 0)</f>
        <v>13.2981</v>
      </c>
      <c r="D79" s="4">
        <f>18.7272 * CHOOSE(CONTROL!$C$9, $C$13, 100%, $E$13) + CHOOSE(CONTROL!$C$28, 0, 0)</f>
        <v>18.7272</v>
      </c>
      <c r="E79" s="4">
        <f>77.8783373204597 * CHOOSE(CONTROL!$C$9, $C$13, 100%, $E$13) + CHOOSE(CONTROL!$C$28, 0, 0)</f>
        <v>77.878337320459707</v>
      </c>
    </row>
    <row r="80" spans="1:5" ht="15">
      <c r="A80" s="13">
        <v>44287</v>
      </c>
      <c r="B80" s="4">
        <f>14.089 * CHOOSE(CONTROL!$C$9, $C$13, 100%, $E$13) + CHOOSE(CONTROL!$C$28, 0.0003, 0)</f>
        <v>14.0893</v>
      </c>
      <c r="C80" s="4">
        <f>13.7765 * CHOOSE(CONTROL!$C$9, $C$13, 100%, $E$13) + CHOOSE(CONTROL!$C$28, 0.0003, 0)</f>
        <v>13.7768</v>
      </c>
      <c r="D80" s="4">
        <f>19.2318 * CHOOSE(CONTROL!$C$9, $C$13, 100%, $E$13) + CHOOSE(CONTROL!$C$28, 0, 0)</f>
        <v>19.2318</v>
      </c>
      <c r="E80" s="4">
        <f>81.0550408220977 * CHOOSE(CONTROL!$C$9, $C$13, 100%, $E$13) + CHOOSE(CONTROL!$C$28, 0, 0)</f>
        <v>81.055040822097695</v>
      </c>
    </row>
    <row r="81" spans="1:5" ht="15">
      <c r="A81" s="13">
        <v>44317</v>
      </c>
      <c r="B81" s="4">
        <f>14.3814 * CHOOSE(CONTROL!$C$9, $C$13, 100%, $E$13) + CHOOSE(CONTROL!$C$28, 0.0276, 0)</f>
        <v>14.408999999999999</v>
      </c>
      <c r="C81" s="4">
        <f>14.0689 * CHOOSE(CONTROL!$C$9, $C$13, 100%, $E$13) + CHOOSE(CONTROL!$C$28, 0.0276, 0)</f>
        <v>14.096499999999999</v>
      </c>
      <c r="D81" s="4">
        <f>19.0324 * CHOOSE(CONTROL!$C$9, $C$13, 100%, $E$13) + CHOOSE(CONTROL!$C$28, 0, 0)</f>
        <v>19.032399999999999</v>
      </c>
      <c r="E81" s="4">
        <f>82.9959305266413 * CHOOSE(CONTROL!$C$9, $C$13, 100%, $E$13) + CHOOSE(CONTROL!$C$28, 0, 0)</f>
        <v>82.995930526641303</v>
      </c>
    </row>
    <row r="82" spans="1:5" ht="15">
      <c r="A82" s="13">
        <v>44348</v>
      </c>
      <c r="B82" s="4">
        <f>14.421 * CHOOSE(CONTROL!$C$9, $C$13, 100%, $E$13) + CHOOSE(CONTROL!$C$28, 0.0276, 0)</f>
        <v>14.448599999999999</v>
      </c>
      <c r="C82" s="4">
        <f>14.1085 * CHOOSE(CONTROL!$C$9, $C$13, 100%, $E$13) + CHOOSE(CONTROL!$C$28, 0.0276, 0)</f>
        <v>14.136099999999999</v>
      </c>
      <c r="D82" s="4">
        <f>19.1948 * CHOOSE(CONTROL!$C$9, $C$13, 100%, $E$13) + CHOOSE(CONTROL!$C$28, 0, 0)</f>
        <v>19.194800000000001</v>
      </c>
      <c r="E82" s="4">
        <f>83.2585409585238 * CHOOSE(CONTROL!$C$9, $C$13, 100%, $E$13) + CHOOSE(CONTROL!$C$28, 0, 0)</f>
        <v>83.258540958523795</v>
      </c>
    </row>
    <row r="83" spans="1:5" ht="15">
      <c r="A83" s="13">
        <v>44378</v>
      </c>
      <c r="B83" s="4">
        <f>14.417 * CHOOSE(CONTROL!$C$9, $C$13, 100%, $E$13) + CHOOSE(CONTROL!$C$28, 0.0276, 0)</f>
        <v>14.444599999999999</v>
      </c>
      <c r="C83" s="4">
        <f>14.1045 * CHOOSE(CONTROL!$C$9, $C$13, 100%, $E$13) + CHOOSE(CONTROL!$C$28, 0.0276, 0)</f>
        <v>14.132099999999999</v>
      </c>
      <c r="D83" s="4">
        <f>19.4878 * CHOOSE(CONTROL!$C$9, $C$13, 100%, $E$13) + CHOOSE(CONTROL!$C$28, 0, 0)</f>
        <v>19.4878</v>
      </c>
      <c r="E83" s="4">
        <f>83.2320592343004 * CHOOSE(CONTROL!$C$9, $C$13, 100%, $E$13) + CHOOSE(CONTROL!$C$28, 0, 0)</f>
        <v>83.232059234300394</v>
      </c>
    </row>
    <row r="84" spans="1:5" ht="15">
      <c r="A84" s="13">
        <v>44409</v>
      </c>
      <c r="B84" s="4">
        <f>14.7173 * CHOOSE(CONTROL!$C$9, $C$13, 100%, $E$13) + CHOOSE(CONTROL!$C$28, 0.0276, 0)</f>
        <v>14.744899999999999</v>
      </c>
      <c r="C84" s="4">
        <f>14.4048 * CHOOSE(CONTROL!$C$9, $C$13, 100%, $E$13) + CHOOSE(CONTROL!$C$28, 0.0276, 0)</f>
        <v>14.432399999999999</v>
      </c>
      <c r="D84" s="4">
        <f>19.2943 * CHOOSE(CONTROL!$C$9, $C$13, 100%, $E$13) + CHOOSE(CONTROL!$C$28, 0, 0)</f>
        <v>19.2943</v>
      </c>
      <c r="E84" s="4">
        <f>85.2248089821149 * CHOOSE(CONTROL!$C$9, $C$13, 100%, $E$13) + CHOOSE(CONTROL!$C$28, 0, 0)</f>
        <v>85.224808982114894</v>
      </c>
    </row>
    <row r="85" spans="1:5" ht="15">
      <c r="A85" s="13">
        <v>44440</v>
      </c>
      <c r="B85" s="4">
        <f>14.2055 * CHOOSE(CONTROL!$C$9, $C$13, 100%, $E$13) + CHOOSE(CONTROL!$C$28, 0.0276, 0)</f>
        <v>14.2331</v>
      </c>
      <c r="C85" s="4">
        <f>13.893 * CHOOSE(CONTROL!$C$9, $C$13, 100%, $E$13) + CHOOSE(CONTROL!$C$28, 0.0276, 0)</f>
        <v>13.9206</v>
      </c>
      <c r="D85" s="4">
        <f>19.2029 * CHOOSE(CONTROL!$C$9, $C$13, 100%, $E$13) + CHOOSE(CONTROL!$C$28, 0, 0)</f>
        <v>19.2029</v>
      </c>
      <c r="E85" s="4">
        <f>81.8285278504576 * CHOOSE(CONTROL!$C$9, $C$13, 100%, $E$13) + CHOOSE(CONTROL!$C$28, 0, 0)</f>
        <v>81.828527850457604</v>
      </c>
    </row>
    <row r="86" spans="1:5" ht="15">
      <c r="A86" s="13">
        <v>44470</v>
      </c>
      <c r="B86" s="4">
        <f>13.7958 * CHOOSE(CONTROL!$C$9, $C$13, 100%, $E$13) + CHOOSE(CONTROL!$C$28, 0.0003, 0)</f>
        <v>13.796099999999999</v>
      </c>
      <c r="C86" s="4">
        <f>13.4833 * CHOOSE(CONTROL!$C$9, $C$13, 100%, $E$13) + CHOOSE(CONTROL!$C$28, 0.0003, 0)</f>
        <v>13.483599999999999</v>
      </c>
      <c r="D86" s="4">
        <f>18.9581 * CHOOSE(CONTROL!$C$9, $C$13, 100%, $E$13) + CHOOSE(CONTROL!$C$28, 0, 0)</f>
        <v>18.958100000000002</v>
      </c>
      <c r="E86" s="4">
        <f>79.1097374968501 * CHOOSE(CONTROL!$C$9, $C$13, 100%, $E$13) + CHOOSE(CONTROL!$C$28, 0, 0)</f>
        <v>79.109737496850101</v>
      </c>
    </row>
    <row r="87" spans="1:5" ht="15">
      <c r="A87" s="13">
        <v>44501</v>
      </c>
      <c r="B87" s="4">
        <f>13.532 * CHOOSE(CONTROL!$C$9, $C$13, 100%, $E$13) + CHOOSE(CONTROL!$C$28, 0.0003, 0)</f>
        <v>13.532299999999999</v>
      </c>
      <c r="C87" s="4">
        <f>13.2195 * CHOOSE(CONTROL!$C$9, $C$13, 100%, $E$13) + CHOOSE(CONTROL!$C$28, 0.0003, 0)</f>
        <v>13.219799999999999</v>
      </c>
      <c r="D87" s="4">
        <f>18.8739 * CHOOSE(CONTROL!$C$9, $C$13, 100%, $E$13) + CHOOSE(CONTROL!$C$28, 0, 0)</f>
        <v>18.873899999999999</v>
      </c>
      <c r="E87" s="4">
        <f>77.3586334825745 * CHOOSE(CONTROL!$C$9, $C$13, 100%, $E$13) + CHOOSE(CONTROL!$C$28, 0, 0)</f>
        <v>77.358633482574504</v>
      </c>
    </row>
    <row r="88" spans="1:5" ht="15">
      <c r="A88" s="13">
        <v>44531</v>
      </c>
      <c r="B88" s="4">
        <f>13.3494 * CHOOSE(CONTROL!$C$9, $C$13, 100%, $E$13) + CHOOSE(CONTROL!$C$28, 0.0003, 0)</f>
        <v>13.349699999999999</v>
      </c>
      <c r="C88" s="4">
        <f>13.0369 * CHOOSE(CONTROL!$C$9, $C$13, 100%, $E$13) + CHOOSE(CONTROL!$C$28, 0.0003, 0)</f>
        <v>13.037199999999999</v>
      </c>
      <c r="D88" s="4">
        <f>18.2543 * CHOOSE(CONTROL!$C$9, $C$13, 100%, $E$13) + CHOOSE(CONTROL!$C$28, 0, 0)</f>
        <v>18.254300000000001</v>
      </c>
      <c r="E88" s="4">
        <f>76.1470945993518 * CHOOSE(CONTROL!$C$9, $C$13, 100%, $E$13) + CHOOSE(CONTROL!$C$28, 0, 0)</f>
        <v>76.147094599351803</v>
      </c>
    </row>
    <row r="89" spans="1:5" ht="15">
      <c r="A89" s="13">
        <v>44562</v>
      </c>
      <c r="B89" s="4">
        <f>13.2312 * CHOOSE(CONTROL!$C$9, $C$13, 100%, $E$13) + CHOOSE(CONTROL!$C$28, 0.0003, 0)</f>
        <v>13.231499999999999</v>
      </c>
      <c r="C89" s="4">
        <f>12.9187 * CHOOSE(CONTROL!$C$9, $C$13, 100%, $E$13) + CHOOSE(CONTROL!$C$28, 0.0003, 0)</f>
        <v>12.918999999999999</v>
      </c>
      <c r="D89" s="4">
        <f>18.0441 * CHOOSE(CONTROL!$C$9, $C$13, 100%, $E$13) + CHOOSE(CONTROL!$C$28, 0, 0)</f>
        <v>18.0441</v>
      </c>
      <c r="E89" s="4">
        <f>75.1594060162188 * CHOOSE(CONTROL!$C$9, $C$13, 100%, $E$13) + CHOOSE(CONTROL!$C$28, 0, 0)</f>
        <v>75.159406016218796</v>
      </c>
    </row>
    <row r="90" spans="1:5" ht="15">
      <c r="A90" s="13">
        <v>44593</v>
      </c>
      <c r="B90" s="4">
        <f>13.5008 * CHOOSE(CONTROL!$C$9, $C$13, 100%, $E$13) + CHOOSE(CONTROL!$C$28, 0.0003, 0)</f>
        <v>13.501099999999999</v>
      </c>
      <c r="C90" s="4">
        <f>13.1883 * CHOOSE(CONTROL!$C$9, $C$13, 100%, $E$13) + CHOOSE(CONTROL!$C$28, 0.0003, 0)</f>
        <v>13.188599999999999</v>
      </c>
      <c r="D90" s="4">
        <f>18.6302 * CHOOSE(CONTROL!$C$9, $C$13, 100%, $E$13) + CHOOSE(CONTROL!$C$28, 0, 0)</f>
        <v>18.630199999999999</v>
      </c>
      <c r="E90" s="4">
        <f>76.9439865114566 * CHOOSE(CONTROL!$C$9, $C$13, 100%, $E$13) + CHOOSE(CONTROL!$C$28, 0, 0)</f>
        <v>76.9439865114566</v>
      </c>
    </row>
    <row r="91" spans="1:5" ht="15">
      <c r="A91" s="13">
        <v>44621</v>
      </c>
      <c r="B91" s="4">
        <f>14.2089 * CHOOSE(CONTROL!$C$9, $C$13, 100%, $E$13) + CHOOSE(CONTROL!$C$28, 0.0003, 0)</f>
        <v>14.209199999999999</v>
      </c>
      <c r="C91" s="4">
        <f>13.8964 * CHOOSE(CONTROL!$C$9, $C$13, 100%, $E$13) + CHOOSE(CONTROL!$C$28, 0.0003, 0)</f>
        <v>13.896699999999999</v>
      </c>
      <c r="D91" s="4">
        <f>19.5477 * CHOOSE(CONTROL!$C$9, $C$13, 100%, $E$13) + CHOOSE(CONTROL!$C$28, 0, 0)</f>
        <v>19.547699999999999</v>
      </c>
      <c r="E91" s="4">
        <f>81.6303897303181 * CHOOSE(CONTROL!$C$9, $C$13, 100%, $E$13) + CHOOSE(CONTROL!$C$28, 0, 0)</f>
        <v>81.6303897303181</v>
      </c>
    </row>
    <row r="92" spans="1:5" ht="15">
      <c r="A92" s="13">
        <v>44652</v>
      </c>
      <c r="B92" s="4">
        <f>14.712 * CHOOSE(CONTROL!$C$9, $C$13, 100%, $E$13) + CHOOSE(CONTROL!$C$28, 0.0003, 0)</f>
        <v>14.712299999999999</v>
      </c>
      <c r="C92" s="4">
        <f>14.3995 * CHOOSE(CONTROL!$C$9, $C$13, 100%, $E$13) + CHOOSE(CONTROL!$C$28, 0.0003, 0)</f>
        <v>14.399799999999999</v>
      </c>
      <c r="D92" s="4">
        <f>20.0762 * CHOOSE(CONTROL!$C$9, $C$13, 100%, $E$13) + CHOOSE(CONTROL!$C$28, 0, 0)</f>
        <v>20.0762</v>
      </c>
      <c r="E92" s="4">
        <f>84.9601416718538 * CHOOSE(CONTROL!$C$9, $C$13, 100%, $E$13) + CHOOSE(CONTROL!$C$28, 0, 0)</f>
        <v>84.960141671853805</v>
      </c>
    </row>
    <row r="93" spans="1:5" ht="15">
      <c r="A93" s="13">
        <v>44682</v>
      </c>
      <c r="B93" s="4">
        <f>15.0194 * CHOOSE(CONTROL!$C$9, $C$13, 100%, $E$13) + CHOOSE(CONTROL!$C$28, 0.0276, 0)</f>
        <v>15.046999999999999</v>
      </c>
      <c r="C93" s="4">
        <f>14.7069 * CHOOSE(CONTROL!$C$9, $C$13, 100%, $E$13) + CHOOSE(CONTROL!$C$28, 0.0276, 0)</f>
        <v>14.734499999999999</v>
      </c>
      <c r="D93" s="4">
        <f>19.8674 * CHOOSE(CONTROL!$C$9, $C$13, 100%, $E$13) + CHOOSE(CONTROL!$C$28, 0, 0)</f>
        <v>19.8674</v>
      </c>
      <c r="E93" s="4">
        <f>86.9945403051157 * CHOOSE(CONTROL!$C$9, $C$13, 100%, $E$13) + CHOOSE(CONTROL!$C$28, 0, 0)</f>
        <v>86.994540305115706</v>
      </c>
    </row>
    <row r="94" spans="1:5" ht="15">
      <c r="A94" s="13">
        <v>44713</v>
      </c>
      <c r="B94" s="4">
        <f>15.061 * CHOOSE(CONTROL!$C$9, $C$13, 100%, $E$13) + CHOOSE(CONTROL!$C$28, 0.0276, 0)</f>
        <v>15.0886</v>
      </c>
      <c r="C94" s="4">
        <f>14.7485 * CHOOSE(CONTROL!$C$9, $C$13, 100%, $E$13) + CHOOSE(CONTROL!$C$28, 0.0276, 0)</f>
        <v>14.7761</v>
      </c>
      <c r="D94" s="4">
        <f>20.0375 * CHOOSE(CONTROL!$C$9, $C$13, 100%, $E$13) + CHOOSE(CONTROL!$C$28, 0, 0)</f>
        <v>20.037500000000001</v>
      </c>
      <c r="E94" s="4">
        <f>87.2698028831239 * CHOOSE(CONTROL!$C$9, $C$13, 100%, $E$13) + CHOOSE(CONTROL!$C$28, 0, 0)</f>
        <v>87.269802883123901</v>
      </c>
    </row>
    <row r="95" spans="1:5" ht="15">
      <c r="A95" s="13">
        <v>44743</v>
      </c>
      <c r="B95" s="4">
        <f>15.0568 * CHOOSE(CONTROL!$C$9, $C$13, 100%, $E$13) + CHOOSE(CONTROL!$C$28, 0.0276, 0)</f>
        <v>15.0844</v>
      </c>
      <c r="C95" s="4">
        <f>14.7443 * CHOOSE(CONTROL!$C$9, $C$13, 100%, $E$13) + CHOOSE(CONTROL!$C$28, 0.0276, 0)</f>
        <v>14.7719</v>
      </c>
      <c r="D95" s="4">
        <f>20.3444 * CHOOSE(CONTROL!$C$9, $C$13, 100%, $E$13) + CHOOSE(CONTROL!$C$28, 0, 0)</f>
        <v>20.3444</v>
      </c>
      <c r="E95" s="4">
        <f>87.2420453122323 * CHOOSE(CONTROL!$C$9, $C$13, 100%, $E$13) + CHOOSE(CONTROL!$C$28, 0, 0)</f>
        <v>87.242045312232307</v>
      </c>
    </row>
    <row r="96" spans="1:5" ht="15">
      <c r="A96" s="13">
        <v>44774</v>
      </c>
      <c r="B96" s="4">
        <f>15.3724 * CHOOSE(CONTROL!$C$9, $C$13, 100%, $E$13) + CHOOSE(CONTROL!$C$28, 0.0276, 0)</f>
        <v>15.4</v>
      </c>
      <c r="C96" s="4">
        <f>15.0599 * CHOOSE(CONTROL!$C$9, $C$13, 100%, $E$13) + CHOOSE(CONTROL!$C$28, 0.0276, 0)</f>
        <v>15.0875</v>
      </c>
      <c r="D96" s="4">
        <f>20.1417 * CHOOSE(CONTROL!$C$9, $C$13, 100%, $E$13) + CHOOSE(CONTROL!$C$28, 0, 0)</f>
        <v>20.1417</v>
      </c>
      <c r="E96" s="4">
        <f>89.3308025218236 * CHOOSE(CONTROL!$C$9, $C$13, 100%, $E$13) + CHOOSE(CONTROL!$C$28, 0, 0)</f>
        <v>89.3308025218236</v>
      </c>
    </row>
    <row r="97" spans="1:5" ht="15">
      <c r="A97" s="13">
        <v>44805</v>
      </c>
      <c r="B97" s="4">
        <f>14.8345 * CHOOSE(CONTROL!$C$9, $C$13, 100%, $E$13) + CHOOSE(CONTROL!$C$28, 0.0276, 0)</f>
        <v>14.8621</v>
      </c>
      <c r="C97" s="4">
        <f>14.522 * CHOOSE(CONTROL!$C$9, $C$13, 100%, $E$13) + CHOOSE(CONTROL!$C$28, 0.0276, 0)</f>
        <v>14.5496</v>
      </c>
      <c r="D97" s="4">
        <f>20.0459 * CHOOSE(CONTROL!$C$9, $C$13, 100%, $E$13) + CHOOSE(CONTROL!$C$28, 0, 0)</f>
        <v>20.0459</v>
      </c>
      <c r="E97" s="4">
        <f>85.7708940549787 * CHOOSE(CONTROL!$C$9, $C$13, 100%, $E$13) + CHOOSE(CONTROL!$C$28, 0, 0)</f>
        <v>85.770894054978697</v>
      </c>
    </row>
    <row r="98" spans="1:5" ht="15">
      <c r="A98" s="13">
        <v>44835</v>
      </c>
      <c r="B98" s="4">
        <f>14.4039 * CHOOSE(CONTROL!$C$9, $C$13, 100%, $E$13) + CHOOSE(CONTROL!$C$28, 0.0003, 0)</f>
        <v>14.404199999999999</v>
      </c>
      <c r="C98" s="4">
        <f>14.0914 * CHOOSE(CONTROL!$C$9, $C$13, 100%, $E$13) + CHOOSE(CONTROL!$C$28, 0.0003, 0)</f>
        <v>14.091699999999999</v>
      </c>
      <c r="D98" s="4">
        <f>19.7895 * CHOOSE(CONTROL!$C$9, $C$13, 100%, $E$13) + CHOOSE(CONTROL!$C$28, 0, 0)</f>
        <v>19.7895</v>
      </c>
      <c r="E98" s="4">
        <f>82.9211167767765 * CHOOSE(CONTROL!$C$9, $C$13, 100%, $E$13) + CHOOSE(CONTROL!$C$28, 0, 0)</f>
        <v>82.921116776776501</v>
      </c>
    </row>
    <row r="99" spans="1:5" ht="15">
      <c r="A99" s="13">
        <v>44866</v>
      </c>
      <c r="B99" s="4">
        <f>14.1266 * CHOOSE(CONTROL!$C$9, $C$13, 100%, $E$13) + CHOOSE(CONTROL!$C$28, 0.0003, 0)</f>
        <v>14.126899999999999</v>
      </c>
      <c r="C99" s="4">
        <f>13.8141 * CHOOSE(CONTROL!$C$9, $C$13, 100%, $E$13) + CHOOSE(CONTROL!$C$28, 0.0003, 0)</f>
        <v>13.814399999999999</v>
      </c>
      <c r="D99" s="4">
        <f>19.7014 * CHOOSE(CONTROL!$C$9, $C$13, 100%, $E$13) + CHOOSE(CONTROL!$C$28, 0, 0)</f>
        <v>19.7014</v>
      </c>
      <c r="E99" s="4">
        <f>81.0856474015709 * CHOOSE(CONTROL!$C$9, $C$13, 100%, $E$13) + CHOOSE(CONTROL!$C$28, 0, 0)</f>
        <v>81.085647401570895</v>
      </c>
    </row>
    <row r="100" spans="1:5" ht="15">
      <c r="A100" s="13">
        <v>44896</v>
      </c>
      <c r="B100" s="4">
        <f>13.9347 * CHOOSE(CONTROL!$C$9, $C$13, 100%, $E$13) + CHOOSE(CONTROL!$C$28, 0.0003, 0)</f>
        <v>13.934999999999999</v>
      </c>
      <c r="C100" s="4">
        <f>13.6222 * CHOOSE(CONTROL!$C$9, $C$13, 100%, $E$13) + CHOOSE(CONTROL!$C$28, 0.0003, 0)</f>
        <v>13.622499999999999</v>
      </c>
      <c r="D100" s="4">
        <f>19.0524 * CHOOSE(CONTROL!$C$9, $C$13, 100%, $E$13) + CHOOSE(CONTROL!$C$28, 0, 0)</f>
        <v>19.052399999999999</v>
      </c>
      <c r="E100" s="4">
        <f>79.8157385332812 * CHOOSE(CONTROL!$C$9, $C$13, 100%, $E$13) + CHOOSE(CONTROL!$C$28, 0, 0)</f>
        <v>79.815738533281205</v>
      </c>
    </row>
    <row r="101" spans="1:5" ht="15">
      <c r="A101" s="13">
        <v>44927</v>
      </c>
      <c r="B101" s="4">
        <f>13.8649 * CHOOSE(CONTROL!$C$9, $C$13, 100%, $E$13) + CHOOSE(CONTROL!$C$28, 0.0003, 0)</f>
        <v>13.8652</v>
      </c>
      <c r="C101" s="4">
        <f>13.5524 * CHOOSE(CONTROL!$C$9, $C$13, 100%, $E$13) + CHOOSE(CONTROL!$C$28, 0.0003, 0)</f>
        <v>13.5527</v>
      </c>
      <c r="D101" s="4">
        <f>18.8857 * CHOOSE(CONTROL!$C$9, $C$13, 100%, $E$13) + CHOOSE(CONTROL!$C$28, 0, 0)</f>
        <v>18.8857</v>
      </c>
      <c r="E101" s="4">
        <f>78.7697917303344 * CHOOSE(CONTROL!$C$9, $C$13, 100%, $E$13) + CHOOSE(CONTROL!$C$28, 0, 0)</f>
        <v>78.769791730334404</v>
      </c>
    </row>
    <row r="102" spans="1:5" ht="15">
      <c r="A102" s="13">
        <v>44958</v>
      </c>
      <c r="B102" s="4">
        <f>14.1496 * CHOOSE(CONTROL!$C$9, $C$13, 100%, $E$13) + CHOOSE(CONTROL!$C$28, 0.0003, 0)</f>
        <v>14.149899999999999</v>
      </c>
      <c r="C102" s="4">
        <f>13.8371 * CHOOSE(CONTROL!$C$9, $C$13, 100%, $E$13) + CHOOSE(CONTROL!$C$28, 0.0003, 0)</f>
        <v>13.837399999999999</v>
      </c>
      <c r="D102" s="4">
        <f>19.5015 * CHOOSE(CONTROL!$C$9, $C$13, 100%, $E$13) + CHOOSE(CONTROL!$C$28, 0, 0)</f>
        <v>19.5015</v>
      </c>
      <c r="E102" s="4">
        <f>80.6400970106285 * CHOOSE(CONTROL!$C$9, $C$13, 100%, $E$13) + CHOOSE(CONTROL!$C$28, 0, 0)</f>
        <v>80.640097010628494</v>
      </c>
    </row>
    <row r="103" spans="1:5" ht="15">
      <c r="A103" s="13">
        <v>44986</v>
      </c>
      <c r="B103" s="4">
        <f>14.8972 * CHOOSE(CONTROL!$C$9, $C$13, 100%, $E$13) + CHOOSE(CONTROL!$C$28, 0.0003, 0)</f>
        <v>14.897499999999999</v>
      </c>
      <c r="C103" s="4">
        <f>14.5847 * CHOOSE(CONTROL!$C$9, $C$13, 100%, $E$13) + CHOOSE(CONTROL!$C$28, 0.0003, 0)</f>
        <v>14.584999999999999</v>
      </c>
      <c r="D103" s="4">
        <f>20.4655 * CHOOSE(CONTROL!$C$9, $C$13, 100%, $E$13) + CHOOSE(CONTROL!$C$28, 0, 0)</f>
        <v>20.465499999999999</v>
      </c>
      <c r="E103" s="4">
        <f>85.5516180707395 * CHOOSE(CONTROL!$C$9, $C$13, 100%, $E$13) + CHOOSE(CONTROL!$C$28, 0, 0)</f>
        <v>85.551618070739494</v>
      </c>
    </row>
    <row r="104" spans="1:5" ht="15">
      <c r="A104" s="13">
        <v>45017</v>
      </c>
      <c r="B104" s="4">
        <f>15.4284 * CHOOSE(CONTROL!$C$9, $C$13, 100%, $E$13) + CHOOSE(CONTROL!$C$28, 0.0003, 0)</f>
        <v>15.428699999999999</v>
      </c>
      <c r="C104" s="4">
        <f>15.1159 * CHOOSE(CONTROL!$C$9, $C$13, 100%, $E$13) + CHOOSE(CONTROL!$C$28, 0.0003, 0)</f>
        <v>15.116199999999999</v>
      </c>
      <c r="D104" s="4">
        <f>21.0208 * CHOOSE(CONTROL!$C$9, $C$13, 100%, $E$13) + CHOOSE(CONTROL!$C$28, 0, 0)</f>
        <v>21.020800000000001</v>
      </c>
      <c r="E104" s="4">
        <f>89.0413192385726 * CHOOSE(CONTROL!$C$9, $C$13, 100%, $E$13) + CHOOSE(CONTROL!$C$28, 0, 0)</f>
        <v>89.041319238572598</v>
      </c>
    </row>
    <row r="105" spans="1:5" ht="15">
      <c r="A105" s="13">
        <v>45047</v>
      </c>
      <c r="B105" s="4">
        <f>15.7529 * CHOOSE(CONTROL!$C$9, $C$13, 100%, $E$13) + CHOOSE(CONTROL!$C$28, 0.0276, 0)</f>
        <v>15.7805</v>
      </c>
      <c r="C105" s="4">
        <f>15.4404 * CHOOSE(CONTROL!$C$9, $C$13, 100%, $E$13) + CHOOSE(CONTROL!$C$28, 0.0276, 0)</f>
        <v>15.468</v>
      </c>
      <c r="D105" s="4">
        <f>20.8014 * CHOOSE(CONTROL!$C$9, $C$13, 100%, $E$13) + CHOOSE(CONTROL!$C$28, 0, 0)</f>
        <v>20.801400000000001</v>
      </c>
      <c r="E105" s="4">
        <f>91.1734430156543 * CHOOSE(CONTROL!$C$9, $C$13, 100%, $E$13) + CHOOSE(CONTROL!$C$28, 0, 0)</f>
        <v>91.1734430156543</v>
      </c>
    </row>
    <row r="106" spans="1:5" ht="15">
      <c r="A106" s="13">
        <v>45078</v>
      </c>
      <c r="B106" s="4">
        <f>15.7968 * CHOOSE(CONTROL!$C$9, $C$13, 100%, $E$13) + CHOOSE(CONTROL!$C$28, 0.0276, 0)</f>
        <v>15.824399999999999</v>
      </c>
      <c r="C106" s="4">
        <f>15.4843 * CHOOSE(CONTROL!$C$9, $C$13, 100%, $E$13) + CHOOSE(CONTROL!$C$28, 0.0276, 0)</f>
        <v>15.511899999999999</v>
      </c>
      <c r="D106" s="4">
        <f>20.9801 * CHOOSE(CONTROL!$C$9, $C$13, 100%, $E$13) + CHOOSE(CONTROL!$C$28, 0, 0)</f>
        <v>20.9801</v>
      </c>
      <c r="E106" s="4">
        <f>91.461928211189 * CHOOSE(CONTROL!$C$9, $C$13, 100%, $E$13) + CHOOSE(CONTROL!$C$28, 0, 0)</f>
        <v>91.461928211189004</v>
      </c>
    </row>
    <row r="107" spans="1:5" ht="15">
      <c r="A107" s="13">
        <v>45108</v>
      </c>
      <c r="B107" s="4">
        <f>15.7924 * CHOOSE(CONTROL!$C$9, $C$13, 100%, $E$13) + CHOOSE(CONTROL!$C$28, 0.0276, 0)</f>
        <v>15.82</v>
      </c>
      <c r="C107" s="4">
        <f>15.4799 * CHOOSE(CONTROL!$C$9, $C$13, 100%, $E$13) + CHOOSE(CONTROL!$C$28, 0.0276, 0)</f>
        <v>15.5075</v>
      </c>
      <c r="D107" s="4">
        <f>21.3026 * CHOOSE(CONTROL!$C$9, $C$13, 100%, $E$13) + CHOOSE(CONTROL!$C$28, 0, 0)</f>
        <v>21.302600000000002</v>
      </c>
      <c r="E107" s="4">
        <f>91.4328372671015 * CHOOSE(CONTROL!$C$9, $C$13, 100%, $E$13) + CHOOSE(CONTROL!$C$28, 0, 0)</f>
        <v>91.432837267101505</v>
      </c>
    </row>
    <row r="108" spans="1:5" ht="15">
      <c r="A108" s="13">
        <v>45139</v>
      </c>
      <c r="B108" s="4">
        <f>16.1256 * CHOOSE(CONTROL!$C$9, $C$13, 100%, $E$13) + CHOOSE(CONTROL!$C$28, 0.0276, 0)</f>
        <v>16.153199999999998</v>
      </c>
      <c r="C108" s="4">
        <f>15.8131 * CHOOSE(CONTROL!$C$9, $C$13, 100%, $E$13) + CHOOSE(CONTROL!$C$28, 0.0276, 0)</f>
        <v>15.8407</v>
      </c>
      <c r="D108" s="4">
        <f>21.0896 * CHOOSE(CONTROL!$C$9, $C$13, 100%, $E$13) + CHOOSE(CONTROL!$C$28, 0, 0)</f>
        <v>21.089600000000001</v>
      </c>
      <c r="E108" s="4">
        <f>93.621930809688 * CHOOSE(CONTROL!$C$9, $C$13, 100%, $E$13) + CHOOSE(CONTROL!$C$28, 0, 0)</f>
        <v>93.621930809687996</v>
      </c>
    </row>
    <row r="109" spans="1:5" ht="15">
      <c r="A109" s="13">
        <v>45170</v>
      </c>
      <c r="B109" s="4">
        <f>15.5577 * CHOOSE(CONTROL!$C$9, $C$13, 100%, $E$13) + CHOOSE(CONTROL!$C$28, 0.0276, 0)</f>
        <v>15.5853</v>
      </c>
      <c r="C109" s="4">
        <f>15.2452 * CHOOSE(CONTROL!$C$9, $C$13, 100%, $E$13) + CHOOSE(CONTROL!$C$28, 0.0276, 0)</f>
        <v>15.2728</v>
      </c>
      <c r="D109" s="4">
        <f>20.989 * CHOOSE(CONTROL!$C$9, $C$13, 100%, $E$13) + CHOOSE(CONTROL!$C$28, 0, 0)</f>
        <v>20.989000000000001</v>
      </c>
      <c r="E109" s="4">
        <f>89.8910172304625 * CHOOSE(CONTROL!$C$9, $C$13, 100%, $E$13) + CHOOSE(CONTROL!$C$28, 0, 0)</f>
        <v>89.891017230462495</v>
      </c>
    </row>
    <row r="110" spans="1:5" ht="15">
      <c r="A110" s="13">
        <v>45200</v>
      </c>
      <c r="B110" s="4">
        <f>15.1031 * CHOOSE(CONTROL!$C$9, $C$13, 100%, $E$13) + CHOOSE(CONTROL!$C$28, 0.0003, 0)</f>
        <v>15.103399999999999</v>
      </c>
      <c r="C110" s="4">
        <f>14.7906 * CHOOSE(CONTROL!$C$9, $C$13, 100%, $E$13) + CHOOSE(CONTROL!$C$28, 0.0003, 0)</f>
        <v>14.790899999999999</v>
      </c>
      <c r="D110" s="4">
        <f>20.7196 * CHOOSE(CONTROL!$C$9, $C$13, 100%, $E$13) + CHOOSE(CONTROL!$C$28, 0, 0)</f>
        <v>20.7196</v>
      </c>
      <c r="E110" s="4">
        <f>86.9043469708095 * CHOOSE(CONTROL!$C$9, $C$13, 100%, $E$13) + CHOOSE(CONTROL!$C$28, 0, 0)</f>
        <v>86.904346970809499</v>
      </c>
    </row>
    <row r="111" spans="1:5" ht="15">
      <c r="A111" s="13">
        <v>45231</v>
      </c>
      <c r="B111" s="4">
        <f>14.8103 * CHOOSE(CONTROL!$C$9, $C$13, 100%, $E$13) + CHOOSE(CONTROL!$C$28, 0.0003, 0)</f>
        <v>14.810599999999999</v>
      </c>
      <c r="C111" s="4">
        <f>14.4978 * CHOOSE(CONTROL!$C$9, $C$13, 100%, $E$13) + CHOOSE(CONTROL!$C$28, 0.0003, 0)</f>
        <v>14.498099999999999</v>
      </c>
      <c r="D111" s="4">
        <f>20.627 * CHOOSE(CONTROL!$C$9, $C$13, 100%, $E$13) + CHOOSE(CONTROL!$C$28, 0, 0)</f>
        <v>20.626999999999999</v>
      </c>
      <c r="E111" s="4">
        <f>84.9807082930217 * CHOOSE(CONTROL!$C$9, $C$13, 100%, $E$13) + CHOOSE(CONTROL!$C$28, 0, 0)</f>
        <v>84.980708293021706</v>
      </c>
    </row>
    <row r="112" spans="1:5" ht="15">
      <c r="A112" s="13">
        <v>45261</v>
      </c>
      <c r="B112" s="4">
        <f>14.6077 * CHOOSE(CONTROL!$C$9, $C$13, 100%, $E$13) + CHOOSE(CONTROL!$C$28, 0.0003, 0)</f>
        <v>14.607999999999999</v>
      </c>
      <c r="C112" s="4">
        <f>14.2952 * CHOOSE(CONTROL!$C$9, $C$13, 100%, $E$13) + CHOOSE(CONTROL!$C$28, 0.0003, 0)</f>
        <v>14.295499999999999</v>
      </c>
      <c r="D112" s="4">
        <f>19.9451 * CHOOSE(CONTROL!$C$9, $C$13, 100%, $E$13) + CHOOSE(CONTROL!$C$28, 0, 0)</f>
        <v>19.9451</v>
      </c>
      <c r="E112" s="4">
        <f>83.6497976010173 * CHOOSE(CONTROL!$C$9, $C$13, 100%, $E$13) + CHOOSE(CONTROL!$C$28, 0, 0)</f>
        <v>83.649797601017298</v>
      </c>
    </row>
    <row r="113" spans="1:5" ht="15">
      <c r="A113" s="13">
        <v>45292</v>
      </c>
      <c r="B113" s="4">
        <f>14.4786 * CHOOSE(CONTROL!$C$9, $C$13, 100%, $E$13) + CHOOSE(CONTROL!$C$28, 0.0003, 0)</f>
        <v>14.478899999999999</v>
      </c>
      <c r="C113" s="4">
        <f>14.1661 * CHOOSE(CONTROL!$C$9, $C$13, 100%, $E$13) + CHOOSE(CONTROL!$C$28, 0.0003, 0)</f>
        <v>14.166399999999999</v>
      </c>
      <c r="D113" s="4">
        <f>20.0606 * CHOOSE(CONTROL!$C$9, $C$13, 100%, $E$13) + CHOOSE(CONTROL!$C$28, 0, 0)</f>
        <v>20.060600000000001</v>
      </c>
      <c r="E113" s="4">
        <f>82.4886558209195 * CHOOSE(CONTROL!$C$9, $C$13, 100%, $E$13) + CHOOSE(CONTROL!$C$28, 0, 0)</f>
        <v>82.488655820919504</v>
      </c>
    </row>
    <row r="114" spans="1:5" ht="15">
      <c r="A114" s="13">
        <v>45323</v>
      </c>
      <c r="B114" s="4">
        <f>14.7778 * CHOOSE(CONTROL!$C$9, $C$13, 100%, $E$13) + CHOOSE(CONTROL!$C$28, 0.0003, 0)</f>
        <v>14.778099999999998</v>
      </c>
      <c r="C114" s="4">
        <f>14.4653 * CHOOSE(CONTROL!$C$9, $C$13, 100%, $E$13) + CHOOSE(CONTROL!$C$28, 0.0003, 0)</f>
        <v>14.465599999999998</v>
      </c>
      <c r="D114" s="4">
        <f>20.7178 * CHOOSE(CONTROL!$C$9, $C$13, 100%, $E$13) + CHOOSE(CONTROL!$C$28, 0, 0)</f>
        <v>20.7178</v>
      </c>
      <c r="E114" s="4">
        <f>84.4472615904306 * CHOOSE(CONTROL!$C$9, $C$13, 100%, $E$13) + CHOOSE(CONTROL!$C$28, 0, 0)</f>
        <v>84.4472615904306</v>
      </c>
    </row>
    <row r="115" spans="1:5" ht="15">
      <c r="A115" s="13">
        <v>45352</v>
      </c>
      <c r="B115" s="4">
        <f>15.5637 * CHOOSE(CONTROL!$C$9, $C$13, 100%, $E$13) + CHOOSE(CONTROL!$C$28, 0.0003, 0)</f>
        <v>15.564</v>
      </c>
      <c r="C115" s="4">
        <f>15.2512 * CHOOSE(CONTROL!$C$9, $C$13, 100%, $E$13) + CHOOSE(CONTROL!$C$28, 0.0003, 0)</f>
        <v>15.2515</v>
      </c>
      <c r="D115" s="4">
        <f>21.7468 * CHOOSE(CONTROL!$C$9, $C$13, 100%, $E$13) + CHOOSE(CONTROL!$C$28, 0, 0)</f>
        <v>21.7468</v>
      </c>
      <c r="E115" s="4">
        <f>89.5906644277987 * CHOOSE(CONTROL!$C$9, $C$13, 100%, $E$13) + CHOOSE(CONTROL!$C$28, 0, 0)</f>
        <v>89.5906644277987</v>
      </c>
    </row>
    <row r="116" spans="1:5" ht="15">
      <c r="A116" s="13">
        <v>45383</v>
      </c>
      <c r="B116" s="4">
        <f>16.1221 * CHOOSE(CONTROL!$C$9, $C$13, 100%, $E$13) + CHOOSE(CONTROL!$C$28, 0.0003, 0)</f>
        <v>16.122399999999999</v>
      </c>
      <c r="C116" s="4">
        <f>15.8096 * CHOOSE(CONTROL!$C$9, $C$13, 100%, $E$13) + CHOOSE(CONTROL!$C$28, 0.0003, 0)</f>
        <v>15.809899999999999</v>
      </c>
      <c r="D116" s="4">
        <f>22.3394 * CHOOSE(CONTROL!$C$9, $C$13, 100%, $E$13) + CHOOSE(CONTROL!$C$28, 0, 0)</f>
        <v>22.339400000000001</v>
      </c>
      <c r="E116" s="4">
        <f>93.2451206886039 * CHOOSE(CONTROL!$C$9, $C$13, 100%, $E$13) + CHOOSE(CONTROL!$C$28, 0, 0)</f>
        <v>93.245120688603905</v>
      </c>
    </row>
    <row r="117" spans="1:5" ht="15">
      <c r="A117" s="13">
        <v>45413</v>
      </c>
      <c r="B117" s="4">
        <f>16.4632 * CHOOSE(CONTROL!$C$9, $C$13, 100%, $E$13) + CHOOSE(CONTROL!$C$28, 0.0276, 0)</f>
        <v>16.4908</v>
      </c>
      <c r="C117" s="4">
        <f>16.1507 * CHOOSE(CONTROL!$C$9, $C$13, 100%, $E$13) + CHOOSE(CONTROL!$C$28, 0.0276, 0)</f>
        <v>16.1783</v>
      </c>
      <c r="D117" s="4">
        <f>22.1052 * CHOOSE(CONTROL!$C$9, $C$13, 100%, $E$13) + CHOOSE(CONTROL!$C$28, 0, 0)</f>
        <v>22.1052</v>
      </c>
      <c r="E117" s="4">
        <f>95.4779058788631 * CHOOSE(CONTROL!$C$9, $C$13, 100%, $E$13) + CHOOSE(CONTROL!$C$28, 0, 0)</f>
        <v>95.477905878863098</v>
      </c>
    </row>
    <row r="118" spans="1:5" ht="15">
      <c r="A118" s="13">
        <v>45444</v>
      </c>
      <c r="B118" s="4">
        <f>16.5094 * CHOOSE(CONTROL!$C$9, $C$13, 100%, $E$13) + CHOOSE(CONTROL!$C$28, 0.0276, 0)</f>
        <v>16.536999999999999</v>
      </c>
      <c r="C118" s="4">
        <f>16.1969 * CHOOSE(CONTROL!$C$9, $C$13, 100%, $E$13) + CHOOSE(CONTROL!$C$28, 0.0276, 0)</f>
        <v>16.224499999999999</v>
      </c>
      <c r="D118" s="4">
        <f>22.296 * CHOOSE(CONTROL!$C$9, $C$13, 100%, $E$13) + CHOOSE(CONTROL!$C$28, 0, 0)</f>
        <v>22.295999999999999</v>
      </c>
      <c r="E118" s="4">
        <f>95.7800109813541 * CHOOSE(CONTROL!$C$9, $C$13, 100%, $E$13) + CHOOSE(CONTROL!$C$28, 0, 0)</f>
        <v>95.780010981354096</v>
      </c>
    </row>
    <row r="119" spans="1:5" ht="15">
      <c r="A119" s="13">
        <v>45474</v>
      </c>
      <c r="B119" s="4">
        <f>16.5047 * CHOOSE(CONTROL!$C$9, $C$13, 100%, $E$13) + CHOOSE(CONTROL!$C$28, 0.0276, 0)</f>
        <v>16.532299999999999</v>
      </c>
      <c r="C119" s="4">
        <f>16.1922 * CHOOSE(CONTROL!$C$9, $C$13, 100%, $E$13) + CHOOSE(CONTROL!$C$28, 0.0276, 0)</f>
        <v>16.219799999999999</v>
      </c>
      <c r="D119" s="4">
        <f>22.6401 * CHOOSE(CONTROL!$C$9, $C$13, 100%, $E$13) + CHOOSE(CONTROL!$C$28, 0, 0)</f>
        <v>22.6401</v>
      </c>
      <c r="E119" s="4">
        <f>95.749546601271 * CHOOSE(CONTROL!$C$9, $C$13, 100%, $E$13) + CHOOSE(CONTROL!$C$28, 0, 0)</f>
        <v>95.749546601271007</v>
      </c>
    </row>
    <row r="120" spans="1:5" ht="15">
      <c r="A120" s="13">
        <v>45505</v>
      </c>
      <c r="B120" s="4">
        <f>16.855 * CHOOSE(CONTROL!$C$9, $C$13, 100%, $E$13) + CHOOSE(CONTROL!$C$28, 0.0276, 0)</f>
        <v>16.8826</v>
      </c>
      <c r="C120" s="4">
        <f>16.5425 * CHOOSE(CONTROL!$C$9, $C$13, 100%, $E$13) + CHOOSE(CONTROL!$C$28, 0.0276, 0)</f>
        <v>16.5701</v>
      </c>
      <c r="D120" s="4">
        <f>22.4129 * CHOOSE(CONTROL!$C$9, $C$13, 100%, $E$13) + CHOOSE(CONTROL!$C$28, 0, 0)</f>
        <v>22.4129</v>
      </c>
      <c r="E120" s="4">
        <f>98.0419912025264 * CHOOSE(CONTROL!$C$9, $C$13, 100%, $E$13) + CHOOSE(CONTROL!$C$28, 0, 0)</f>
        <v>98.041991202526404</v>
      </c>
    </row>
    <row r="121" spans="1:5" ht="15">
      <c r="A121" s="13">
        <v>45536</v>
      </c>
      <c r="B121" s="4">
        <f>16.258 * CHOOSE(CONTROL!$C$9, $C$13, 100%, $E$13) + CHOOSE(CONTROL!$C$28, 0.0276, 0)</f>
        <v>16.285599999999999</v>
      </c>
      <c r="C121" s="4">
        <f>15.9455 * CHOOSE(CONTROL!$C$9, $C$13, 100%, $E$13) + CHOOSE(CONTROL!$C$28, 0.0276, 0)</f>
        <v>15.973099999999999</v>
      </c>
      <c r="D121" s="4">
        <f>22.3055 * CHOOSE(CONTROL!$C$9, $C$13, 100%, $E$13) + CHOOSE(CONTROL!$C$28, 0, 0)</f>
        <v>22.305499999999999</v>
      </c>
      <c r="E121" s="4">
        <f>94.1349344568653 * CHOOSE(CONTROL!$C$9, $C$13, 100%, $E$13) + CHOOSE(CONTROL!$C$28, 0, 0)</f>
        <v>94.134934456865295</v>
      </c>
    </row>
    <row r="122" spans="1:5" ht="15">
      <c r="A122" s="13">
        <v>45566</v>
      </c>
      <c r="B122" s="4">
        <f>15.7801 * CHOOSE(CONTROL!$C$9, $C$13, 100%, $E$13) + CHOOSE(CONTROL!$C$28, 0.0003, 0)</f>
        <v>15.780399999999998</v>
      </c>
      <c r="C122" s="4">
        <f>15.4676 * CHOOSE(CONTROL!$C$9, $C$13, 100%, $E$13) + CHOOSE(CONTROL!$C$28, 0.0003, 0)</f>
        <v>15.467899999999998</v>
      </c>
      <c r="D122" s="4">
        <f>22.0179 * CHOOSE(CONTROL!$C$9, $C$13, 100%, $E$13) + CHOOSE(CONTROL!$C$28, 0, 0)</f>
        <v>22.017900000000001</v>
      </c>
      <c r="E122" s="4">
        <f>91.0072581016641 * CHOOSE(CONTROL!$C$9, $C$13, 100%, $E$13) + CHOOSE(CONTROL!$C$28, 0, 0)</f>
        <v>91.007258101664107</v>
      </c>
    </row>
    <row r="123" spans="1:5" ht="15">
      <c r="A123" s="13">
        <v>45597</v>
      </c>
      <c r="B123" s="4">
        <f>15.4723 * CHOOSE(CONTROL!$C$9, $C$13, 100%, $E$13) + CHOOSE(CONTROL!$C$28, 0.0003, 0)</f>
        <v>15.4726</v>
      </c>
      <c r="C123" s="4">
        <f>15.1598 * CHOOSE(CONTROL!$C$9, $C$13, 100%, $E$13) + CHOOSE(CONTROL!$C$28, 0.0003, 0)</f>
        <v>15.1601</v>
      </c>
      <c r="D123" s="4">
        <f>21.9191 * CHOOSE(CONTROL!$C$9, $C$13, 100%, $E$13) + CHOOSE(CONTROL!$C$28, 0, 0)</f>
        <v>21.9191</v>
      </c>
      <c r="E123" s="4">
        <f>88.9928009686673 * CHOOSE(CONTROL!$C$9, $C$13, 100%, $E$13) + CHOOSE(CONTROL!$C$28, 0, 0)</f>
        <v>88.992800968667297</v>
      </c>
    </row>
    <row r="124" spans="1:5" ht="15">
      <c r="A124" s="13">
        <v>45627</v>
      </c>
      <c r="B124" s="4">
        <f>15.2594 * CHOOSE(CONTROL!$C$9, $C$13, 100%, $E$13) + CHOOSE(CONTROL!$C$28, 0.0003, 0)</f>
        <v>15.259699999999999</v>
      </c>
      <c r="C124" s="4">
        <f>14.9469 * CHOOSE(CONTROL!$C$9, $C$13, 100%, $E$13) + CHOOSE(CONTROL!$C$28, 0.0003, 0)</f>
        <v>14.947199999999999</v>
      </c>
      <c r="D124" s="4">
        <f>21.1913 * CHOOSE(CONTROL!$C$9, $C$13, 100%, $E$13) + CHOOSE(CONTROL!$C$28, 0, 0)</f>
        <v>21.191299999999998</v>
      </c>
      <c r="E124" s="4">
        <f>87.5990555798642 * CHOOSE(CONTROL!$C$9, $C$13, 100%, $E$13) + CHOOSE(CONTROL!$C$28, 0, 0)</f>
        <v>87.599055579864199</v>
      </c>
    </row>
    <row r="125" spans="1:5" ht="15">
      <c r="A125" s="13">
        <v>45658</v>
      </c>
      <c r="B125" s="4">
        <f>15.1778 * CHOOSE(CONTROL!$C$9, $C$13, 100%, $E$13) + CHOOSE(CONTROL!$C$28, 0.0003, 0)</f>
        <v>15.178099999999999</v>
      </c>
      <c r="C125" s="4">
        <f>14.8653 * CHOOSE(CONTROL!$C$9, $C$13, 100%, $E$13) + CHOOSE(CONTROL!$C$28, 0.0003, 0)</f>
        <v>14.865599999999999</v>
      </c>
      <c r="D125" s="4">
        <f>20.858 * CHOOSE(CONTROL!$C$9, $C$13, 100%, $E$13) + CHOOSE(CONTROL!$C$28, 0, 0)</f>
        <v>20.858000000000001</v>
      </c>
      <c r="E125" s="4">
        <f>85.1854705466113 * CHOOSE(CONTROL!$C$9, $C$13, 100%, $E$13) + CHOOSE(CONTROL!$C$28, 0, 0)</f>
        <v>85.185470546611299</v>
      </c>
    </row>
    <row r="126" spans="1:5" ht="15">
      <c r="A126" s="13">
        <v>45689</v>
      </c>
      <c r="B126" s="4">
        <f>15.4936 * CHOOSE(CONTROL!$C$9, $C$13, 100%, $E$13) + CHOOSE(CONTROL!$C$28, 0.0003, 0)</f>
        <v>15.4939</v>
      </c>
      <c r="C126" s="4">
        <f>15.1811 * CHOOSE(CONTROL!$C$9, $C$13, 100%, $E$13) + CHOOSE(CONTROL!$C$28, 0.0003, 0)</f>
        <v>15.1814</v>
      </c>
      <c r="D126" s="4">
        <f>21.5434 * CHOOSE(CONTROL!$C$9, $C$13, 100%, $E$13) + CHOOSE(CONTROL!$C$28, 0, 0)</f>
        <v>21.543399999999998</v>
      </c>
      <c r="E126" s="4">
        <f>87.208109325613 * CHOOSE(CONTROL!$C$9, $C$13, 100%, $E$13) + CHOOSE(CONTROL!$C$28, 0, 0)</f>
        <v>87.208109325612995</v>
      </c>
    </row>
    <row r="127" spans="1:5" ht="15">
      <c r="A127" s="13">
        <v>45717</v>
      </c>
      <c r="B127" s="4">
        <f>16.3231 * CHOOSE(CONTROL!$C$9, $C$13, 100%, $E$13) + CHOOSE(CONTROL!$C$28, 0.0003, 0)</f>
        <v>16.323399999999999</v>
      </c>
      <c r="C127" s="4">
        <f>16.0106 * CHOOSE(CONTROL!$C$9, $C$13, 100%, $E$13) + CHOOSE(CONTROL!$C$28, 0.0003, 0)</f>
        <v>16.010899999999999</v>
      </c>
      <c r="D127" s="4">
        <f>22.6164 * CHOOSE(CONTROL!$C$9, $C$13, 100%, $E$13) + CHOOSE(CONTROL!$C$28, 0, 0)</f>
        <v>22.616399999999999</v>
      </c>
      <c r="E127" s="4">
        <f>92.519666248824 * CHOOSE(CONTROL!$C$9, $C$13, 100%, $E$13) + CHOOSE(CONTROL!$C$28, 0, 0)</f>
        <v>92.519666248823995</v>
      </c>
    </row>
    <row r="128" spans="1:5" ht="15">
      <c r="A128" s="13">
        <v>45748</v>
      </c>
      <c r="B128" s="4">
        <f>16.9124 * CHOOSE(CONTROL!$C$9, $C$13, 100%, $E$13) + CHOOSE(CONTROL!$C$28, 0.0003, 0)</f>
        <v>16.912700000000001</v>
      </c>
      <c r="C128" s="4">
        <f>16.5999 * CHOOSE(CONTROL!$C$9, $C$13, 100%, $E$13) + CHOOSE(CONTROL!$C$28, 0.0003, 0)</f>
        <v>16.600200000000001</v>
      </c>
      <c r="D128" s="4">
        <f>23.2345 * CHOOSE(CONTROL!$C$9, $C$13, 100%, $E$13) + CHOOSE(CONTROL!$C$28, 0, 0)</f>
        <v>23.234500000000001</v>
      </c>
      <c r="E128" s="4">
        <f>96.2935982285685 * CHOOSE(CONTROL!$C$9, $C$13, 100%, $E$13) + CHOOSE(CONTROL!$C$28, 0, 0)</f>
        <v>96.293598228568499</v>
      </c>
    </row>
    <row r="129" spans="1:5" ht="15">
      <c r="A129" s="13">
        <v>45778</v>
      </c>
      <c r="B129" s="4">
        <f>17.2725 * CHOOSE(CONTROL!$C$9, $C$13, 100%, $E$13) + CHOOSE(CONTROL!$C$28, 0.0276, 0)</f>
        <v>17.3001</v>
      </c>
      <c r="C129" s="4">
        <f>16.96 * CHOOSE(CONTROL!$C$9, $C$13, 100%, $E$13) + CHOOSE(CONTROL!$C$28, 0.0276, 0)</f>
        <v>16.9876</v>
      </c>
      <c r="D129" s="4">
        <f>22.9903 * CHOOSE(CONTROL!$C$9, $C$13, 100%, $E$13) + CHOOSE(CONTROL!$C$28, 0, 0)</f>
        <v>22.990300000000001</v>
      </c>
      <c r="E129" s="4">
        <f>98.5993802196663 * CHOOSE(CONTROL!$C$9, $C$13, 100%, $E$13) + CHOOSE(CONTROL!$C$28, 0, 0)</f>
        <v>98.599380219666301</v>
      </c>
    </row>
    <row r="130" spans="1:5" ht="15">
      <c r="A130" s="13">
        <v>45809</v>
      </c>
      <c r="B130" s="4">
        <f>17.3212 * CHOOSE(CONTROL!$C$9, $C$13, 100%, $E$13) + CHOOSE(CONTROL!$C$28, 0.0276, 0)</f>
        <v>17.348800000000001</v>
      </c>
      <c r="C130" s="4">
        <f>17.0087 * CHOOSE(CONTROL!$C$9, $C$13, 100%, $E$13) + CHOOSE(CONTROL!$C$28, 0.0276, 0)</f>
        <v>17.036300000000001</v>
      </c>
      <c r="D130" s="4">
        <f>23.1892 * CHOOSE(CONTROL!$C$9, $C$13, 100%, $E$13) + CHOOSE(CONTROL!$C$28, 0, 0)</f>
        <v>23.1892</v>
      </c>
      <c r="E130" s="4">
        <f>98.9113620922537 * CHOOSE(CONTROL!$C$9, $C$13, 100%, $E$13) + CHOOSE(CONTROL!$C$28, 0, 0)</f>
        <v>98.911362092253697</v>
      </c>
    </row>
    <row r="131" spans="1:5" ht="15">
      <c r="A131" s="13">
        <v>45839</v>
      </c>
      <c r="B131" s="4">
        <f>17.3163 * CHOOSE(CONTROL!$C$9, $C$13, 100%, $E$13) + CHOOSE(CONTROL!$C$28, 0.0276, 0)</f>
        <v>17.343899999999998</v>
      </c>
      <c r="C131" s="4">
        <f>17.0038 * CHOOSE(CONTROL!$C$9, $C$13, 100%, $E$13) + CHOOSE(CONTROL!$C$28, 0.0276, 0)</f>
        <v>17.031399999999998</v>
      </c>
      <c r="D131" s="4">
        <f>23.5481 * CHOOSE(CONTROL!$C$9, $C$13, 100%, $E$13) + CHOOSE(CONTROL!$C$28, 0, 0)</f>
        <v>23.548100000000002</v>
      </c>
      <c r="E131" s="4">
        <f>98.8799017353541 * CHOOSE(CONTROL!$C$9, $C$13, 100%, $E$13) + CHOOSE(CONTROL!$C$28, 0, 0)</f>
        <v>98.879901735354096</v>
      </c>
    </row>
    <row r="132" spans="1:5" ht="15">
      <c r="A132" s="13">
        <v>45870</v>
      </c>
      <c r="B132" s="4">
        <f>17.686 * CHOOSE(CONTROL!$C$9, $C$13, 100%, $E$13) + CHOOSE(CONTROL!$C$28, 0.0276, 0)</f>
        <v>17.7136</v>
      </c>
      <c r="C132" s="4">
        <f>17.3735 * CHOOSE(CONTROL!$C$9, $C$13, 100%, $E$13) + CHOOSE(CONTROL!$C$28, 0.0276, 0)</f>
        <v>17.4011</v>
      </c>
      <c r="D132" s="4">
        <f>23.311 * CHOOSE(CONTROL!$C$9, $C$13, 100%, $E$13) + CHOOSE(CONTROL!$C$28, 0, 0)</f>
        <v>23.311</v>
      </c>
      <c r="E132" s="4">
        <f>101.247293592047 * CHOOSE(CONTROL!$C$9, $C$13, 100%, $E$13) + CHOOSE(CONTROL!$C$28, 0, 0)</f>
        <v>101.247293592047</v>
      </c>
    </row>
    <row r="133" spans="1:5" ht="15">
      <c r="A133" s="13">
        <v>45901</v>
      </c>
      <c r="B133" s="4">
        <f>17.0559 * CHOOSE(CONTROL!$C$9, $C$13, 100%, $E$13) + CHOOSE(CONTROL!$C$28, 0.0276, 0)</f>
        <v>17.083500000000001</v>
      </c>
      <c r="C133" s="4">
        <f>16.7434 * CHOOSE(CONTROL!$C$9, $C$13, 100%, $E$13) + CHOOSE(CONTROL!$C$28, 0.0276, 0)</f>
        <v>16.771000000000001</v>
      </c>
      <c r="D133" s="4">
        <f>23.1991 * CHOOSE(CONTROL!$C$9, $C$13, 100%, $E$13) + CHOOSE(CONTROL!$C$28, 0, 0)</f>
        <v>23.199100000000001</v>
      </c>
      <c r="E133" s="4">
        <f>97.2125028196768 * CHOOSE(CONTROL!$C$9, $C$13, 100%, $E$13) + CHOOSE(CONTROL!$C$28, 0, 0)</f>
        <v>97.2125028196768</v>
      </c>
    </row>
    <row r="134" spans="1:5" ht="15">
      <c r="A134" s="13">
        <v>45931</v>
      </c>
      <c r="B134" s="4">
        <f>16.5515 * CHOOSE(CONTROL!$C$9, $C$13, 100%, $E$13) + CHOOSE(CONTROL!$C$28, 0.0003, 0)</f>
        <v>16.5518</v>
      </c>
      <c r="C134" s="4">
        <f>16.239 * CHOOSE(CONTROL!$C$9, $C$13, 100%, $E$13) + CHOOSE(CONTROL!$C$28, 0.0003, 0)</f>
        <v>16.2393</v>
      </c>
      <c r="D134" s="4">
        <f>22.8992 * CHOOSE(CONTROL!$C$9, $C$13, 100%, $E$13) + CHOOSE(CONTROL!$C$28, 0, 0)</f>
        <v>22.8992</v>
      </c>
      <c r="E134" s="4">
        <f>93.9825728446541 * CHOOSE(CONTROL!$C$9, $C$13, 100%, $E$13) + CHOOSE(CONTROL!$C$28, 0, 0)</f>
        <v>93.982572844654101</v>
      </c>
    </row>
    <row r="135" spans="1:5" ht="15">
      <c r="A135" s="13">
        <v>45962</v>
      </c>
      <c r="B135" s="4">
        <f>16.2267 * CHOOSE(CONTROL!$C$9, $C$13, 100%, $E$13) + CHOOSE(CONTROL!$C$28, 0.0003, 0)</f>
        <v>16.227</v>
      </c>
      <c r="C135" s="4">
        <f>15.9142 * CHOOSE(CONTROL!$C$9, $C$13, 100%, $E$13) + CHOOSE(CONTROL!$C$28, 0.0003, 0)</f>
        <v>15.914499999999999</v>
      </c>
      <c r="D135" s="4">
        <f>22.7961 * CHOOSE(CONTROL!$C$9, $C$13, 100%, $E$13) + CHOOSE(CONTROL!$C$28, 0, 0)</f>
        <v>22.796099999999999</v>
      </c>
      <c r="E135" s="4">
        <f>91.9022567446699 * CHOOSE(CONTROL!$C$9, $C$13, 100%, $E$13) + CHOOSE(CONTROL!$C$28, 0, 0)</f>
        <v>91.902256744669899</v>
      </c>
    </row>
    <row r="136" spans="1:5" ht="15">
      <c r="A136" s="13">
        <v>45992</v>
      </c>
      <c r="B136" s="4">
        <f>16.0019 * CHOOSE(CONTROL!$C$9, $C$13, 100%, $E$13) + CHOOSE(CONTROL!$C$28, 0.0003, 0)</f>
        <v>16.002199999999998</v>
      </c>
      <c r="C136" s="4">
        <f>15.6894 * CHOOSE(CONTROL!$C$9, $C$13, 100%, $E$13) + CHOOSE(CONTROL!$C$28, 0.0003, 0)</f>
        <v>15.689699999999998</v>
      </c>
      <c r="D136" s="4">
        <f>22.0372 * CHOOSE(CONTROL!$C$9, $C$13, 100%, $E$13) + CHOOSE(CONTROL!$C$28, 0, 0)</f>
        <v>22.037199999999999</v>
      </c>
      <c r="E136" s="4">
        <f>90.4629454165145 * CHOOSE(CONTROL!$C$9, $C$13, 100%, $E$13) + CHOOSE(CONTROL!$C$28, 0, 0)</f>
        <v>90.462945416514501</v>
      </c>
    </row>
    <row r="137" spans="1:5" ht="15">
      <c r="A137" s="13">
        <v>46023</v>
      </c>
      <c r="B137" s="4">
        <f>15.5859 * CHOOSE(CONTROL!$C$9, $C$13, 100%, $E$13) + CHOOSE(CONTROL!$C$28, 0.0003, 0)</f>
        <v>15.5862</v>
      </c>
      <c r="C137" s="4">
        <f>15.2734 * CHOOSE(CONTROL!$C$9, $C$13, 100%, $E$13) + CHOOSE(CONTROL!$C$28, 0.0003, 0)</f>
        <v>15.2737</v>
      </c>
      <c r="D137" s="4">
        <f>21.4478 * CHOOSE(CONTROL!$C$9, $C$13, 100%, $E$13) + CHOOSE(CONTROL!$C$28, 0, 0)</f>
        <v>21.447800000000001</v>
      </c>
      <c r="E137" s="4">
        <f>88.1231952849309 * CHOOSE(CONTROL!$C$9, $C$13, 100%, $E$13) + CHOOSE(CONTROL!$C$28, 0, 0)</f>
        <v>88.123195284930901</v>
      </c>
    </row>
    <row r="138" spans="1:5" ht="15">
      <c r="A138" s="13">
        <v>46054</v>
      </c>
      <c r="B138" s="4">
        <f>15.9115 * CHOOSE(CONTROL!$C$9, $C$13, 100%, $E$13) + CHOOSE(CONTROL!$C$28, 0.0003, 0)</f>
        <v>15.911799999999999</v>
      </c>
      <c r="C138" s="4">
        <f>15.599 * CHOOSE(CONTROL!$C$9, $C$13, 100%, $E$13) + CHOOSE(CONTROL!$C$28, 0.0003, 0)</f>
        <v>15.599299999999999</v>
      </c>
      <c r="D138" s="4">
        <f>22.154 * CHOOSE(CONTROL!$C$9, $C$13, 100%, $E$13) + CHOOSE(CONTROL!$C$28, 0, 0)</f>
        <v>22.154</v>
      </c>
      <c r="E138" s="4">
        <f>90.2155872265274 * CHOOSE(CONTROL!$C$9, $C$13, 100%, $E$13) + CHOOSE(CONTROL!$C$28, 0, 0)</f>
        <v>90.215587226527404</v>
      </c>
    </row>
    <row r="139" spans="1:5" ht="15">
      <c r="A139" s="13">
        <v>46082</v>
      </c>
      <c r="B139" s="4">
        <f>16.7664 * CHOOSE(CONTROL!$C$9, $C$13, 100%, $E$13) + CHOOSE(CONTROL!$C$28, 0.0003, 0)</f>
        <v>16.7667</v>
      </c>
      <c r="C139" s="4">
        <f>16.4539 * CHOOSE(CONTROL!$C$9, $C$13, 100%, $E$13) + CHOOSE(CONTROL!$C$28, 0.0003, 0)</f>
        <v>16.4542</v>
      </c>
      <c r="D139" s="4">
        <f>23.2596 * CHOOSE(CONTROL!$C$9, $C$13, 100%, $E$13) + CHOOSE(CONTROL!$C$28, 0, 0)</f>
        <v>23.259599999999999</v>
      </c>
      <c r="E139" s="4">
        <f>95.7103196616207 * CHOOSE(CONTROL!$C$9, $C$13, 100%, $E$13) + CHOOSE(CONTROL!$C$28, 0, 0)</f>
        <v>95.710319661620701</v>
      </c>
    </row>
    <row r="140" spans="1:5" ht="15">
      <c r="A140" s="13">
        <v>46113</v>
      </c>
      <c r="B140" s="4">
        <f>17.3738 * CHOOSE(CONTROL!$C$9, $C$13, 100%, $E$13) + CHOOSE(CONTROL!$C$28, 0.0003, 0)</f>
        <v>17.374099999999999</v>
      </c>
      <c r="C140" s="4">
        <f>17.0613 * CHOOSE(CONTROL!$C$9, $C$13, 100%, $E$13) + CHOOSE(CONTROL!$C$28, 0.0003, 0)</f>
        <v>17.061599999999999</v>
      </c>
      <c r="D140" s="4">
        <f>23.8964 * CHOOSE(CONTROL!$C$9, $C$13, 100%, $E$13) + CHOOSE(CONTROL!$C$28, 0, 0)</f>
        <v>23.8964</v>
      </c>
      <c r="E140" s="4">
        <f>99.6144002836922 * CHOOSE(CONTROL!$C$9, $C$13, 100%, $E$13) + CHOOSE(CONTROL!$C$28, 0, 0)</f>
        <v>99.614400283692206</v>
      </c>
    </row>
    <row r="141" spans="1:5" ht="15">
      <c r="A141" s="13">
        <v>46143</v>
      </c>
      <c r="B141" s="4">
        <f>17.745 * CHOOSE(CONTROL!$C$9, $C$13, 100%, $E$13) + CHOOSE(CONTROL!$C$28, 0.0276, 0)</f>
        <v>17.772600000000001</v>
      </c>
      <c r="C141" s="4">
        <f>17.4325 * CHOOSE(CONTROL!$C$9, $C$13, 100%, $E$13) + CHOOSE(CONTROL!$C$28, 0.0276, 0)</f>
        <v>17.460100000000001</v>
      </c>
      <c r="D141" s="4">
        <f>23.6448 * CHOOSE(CONTROL!$C$9, $C$13, 100%, $E$13) + CHOOSE(CONTROL!$C$28, 0, 0)</f>
        <v>23.6448</v>
      </c>
      <c r="E141" s="4">
        <f>101.999699976024 * CHOOSE(CONTROL!$C$9, $C$13, 100%, $E$13) + CHOOSE(CONTROL!$C$28, 0, 0)</f>
        <v>101.999699976024</v>
      </c>
    </row>
    <row r="142" spans="1:5" ht="15">
      <c r="A142" s="13">
        <v>46174</v>
      </c>
      <c r="B142" s="4">
        <f>17.7952 * CHOOSE(CONTROL!$C$9, $C$13, 100%, $E$13) + CHOOSE(CONTROL!$C$28, 0.0276, 0)</f>
        <v>17.822800000000001</v>
      </c>
      <c r="C142" s="4">
        <f>17.4827 * CHOOSE(CONTROL!$C$9, $C$13, 100%, $E$13) + CHOOSE(CONTROL!$C$28, 0.0276, 0)</f>
        <v>17.510300000000001</v>
      </c>
      <c r="D142" s="4">
        <f>23.8497 * CHOOSE(CONTROL!$C$9, $C$13, 100%, $E$13) + CHOOSE(CONTROL!$C$28, 0, 0)</f>
        <v>23.849699999999999</v>
      </c>
      <c r="E142" s="4">
        <f>102.322440923594 * CHOOSE(CONTROL!$C$9, $C$13, 100%, $E$13) + CHOOSE(CONTROL!$C$28, 0, 0)</f>
        <v>102.322440923594</v>
      </c>
    </row>
    <row r="143" spans="1:5" ht="15">
      <c r="A143" s="13">
        <v>46204</v>
      </c>
      <c r="B143" s="4">
        <f>17.7901 * CHOOSE(CONTROL!$C$9, $C$13, 100%, $E$13) + CHOOSE(CONTROL!$C$28, 0.0276, 0)</f>
        <v>17.817699999999999</v>
      </c>
      <c r="C143" s="4">
        <f>17.4776 * CHOOSE(CONTROL!$C$9, $C$13, 100%, $E$13) + CHOOSE(CONTROL!$C$28, 0.0276, 0)</f>
        <v>17.505199999999999</v>
      </c>
      <c r="D143" s="4">
        <f>24.2195 * CHOOSE(CONTROL!$C$9, $C$13, 100%, $E$13) + CHOOSE(CONTROL!$C$28, 0, 0)</f>
        <v>24.2195</v>
      </c>
      <c r="E143" s="4">
        <f>102.289895617957 * CHOOSE(CONTROL!$C$9, $C$13, 100%, $E$13) + CHOOSE(CONTROL!$C$28, 0, 0)</f>
        <v>102.289895617957</v>
      </c>
    </row>
    <row r="144" spans="1:5" ht="15">
      <c r="A144" s="13">
        <v>46235</v>
      </c>
      <c r="B144" s="4">
        <f>18.1712 * CHOOSE(CONTROL!$C$9, $C$13, 100%, $E$13) + CHOOSE(CONTROL!$C$28, 0.0276, 0)</f>
        <v>18.198799999999999</v>
      </c>
      <c r="C144" s="4">
        <f>17.8587 * CHOOSE(CONTROL!$C$9, $C$13, 100%, $E$13) + CHOOSE(CONTROL!$C$28, 0.0276, 0)</f>
        <v>17.886299999999999</v>
      </c>
      <c r="D144" s="4">
        <f>23.9753 * CHOOSE(CONTROL!$C$9, $C$13, 100%, $E$13) + CHOOSE(CONTROL!$C$28, 0, 0)</f>
        <v>23.975300000000001</v>
      </c>
      <c r="E144" s="4">
        <f>104.738929867162 * CHOOSE(CONTROL!$C$9, $C$13, 100%, $E$13) + CHOOSE(CONTROL!$C$28, 0, 0)</f>
        <v>104.738929867162</v>
      </c>
    </row>
    <row r="145" spans="1:5" ht="15">
      <c r="A145" s="13">
        <v>46266</v>
      </c>
      <c r="B145" s="4">
        <f>17.5217 * CHOOSE(CONTROL!$C$9, $C$13, 100%, $E$13) + CHOOSE(CONTROL!$C$28, 0.0276, 0)</f>
        <v>17.549299999999999</v>
      </c>
      <c r="C145" s="4">
        <f>17.2092 * CHOOSE(CONTROL!$C$9, $C$13, 100%, $E$13) + CHOOSE(CONTROL!$C$28, 0.0276, 0)</f>
        <v>17.236799999999999</v>
      </c>
      <c r="D145" s="4">
        <f>23.8599 * CHOOSE(CONTROL!$C$9, $C$13, 100%, $E$13) + CHOOSE(CONTROL!$C$28, 0, 0)</f>
        <v>23.8599</v>
      </c>
      <c r="E145" s="4">
        <f>100.564994419181 * CHOOSE(CONTROL!$C$9, $C$13, 100%, $E$13) + CHOOSE(CONTROL!$C$28, 0, 0)</f>
        <v>100.56499441918101</v>
      </c>
    </row>
    <row r="146" spans="1:5" ht="15">
      <c r="A146" s="13">
        <v>46296</v>
      </c>
      <c r="B146" s="4">
        <f>17.0019 * CHOOSE(CONTROL!$C$9, $C$13, 100%, $E$13) + CHOOSE(CONTROL!$C$28, 0.0003, 0)</f>
        <v>17.002199999999998</v>
      </c>
      <c r="C146" s="4">
        <f>16.6894 * CHOOSE(CONTROL!$C$9, $C$13, 100%, $E$13) + CHOOSE(CONTROL!$C$28, 0.0003, 0)</f>
        <v>16.689699999999998</v>
      </c>
      <c r="D146" s="4">
        <f>23.551 * CHOOSE(CONTROL!$C$9, $C$13, 100%, $E$13) + CHOOSE(CONTROL!$C$28, 0, 0)</f>
        <v>23.550999999999998</v>
      </c>
      <c r="E146" s="4">
        <f>97.223676373754 * CHOOSE(CONTROL!$C$9, $C$13, 100%, $E$13) + CHOOSE(CONTROL!$C$28, 0, 0)</f>
        <v>97.223676373754003</v>
      </c>
    </row>
    <row r="147" spans="1:5" ht="15">
      <c r="A147" s="13">
        <v>46327</v>
      </c>
      <c r="B147" s="4">
        <f>16.667 * CHOOSE(CONTROL!$C$9, $C$13, 100%, $E$13) + CHOOSE(CONTROL!$C$28, 0.0003, 0)</f>
        <v>16.667300000000001</v>
      </c>
      <c r="C147" s="4">
        <f>16.3545 * CHOOSE(CONTROL!$C$9, $C$13, 100%, $E$13) + CHOOSE(CONTROL!$C$28, 0.0003, 0)</f>
        <v>16.354800000000001</v>
      </c>
      <c r="D147" s="4">
        <f>23.4448 * CHOOSE(CONTROL!$C$9, $C$13, 100%, $E$13) + CHOOSE(CONTROL!$C$28, 0, 0)</f>
        <v>23.444800000000001</v>
      </c>
      <c r="E147" s="4">
        <f>95.0716180384892 * CHOOSE(CONTROL!$C$9, $C$13, 100%, $E$13) + CHOOSE(CONTROL!$C$28, 0, 0)</f>
        <v>95.071618038489206</v>
      </c>
    </row>
    <row r="148" spans="1:5" ht="15">
      <c r="A148" s="13">
        <v>46357</v>
      </c>
      <c r="B148" s="4">
        <f>16.4354 * CHOOSE(CONTROL!$C$9, $C$13, 100%, $E$13) + CHOOSE(CONTROL!$C$28, 0.0003, 0)</f>
        <v>16.435700000000001</v>
      </c>
      <c r="C148" s="4">
        <f>16.1229 * CHOOSE(CONTROL!$C$9, $C$13, 100%, $E$13) + CHOOSE(CONTROL!$C$28, 0.0003, 0)</f>
        <v>16.123200000000001</v>
      </c>
      <c r="D148" s="4">
        <f>22.6628 * CHOOSE(CONTROL!$C$9, $C$13, 100%, $E$13) + CHOOSE(CONTROL!$C$28, 0, 0)</f>
        <v>22.662800000000001</v>
      </c>
      <c r="E148" s="4">
        <f>93.5826703055839 * CHOOSE(CONTROL!$C$9, $C$13, 100%, $E$13) + CHOOSE(CONTROL!$C$28, 0, 0)</f>
        <v>93.582670305583903</v>
      </c>
    </row>
    <row r="149" spans="1:5" ht="15">
      <c r="A149" s="13">
        <v>46388</v>
      </c>
      <c r="B149" s="4">
        <f>15.9494 * CHOOSE(CONTROL!$C$9, $C$13, 100%, $E$13) + CHOOSE(CONTROL!$C$28, 0.0003, 0)</f>
        <v>15.9497</v>
      </c>
      <c r="C149" s="4">
        <f>15.6369 * CHOOSE(CONTROL!$C$9, $C$13, 100%, $E$13) + CHOOSE(CONTROL!$C$28, 0.0003, 0)</f>
        <v>15.6372</v>
      </c>
      <c r="D149" s="4">
        <f>21.9402 * CHOOSE(CONTROL!$C$9, $C$13, 100%, $E$13) + CHOOSE(CONTROL!$C$28, 0, 0)</f>
        <v>21.940200000000001</v>
      </c>
      <c r="E149" s="4">
        <f>90.5081217650008 * CHOOSE(CONTROL!$C$9, $C$13, 100%, $E$13) + CHOOSE(CONTROL!$C$28, 0, 0)</f>
        <v>90.508121765000794</v>
      </c>
    </row>
    <row r="150" spans="1:5" ht="15">
      <c r="A150" s="13">
        <v>46419</v>
      </c>
      <c r="B150" s="4">
        <f>16.2836 * CHOOSE(CONTROL!$C$9, $C$13, 100%, $E$13) + CHOOSE(CONTROL!$C$28, 0.0003, 0)</f>
        <v>16.283899999999999</v>
      </c>
      <c r="C150" s="4">
        <f>15.9711 * CHOOSE(CONTROL!$C$9, $C$13, 100%, $E$13) + CHOOSE(CONTROL!$C$28, 0.0003, 0)</f>
        <v>15.971399999999999</v>
      </c>
      <c r="D150" s="4">
        <f>22.6638 * CHOOSE(CONTROL!$C$9, $C$13, 100%, $E$13) + CHOOSE(CONTROL!$C$28, 0, 0)</f>
        <v>22.663799999999998</v>
      </c>
      <c r="E150" s="4">
        <f>92.6571412600134 * CHOOSE(CONTROL!$C$9, $C$13, 100%, $E$13) + CHOOSE(CONTROL!$C$28, 0, 0)</f>
        <v>92.657141260013404</v>
      </c>
    </row>
    <row r="151" spans="1:5" ht="15">
      <c r="A151" s="13">
        <v>46447</v>
      </c>
      <c r="B151" s="4">
        <f>17.1612 * CHOOSE(CONTROL!$C$9, $C$13, 100%, $E$13) + CHOOSE(CONTROL!$C$28, 0.0003, 0)</f>
        <v>17.1615</v>
      </c>
      <c r="C151" s="4">
        <f>16.8487 * CHOOSE(CONTROL!$C$9, $C$13, 100%, $E$13) + CHOOSE(CONTROL!$C$28, 0.0003, 0)</f>
        <v>16.849</v>
      </c>
      <c r="D151" s="4">
        <f>23.7966 * CHOOSE(CONTROL!$C$9, $C$13, 100%, $E$13) + CHOOSE(CONTROL!$C$28, 0, 0)</f>
        <v>23.796600000000002</v>
      </c>
      <c r="E151" s="4">
        <f>98.3005806597485 * CHOOSE(CONTROL!$C$9, $C$13, 100%, $E$13) + CHOOSE(CONTROL!$C$28, 0, 0)</f>
        <v>98.300580659748505</v>
      </c>
    </row>
    <row r="152" spans="1:5" ht="15">
      <c r="A152" s="13">
        <v>46478</v>
      </c>
      <c r="B152" s="4">
        <f>17.7847 * CHOOSE(CONTROL!$C$9, $C$13, 100%, $E$13) + CHOOSE(CONTROL!$C$28, 0.0003, 0)</f>
        <v>17.785</v>
      </c>
      <c r="C152" s="4">
        <f>17.4722 * CHOOSE(CONTROL!$C$9, $C$13, 100%, $E$13) + CHOOSE(CONTROL!$C$28, 0.0003, 0)</f>
        <v>17.4725</v>
      </c>
      <c r="D152" s="4">
        <f>24.4491 * CHOOSE(CONTROL!$C$9, $C$13, 100%, $E$13) + CHOOSE(CONTROL!$C$28, 0, 0)</f>
        <v>24.449100000000001</v>
      </c>
      <c r="E152" s="4">
        <f>102.310319561979 * CHOOSE(CONTROL!$C$9, $C$13, 100%, $E$13) + CHOOSE(CONTROL!$C$28, 0, 0)</f>
        <v>102.310319561979</v>
      </c>
    </row>
    <row r="153" spans="1:5" ht="15">
      <c r="A153" s="13">
        <v>46508</v>
      </c>
      <c r="B153" s="4">
        <f>18.1657 * CHOOSE(CONTROL!$C$9, $C$13, 100%, $E$13) + CHOOSE(CONTROL!$C$28, 0.0276, 0)</f>
        <v>18.193300000000001</v>
      </c>
      <c r="C153" s="4">
        <f>17.8532 * CHOOSE(CONTROL!$C$9, $C$13, 100%, $E$13) + CHOOSE(CONTROL!$C$28, 0.0276, 0)</f>
        <v>17.880800000000001</v>
      </c>
      <c r="D153" s="4">
        <f>24.1912 * CHOOSE(CONTROL!$C$9, $C$13, 100%, $E$13) + CHOOSE(CONTROL!$C$28, 0, 0)</f>
        <v>24.191199999999998</v>
      </c>
      <c r="E153" s="4">
        <f>104.760173931212 * CHOOSE(CONTROL!$C$9, $C$13, 100%, $E$13) + CHOOSE(CONTROL!$C$28, 0, 0)</f>
        <v>104.76017393121199</v>
      </c>
    </row>
    <row r="154" spans="1:5" ht="15">
      <c r="A154" s="13">
        <v>46539</v>
      </c>
      <c r="B154" s="4">
        <f>18.2172 * CHOOSE(CONTROL!$C$9, $C$13, 100%, $E$13) + CHOOSE(CONTROL!$C$28, 0.0276, 0)</f>
        <v>18.244799999999998</v>
      </c>
      <c r="C154" s="4">
        <f>17.9047 * CHOOSE(CONTROL!$C$9, $C$13, 100%, $E$13) + CHOOSE(CONTROL!$C$28, 0.0276, 0)</f>
        <v>17.932299999999998</v>
      </c>
      <c r="D154" s="4">
        <f>24.4012 * CHOOSE(CONTROL!$C$9, $C$13, 100%, $E$13) + CHOOSE(CONTROL!$C$28, 0, 0)</f>
        <v>24.401199999999999</v>
      </c>
      <c r="E154" s="4">
        <f>105.091649394474 * CHOOSE(CONTROL!$C$9, $C$13, 100%, $E$13) + CHOOSE(CONTROL!$C$28, 0, 0)</f>
        <v>105.091649394474</v>
      </c>
    </row>
    <row r="155" spans="1:5" ht="15">
      <c r="A155" s="13">
        <v>46569</v>
      </c>
      <c r="B155" s="4">
        <f>18.212 * CHOOSE(CONTROL!$C$9, $C$13, 100%, $E$13) + CHOOSE(CONTROL!$C$28, 0.0276, 0)</f>
        <v>18.239599999999999</v>
      </c>
      <c r="C155" s="4">
        <f>17.8995 * CHOOSE(CONTROL!$C$9, $C$13, 100%, $E$13) + CHOOSE(CONTROL!$C$28, 0.0276, 0)</f>
        <v>17.927099999999999</v>
      </c>
      <c r="D155" s="4">
        <f>24.7801 * CHOOSE(CONTROL!$C$9, $C$13, 100%, $E$13) + CHOOSE(CONTROL!$C$28, 0, 0)</f>
        <v>24.780100000000001</v>
      </c>
      <c r="E155" s="4">
        <f>105.058223297338 * CHOOSE(CONTROL!$C$9, $C$13, 100%, $E$13) + CHOOSE(CONTROL!$C$28, 0, 0)</f>
        <v>105.058223297338</v>
      </c>
    </row>
    <row r="156" spans="1:5" ht="15">
      <c r="A156" s="13">
        <v>46600</v>
      </c>
      <c r="B156" s="4">
        <f>18.6031 * CHOOSE(CONTROL!$C$9, $C$13, 100%, $E$13) + CHOOSE(CONTROL!$C$28, 0.0276, 0)</f>
        <v>18.630700000000001</v>
      </c>
      <c r="C156" s="4">
        <f>18.2906 * CHOOSE(CONTROL!$C$9, $C$13, 100%, $E$13) + CHOOSE(CONTROL!$C$28, 0.0276, 0)</f>
        <v>18.318200000000001</v>
      </c>
      <c r="D156" s="4">
        <f>24.5299 * CHOOSE(CONTROL!$C$9, $C$13, 100%, $E$13) + CHOOSE(CONTROL!$C$28, 0, 0)</f>
        <v>24.529900000000001</v>
      </c>
      <c r="E156" s="4">
        <f>107.573537106796 * CHOOSE(CONTROL!$C$9, $C$13, 100%, $E$13) + CHOOSE(CONTROL!$C$28, 0, 0)</f>
        <v>107.573537106796</v>
      </c>
    </row>
    <row r="157" spans="1:5" ht="15">
      <c r="A157" s="13">
        <v>46631</v>
      </c>
      <c r="B157" s="4">
        <f>17.9365 * CHOOSE(CONTROL!$C$9, $C$13, 100%, $E$13) + CHOOSE(CONTROL!$C$28, 0.0276, 0)</f>
        <v>17.964099999999998</v>
      </c>
      <c r="C157" s="4">
        <f>17.624 * CHOOSE(CONTROL!$C$9, $C$13, 100%, $E$13) + CHOOSE(CONTROL!$C$28, 0.0276, 0)</f>
        <v>17.651599999999998</v>
      </c>
      <c r="D157" s="4">
        <f>24.4117 * CHOOSE(CONTROL!$C$9, $C$13, 100%, $E$13) + CHOOSE(CONTROL!$C$28, 0, 0)</f>
        <v>24.4117</v>
      </c>
      <c r="E157" s="4">
        <f>103.286640149149 * CHOOSE(CONTROL!$C$9, $C$13, 100%, $E$13) + CHOOSE(CONTROL!$C$28, 0, 0)</f>
        <v>103.28664014914899</v>
      </c>
    </row>
    <row r="158" spans="1:5" ht="15">
      <c r="A158" s="13">
        <v>46661</v>
      </c>
      <c r="B158" s="4">
        <f>17.4029 * CHOOSE(CONTROL!$C$9, $C$13, 100%, $E$13) + CHOOSE(CONTROL!$C$28, 0.0003, 0)</f>
        <v>17.403199999999998</v>
      </c>
      <c r="C158" s="4">
        <f>17.0904 * CHOOSE(CONTROL!$C$9, $C$13, 100%, $E$13) + CHOOSE(CONTROL!$C$28, 0.0003, 0)</f>
        <v>17.090699999999998</v>
      </c>
      <c r="D158" s="4">
        <f>24.0951 * CHOOSE(CONTROL!$C$9, $C$13, 100%, $E$13) + CHOOSE(CONTROL!$C$28, 0, 0)</f>
        <v>24.095099999999999</v>
      </c>
      <c r="E158" s="4">
        <f>99.8548941765561 * CHOOSE(CONTROL!$C$9, $C$13, 100%, $E$13) + CHOOSE(CONTROL!$C$28, 0, 0)</f>
        <v>99.854894176556101</v>
      </c>
    </row>
    <row r="159" spans="1:5" ht="15">
      <c r="A159" s="13">
        <v>46692</v>
      </c>
      <c r="B159" s="4">
        <f>17.0592 * CHOOSE(CONTROL!$C$9, $C$13, 100%, $E$13) + CHOOSE(CONTROL!$C$28, 0.0003, 0)</f>
        <v>17.0595</v>
      </c>
      <c r="C159" s="4">
        <f>16.7467 * CHOOSE(CONTROL!$C$9, $C$13, 100%, $E$13) + CHOOSE(CONTROL!$C$28, 0.0003, 0)</f>
        <v>16.747</v>
      </c>
      <c r="D159" s="4">
        <f>23.9863 * CHOOSE(CONTROL!$C$9, $C$13, 100%, $E$13) + CHOOSE(CONTROL!$C$28, 0, 0)</f>
        <v>23.9863</v>
      </c>
      <c r="E159" s="4">
        <f>97.6445935034614 * CHOOSE(CONTROL!$C$9, $C$13, 100%, $E$13) + CHOOSE(CONTROL!$C$28, 0, 0)</f>
        <v>97.644593503461394</v>
      </c>
    </row>
    <row r="160" spans="1:5" ht="15">
      <c r="A160" s="13">
        <v>46722</v>
      </c>
      <c r="B160" s="4">
        <f>16.8213 * CHOOSE(CONTROL!$C$9, $C$13, 100%, $E$13) + CHOOSE(CONTROL!$C$28, 0.0003, 0)</f>
        <v>16.8216</v>
      </c>
      <c r="C160" s="4">
        <f>16.5088 * CHOOSE(CONTROL!$C$9, $C$13, 100%, $E$13) + CHOOSE(CONTROL!$C$28, 0.0003, 0)</f>
        <v>16.5091</v>
      </c>
      <c r="D160" s="4">
        <f>23.1851 * CHOOSE(CONTROL!$C$9, $C$13, 100%, $E$13) + CHOOSE(CONTROL!$C$28, 0, 0)</f>
        <v>23.185099999999998</v>
      </c>
      <c r="E160" s="4">
        <f>96.1153495595056 * CHOOSE(CONTROL!$C$9, $C$13, 100%, $E$13) + CHOOSE(CONTROL!$C$28, 0, 0)</f>
        <v>96.115349559505603</v>
      </c>
    </row>
    <row r="161" spans="1:5" ht="15">
      <c r="A161" s="13">
        <v>46753</v>
      </c>
      <c r="B161" s="4">
        <f>16.2913 * CHOOSE(CONTROL!$C$9, $C$13, 100%, $E$13) + CHOOSE(CONTROL!$C$28, 0.0003, 0)</f>
        <v>16.291599999999999</v>
      </c>
      <c r="C161" s="4">
        <f>15.9788 * CHOOSE(CONTROL!$C$9, $C$13, 100%, $E$13) + CHOOSE(CONTROL!$C$28, 0.0003, 0)</f>
        <v>15.979099999999999</v>
      </c>
      <c r="D161" s="4">
        <f>22.3625 * CHOOSE(CONTROL!$C$9, $C$13, 100%, $E$13) + CHOOSE(CONTROL!$C$28, 0, 0)</f>
        <v>22.362500000000001</v>
      </c>
      <c r="E161" s="4">
        <f>92.804755896246 * CHOOSE(CONTROL!$C$9, $C$13, 100%, $E$13) + CHOOSE(CONTROL!$C$28, 0, 0)</f>
        <v>92.804755896245993</v>
      </c>
    </row>
    <row r="162" spans="1:5" ht="15">
      <c r="A162" s="13">
        <v>46784</v>
      </c>
      <c r="B162" s="4">
        <f>16.6336 * CHOOSE(CONTROL!$C$9, $C$13, 100%, $E$13) + CHOOSE(CONTROL!$C$28, 0.0003, 0)</f>
        <v>16.633900000000001</v>
      </c>
      <c r="C162" s="4">
        <f>16.3211 * CHOOSE(CONTROL!$C$9, $C$13, 100%, $E$13) + CHOOSE(CONTROL!$C$28, 0.0003, 0)</f>
        <v>16.321400000000001</v>
      </c>
      <c r="D162" s="4">
        <f>23.101 * CHOOSE(CONTROL!$C$9, $C$13, 100%, $E$13) + CHOOSE(CONTROL!$C$28, 0, 0)</f>
        <v>23.100999999999999</v>
      </c>
      <c r="E162" s="4">
        <f>95.0083065363615 * CHOOSE(CONTROL!$C$9, $C$13, 100%, $E$13) + CHOOSE(CONTROL!$C$28, 0, 0)</f>
        <v>95.008306536361502</v>
      </c>
    </row>
    <row r="163" spans="1:5" ht="15">
      <c r="A163" s="13">
        <v>46813</v>
      </c>
      <c r="B163" s="4">
        <f>17.5325 * CHOOSE(CONTROL!$C$9, $C$13, 100%, $E$13) + CHOOSE(CONTROL!$C$28, 0.0003, 0)</f>
        <v>17.532799999999998</v>
      </c>
      <c r="C163" s="4">
        <f>17.22 * CHOOSE(CONTROL!$C$9, $C$13, 100%, $E$13) + CHOOSE(CONTROL!$C$28, 0.0003, 0)</f>
        <v>17.220299999999998</v>
      </c>
      <c r="D163" s="4">
        <f>24.2571 * CHOOSE(CONTROL!$C$9, $C$13, 100%, $E$13) + CHOOSE(CONTROL!$C$28, 0, 0)</f>
        <v>24.257100000000001</v>
      </c>
      <c r="E163" s="4">
        <f>100.794947621098 * CHOOSE(CONTROL!$C$9, $C$13, 100%, $E$13) + CHOOSE(CONTROL!$C$28, 0, 0)</f>
        <v>100.794947621098</v>
      </c>
    </row>
    <row r="164" spans="1:5" ht="15">
      <c r="A164" s="13">
        <v>46844</v>
      </c>
      <c r="B164" s="4">
        <f>18.1712 * CHOOSE(CONTROL!$C$9, $C$13, 100%, $E$13) + CHOOSE(CONTROL!$C$28, 0.0003, 0)</f>
        <v>18.171499999999998</v>
      </c>
      <c r="C164" s="4">
        <f>17.8587 * CHOOSE(CONTROL!$C$9, $C$13, 100%, $E$13) + CHOOSE(CONTROL!$C$28, 0.0003, 0)</f>
        <v>17.858999999999998</v>
      </c>
      <c r="D164" s="4">
        <f>24.9231 * CHOOSE(CONTROL!$C$9, $C$13, 100%, $E$13) + CHOOSE(CONTROL!$C$28, 0, 0)</f>
        <v>24.923100000000002</v>
      </c>
      <c r="E164" s="4">
        <f>104.906433228935 * CHOOSE(CONTROL!$C$9, $C$13, 100%, $E$13) + CHOOSE(CONTROL!$C$28, 0, 0)</f>
        <v>104.906433228935</v>
      </c>
    </row>
    <row r="165" spans="1:5" ht="15">
      <c r="A165" s="13">
        <v>46874</v>
      </c>
      <c r="B165" s="4">
        <f>18.5614 * CHOOSE(CONTROL!$C$9, $C$13, 100%, $E$13) + CHOOSE(CONTROL!$C$28, 0.0276, 0)</f>
        <v>18.588999999999999</v>
      </c>
      <c r="C165" s="4">
        <f>18.2489 * CHOOSE(CONTROL!$C$9, $C$13, 100%, $E$13) + CHOOSE(CONTROL!$C$28, 0.0276, 0)</f>
        <v>18.276499999999999</v>
      </c>
      <c r="D165" s="4">
        <f>24.6599 * CHOOSE(CONTROL!$C$9, $C$13, 100%, $E$13) + CHOOSE(CONTROL!$C$28, 0, 0)</f>
        <v>24.6599</v>
      </c>
      <c r="E165" s="4">
        <f>107.418452396766 * CHOOSE(CONTROL!$C$9, $C$13, 100%, $E$13) + CHOOSE(CONTROL!$C$28, 0, 0)</f>
        <v>107.418452396766</v>
      </c>
    </row>
    <row r="166" spans="1:5" ht="15">
      <c r="A166" s="13">
        <v>46905</v>
      </c>
      <c r="B166" s="4">
        <f>18.6142 * CHOOSE(CONTROL!$C$9, $C$13, 100%, $E$13) + CHOOSE(CONTROL!$C$28, 0.0276, 0)</f>
        <v>18.6418</v>
      </c>
      <c r="C166" s="4">
        <f>18.3017 * CHOOSE(CONTROL!$C$9, $C$13, 100%, $E$13) + CHOOSE(CONTROL!$C$28, 0.0276, 0)</f>
        <v>18.3293</v>
      </c>
      <c r="D166" s="4">
        <f>24.8742 * CHOOSE(CONTROL!$C$9, $C$13, 100%, $E$13) + CHOOSE(CONTROL!$C$28, 0, 0)</f>
        <v>24.874199999999998</v>
      </c>
      <c r="E166" s="4">
        <f>107.758339015267 * CHOOSE(CONTROL!$C$9, $C$13, 100%, $E$13) + CHOOSE(CONTROL!$C$28, 0, 0)</f>
        <v>107.758339015267</v>
      </c>
    </row>
    <row r="167" spans="1:5" ht="15">
      <c r="A167" s="13">
        <v>46935</v>
      </c>
      <c r="B167" s="4">
        <f>18.6089 * CHOOSE(CONTROL!$C$9, $C$13, 100%, $E$13) + CHOOSE(CONTROL!$C$28, 0.0276, 0)</f>
        <v>18.636499999999998</v>
      </c>
      <c r="C167" s="4">
        <f>18.2964 * CHOOSE(CONTROL!$C$9, $C$13, 100%, $E$13) + CHOOSE(CONTROL!$C$28, 0.0276, 0)</f>
        <v>18.323999999999998</v>
      </c>
      <c r="D167" s="4">
        <f>25.2609 * CHOOSE(CONTROL!$C$9, $C$13, 100%, $E$13) + CHOOSE(CONTROL!$C$28, 0, 0)</f>
        <v>25.260899999999999</v>
      </c>
      <c r="E167" s="4">
        <f>107.72406473441 * CHOOSE(CONTROL!$C$9, $C$13, 100%, $E$13) + CHOOSE(CONTROL!$C$28, 0, 0)</f>
        <v>107.72406473441001</v>
      </c>
    </row>
    <row r="168" spans="1:5" ht="15">
      <c r="A168" s="13">
        <v>46966</v>
      </c>
      <c r="B168" s="4">
        <f>19.0095 * CHOOSE(CONTROL!$C$9, $C$13, 100%, $E$13) + CHOOSE(CONTROL!$C$28, 0.0276, 0)</f>
        <v>19.037099999999999</v>
      </c>
      <c r="C168" s="4">
        <f>18.697 * CHOOSE(CONTROL!$C$9, $C$13, 100%, $E$13) + CHOOSE(CONTROL!$C$28, 0.0276, 0)</f>
        <v>18.724599999999999</v>
      </c>
      <c r="D168" s="4">
        <f>25.0056 * CHOOSE(CONTROL!$C$9, $C$13, 100%, $E$13) + CHOOSE(CONTROL!$C$28, 0, 0)</f>
        <v>25.005600000000001</v>
      </c>
      <c r="E168" s="4">
        <f>110.30320436892 * CHOOSE(CONTROL!$C$9, $C$13, 100%, $E$13) + CHOOSE(CONTROL!$C$28, 0, 0)</f>
        <v>110.30320436892001</v>
      </c>
    </row>
    <row r="169" spans="1:5" ht="15">
      <c r="A169" s="13">
        <v>46997</v>
      </c>
      <c r="B169" s="4">
        <f>18.3267 * CHOOSE(CONTROL!$C$9, $C$13, 100%, $E$13) + CHOOSE(CONTROL!$C$28, 0.0276, 0)</f>
        <v>18.354299999999999</v>
      </c>
      <c r="C169" s="4">
        <f>18.0142 * CHOOSE(CONTROL!$C$9, $C$13, 100%, $E$13) + CHOOSE(CONTROL!$C$28, 0.0276, 0)</f>
        <v>18.041799999999999</v>
      </c>
      <c r="D169" s="4">
        <f>24.8849 * CHOOSE(CONTROL!$C$9, $C$13, 100%, $E$13) + CHOOSE(CONTROL!$C$28, 0, 0)</f>
        <v>24.884899999999998</v>
      </c>
      <c r="E169" s="4">
        <f>105.907527848974 * CHOOSE(CONTROL!$C$9, $C$13, 100%, $E$13) + CHOOSE(CONTROL!$C$28, 0, 0)</f>
        <v>105.907527848974</v>
      </c>
    </row>
    <row r="170" spans="1:5" ht="15">
      <c r="A170" s="13">
        <v>47027</v>
      </c>
      <c r="B170" s="4">
        <f>17.7801 * CHOOSE(CONTROL!$C$9, $C$13, 100%, $E$13) + CHOOSE(CONTROL!$C$28, 0.0003, 0)</f>
        <v>17.7804</v>
      </c>
      <c r="C170" s="4">
        <f>17.4676 * CHOOSE(CONTROL!$C$9, $C$13, 100%, $E$13) + CHOOSE(CONTROL!$C$28, 0.0003, 0)</f>
        <v>17.4679</v>
      </c>
      <c r="D170" s="4">
        <f>24.5618 * CHOOSE(CONTROL!$C$9, $C$13, 100%, $E$13) + CHOOSE(CONTROL!$C$28, 0, 0)</f>
        <v>24.561800000000002</v>
      </c>
      <c r="E170" s="4">
        <f>102.388701680961 * CHOOSE(CONTROL!$C$9, $C$13, 100%, $E$13) + CHOOSE(CONTROL!$C$28, 0, 0)</f>
        <v>102.38870168096101</v>
      </c>
    </row>
    <row r="171" spans="1:5" ht="15">
      <c r="A171" s="13">
        <v>47058</v>
      </c>
      <c r="B171" s="4">
        <f>17.428 * CHOOSE(CONTROL!$C$9, $C$13, 100%, $E$13) + CHOOSE(CONTROL!$C$28, 0.0003, 0)</f>
        <v>17.4283</v>
      </c>
      <c r="C171" s="4">
        <f>17.1155 * CHOOSE(CONTROL!$C$9, $C$13, 100%, $E$13) + CHOOSE(CONTROL!$C$28, 0.0003, 0)</f>
        <v>17.1158</v>
      </c>
      <c r="D171" s="4">
        <f>24.4508 * CHOOSE(CONTROL!$C$9, $C$13, 100%, $E$13) + CHOOSE(CONTROL!$C$28, 0, 0)</f>
        <v>24.450800000000001</v>
      </c>
      <c r="E171" s="4">
        <f>100.122314859274 * CHOOSE(CONTROL!$C$9, $C$13, 100%, $E$13) + CHOOSE(CONTROL!$C$28, 0, 0)</f>
        <v>100.122314859274</v>
      </c>
    </row>
    <row r="172" spans="1:5" ht="15">
      <c r="A172" s="13">
        <v>47088</v>
      </c>
      <c r="B172" s="4">
        <f>17.1844 * CHOOSE(CONTROL!$C$9, $C$13, 100%, $E$13) + CHOOSE(CONTROL!$C$28, 0.0003, 0)</f>
        <v>17.184699999999999</v>
      </c>
      <c r="C172" s="4">
        <f>16.8719 * CHOOSE(CONTROL!$C$9, $C$13, 100%, $E$13) + CHOOSE(CONTROL!$C$28, 0.0003, 0)</f>
        <v>16.872199999999999</v>
      </c>
      <c r="D172" s="4">
        <f>23.633 * CHOOSE(CONTROL!$C$9, $C$13, 100%, $E$13) + CHOOSE(CONTROL!$C$28, 0, 0)</f>
        <v>23.632999999999999</v>
      </c>
      <c r="E172" s="4">
        <f>98.5542665100536 * CHOOSE(CONTROL!$C$9, $C$13, 100%, $E$13) + CHOOSE(CONTROL!$C$28, 0, 0)</f>
        <v>98.554266510053594</v>
      </c>
    </row>
    <row r="173" spans="1:5" ht="15">
      <c r="A173" s="13">
        <v>47119</v>
      </c>
      <c r="B173" s="4">
        <f>16.6936 * CHOOSE(CONTROL!$C$9, $C$13, 100%, $E$13) + CHOOSE(CONTROL!$C$28, 0.0003, 0)</f>
        <v>16.693899999999999</v>
      </c>
      <c r="C173" s="4">
        <f>16.3811 * CHOOSE(CONTROL!$C$9, $C$13, 100%, $E$13) + CHOOSE(CONTROL!$C$28, 0.0003, 0)</f>
        <v>16.381399999999999</v>
      </c>
      <c r="D173" s="4">
        <f>22.79 * CHOOSE(CONTROL!$C$9, $C$13, 100%, $E$13) + CHOOSE(CONTROL!$C$28, 0, 0)</f>
        <v>22.79</v>
      </c>
      <c r="E173" s="4">
        <f>95.3972244926834 * CHOOSE(CONTROL!$C$9, $C$13, 100%, $E$13) + CHOOSE(CONTROL!$C$28, 0, 0)</f>
        <v>95.397224492683407</v>
      </c>
    </row>
    <row r="174" spans="1:5" ht="15">
      <c r="A174" s="13">
        <v>47150</v>
      </c>
      <c r="B174" s="4">
        <f>17.0454 * CHOOSE(CONTROL!$C$9, $C$13, 100%, $E$13) + CHOOSE(CONTROL!$C$28, 0.0003, 0)</f>
        <v>17.0457</v>
      </c>
      <c r="C174" s="4">
        <f>16.7329 * CHOOSE(CONTROL!$C$9, $C$13, 100%, $E$13) + CHOOSE(CONTROL!$C$28, 0.0003, 0)</f>
        <v>16.7332</v>
      </c>
      <c r="D174" s="4">
        <f>23.5437 * CHOOSE(CONTROL!$C$9, $C$13, 100%, $E$13) + CHOOSE(CONTROL!$C$28, 0, 0)</f>
        <v>23.543700000000001</v>
      </c>
      <c r="E174" s="4">
        <f>97.6623305539623 * CHOOSE(CONTROL!$C$9, $C$13, 100%, $E$13) + CHOOSE(CONTROL!$C$28, 0, 0)</f>
        <v>97.662330553962306</v>
      </c>
    </row>
    <row r="175" spans="1:5" ht="15">
      <c r="A175" s="13">
        <v>47178</v>
      </c>
      <c r="B175" s="4">
        <f>17.9694 * CHOOSE(CONTROL!$C$9, $C$13, 100%, $E$13) + CHOOSE(CONTROL!$C$28, 0.0003, 0)</f>
        <v>17.9697</v>
      </c>
      <c r="C175" s="4">
        <f>17.6569 * CHOOSE(CONTROL!$C$9, $C$13, 100%, $E$13) + CHOOSE(CONTROL!$C$28, 0.0003, 0)</f>
        <v>17.6572</v>
      </c>
      <c r="D175" s="4">
        <f>24.7234 * CHOOSE(CONTROL!$C$9, $C$13, 100%, $E$13) + CHOOSE(CONTROL!$C$28, 0, 0)</f>
        <v>24.723400000000002</v>
      </c>
      <c r="E175" s="4">
        <f>103.610619445927 * CHOOSE(CONTROL!$C$9, $C$13, 100%, $E$13) + CHOOSE(CONTROL!$C$28, 0, 0)</f>
        <v>103.610619445927</v>
      </c>
    </row>
    <row r="176" spans="1:5" ht="15">
      <c r="A176" s="13">
        <v>47209</v>
      </c>
      <c r="B176" s="4">
        <f>18.6259 * CHOOSE(CONTROL!$C$9, $C$13, 100%, $E$13) + CHOOSE(CONTROL!$C$28, 0.0003, 0)</f>
        <v>18.626200000000001</v>
      </c>
      <c r="C176" s="4">
        <f>18.3134 * CHOOSE(CONTROL!$C$9, $C$13, 100%, $E$13) + CHOOSE(CONTROL!$C$28, 0.0003, 0)</f>
        <v>18.313700000000001</v>
      </c>
      <c r="D176" s="4">
        <f>25.4029 * CHOOSE(CONTROL!$C$9, $C$13, 100%, $E$13) + CHOOSE(CONTROL!$C$28, 0, 0)</f>
        <v>25.402899999999999</v>
      </c>
      <c r="E176" s="4">
        <f>107.836957975041 * CHOOSE(CONTROL!$C$9, $C$13, 100%, $E$13) + CHOOSE(CONTROL!$C$28, 0, 0)</f>
        <v>107.836957975041</v>
      </c>
    </row>
    <row r="177" spans="1:5" ht="15">
      <c r="A177" s="13">
        <v>47239</v>
      </c>
      <c r="B177" s="4">
        <f>19.027 * CHOOSE(CONTROL!$C$9, $C$13, 100%, $E$13) + CHOOSE(CONTROL!$C$28, 0.0276, 0)</f>
        <v>19.054600000000001</v>
      </c>
      <c r="C177" s="4">
        <f>18.7145 * CHOOSE(CONTROL!$C$9, $C$13, 100%, $E$13) + CHOOSE(CONTROL!$C$28, 0.0276, 0)</f>
        <v>18.742100000000001</v>
      </c>
      <c r="D177" s="4">
        <f>25.1344 * CHOOSE(CONTROL!$C$9, $C$13, 100%, $E$13) + CHOOSE(CONTROL!$C$28, 0, 0)</f>
        <v>25.134399999999999</v>
      </c>
      <c r="E177" s="4">
        <f>110.419149525131 * CHOOSE(CONTROL!$C$9, $C$13, 100%, $E$13) + CHOOSE(CONTROL!$C$28, 0, 0)</f>
        <v>110.419149525131</v>
      </c>
    </row>
    <row r="178" spans="1:5" ht="15">
      <c r="A178" s="13">
        <v>47270</v>
      </c>
      <c r="B178" s="4">
        <f>19.0813 * CHOOSE(CONTROL!$C$9, $C$13, 100%, $E$13) + CHOOSE(CONTROL!$C$28, 0.0276, 0)</f>
        <v>19.108899999999998</v>
      </c>
      <c r="C178" s="4">
        <f>18.7688 * CHOOSE(CONTROL!$C$9, $C$13, 100%, $E$13) + CHOOSE(CONTROL!$C$28, 0.0276, 0)</f>
        <v>18.796399999999998</v>
      </c>
      <c r="D178" s="4">
        <f>25.3531 * CHOOSE(CONTROL!$C$9, $C$13, 100%, $E$13) + CHOOSE(CONTROL!$C$28, 0, 0)</f>
        <v>25.353100000000001</v>
      </c>
      <c r="E178" s="4">
        <f>110.768530758174 * CHOOSE(CONTROL!$C$9, $C$13, 100%, $E$13) + CHOOSE(CONTROL!$C$28, 0, 0)</f>
        <v>110.76853075817399</v>
      </c>
    </row>
    <row r="179" spans="1:5" ht="15">
      <c r="A179" s="13">
        <v>47300</v>
      </c>
      <c r="B179" s="4">
        <f>19.0758 * CHOOSE(CONTROL!$C$9, $C$13, 100%, $E$13) + CHOOSE(CONTROL!$C$28, 0.0276, 0)</f>
        <v>19.103400000000001</v>
      </c>
      <c r="C179" s="4">
        <f>18.7633 * CHOOSE(CONTROL!$C$9, $C$13, 100%, $E$13) + CHOOSE(CONTROL!$C$28, 0.0276, 0)</f>
        <v>18.790900000000001</v>
      </c>
      <c r="D179" s="4">
        <f>25.7477 * CHOOSE(CONTROL!$C$9, $C$13, 100%, $E$13) + CHOOSE(CONTROL!$C$28, 0, 0)</f>
        <v>25.747699999999998</v>
      </c>
      <c r="E179" s="4">
        <f>110.733299037195 * CHOOSE(CONTROL!$C$9, $C$13, 100%, $E$13) + CHOOSE(CONTROL!$C$28, 0, 0)</f>
        <v>110.733299037195</v>
      </c>
    </row>
    <row r="180" spans="1:5" ht="15">
      <c r="A180" s="13">
        <v>47331</v>
      </c>
      <c r="B180" s="4">
        <f>19.4876 * CHOOSE(CONTROL!$C$9, $C$13, 100%, $E$13) + CHOOSE(CONTROL!$C$28, 0.0276, 0)</f>
        <v>19.5152</v>
      </c>
      <c r="C180" s="4">
        <f>19.1751 * CHOOSE(CONTROL!$C$9, $C$13, 100%, $E$13) + CHOOSE(CONTROL!$C$28, 0.0276, 0)</f>
        <v>19.2027</v>
      </c>
      <c r="D180" s="4">
        <f>25.4871 * CHOOSE(CONTROL!$C$9, $C$13, 100%, $E$13) + CHOOSE(CONTROL!$C$28, 0, 0)</f>
        <v>25.487100000000002</v>
      </c>
      <c r="E180" s="4">
        <f>113.384486040869 * CHOOSE(CONTROL!$C$9, $C$13, 100%, $E$13) + CHOOSE(CONTROL!$C$28, 0, 0)</f>
        <v>113.38448604086901</v>
      </c>
    </row>
    <row r="181" spans="1:5" ht="15">
      <c r="A181" s="13">
        <v>47362</v>
      </c>
      <c r="B181" s="4">
        <f>18.7857 * CHOOSE(CONTROL!$C$9, $C$13, 100%, $E$13) + CHOOSE(CONTROL!$C$28, 0.0276, 0)</f>
        <v>18.813299999999998</v>
      </c>
      <c r="C181" s="4">
        <f>18.4732 * CHOOSE(CONTROL!$C$9, $C$13, 100%, $E$13) + CHOOSE(CONTROL!$C$28, 0.0276, 0)</f>
        <v>18.500799999999998</v>
      </c>
      <c r="D181" s="4">
        <f>25.364 * CHOOSE(CONTROL!$C$9, $C$13, 100%, $E$13) + CHOOSE(CONTROL!$C$28, 0, 0)</f>
        <v>25.364000000000001</v>
      </c>
      <c r="E181" s="4">
        <f>108.866017825304 * CHOOSE(CONTROL!$C$9, $C$13, 100%, $E$13) + CHOOSE(CONTROL!$C$28, 0, 0)</f>
        <v>108.866017825304</v>
      </c>
    </row>
    <row r="182" spans="1:5" ht="15">
      <c r="A182" s="13">
        <v>47392</v>
      </c>
      <c r="B182" s="4">
        <f>18.2239 * CHOOSE(CONTROL!$C$9, $C$13, 100%, $E$13) + CHOOSE(CONTROL!$C$28, 0.0003, 0)</f>
        <v>18.2242</v>
      </c>
      <c r="C182" s="4">
        <f>17.9114 * CHOOSE(CONTROL!$C$9, $C$13, 100%, $E$13) + CHOOSE(CONTROL!$C$28, 0.0003, 0)</f>
        <v>17.9117</v>
      </c>
      <c r="D182" s="4">
        <f>25.0343 * CHOOSE(CONTROL!$C$9, $C$13, 100%, $E$13) + CHOOSE(CONTROL!$C$28, 0, 0)</f>
        <v>25.034300000000002</v>
      </c>
      <c r="E182" s="4">
        <f>105.248894471454 * CHOOSE(CONTROL!$C$9, $C$13, 100%, $E$13) + CHOOSE(CONTROL!$C$28, 0, 0)</f>
        <v>105.24889447145399</v>
      </c>
    </row>
    <row r="183" spans="1:5" ht="15">
      <c r="A183" s="13">
        <v>47423</v>
      </c>
      <c r="B183" s="4">
        <f>17.862 * CHOOSE(CONTROL!$C$9, $C$13, 100%, $E$13) + CHOOSE(CONTROL!$C$28, 0.0003, 0)</f>
        <v>17.862299999999998</v>
      </c>
      <c r="C183" s="4">
        <f>17.5495 * CHOOSE(CONTROL!$C$9, $C$13, 100%, $E$13) + CHOOSE(CONTROL!$C$28, 0.0003, 0)</f>
        <v>17.549799999999998</v>
      </c>
      <c r="D183" s="4">
        <f>24.921 * CHOOSE(CONTROL!$C$9, $C$13, 100%, $E$13) + CHOOSE(CONTROL!$C$28, 0, 0)</f>
        <v>24.920999999999999</v>
      </c>
      <c r="E183" s="4">
        <f>102.919196921713 * CHOOSE(CONTROL!$C$9, $C$13, 100%, $E$13) + CHOOSE(CONTROL!$C$28, 0, 0)</f>
        <v>102.919196921713</v>
      </c>
    </row>
    <row r="184" spans="1:5" ht="15">
      <c r="A184" s="13">
        <v>47453</v>
      </c>
      <c r="B184" s="4">
        <f>17.6116 * CHOOSE(CONTROL!$C$9, $C$13, 100%, $E$13) + CHOOSE(CONTROL!$C$28, 0.0003, 0)</f>
        <v>17.611899999999999</v>
      </c>
      <c r="C184" s="4">
        <f>17.2991 * CHOOSE(CONTROL!$C$9, $C$13, 100%, $E$13) + CHOOSE(CONTROL!$C$28, 0.0003, 0)</f>
        <v>17.299399999999999</v>
      </c>
      <c r="D184" s="4">
        <f>24.0865 * CHOOSE(CONTROL!$C$9, $C$13, 100%, $E$13) + CHOOSE(CONTROL!$C$28, 0, 0)</f>
        <v>24.086500000000001</v>
      </c>
      <c r="E184" s="4">
        <f>101.307345686921 * CHOOSE(CONTROL!$C$9, $C$13, 100%, $E$13) + CHOOSE(CONTROL!$C$28, 0, 0)</f>
        <v>101.307345686921</v>
      </c>
    </row>
    <row r="185" spans="1:5" ht="15">
      <c r="A185" s="13">
        <v>47484</v>
      </c>
      <c r="B185" s="4">
        <f>17.0969 * CHOOSE(CONTROL!$C$9, $C$13, 100%, $E$13) + CHOOSE(CONTROL!$C$28, 0.0003, 0)</f>
        <v>17.097200000000001</v>
      </c>
      <c r="C185" s="4">
        <f>16.7844 * CHOOSE(CONTROL!$C$9, $C$13, 100%, $E$13) + CHOOSE(CONTROL!$C$28, 0.0003, 0)</f>
        <v>16.784700000000001</v>
      </c>
      <c r="D185" s="4">
        <f>23.2259 * CHOOSE(CONTROL!$C$9, $C$13, 100%, $E$13) + CHOOSE(CONTROL!$C$28, 0, 0)</f>
        <v>23.225899999999999</v>
      </c>
      <c r="E185" s="4">
        <f>98.0092110701324 * CHOOSE(CONTROL!$C$9, $C$13, 100%, $E$13) + CHOOSE(CONTROL!$C$28, 0, 0)</f>
        <v>98.009211070132395</v>
      </c>
    </row>
    <row r="186" spans="1:5" ht="15">
      <c r="A186" s="13">
        <v>47515</v>
      </c>
      <c r="B186" s="4">
        <f>17.4583 * CHOOSE(CONTROL!$C$9, $C$13, 100%, $E$13) + CHOOSE(CONTROL!$C$28, 0.0003, 0)</f>
        <v>17.458600000000001</v>
      </c>
      <c r="C186" s="4">
        <f>17.1458 * CHOOSE(CONTROL!$C$9, $C$13, 100%, $E$13) + CHOOSE(CONTROL!$C$28, 0.0003, 0)</f>
        <v>17.146100000000001</v>
      </c>
      <c r="D186" s="4">
        <f>23.9949 * CHOOSE(CONTROL!$C$9, $C$13, 100%, $E$13) + CHOOSE(CONTROL!$C$28, 0, 0)</f>
        <v>23.994900000000001</v>
      </c>
      <c r="E186" s="4">
        <f>100.336335986363 * CHOOSE(CONTROL!$C$9, $C$13, 100%, $E$13) + CHOOSE(CONTROL!$C$28, 0, 0)</f>
        <v>100.336335986363</v>
      </c>
    </row>
    <row r="187" spans="1:5" ht="15">
      <c r="A187" s="13">
        <v>47543</v>
      </c>
      <c r="B187" s="4">
        <f>18.4075 * CHOOSE(CONTROL!$C$9, $C$13, 100%, $E$13) + CHOOSE(CONTROL!$C$28, 0.0003, 0)</f>
        <v>18.407799999999998</v>
      </c>
      <c r="C187" s="4">
        <f>18.095 * CHOOSE(CONTROL!$C$9, $C$13, 100%, $E$13) + CHOOSE(CONTROL!$C$28, 0.0003, 0)</f>
        <v>18.095299999999998</v>
      </c>
      <c r="D187" s="4">
        <f>25.1987 * CHOOSE(CONTROL!$C$9, $C$13, 100%, $E$13) + CHOOSE(CONTROL!$C$28, 0, 0)</f>
        <v>25.198699999999999</v>
      </c>
      <c r="E187" s="4">
        <f>106.447489687312 * CHOOSE(CONTROL!$C$9, $C$13, 100%, $E$13) + CHOOSE(CONTROL!$C$28, 0, 0)</f>
        <v>106.447489687312</v>
      </c>
    </row>
    <row r="188" spans="1:5" ht="15">
      <c r="A188" s="13">
        <v>47574</v>
      </c>
      <c r="B188" s="4">
        <f>19.0818 * CHOOSE(CONTROL!$C$9, $C$13, 100%, $E$13) + CHOOSE(CONTROL!$C$28, 0.0003, 0)</f>
        <v>19.082100000000001</v>
      </c>
      <c r="C188" s="4">
        <f>18.7693 * CHOOSE(CONTROL!$C$9, $C$13, 100%, $E$13) + CHOOSE(CONTROL!$C$28, 0.0003, 0)</f>
        <v>18.769600000000001</v>
      </c>
      <c r="D188" s="4">
        <f>25.8921 * CHOOSE(CONTROL!$C$9, $C$13, 100%, $E$13) + CHOOSE(CONTROL!$C$28, 0, 0)</f>
        <v>25.892099999999999</v>
      </c>
      <c r="E188" s="4">
        <f>110.789545833667 * CHOOSE(CONTROL!$C$9, $C$13, 100%, $E$13) + CHOOSE(CONTROL!$C$28, 0, 0)</f>
        <v>110.78954583366701</v>
      </c>
    </row>
    <row r="189" spans="1:5" ht="15">
      <c r="A189" s="13">
        <v>47604</v>
      </c>
      <c r="B189" s="4">
        <f>19.4939 * CHOOSE(CONTROL!$C$9, $C$13, 100%, $E$13) + CHOOSE(CONTROL!$C$28, 0.0276, 0)</f>
        <v>19.5215</v>
      </c>
      <c r="C189" s="4">
        <f>19.1814 * CHOOSE(CONTROL!$C$9, $C$13, 100%, $E$13) + CHOOSE(CONTROL!$C$28, 0.0276, 0)</f>
        <v>19.209</v>
      </c>
      <c r="D189" s="4">
        <f>25.6181 * CHOOSE(CONTROL!$C$9, $C$13, 100%, $E$13) + CHOOSE(CONTROL!$C$28, 0, 0)</f>
        <v>25.618099999999998</v>
      </c>
      <c r="E189" s="4">
        <f>113.442438074528 * CHOOSE(CONTROL!$C$9, $C$13, 100%, $E$13) + CHOOSE(CONTROL!$C$28, 0, 0)</f>
        <v>113.442438074528</v>
      </c>
    </row>
    <row r="190" spans="1:5" ht="15">
      <c r="A190" s="13">
        <v>47635</v>
      </c>
      <c r="B190" s="4">
        <f>19.5496 * CHOOSE(CONTROL!$C$9, $C$13, 100%, $E$13) + CHOOSE(CONTROL!$C$28, 0.0276, 0)</f>
        <v>19.577200000000001</v>
      </c>
      <c r="C190" s="4">
        <f>19.2371 * CHOOSE(CONTROL!$C$9, $C$13, 100%, $E$13) + CHOOSE(CONTROL!$C$28, 0.0276, 0)</f>
        <v>19.264700000000001</v>
      </c>
      <c r="D190" s="4">
        <f>25.8413 * CHOOSE(CONTROL!$C$9, $C$13, 100%, $E$13) + CHOOSE(CONTROL!$C$28, 0, 0)</f>
        <v>25.8413</v>
      </c>
      <c r="E190" s="4">
        <f>113.801385404446 * CHOOSE(CONTROL!$C$9, $C$13, 100%, $E$13) + CHOOSE(CONTROL!$C$28, 0, 0)</f>
        <v>113.80138540444599</v>
      </c>
    </row>
    <row r="191" spans="1:5" ht="15">
      <c r="A191" s="13">
        <v>47665</v>
      </c>
      <c r="B191" s="4">
        <f>19.544 * CHOOSE(CONTROL!$C$9, $C$13, 100%, $E$13) + CHOOSE(CONTROL!$C$28, 0.0276, 0)</f>
        <v>19.5716</v>
      </c>
      <c r="C191" s="4">
        <f>19.2315 * CHOOSE(CONTROL!$C$9, $C$13, 100%, $E$13) + CHOOSE(CONTROL!$C$28, 0.0276, 0)</f>
        <v>19.2591</v>
      </c>
      <c r="D191" s="4">
        <f>26.2439 * CHOOSE(CONTROL!$C$9, $C$13, 100%, $E$13) + CHOOSE(CONTROL!$C$28, 0, 0)</f>
        <v>26.2439</v>
      </c>
      <c r="E191" s="4">
        <f>113.765189035042 * CHOOSE(CONTROL!$C$9, $C$13, 100%, $E$13) + CHOOSE(CONTROL!$C$28, 0, 0)</f>
        <v>113.765189035042</v>
      </c>
    </row>
    <row r="192" spans="1:5" ht="15">
      <c r="A192" s="13">
        <v>47696</v>
      </c>
      <c r="B192" s="4">
        <f>19.967 * CHOOSE(CONTROL!$C$9, $C$13, 100%, $E$13) + CHOOSE(CONTROL!$C$28, 0.0276, 0)</f>
        <v>19.994599999999998</v>
      </c>
      <c r="C192" s="4">
        <f>19.6545 * CHOOSE(CONTROL!$C$9, $C$13, 100%, $E$13) + CHOOSE(CONTROL!$C$28, 0.0276, 0)</f>
        <v>19.682099999999998</v>
      </c>
      <c r="D192" s="4">
        <f>25.978 * CHOOSE(CONTROL!$C$9, $C$13, 100%, $E$13) + CHOOSE(CONTROL!$C$28, 0, 0)</f>
        <v>25.978000000000002</v>
      </c>
      <c r="E192" s="4">
        <f>116.488965832652 * CHOOSE(CONTROL!$C$9, $C$13, 100%, $E$13) + CHOOSE(CONTROL!$C$28, 0, 0)</f>
        <v>116.488965832652</v>
      </c>
    </row>
    <row r="193" spans="1:5" ht="15">
      <c r="A193" s="13">
        <v>47727</v>
      </c>
      <c r="B193" s="4">
        <f>19.246 * CHOOSE(CONTROL!$C$9, $C$13, 100%, $E$13) + CHOOSE(CONTROL!$C$28, 0.0276, 0)</f>
        <v>19.273599999999998</v>
      </c>
      <c r="C193" s="4">
        <f>18.9335 * CHOOSE(CONTROL!$C$9, $C$13, 100%, $E$13) + CHOOSE(CONTROL!$C$28, 0.0276, 0)</f>
        <v>18.961099999999998</v>
      </c>
      <c r="D193" s="4">
        <f>25.8524 * CHOOSE(CONTROL!$C$9, $C$13, 100%, $E$13) + CHOOSE(CONTROL!$C$28, 0, 0)</f>
        <v>25.852399999999999</v>
      </c>
      <c r="E193" s="4">
        <f>111.84678145666 * CHOOSE(CONTROL!$C$9, $C$13, 100%, $E$13) + CHOOSE(CONTROL!$C$28, 0, 0)</f>
        <v>111.84678145666</v>
      </c>
    </row>
    <row r="194" spans="1:5" ht="15">
      <c r="A194" s="13">
        <v>47757</v>
      </c>
      <c r="B194" s="4">
        <f>18.6689 * CHOOSE(CONTROL!$C$9, $C$13, 100%, $E$13) + CHOOSE(CONTROL!$C$28, 0.0003, 0)</f>
        <v>18.6692</v>
      </c>
      <c r="C194" s="4">
        <f>18.3564 * CHOOSE(CONTROL!$C$9, $C$13, 100%, $E$13) + CHOOSE(CONTROL!$C$28, 0.0003, 0)</f>
        <v>18.3567</v>
      </c>
      <c r="D194" s="4">
        <f>25.516 * CHOOSE(CONTROL!$C$9, $C$13, 100%, $E$13) + CHOOSE(CONTROL!$C$28, 0, 0)</f>
        <v>25.515999999999998</v>
      </c>
      <c r="E194" s="4">
        <f>108.130620864572 * CHOOSE(CONTROL!$C$9, $C$13, 100%, $E$13) + CHOOSE(CONTROL!$C$28, 0, 0)</f>
        <v>108.13062086457199</v>
      </c>
    </row>
    <row r="195" spans="1:5" ht="15">
      <c r="A195" s="13">
        <v>47788</v>
      </c>
      <c r="B195" s="4">
        <f>18.2971 * CHOOSE(CONTROL!$C$9, $C$13, 100%, $E$13) + CHOOSE(CONTROL!$C$28, 0.0003, 0)</f>
        <v>18.2974</v>
      </c>
      <c r="C195" s="4">
        <f>17.9846 * CHOOSE(CONTROL!$C$9, $C$13, 100%, $E$13) + CHOOSE(CONTROL!$C$28, 0.0003, 0)</f>
        <v>17.9849</v>
      </c>
      <c r="D195" s="4">
        <f>25.4003 * CHOOSE(CONTROL!$C$9, $C$13, 100%, $E$13) + CHOOSE(CONTROL!$C$28, 0, 0)</f>
        <v>25.400300000000001</v>
      </c>
      <c r="E195" s="4">
        <f>105.737135937769 * CHOOSE(CONTROL!$C$9, $C$13, 100%, $E$13) + CHOOSE(CONTROL!$C$28, 0, 0)</f>
        <v>105.737135937769</v>
      </c>
    </row>
    <row r="196" spans="1:5" ht="15">
      <c r="A196" s="13">
        <v>47818</v>
      </c>
      <c r="B196" s="4">
        <f>18.04 * CHOOSE(CONTROL!$C$9, $C$13, 100%, $E$13) + CHOOSE(CONTROL!$C$28, 0.0003, 0)</f>
        <v>18.040299999999998</v>
      </c>
      <c r="C196" s="4">
        <f>17.7275 * CHOOSE(CONTROL!$C$9, $C$13, 100%, $E$13) + CHOOSE(CONTROL!$C$28, 0.0003, 0)</f>
        <v>17.727799999999998</v>
      </c>
      <c r="D196" s="4">
        <f>24.5488 * CHOOSE(CONTROL!$C$9, $C$13, 100%, $E$13) + CHOOSE(CONTROL!$C$28, 0, 0)</f>
        <v>24.5488</v>
      </c>
      <c r="E196" s="4">
        <f>104.081152037561 * CHOOSE(CONTROL!$C$9, $C$13, 100%, $E$13) + CHOOSE(CONTROL!$C$28, 0, 0)</f>
        <v>104.081152037561</v>
      </c>
    </row>
    <row r="197" spans="1:5" ht="15">
      <c r="A197" s="13">
        <v>47849</v>
      </c>
      <c r="B197" s="4">
        <f>17.3992 * CHOOSE(CONTROL!$C$9, $C$13, 100%, $E$13) + CHOOSE(CONTROL!$C$28, 0.0003, 0)</f>
        <v>17.3995</v>
      </c>
      <c r="C197" s="4">
        <f>17.0867 * CHOOSE(CONTROL!$C$9, $C$13, 100%, $E$13) + CHOOSE(CONTROL!$C$28, 0.0003, 0)</f>
        <v>17.087</v>
      </c>
      <c r="D197" s="4">
        <f>23.5614 * CHOOSE(CONTROL!$C$9, $C$13, 100%, $E$13) + CHOOSE(CONTROL!$C$28, 0, 0)</f>
        <v>23.561399999999999</v>
      </c>
      <c r="E197" s="4">
        <f>100.014666401381 * CHOOSE(CONTROL!$C$9, $C$13, 100%, $E$13) + CHOOSE(CONTROL!$C$28, 0, 0)</f>
        <v>100.01466640138101</v>
      </c>
    </row>
    <row r="198" spans="1:5" ht="15">
      <c r="A198" s="13">
        <v>47880</v>
      </c>
      <c r="B198" s="4">
        <f>17.7678 * CHOOSE(CONTROL!$C$9, $C$13, 100%, $E$13) + CHOOSE(CONTROL!$C$28, 0.0003, 0)</f>
        <v>17.7681</v>
      </c>
      <c r="C198" s="4">
        <f>17.4553 * CHOOSE(CONTROL!$C$9, $C$13, 100%, $E$13) + CHOOSE(CONTROL!$C$28, 0.0003, 0)</f>
        <v>17.4556</v>
      </c>
      <c r="D198" s="4">
        <f>24.3422 * CHOOSE(CONTROL!$C$9, $C$13, 100%, $E$13) + CHOOSE(CONTROL!$C$28, 0, 0)</f>
        <v>24.342199999999998</v>
      </c>
      <c r="E198" s="4">
        <f>102.389408730493 * CHOOSE(CONTROL!$C$9, $C$13, 100%, $E$13) + CHOOSE(CONTROL!$C$28, 0, 0)</f>
        <v>102.389408730493</v>
      </c>
    </row>
    <row r="199" spans="1:5" ht="15">
      <c r="A199" s="13">
        <v>47908</v>
      </c>
      <c r="B199" s="4">
        <f>18.7358 * CHOOSE(CONTROL!$C$9, $C$13, 100%, $E$13) + CHOOSE(CONTROL!$C$28, 0.0003, 0)</f>
        <v>18.7361</v>
      </c>
      <c r="C199" s="4">
        <f>18.4233 * CHOOSE(CONTROL!$C$9, $C$13, 100%, $E$13) + CHOOSE(CONTROL!$C$28, 0.0003, 0)</f>
        <v>18.4236</v>
      </c>
      <c r="D199" s="4">
        <f>25.5645 * CHOOSE(CONTROL!$C$9, $C$13, 100%, $E$13) + CHOOSE(CONTROL!$C$28, 0, 0)</f>
        <v>25.564499999999999</v>
      </c>
      <c r="E199" s="4">
        <f>108.625608288212 * CHOOSE(CONTROL!$C$9, $C$13, 100%, $E$13) + CHOOSE(CONTROL!$C$28, 0, 0)</f>
        <v>108.62560828821201</v>
      </c>
    </row>
    <row r="200" spans="1:5" ht="15">
      <c r="A200" s="13">
        <v>47939</v>
      </c>
      <c r="B200" s="4">
        <f>19.4235 * CHOOSE(CONTROL!$C$9, $C$13, 100%, $E$13) + CHOOSE(CONTROL!$C$28, 0.0003, 0)</f>
        <v>19.4238</v>
      </c>
      <c r="C200" s="4">
        <f>19.111 * CHOOSE(CONTROL!$C$9, $C$13, 100%, $E$13) + CHOOSE(CONTROL!$C$28, 0.0003, 0)</f>
        <v>19.1113</v>
      </c>
      <c r="D200" s="4">
        <f>26.2686 * CHOOSE(CONTROL!$C$9, $C$13, 100%, $E$13) + CHOOSE(CONTROL!$C$28, 0, 0)</f>
        <v>26.268599999999999</v>
      </c>
      <c r="E200" s="4">
        <f>113.056511182258 * CHOOSE(CONTROL!$C$9, $C$13, 100%, $E$13) + CHOOSE(CONTROL!$C$28, 0, 0)</f>
        <v>113.05651118225801</v>
      </c>
    </row>
    <row r="201" spans="1:5" ht="15">
      <c r="A201" s="13">
        <v>47969</v>
      </c>
      <c r="B201" s="4">
        <f>19.8437 * CHOOSE(CONTROL!$C$9, $C$13, 100%, $E$13) + CHOOSE(CONTROL!$C$28, 0.0276, 0)</f>
        <v>19.871299999999998</v>
      </c>
      <c r="C201" s="4">
        <f>19.5312 * CHOOSE(CONTROL!$C$9, $C$13, 100%, $E$13) + CHOOSE(CONTROL!$C$28, 0.0276, 0)</f>
        <v>19.558799999999998</v>
      </c>
      <c r="D201" s="4">
        <f>25.9904 * CHOOSE(CONTROL!$C$9, $C$13, 100%, $E$13) + CHOOSE(CONTROL!$C$28, 0, 0)</f>
        <v>25.990400000000001</v>
      </c>
      <c r="E201" s="4">
        <f>115.763686656599 * CHOOSE(CONTROL!$C$9, $C$13, 100%, $E$13) + CHOOSE(CONTROL!$C$28, 0, 0)</f>
        <v>115.76368665659901</v>
      </c>
    </row>
    <row r="202" spans="1:5" ht="15">
      <c r="A202" s="13">
        <v>48000</v>
      </c>
      <c r="B202" s="4">
        <f>19.9006 * CHOOSE(CONTROL!$C$9, $C$13, 100%, $E$13) + CHOOSE(CONTROL!$C$28, 0.0276, 0)</f>
        <v>19.9282</v>
      </c>
      <c r="C202" s="4">
        <f>19.5881 * CHOOSE(CONTROL!$C$9, $C$13, 100%, $E$13) + CHOOSE(CONTROL!$C$28, 0.0276, 0)</f>
        <v>19.6157</v>
      </c>
      <c r="D202" s="4">
        <f>26.217 * CHOOSE(CONTROL!$C$9, $C$13, 100%, $E$13) + CHOOSE(CONTROL!$C$28, 0, 0)</f>
        <v>26.216999999999999</v>
      </c>
      <c r="E202" s="4">
        <f>116.129978733286 * CHOOSE(CONTROL!$C$9, $C$13, 100%, $E$13) + CHOOSE(CONTROL!$C$28, 0, 0)</f>
        <v>116.12997873328599</v>
      </c>
    </row>
    <row r="203" spans="1:5" ht="15">
      <c r="A203" s="13">
        <v>48030</v>
      </c>
      <c r="B203" s="4">
        <f>19.8949 * CHOOSE(CONTROL!$C$9, $C$13, 100%, $E$13) + CHOOSE(CONTROL!$C$28, 0.0276, 0)</f>
        <v>19.922499999999999</v>
      </c>
      <c r="C203" s="4">
        <f>19.5824 * CHOOSE(CONTROL!$C$9, $C$13, 100%, $E$13) + CHOOSE(CONTROL!$C$28, 0.0276, 0)</f>
        <v>19.61</v>
      </c>
      <c r="D203" s="4">
        <f>26.6258 * CHOOSE(CONTROL!$C$9, $C$13, 100%, $E$13) + CHOOSE(CONTROL!$C$28, 0, 0)</f>
        <v>26.625800000000002</v>
      </c>
      <c r="E203" s="4">
        <f>116.093041717149 * CHOOSE(CONTROL!$C$9, $C$13, 100%, $E$13) + CHOOSE(CONTROL!$C$28, 0, 0)</f>
        <v>116.09304171714901</v>
      </c>
    </row>
    <row r="204" spans="1:5" ht="15">
      <c r="A204" s="13">
        <v>48061</v>
      </c>
      <c r="B204" s="4">
        <f>20.3263 * CHOOSE(CONTROL!$C$9, $C$13, 100%, $E$13) + CHOOSE(CONTROL!$C$28, 0.0276, 0)</f>
        <v>20.353899999999999</v>
      </c>
      <c r="C204" s="4">
        <f>20.0138 * CHOOSE(CONTROL!$C$9, $C$13, 100%, $E$13) + CHOOSE(CONTROL!$C$28, 0.0276, 0)</f>
        <v>20.041399999999999</v>
      </c>
      <c r="D204" s="4">
        <f>26.3558 * CHOOSE(CONTROL!$C$9, $C$13, 100%, $E$13) + CHOOSE(CONTROL!$C$28, 0, 0)</f>
        <v>26.355799999999999</v>
      </c>
      <c r="E204" s="4">
        <f>118.872552181424 * CHOOSE(CONTROL!$C$9, $C$13, 100%, $E$13) + CHOOSE(CONTROL!$C$28, 0, 0)</f>
        <v>118.872552181424</v>
      </c>
    </row>
    <row r="205" spans="1:5" ht="15">
      <c r="A205" s="13">
        <v>48092</v>
      </c>
      <c r="B205" s="4">
        <f>19.591 * CHOOSE(CONTROL!$C$9, $C$13, 100%, $E$13) + CHOOSE(CONTROL!$C$28, 0.0276, 0)</f>
        <v>19.618600000000001</v>
      </c>
      <c r="C205" s="4">
        <f>19.2785 * CHOOSE(CONTROL!$C$9, $C$13, 100%, $E$13) + CHOOSE(CONTROL!$C$28, 0.0276, 0)</f>
        <v>19.306100000000001</v>
      </c>
      <c r="D205" s="4">
        <f>26.2283 * CHOOSE(CONTROL!$C$9, $C$13, 100%, $E$13) + CHOOSE(CONTROL!$C$28, 0, 0)</f>
        <v>26.228300000000001</v>
      </c>
      <c r="E205" s="4">
        <f>114.135379861913 * CHOOSE(CONTROL!$C$9, $C$13, 100%, $E$13) + CHOOSE(CONTROL!$C$28, 0, 0)</f>
        <v>114.13537986191299</v>
      </c>
    </row>
    <row r="206" spans="1:5" ht="15">
      <c r="A206" s="13">
        <v>48122</v>
      </c>
      <c r="B206" s="4">
        <f>19.0024 * CHOOSE(CONTROL!$C$9, $C$13, 100%, $E$13) + CHOOSE(CONTROL!$C$28, 0.0003, 0)</f>
        <v>19.002700000000001</v>
      </c>
      <c r="C206" s="4">
        <f>18.6899 * CHOOSE(CONTROL!$C$9, $C$13, 100%, $E$13) + CHOOSE(CONTROL!$C$28, 0.0003, 0)</f>
        <v>18.690200000000001</v>
      </c>
      <c r="D206" s="4">
        <f>25.8867 * CHOOSE(CONTROL!$C$9, $C$13, 100%, $E$13) + CHOOSE(CONTROL!$C$28, 0, 0)</f>
        <v>25.886700000000001</v>
      </c>
      <c r="E206" s="4">
        <f>110.343179538561 * CHOOSE(CONTROL!$C$9, $C$13, 100%, $E$13) + CHOOSE(CONTROL!$C$28, 0, 0)</f>
        <v>110.343179538561</v>
      </c>
    </row>
    <row r="207" spans="1:5" ht="15">
      <c r="A207" s="13">
        <v>48153</v>
      </c>
      <c r="B207" s="4">
        <f>18.6233 * CHOOSE(CONTROL!$C$9, $C$13, 100%, $E$13) + CHOOSE(CONTROL!$C$28, 0.0003, 0)</f>
        <v>18.6236</v>
      </c>
      <c r="C207" s="4">
        <f>18.3108 * CHOOSE(CONTROL!$C$9, $C$13, 100%, $E$13) + CHOOSE(CONTROL!$C$28, 0.0003, 0)</f>
        <v>18.3111</v>
      </c>
      <c r="D207" s="4">
        <f>25.7692 * CHOOSE(CONTROL!$C$9, $C$13, 100%, $E$13) + CHOOSE(CONTROL!$C$28, 0, 0)</f>
        <v>25.769200000000001</v>
      </c>
      <c r="E207" s="4">
        <f>107.900719346532 * CHOOSE(CONTROL!$C$9, $C$13, 100%, $E$13) + CHOOSE(CONTROL!$C$28, 0, 0)</f>
        <v>107.900719346532</v>
      </c>
    </row>
    <row r="208" spans="1:5" ht="15">
      <c r="A208" s="13">
        <v>48183</v>
      </c>
      <c r="B208" s="4">
        <f>18.361 * CHOOSE(CONTROL!$C$9, $C$13, 100%, $E$13) + CHOOSE(CONTROL!$C$28, 0.0003, 0)</f>
        <v>18.3613</v>
      </c>
      <c r="C208" s="4">
        <f>18.0485 * CHOOSE(CONTROL!$C$9, $C$13, 100%, $E$13) + CHOOSE(CONTROL!$C$28, 0.0003, 0)</f>
        <v>18.0488</v>
      </c>
      <c r="D208" s="4">
        <f>24.9047 * CHOOSE(CONTROL!$C$9, $C$13, 100%, $E$13) + CHOOSE(CONTROL!$C$28, 0, 0)</f>
        <v>24.904699999999998</v>
      </c>
      <c r="E208" s="4">
        <f>106.210850858286 * CHOOSE(CONTROL!$C$9, $C$13, 100%, $E$13) + CHOOSE(CONTROL!$C$28, 0, 0)</f>
        <v>106.21085085828599</v>
      </c>
    </row>
    <row r="209" spans="1:5" ht="15">
      <c r="A209" s="13">
        <v>48214</v>
      </c>
      <c r="B209" s="4">
        <f>17.7188 * CHOOSE(CONTROL!$C$9, $C$13, 100%, $E$13) + CHOOSE(CONTROL!$C$28, 0.0003, 0)</f>
        <v>17.719100000000001</v>
      </c>
      <c r="C209" s="4">
        <f>17.4063 * CHOOSE(CONTROL!$C$9, $C$13, 100%, $E$13) + CHOOSE(CONTROL!$C$28, 0.0003, 0)</f>
        <v>17.406600000000001</v>
      </c>
      <c r="D209" s="4">
        <f>23.9004 * CHOOSE(CONTROL!$C$9, $C$13, 100%, $E$13) + CHOOSE(CONTROL!$C$28, 0, 0)</f>
        <v>23.900400000000001</v>
      </c>
      <c r="E209" s="4">
        <f>102.029350418076 * CHOOSE(CONTROL!$C$9, $C$13, 100%, $E$13) + CHOOSE(CONTROL!$C$28, 0, 0)</f>
        <v>102.02935041807601</v>
      </c>
    </row>
    <row r="210" spans="1:5" ht="15">
      <c r="A210" s="13">
        <v>48245</v>
      </c>
      <c r="B210" s="4">
        <f>18.095 * CHOOSE(CONTROL!$C$9, $C$13, 100%, $E$13) + CHOOSE(CONTROL!$C$28, 0.0003, 0)</f>
        <v>18.095299999999998</v>
      </c>
      <c r="C210" s="4">
        <f>17.7825 * CHOOSE(CONTROL!$C$9, $C$13, 100%, $E$13) + CHOOSE(CONTROL!$C$28, 0.0003, 0)</f>
        <v>17.782799999999998</v>
      </c>
      <c r="D210" s="4">
        <f>24.6932 * CHOOSE(CONTROL!$C$9, $C$13, 100%, $E$13) + CHOOSE(CONTROL!$C$28, 0, 0)</f>
        <v>24.693200000000001</v>
      </c>
      <c r="E210" s="4">
        <f>104.451929285431 * CHOOSE(CONTROL!$C$9, $C$13, 100%, $E$13) + CHOOSE(CONTROL!$C$28, 0, 0)</f>
        <v>104.45192928543101</v>
      </c>
    </row>
    <row r="211" spans="1:5" ht="15">
      <c r="A211" s="13">
        <v>48274</v>
      </c>
      <c r="B211" s="4">
        <f>19.0829 * CHOOSE(CONTROL!$C$9, $C$13, 100%, $E$13) + CHOOSE(CONTROL!$C$28, 0.0003, 0)</f>
        <v>19.083199999999998</v>
      </c>
      <c r="C211" s="4">
        <f>18.7704 * CHOOSE(CONTROL!$C$9, $C$13, 100%, $E$13) + CHOOSE(CONTROL!$C$28, 0.0003, 0)</f>
        <v>18.770699999999998</v>
      </c>
      <c r="D211" s="4">
        <f>25.9343 * CHOOSE(CONTROL!$C$9, $C$13, 100%, $E$13) + CHOOSE(CONTROL!$C$28, 0, 0)</f>
        <v>25.9343</v>
      </c>
      <c r="E211" s="4">
        <f>110.813750134766 * CHOOSE(CONTROL!$C$9, $C$13, 100%, $E$13) + CHOOSE(CONTROL!$C$28, 0, 0)</f>
        <v>110.813750134766</v>
      </c>
    </row>
    <row r="212" spans="1:5" ht="15">
      <c r="A212" s="13">
        <v>48305</v>
      </c>
      <c r="B212" s="4">
        <f>19.7848 * CHOOSE(CONTROL!$C$9, $C$13, 100%, $E$13) + CHOOSE(CONTROL!$C$28, 0.0003, 0)</f>
        <v>19.7851</v>
      </c>
      <c r="C212" s="4">
        <f>19.4723 * CHOOSE(CONTROL!$C$9, $C$13, 100%, $E$13) + CHOOSE(CONTROL!$C$28, 0.0003, 0)</f>
        <v>19.4726</v>
      </c>
      <c r="D212" s="4">
        <f>26.6492 * CHOOSE(CONTROL!$C$9, $C$13, 100%, $E$13) + CHOOSE(CONTROL!$C$28, 0, 0)</f>
        <v>26.6492</v>
      </c>
      <c r="E212" s="4">
        <f>115.333908630629 * CHOOSE(CONTROL!$C$9, $C$13, 100%, $E$13) + CHOOSE(CONTROL!$C$28, 0, 0)</f>
        <v>115.333908630629</v>
      </c>
    </row>
    <row r="213" spans="1:5" ht="15">
      <c r="A213" s="13">
        <v>48335</v>
      </c>
      <c r="B213" s="4">
        <f>20.2137 * CHOOSE(CONTROL!$C$9, $C$13, 100%, $E$13) + CHOOSE(CONTROL!$C$28, 0.0276, 0)</f>
        <v>20.241299999999999</v>
      </c>
      <c r="C213" s="4">
        <f>19.9012 * CHOOSE(CONTROL!$C$9, $C$13, 100%, $E$13) + CHOOSE(CONTROL!$C$28, 0.0276, 0)</f>
        <v>19.928799999999999</v>
      </c>
      <c r="D213" s="4">
        <f>26.3667 * CHOOSE(CONTROL!$C$9, $C$13, 100%, $E$13) + CHOOSE(CONTROL!$C$28, 0, 0)</f>
        <v>26.366700000000002</v>
      </c>
      <c r="E213" s="4">
        <f>118.095617138522 * CHOOSE(CONTROL!$C$9, $C$13, 100%, $E$13) + CHOOSE(CONTROL!$C$28, 0, 0)</f>
        <v>118.095617138522</v>
      </c>
    </row>
    <row r="214" spans="1:5" ht="15">
      <c r="A214" s="13">
        <v>48366</v>
      </c>
      <c r="B214" s="4">
        <f>20.2717 * CHOOSE(CONTROL!$C$9, $C$13, 100%, $E$13) + CHOOSE(CONTROL!$C$28, 0.0276, 0)</f>
        <v>20.299299999999999</v>
      </c>
      <c r="C214" s="4">
        <f>19.9592 * CHOOSE(CONTROL!$C$9, $C$13, 100%, $E$13) + CHOOSE(CONTROL!$C$28, 0.0276, 0)</f>
        <v>19.986799999999999</v>
      </c>
      <c r="D214" s="4">
        <f>26.5967 * CHOOSE(CONTROL!$C$9, $C$13, 100%, $E$13) + CHOOSE(CONTROL!$C$28, 0, 0)</f>
        <v>26.596699999999998</v>
      </c>
      <c r="E214" s="4">
        <f>118.469287760965 * CHOOSE(CONTROL!$C$9, $C$13, 100%, $E$13) + CHOOSE(CONTROL!$C$28, 0, 0)</f>
        <v>118.469287760965</v>
      </c>
    </row>
    <row r="215" spans="1:5" ht="15">
      <c r="A215" s="13">
        <v>48396</v>
      </c>
      <c r="B215" s="4">
        <f>20.2659 * CHOOSE(CONTROL!$C$9, $C$13, 100%, $E$13) + CHOOSE(CONTROL!$C$28, 0.0276, 0)</f>
        <v>20.293499999999998</v>
      </c>
      <c r="C215" s="4">
        <f>19.9534 * CHOOSE(CONTROL!$C$9, $C$13, 100%, $E$13) + CHOOSE(CONTROL!$C$28, 0.0276, 0)</f>
        <v>19.980999999999998</v>
      </c>
      <c r="D215" s="4">
        <f>27.0119 * CHOOSE(CONTROL!$C$9, $C$13, 100%, $E$13) + CHOOSE(CONTROL!$C$28, 0, 0)</f>
        <v>27.011900000000001</v>
      </c>
      <c r="E215" s="4">
        <f>118.431606689795 * CHOOSE(CONTROL!$C$9, $C$13, 100%, $E$13) + CHOOSE(CONTROL!$C$28, 0, 0)</f>
        <v>118.431606689795</v>
      </c>
    </row>
    <row r="216" spans="1:5" ht="15">
      <c r="A216" s="13">
        <v>48427</v>
      </c>
      <c r="B216" s="4">
        <f>20.7062 * CHOOSE(CONTROL!$C$9, $C$13, 100%, $E$13) + CHOOSE(CONTROL!$C$28, 0.0276, 0)</f>
        <v>20.733799999999999</v>
      </c>
      <c r="C216" s="4">
        <f>20.3937 * CHOOSE(CONTROL!$C$9, $C$13, 100%, $E$13) + CHOOSE(CONTROL!$C$28, 0.0276, 0)</f>
        <v>20.421299999999999</v>
      </c>
      <c r="D216" s="4">
        <f>26.7377 * CHOOSE(CONTROL!$C$9, $C$13, 100%, $E$13) + CHOOSE(CONTROL!$C$28, 0, 0)</f>
        <v>26.7377</v>
      </c>
      <c r="E216" s="4">
        <f>121.267107295396 * CHOOSE(CONTROL!$C$9, $C$13, 100%, $E$13) + CHOOSE(CONTROL!$C$28, 0, 0)</f>
        <v>121.267107295396</v>
      </c>
    </row>
    <row r="217" spans="1:5" ht="15">
      <c r="A217" s="13">
        <v>48458</v>
      </c>
      <c r="B217" s="4">
        <f>19.9557 * CHOOSE(CONTROL!$C$9, $C$13, 100%, $E$13) + CHOOSE(CONTROL!$C$28, 0.0276, 0)</f>
        <v>19.9833</v>
      </c>
      <c r="C217" s="4">
        <f>19.6432 * CHOOSE(CONTROL!$C$9, $C$13, 100%, $E$13) + CHOOSE(CONTROL!$C$28, 0.0276, 0)</f>
        <v>19.6708</v>
      </c>
      <c r="D217" s="4">
        <f>26.6082 * CHOOSE(CONTROL!$C$9, $C$13, 100%, $E$13) + CHOOSE(CONTROL!$C$28, 0, 0)</f>
        <v>26.6082</v>
      </c>
      <c r="E217" s="4">
        <f>116.434509917743 * CHOOSE(CONTROL!$C$9, $C$13, 100%, $E$13) + CHOOSE(CONTROL!$C$28, 0, 0)</f>
        <v>116.434509917743</v>
      </c>
    </row>
    <row r="218" spans="1:5" ht="15">
      <c r="A218" s="13">
        <v>48488</v>
      </c>
      <c r="B218" s="4">
        <f>19.355 * CHOOSE(CONTROL!$C$9, $C$13, 100%, $E$13) + CHOOSE(CONTROL!$C$28, 0.0003, 0)</f>
        <v>19.3553</v>
      </c>
      <c r="C218" s="4">
        <f>19.0425 * CHOOSE(CONTROL!$C$9, $C$13, 100%, $E$13) + CHOOSE(CONTROL!$C$28, 0.0003, 0)</f>
        <v>19.0428</v>
      </c>
      <c r="D218" s="4">
        <f>26.2614 * CHOOSE(CONTROL!$C$9, $C$13, 100%, $E$13) + CHOOSE(CONTROL!$C$28, 0, 0)</f>
        <v>26.261399999999998</v>
      </c>
      <c r="E218" s="4">
        <f>112.565919944208 * CHOOSE(CONTROL!$C$9, $C$13, 100%, $E$13) + CHOOSE(CONTROL!$C$28, 0, 0)</f>
        <v>112.56591994420801</v>
      </c>
    </row>
    <row r="219" spans="1:5" ht="15">
      <c r="A219" s="13">
        <v>48519</v>
      </c>
      <c r="B219" s="4">
        <f>18.9681 * CHOOSE(CONTROL!$C$9, $C$13, 100%, $E$13) + CHOOSE(CONTROL!$C$28, 0.0003, 0)</f>
        <v>18.968399999999999</v>
      </c>
      <c r="C219" s="4">
        <f>18.6556 * CHOOSE(CONTROL!$C$9, $C$13, 100%, $E$13) + CHOOSE(CONTROL!$C$28, 0.0003, 0)</f>
        <v>18.655899999999999</v>
      </c>
      <c r="D219" s="4">
        <f>26.1421 * CHOOSE(CONTROL!$C$9, $C$13, 100%, $E$13) + CHOOSE(CONTROL!$C$28, 0, 0)</f>
        <v>26.142099999999999</v>
      </c>
      <c r="E219" s="4">
        <f>110.07425911304 * CHOOSE(CONTROL!$C$9, $C$13, 100%, $E$13) + CHOOSE(CONTROL!$C$28, 0, 0)</f>
        <v>110.07425911304</v>
      </c>
    </row>
    <row r="220" spans="1:5" ht="15">
      <c r="A220" s="13">
        <v>48549</v>
      </c>
      <c r="B220" s="4">
        <f>18.7004 * CHOOSE(CONTROL!$C$9, $C$13, 100%, $E$13) + CHOOSE(CONTROL!$C$28, 0.0003, 0)</f>
        <v>18.700699999999998</v>
      </c>
      <c r="C220" s="4">
        <f>18.3879 * CHOOSE(CONTROL!$C$9, $C$13, 100%, $E$13) + CHOOSE(CONTROL!$C$28, 0.0003, 0)</f>
        <v>18.388199999999998</v>
      </c>
      <c r="D220" s="4">
        <f>25.2643 * CHOOSE(CONTROL!$C$9, $C$13, 100%, $E$13) + CHOOSE(CONTROL!$C$28, 0, 0)</f>
        <v>25.264299999999999</v>
      </c>
      <c r="E220" s="4">
        <f>108.350350106976 * CHOOSE(CONTROL!$C$9, $C$13, 100%, $E$13) + CHOOSE(CONTROL!$C$28, 0, 0)</f>
        <v>108.35035010697599</v>
      </c>
    </row>
    <row r="221" spans="1:5" ht="15">
      <c r="A221" s="13">
        <v>48580</v>
      </c>
      <c r="B221" s="4">
        <f>18.0346 * CHOOSE(CONTROL!$C$9, $C$13, 100%, $E$13) + CHOOSE(CONTROL!$C$28, 0.0003, 0)</f>
        <v>18.0349</v>
      </c>
      <c r="C221" s="4">
        <f>17.7221 * CHOOSE(CONTROL!$C$9, $C$13, 100%, $E$13) + CHOOSE(CONTROL!$C$28, 0.0003, 0)</f>
        <v>17.7224</v>
      </c>
      <c r="D221" s="4">
        <f>24.2353 * CHOOSE(CONTROL!$C$9, $C$13, 100%, $E$13) + CHOOSE(CONTROL!$C$28, 0, 0)</f>
        <v>24.235299999999999</v>
      </c>
      <c r="E221" s="4">
        <f>104.029991681319 * CHOOSE(CONTROL!$C$9, $C$13, 100%, $E$13) + CHOOSE(CONTROL!$C$28, 0, 0)</f>
        <v>104.029991681319</v>
      </c>
    </row>
    <row r="222" spans="1:5" ht="15">
      <c r="A222" s="13">
        <v>48611</v>
      </c>
      <c r="B222" s="4">
        <f>18.4183 * CHOOSE(CONTROL!$C$9, $C$13, 100%, $E$13) + CHOOSE(CONTROL!$C$28, 0.0003, 0)</f>
        <v>18.418599999999998</v>
      </c>
      <c r="C222" s="4">
        <f>18.1058 * CHOOSE(CONTROL!$C$9, $C$13, 100%, $E$13) + CHOOSE(CONTROL!$C$28, 0.0003, 0)</f>
        <v>18.106099999999998</v>
      </c>
      <c r="D222" s="4">
        <f>25.0399 * CHOOSE(CONTROL!$C$9, $C$13, 100%, $E$13) + CHOOSE(CONTROL!$C$28, 0, 0)</f>
        <v>25.039899999999999</v>
      </c>
      <c r="E222" s="4">
        <f>106.50007365661 * CHOOSE(CONTROL!$C$9, $C$13, 100%, $E$13) + CHOOSE(CONTROL!$C$28, 0, 0)</f>
        <v>106.50007365661</v>
      </c>
    </row>
    <row r="223" spans="1:5" ht="15">
      <c r="A223" s="13">
        <v>48639</v>
      </c>
      <c r="B223" s="4">
        <f>19.4259 * CHOOSE(CONTROL!$C$9, $C$13, 100%, $E$13) + CHOOSE(CONTROL!$C$28, 0.0003, 0)</f>
        <v>19.426199999999998</v>
      </c>
      <c r="C223" s="4">
        <f>19.1134 * CHOOSE(CONTROL!$C$9, $C$13, 100%, $E$13) + CHOOSE(CONTROL!$C$28, 0.0003, 0)</f>
        <v>19.113699999999998</v>
      </c>
      <c r="D223" s="4">
        <f>26.2994 * CHOOSE(CONTROL!$C$9, $C$13, 100%, $E$13) + CHOOSE(CONTROL!$C$28, 0, 0)</f>
        <v>26.299399999999999</v>
      </c>
      <c r="E223" s="4">
        <f>112.986640191852 * CHOOSE(CONTROL!$C$9, $C$13, 100%, $E$13) + CHOOSE(CONTROL!$C$28, 0, 0)</f>
        <v>112.986640191852</v>
      </c>
    </row>
    <row r="224" spans="1:5" ht="15">
      <c r="A224" s="13">
        <v>48670</v>
      </c>
      <c r="B224" s="4">
        <f>20.1419 * CHOOSE(CONTROL!$C$9, $C$13, 100%, $E$13) + CHOOSE(CONTROL!$C$28, 0.0003, 0)</f>
        <v>20.142199999999999</v>
      </c>
      <c r="C224" s="4">
        <f>19.8294 * CHOOSE(CONTROL!$C$9, $C$13, 100%, $E$13) + CHOOSE(CONTROL!$C$28, 0.0003, 0)</f>
        <v>19.829699999999999</v>
      </c>
      <c r="D224" s="4">
        <f>27.025 * CHOOSE(CONTROL!$C$9, $C$13, 100%, $E$13) + CHOOSE(CONTROL!$C$28, 0, 0)</f>
        <v>27.024999999999999</v>
      </c>
      <c r="E224" s="4">
        <f>117.595432160006 * CHOOSE(CONTROL!$C$9, $C$13, 100%, $E$13) + CHOOSE(CONTROL!$C$28, 0, 0)</f>
        <v>117.595432160006</v>
      </c>
    </row>
    <row r="225" spans="1:5" ht="15">
      <c r="A225" s="13">
        <v>48700</v>
      </c>
      <c r="B225" s="4">
        <f>20.5793 * CHOOSE(CONTROL!$C$9, $C$13, 100%, $E$13) + CHOOSE(CONTROL!$C$28, 0.0276, 0)</f>
        <v>20.6069</v>
      </c>
      <c r="C225" s="4">
        <f>20.2668 * CHOOSE(CONTROL!$C$9, $C$13, 100%, $E$13) + CHOOSE(CONTROL!$C$28, 0.0276, 0)</f>
        <v>20.2944</v>
      </c>
      <c r="D225" s="4">
        <f>26.7383 * CHOOSE(CONTROL!$C$9, $C$13, 100%, $E$13) + CHOOSE(CONTROL!$C$28, 0, 0)</f>
        <v>26.738299999999999</v>
      </c>
      <c r="E225" s="4">
        <f>120.411293595221 * CHOOSE(CONTROL!$C$9, $C$13, 100%, $E$13) + CHOOSE(CONTROL!$C$28, 0, 0)</f>
        <v>120.411293595221</v>
      </c>
    </row>
    <row r="226" spans="1:5" ht="15">
      <c r="A226" s="13">
        <v>48731</v>
      </c>
      <c r="B226" s="4">
        <f>20.6384 * CHOOSE(CONTROL!$C$9, $C$13, 100%, $E$13) + CHOOSE(CONTROL!$C$28, 0.0276, 0)</f>
        <v>20.666</v>
      </c>
      <c r="C226" s="4">
        <f>20.3259 * CHOOSE(CONTROL!$C$9, $C$13, 100%, $E$13) + CHOOSE(CONTROL!$C$28, 0.0276, 0)</f>
        <v>20.3535</v>
      </c>
      <c r="D226" s="4">
        <f>26.9718 * CHOOSE(CONTROL!$C$9, $C$13, 100%, $E$13) + CHOOSE(CONTROL!$C$28, 0, 0)</f>
        <v>26.971800000000002</v>
      </c>
      <c r="E226" s="4">
        <f>120.792291333471 * CHOOSE(CONTROL!$C$9, $C$13, 100%, $E$13) + CHOOSE(CONTROL!$C$28, 0, 0)</f>
        <v>120.792291333471</v>
      </c>
    </row>
    <row r="227" spans="1:5" ht="15">
      <c r="A227" s="13">
        <v>48761</v>
      </c>
      <c r="B227" s="4">
        <f>20.6325 * CHOOSE(CONTROL!$C$9, $C$13, 100%, $E$13) + CHOOSE(CONTROL!$C$28, 0.0276, 0)</f>
        <v>20.6601</v>
      </c>
      <c r="C227" s="4">
        <f>20.32 * CHOOSE(CONTROL!$C$9, $C$13, 100%, $E$13) + CHOOSE(CONTROL!$C$28, 0.0276, 0)</f>
        <v>20.3476</v>
      </c>
      <c r="D227" s="4">
        <f>27.3931 * CHOOSE(CONTROL!$C$9, $C$13, 100%, $E$13) + CHOOSE(CONTROL!$C$28, 0, 0)</f>
        <v>27.3931</v>
      </c>
      <c r="E227" s="4">
        <f>120.753871393479 * CHOOSE(CONTROL!$C$9, $C$13, 100%, $E$13) + CHOOSE(CONTROL!$C$28, 0, 0)</f>
        <v>120.753871393479</v>
      </c>
    </row>
    <row r="228" spans="1:5" ht="15">
      <c r="A228" s="13">
        <v>48792</v>
      </c>
      <c r="B228" s="4">
        <f>21.0816 * CHOOSE(CONTROL!$C$9, $C$13, 100%, $E$13) + CHOOSE(CONTROL!$C$28, 0.0276, 0)</f>
        <v>21.109200000000001</v>
      </c>
      <c r="C228" s="4">
        <f>20.7691 * CHOOSE(CONTROL!$C$9, $C$13, 100%, $E$13) + CHOOSE(CONTROL!$C$28, 0.0276, 0)</f>
        <v>20.796700000000001</v>
      </c>
      <c r="D228" s="4">
        <f>27.1149 * CHOOSE(CONTROL!$C$9, $C$13, 100%, $E$13) + CHOOSE(CONTROL!$C$28, 0, 0)</f>
        <v>27.114899999999999</v>
      </c>
      <c r="E228" s="4">
        <f>123.644971877844 * CHOOSE(CONTROL!$C$9, $C$13, 100%, $E$13) + CHOOSE(CONTROL!$C$28, 0, 0)</f>
        <v>123.644971877844</v>
      </c>
    </row>
    <row r="229" spans="1:5" ht="15">
      <c r="A229" s="13">
        <v>48823</v>
      </c>
      <c r="B229" s="4">
        <f>20.3162 * CHOOSE(CONTROL!$C$9, $C$13, 100%, $E$13) + CHOOSE(CONTROL!$C$28, 0.0276, 0)</f>
        <v>20.343799999999998</v>
      </c>
      <c r="C229" s="4">
        <f>20.0037 * CHOOSE(CONTROL!$C$9, $C$13, 100%, $E$13) + CHOOSE(CONTROL!$C$28, 0.0276, 0)</f>
        <v>20.031299999999998</v>
      </c>
      <c r="D229" s="4">
        <f>26.9834 * CHOOSE(CONTROL!$C$9, $C$13, 100%, $E$13) + CHOOSE(CONTROL!$C$28, 0, 0)</f>
        <v>26.9834</v>
      </c>
      <c r="E229" s="4">
        <f>118.717614573927 * CHOOSE(CONTROL!$C$9, $C$13, 100%, $E$13) + CHOOSE(CONTROL!$C$28, 0, 0)</f>
        <v>118.71761457392699</v>
      </c>
    </row>
    <row r="230" spans="1:5" ht="15">
      <c r="A230" s="13">
        <v>48853</v>
      </c>
      <c r="B230" s="4">
        <f>19.7035 * CHOOSE(CONTROL!$C$9, $C$13, 100%, $E$13) + CHOOSE(CONTROL!$C$28, 0.0003, 0)</f>
        <v>19.703799999999998</v>
      </c>
      <c r="C230" s="4">
        <f>19.391 * CHOOSE(CONTROL!$C$9, $C$13, 100%, $E$13) + CHOOSE(CONTROL!$C$28, 0.0003, 0)</f>
        <v>19.391299999999998</v>
      </c>
      <c r="D230" s="4">
        <f>26.6314 * CHOOSE(CONTROL!$C$9, $C$13, 100%, $E$13) + CHOOSE(CONTROL!$C$28, 0, 0)</f>
        <v>26.631399999999999</v>
      </c>
      <c r="E230" s="4">
        <f>114.773167401459 * CHOOSE(CONTROL!$C$9, $C$13, 100%, $E$13) + CHOOSE(CONTROL!$C$28, 0, 0)</f>
        <v>114.77316740145901</v>
      </c>
    </row>
    <row r="231" spans="1:5" ht="15">
      <c r="A231" s="13">
        <v>48884</v>
      </c>
      <c r="B231" s="4">
        <f>19.3088 * CHOOSE(CONTROL!$C$9, $C$13, 100%, $E$13) + CHOOSE(CONTROL!$C$28, 0.0003, 0)</f>
        <v>19.309100000000001</v>
      </c>
      <c r="C231" s="4">
        <f>18.9963 * CHOOSE(CONTROL!$C$9, $C$13, 100%, $E$13) + CHOOSE(CONTROL!$C$28, 0.0003, 0)</f>
        <v>18.996600000000001</v>
      </c>
      <c r="D231" s="4">
        <f>26.5104 * CHOOSE(CONTROL!$C$9, $C$13, 100%, $E$13) + CHOOSE(CONTROL!$C$28, 0, 0)</f>
        <v>26.510400000000001</v>
      </c>
      <c r="E231" s="4">
        <f>112.232648869517 * CHOOSE(CONTROL!$C$9, $C$13, 100%, $E$13) + CHOOSE(CONTROL!$C$28, 0, 0)</f>
        <v>112.23264886951701</v>
      </c>
    </row>
    <row r="232" spans="1:5" ht="15">
      <c r="A232" s="13">
        <v>48914</v>
      </c>
      <c r="B232" s="4">
        <f>19.0358 * CHOOSE(CONTROL!$C$9, $C$13, 100%, $E$13) + CHOOSE(CONTROL!$C$28, 0.0003, 0)</f>
        <v>19.036099999999998</v>
      </c>
      <c r="C232" s="4">
        <f>18.7233 * CHOOSE(CONTROL!$C$9, $C$13, 100%, $E$13) + CHOOSE(CONTROL!$C$28, 0.0003, 0)</f>
        <v>18.723599999999998</v>
      </c>
      <c r="D232" s="4">
        <f>25.6195 * CHOOSE(CONTROL!$C$9, $C$13, 100%, $E$13) + CHOOSE(CONTROL!$C$28, 0, 0)</f>
        <v>25.619499999999999</v>
      </c>
      <c r="E232" s="4">
        <f>110.474936614903 * CHOOSE(CONTROL!$C$9, $C$13, 100%, $E$13) + CHOOSE(CONTROL!$C$28, 0, 0)</f>
        <v>110.474936614903</v>
      </c>
    </row>
    <row r="233" spans="1:5" ht="15">
      <c r="A233" s="13">
        <v>48945</v>
      </c>
      <c r="B233" s="4">
        <f>18.3558 * CHOOSE(CONTROL!$C$9, $C$13, 100%, $E$13) + CHOOSE(CONTROL!$C$28, 0.0003, 0)</f>
        <v>18.356099999999998</v>
      </c>
      <c r="C233" s="4">
        <f>18.0433 * CHOOSE(CONTROL!$C$9, $C$13, 100%, $E$13) + CHOOSE(CONTROL!$C$28, 0.0003, 0)</f>
        <v>18.043599999999998</v>
      </c>
      <c r="D233" s="4">
        <f>24.5761 * CHOOSE(CONTROL!$C$9, $C$13, 100%, $E$13) + CHOOSE(CONTROL!$C$28, 0, 0)</f>
        <v>24.5761</v>
      </c>
      <c r="E233" s="4">
        <f>106.069441632989 * CHOOSE(CONTROL!$C$9, $C$13, 100%, $E$13) + CHOOSE(CONTROL!$C$28, 0, 0)</f>
        <v>106.069441632989</v>
      </c>
    </row>
    <row r="234" spans="1:5" ht="15">
      <c r="A234" s="13">
        <v>48976</v>
      </c>
      <c r="B234" s="4">
        <f>18.7471 * CHOOSE(CONTROL!$C$9, $C$13, 100%, $E$13) + CHOOSE(CONTROL!$C$28, 0.0003, 0)</f>
        <v>18.747399999999999</v>
      </c>
      <c r="C234" s="4">
        <f>18.4346 * CHOOSE(CONTROL!$C$9, $C$13, 100%, $E$13) + CHOOSE(CONTROL!$C$28, 0.0003, 0)</f>
        <v>18.434899999999999</v>
      </c>
      <c r="D234" s="4">
        <f>25.3927 * CHOOSE(CONTROL!$C$9, $C$13, 100%, $E$13) + CHOOSE(CONTROL!$C$28, 0, 0)</f>
        <v>25.392700000000001</v>
      </c>
      <c r="E234" s="4">
        <f>108.58794818742 * CHOOSE(CONTROL!$C$9, $C$13, 100%, $E$13) + CHOOSE(CONTROL!$C$28, 0, 0)</f>
        <v>108.58794818742</v>
      </c>
    </row>
    <row r="235" spans="1:5" ht="15">
      <c r="A235" s="13">
        <v>49004</v>
      </c>
      <c r="B235" s="4">
        <f>19.7748 * CHOOSE(CONTROL!$C$9, $C$13, 100%, $E$13) + CHOOSE(CONTROL!$C$28, 0.0003, 0)</f>
        <v>19.775099999999998</v>
      </c>
      <c r="C235" s="4">
        <f>19.4623 * CHOOSE(CONTROL!$C$9, $C$13, 100%, $E$13) + CHOOSE(CONTROL!$C$28, 0.0003, 0)</f>
        <v>19.462599999999998</v>
      </c>
      <c r="D235" s="4">
        <f>26.6711 * CHOOSE(CONTROL!$C$9, $C$13, 100%, $E$13) + CHOOSE(CONTROL!$C$28, 0, 0)</f>
        <v>26.671099999999999</v>
      </c>
      <c r="E235" s="4">
        <f>115.201680240922 * CHOOSE(CONTROL!$C$9, $C$13, 100%, $E$13) + CHOOSE(CONTROL!$C$28, 0, 0)</f>
        <v>115.201680240922</v>
      </c>
    </row>
    <row r="236" spans="1:5" ht="15">
      <c r="A236" s="13">
        <v>49035</v>
      </c>
      <c r="B236" s="4">
        <f>20.5049 * CHOOSE(CONTROL!$C$9, $C$13, 100%, $E$13) + CHOOSE(CONTROL!$C$28, 0.0003, 0)</f>
        <v>20.505199999999999</v>
      </c>
      <c r="C236" s="4">
        <f>20.1924 * CHOOSE(CONTROL!$C$9, $C$13, 100%, $E$13) + CHOOSE(CONTROL!$C$28, 0.0003, 0)</f>
        <v>20.192699999999999</v>
      </c>
      <c r="D236" s="4">
        <f>27.4075 * CHOOSE(CONTROL!$C$9, $C$13, 100%, $E$13) + CHOOSE(CONTROL!$C$28, 0, 0)</f>
        <v>27.407499999999999</v>
      </c>
      <c r="E236" s="4">
        <f>119.900825004504 * CHOOSE(CONTROL!$C$9, $C$13, 100%, $E$13) + CHOOSE(CONTROL!$C$28, 0, 0)</f>
        <v>119.900825004504</v>
      </c>
    </row>
    <row r="237" spans="1:5" ht="15">
      <c r="A237" s="13">
        <v>49065</v>
      </c>
      <c r="B237" s="4">
        <f>20.951 * CHOOSE(CONTROL!$C$9, $C$13, 100%, $E$13) + CHOOSE(CONTROL!$C$28, 0.0276, 0)</f>
        <v>20.9786</v>
      </c>
      <c r="C237" s="4">
        <f>20.6385 * CHOOSE(CONTROL!$C$9, $C$13, 100%, $E$13) + CHOOSE(CONTROL!$C$28, 0.0276, 0)</f>
        <v>20.6661</v>
      </c>
      <c r="D237" s="4">
        <f>27.1165 * CHOOSE(CONTROL!$C$9, $C$13, 100%, $E$13) + CHOOSE(CONTROL!$C$28, 0, 0)</f>
        <v>27.116499999999998</v>
      </c>
      <c r="E237" s="4">
        <f>122.771889832271 * CHOOSE(CONTROL!$C$9, $C$13, 100%, $E$13) + CHOOSE(CONTROL!$C$28, 0, 0)</f>
        <v>122.771889832271</v>
      </c>
    </row>
    <row r="238" spans="1:5" ht="15">
      <c r="A238" s="13">
        <v>49096</v>
      </c>
      <c r="B238" s="4">
        <f>21.0114 * CHOOSE(CONTROL!$C$9, $C$13, 100%, $E$13) + CHOOSE(CONTROL!$C$28, 0.0276, 0)</f>
        <v>21.038999999999998</v>
      </c>
      <c r="C238" s="4">
        <f>20.6989 * CHOOSE(CONTROL!$C$9, $C$13, 100%, $E$13) + CHOOSE(CONTROL!$C$28, 0.0276, 0)</f>
        <v>20.726499999999998</v>
      </c>
      <c r="D238" s="4">
        <f>27.3535 * CHOOSE(CONTROL!$C$9, $C$13, 100%, $E$13) + CHOOSE(CONTROL!$C$28, 0, 0)</f>
        <v>27.3535</v>
      </c>
      <c r="E238" s="4">
        <f>123.160356818632 * CHOOSE(CONTROL!$C$9, $C$13, 100%, $E$13) + CHOOSE(CONTROL!$C$28, 0, 0)</f>
        <v>123.160356818632</v>
      </c>
    </row>
    <row r="239" spans="1:5" ht="15">
      <c r="A239" s="13">
        <v>49126</v>
      </c>
      <c r="B239" s="4">
        <f>21.0053 * CHOOSE(CONTROL!$C$9, $C$13, 100%, $E$13) + CHOOSE(CONTROL!$C$28, 0.0276, 0)</f>
        <v>21.032899999999998</v>
      </c>
      <c r="C239" s="4">
        <f>20.6928 * CHOOSE(CONTROL!$C$9, $C$13, 100%, $E$13) + CHOOSE(CONTROL!$C$28, 0.0276, 0)</f>
        <v>20.720399999999998</v>
      </c>
      <c r="D239" s="4">
        <f>27.7811 * CHOOSE(CONTROL!$C$9, $C$13, 100%, $E$13) + CHOOSE(CONTROL!$C$28, 0, 0)</f>
        <v>27.781099999999999</v>
      </c>
      <c r="E239" s="4">
        <f>123.12118367715 * CHOOSE(CONTROL!$C$9, $C$13, 100%, $E$13) + CHOOSE(CONTROL!$C$28, 0, 0)</f>
        <v>123.12118367715</v>
      </c>
    </row>
    <row r="240" spans="1:5" ht="15">
      <c r="A240" s="13">
        <v>49157</v>
      </c>
      <c r="B240" s="4">
        <f>21.4633 * CHOOSE(CONTROL!$C$9, $C$13, 100%, $E$13) + CHOOSE(CONTROL!$C$28, 0.0276, 0)</f>
        <v>21.4909</v>
      </c>
      <c r="C240" s="4">
        <f>21.1508 * CHOOSE(CONTROL!$C$9, $C$13, 100%, $E$13) + CHOOSE(CONTROL!$C$28, 0.0276, 0)</f>
        <v>21.1784</v>
      </c>
      <c r="D240" s="4">
        <f>27.4987 * CHOOSE(CONTROL!$C$9, $C$13, 100%, $E$13) + CHOOSE(CONTROL!$C$28, 0, 0)</f>
        <v>27.498699999999999</v>
      </c>
      <c r="E240" s="4">
        <f>126.068962573652 * CHOOSE(CONTROL!$C$9, $C$13, 100%, $E$13) + CHOOSE(CONTROL!$C$28, 0, 0)</f>
        <v>126.068962573652</v>
      </c>
    </row>
    <row r="241" spans="1:5" ht="15">
      <c r="A241" s="13">
        <v>49188</v>
      </c>
      <c r="B241" s="4">
        <f>20.6827 * CHOOSE(CONTROL!$C$9, $C$13, 100%, $E$13) + CHOOSE(CONTROL!$C$28, 0.0276, 0)</f>
        <v>20.7103</v>
      </c>
      <c r="C241" s="4">
        <f>20.3702 * CHOOSE(CONTROL!$C$9, $C$13, 100%, $E$13) + CHOOSE(CONTROL!$C$28, 0.0276, 0)</f>
        <v>20.3978</v>
      </c>
      <c r="D241" s="4">
        <f>27.3653 * CHOOSE(CONTROL!$C$9, $C$13, 100%, $E$13) + CHOOSE(CONTROL!$C$28, 0, 0)</f>
        <v>27.365300000000001</v>
      </c>
      <c r="E241" s="4">
        <f>121.045007178617 * CHOOSE(CONTROL!$C$9, $C$13, 100%, $E$13) + CHOOSE(CONTROL!$C$28, 0, 0)</f>
        <v>121.045007178617</v>
      </c>
    </row>
    <row r="242" spans="1:5" ht="15">
      <c r="A242" s="13">
        <v>49218</v>
      </c>
      <c r="B242" s="4">
        <f>20.0578 * CHOOSE(CONTROL!$C$9, $C$13, 100%, $E$13) + CHOOSE(CONTROL!$C$28, 0.0003, 0)</f>
        <v>20.0581</v>
      </c>
      <c r="C242" s="4">
        <f>19.7453 * CHOOSE(CONTROL!$C$9, $C$13, 100%, $E$13) + CHOOSE(CONTROL!$C$28, 0.0003, 0)</f>
        <v>19.7456</v>
      </c>
      <c r="D242" s="4">
        <f>27.008 * CHOOSE(CONTROL!$C$9, $C$13, 100%, $E$13) + CHOOSE(CONTROL!$C$28, 0, 0)</f>
        <v>27.007999999999999</v>
      </c>
      <c r="E242" s="4">
        <f>117.023231319824 * CHOOSE(CONTROL!$C$9, $C$13, 100%, $E$13) + CHOOSE(CONTROL!$C$28, 0, 0)</f>
        <v>117.02323131982401</v>
      </c>
    </row>
    <row r="243" spans="1:5" ht="15">
      <c r="A243" s="13">
        <v>49249</v>
      </c>
      <c r="B243" s="4">
        <f>19.6553 * CHOOSE(CONTROL!$C$9, $C$13, 100%, $E$13) + CHOOSE(CONTROL!$C$28, 0.0003, 0)</f>
        <v>19.6556</v>
      </c>
      <c r="C243" s="4">
        <f>19.3428 * CHOOSE(CONTROL!$C$9, $C$13, 100%, $E$13) + CHOOSE(CONTROL!$C$28, 0.0003, 0)</f>
        <v>19.3431</v>
      </c>
      <c r="D243" s="4">
        <f>26.8852 * CHOOSE(CONTROL!$C$9, $C$13, 100%, $E$13) + CHOOSE(CONTROL!$C$28, 0, 0)</f>
        <v>26.885200000000001</v>
      </c>
      <c r="E243" s="4">
        <f>114.432907339343 * CHOOSE(CONTROL!$C$9, $C$13, 100%, $E$13) + CHOOSE(CONTROL!$C$28, 0, 0)</f>
        <v>114.432907339343</v>
      </c>
    </row>
    <row r="244" spans="1:5" ht="15">
      <c r="A244" s="13">
        <v>49279</v>
      </c>
      <c r="B244" s="4">
        <f>19.3769 * CHOOSE(CONTROL!$C$9, $C$13, 100%, $E$13) + CHOOSE(CONTROL!$C$28, 0.0003, 0)</f>
        <v>19.377199999999998</v>
      </c>
      <c r="C244" s="4">
        <f>19.0644 * CHOOSE(CONTROL!$C$9, $C$13, 100%, $E$13) + CHOOSE(CONTROL!$C$28, 0.0003, 0)</f>
        <v>19.064699999999998</v>
      </c>
      <c r="D244" s="4">
        <f>25.981 * CHOOSE(CONTROL!$C$9, $C$13, 100%, $E$13) + CHOOSE(CONTROL!$C$28, 0, 0)</f>
        <v>25.981000000000002</v>
      </c>
      <c r="E244" s="4">
        <f>112.640736116553 * CHOOSE(CONTROL!$C$9, $C$13, 100%, $E$13) + CHOOSE(CONTROL!$C$28, 0, 0)</f>
        <v>112.640736116553</v>
      </c>
    </row>
    <row r="245" spans="1:5" ht="15">
      <c r="A245" s="13">
        <v>49310</v>
      </c>
      <c r="B245" s="4">
        <f>18.6841 * CHOOSE(CONTROL!$C$9, $C$13, 100%, $E$13) + CHOOSE(CONTROL!$C$28, 0.0003, 0)</f>
        <v>18.6844</v>
      </c>
      <c r="C245" s="4">
        <f>18.3716 * CHOOSE(CONTROL!$C$9, $C$13, 100%, $E$13) + CHOOSE(CONTROL!$C$28, 0.0003, 0)</f>
        <v>18.3719</v>
      </c>
      <c r="D245" s="4">
        <f>24.9498 * CHOOSE(CONTROL!$C$9, $C$13, 100%, $E$13) + CHOOSE(CONTROL!$C$28, 0, 0)</f>
        <v>24.9498</v>
      </c>
      <c r="E245" s="4">
        <f>108.150937200069 * CHOOSE(CONTROL!$C$9, $C$13, 100%, $E$13) + CHOOSE(CONTROL!$C$28, 0, 0)</f>
        <v>108.150937200069</v>
      </c>
    </row>
    <row r="246" spans="1:5" ht="15">
      <c r="A246" s="13">
        <v>49341</v>
      </c>
      <c r="B246" s="4">
        <f>19.0832 * CHOOSE(CONTROL!$C$9, $C$13, 100%, $E$13) + CHOOSE(CONTROL!$C$28, 0.0003, 0)</f>
        <v>19.083500000000001</v>
      </c>
      <c r="C246" s="4">
        <f>18.7707 * CHOOSE(CONTROL!$C$9, $C$13, 100%, $E$13) + CHOOSE(CONTROL!$C$28, 0.0003, 0)</f>
        <v>18.771000000000001</v>
      </c>
      <c r="D246" s="4">
        <f>25.7796 * CHOOSE(CONTROL!$C$9, $C$13, 100%, $E$13) + CHOOSE(CONTROL!$C$28, 0, 0)</f>
        <v>25.779599999999999</v>
      </c>
      <c r="E246" s="4">
        <f>110.718866662249 * CHOOSE(CONTROL!$C$9, $C$13, 100%, $E$13) + CHOOSE(CONTROL!$C$28, 0, 0)</f>
        <v>110.718866662249</v>
      </c>
    </row>
    <row r="247" spans="1:5" ht="15">
      <c r="A247" s="13">
        <v>49369</v>
      </c>
      <c r="B247" s="4">
        <f>20.1313 * CHOOSE(CONTROL!$C$9, $C$13, 100%, $E$13) + CHOOSE(CONTROL!$C$28, 0.0003, 0)</f>
        <v>20.131599999999999</v>
      </c>
      <c r="C247" s="4">
        <f>19.8188 * CHOOSE(CONTROL!$C$9, $C$13, 100%, $E$13) + CHOOSE(CONTROL!$C$28, 0.0003, 0)</f>
        <v>19.819099999999999</v>
      </c>
      <c r="D247" s="4">
        <f>27.0787 * CHOOSE(CONTROL!$C$9, $C$13, 100%, $E$13) + CHOOSE(CONTROL!$C$28, 0, 0)</f>
        <v>27.078700000000001</v>
      </c>
      <c r="E247" s="4">
        <f>117.46238589799 * CHOOSE(CONTROL!$C$9, $C$13, 100%, $E$13) + CHOOSE(CONTROL!$C$28, 0, 0)</f>
        <v>117.46238589799</v>
      </c>
    </row>
    <row r="248" spans="1:5" ht="15">
      <c r="A248" s="13">
        <v>49400</v>
      </c>
      <c r="B248" s="4">
        <f>20.876 * CHOOSE(CONTROL!$C$9, $C$13, 100%, $E$13) + CHOOSE(CONTROL!$C$28, 0.0003, 0)</f>
        <v>20.876300000000001</v>
      </c>
      <c r="C248" s="4">
        <f>20.5635 * CHOOSE(CONTROL!$C$9, $C$13, 100%, $E$13) + CHOOSE(CONTROL!$C$28, 0.0003, 0)</f>
        <v>20.563800000000001</v>
      </c>
      <c r="D248" s="4">
        <f>27.827 * CHOOSE(CONTROL!$C$9, $C$13, 100%, $E$13) + CHOOSE(CONTROL!$C$28, 0, 0)</f>
        <v>27.827000000000002</v>
      </c>
      <c r="E248" s="4">
        <f>122.253746184195 * CHOOSE(CONTROL!$C$9, $C$13, 100%, $E$13) + CHOOSE(CONTROL!$C$28, 0, 0)</f>
        <v>122.25374618419499</v>
      </c>
    </row>
    <row r="249" spans="1:5" ht="15">
      <c r="A249" s="13">
        <v>49430</v>
      </c>
      <c r="B249" s="4">
        <f>21.3309 * CHOOSE(CONTROL!$C$9, $C$13, 100%, $E$13) + CHOOSE(CONTROL!$C$28, 0.0276, 0)</f>
        <v>21.358499999999999</v>
      </c>
      <c r="C249" s="4">
        <f>21.0184 * CHOOSE(CONTROL!$C$9, $C$13, 100%, $E$13) + CHOOSE(CONTROL!$C$28, 0.0276, 0)</f>
        <v>21.045999999999999</v>
      </c>
      <c r="D249" s="4">
        <f>27.5313 * CHOOSE(CONTROL!$C$9, $C$13, 100%, $E$13) + CHOOSE(CONTROL!$C$28, 0, 0)</f>
        <v>27.531300000000002</v>
      </c>
      <c r="E249" s="4">
        <f>125.181152486186 * CHOOSE(CONTROL!$C$9, $C$13, 100%, $E$13) + CHOOSE(CONTROL!$C$28, 0, 0)</f>
        <v>125.18115248618599</v>
      </c>
    </row>
    <row r="250" spans="1:5" ht="15">
      <c r="A250" s="14">
        <v>49461</v>
      </c>
      <c r="B250" s="4">
        <f>21.3925 * CHOOSE(CONTROL!$C$9, $C$13, 100%, $E$13) + CHOOSE(CONTROL!$C$28, 0.0276, 0)</f>
        <v>21.420099999999998</v>
      </c>
      <c r="C250" s="4">
        <f>21.08 * CHOOSE(CONTROL!$C$9, $C$13, 100%, $E$13) + CHOOSE(CONTROL!$C$28, 0.0276, 0)</f>
        <v>21.107599999999998</v>
      </c>
      <c r="D250" s="4">
        <f>27.7721 * CHOOSE(CONTROL!$C$9, $C$13, 100%, $E$13) + CHOOSE(CONTROL!$C$28, 0, 0)</f>
        <v>27.772099999999998</v>
      </c>
      <c r="E250" s="4">
        <f>125.577242707832 * CHOOSE(CONTROL!$C$9, $C$13, 100%, $E$13) + CHOOSE(CONTROL!$C$28, 0, 0)</f>
        <v>125.577242707832</v>
      </c>
    </row>
    <row r="251" spans="1:5" ht="15">
      <c r="A251" s="14">
        <v>49491</v>
      </c>
      <c r="B251" s="4">
        <f>21.3863 * CHOOSE(CONTROL!$C$9, $C$13, 100%, $E$13) + CHOOSE(CONTROL!$C$28, 0.0276, 0)</f>
        <v>21.413899999999998</v>
      </c>
      <c r="C251" s="4">
        <f>21.0738 * CHOOSE(CONTROL!$C$9, $C$13, 100%, $E$13) + CHOOSE(CONTROL!$C$28, 0.0276, 0)</f>
        <v>21.101399999999998</v>
      </c>
      <c r="D251" s="4">
        <f>28.2066 * CHOOSE(CONTROL!$C$9, $C$13, 100%, $E$13) + CHOOSE(CONTROL!$C$28, 0, 0)</f>
        <v>28.206600000000002</v>
      </c>
      <c r="E251" s="4">
        <f>125.537300836741 * CHOOSE(CONTROL!$C$9, $C$13, 100%, $E$13) + CHOOSE(CONTROL!$C$28, 0, 0)</f>
        <v>125.537300836741</v>
      </c>
    </row>
    <row r="252" spans="1:5" ht="15">
      <c r="A252" s="14">
        <v>49522</v>
      </c>
      <c r="B252" s="4">
        <f>21.8534 * CHOOSE(CONTROL!$C$9, $C$13, 100%, $E$13) + CHOOSE(CONTROL!$C$28, 0.0276, 0)</f>
        <v>21.881</v>
      </c>
      <c r="C252" s="4">
        <f>21.5409 * CHOOSE(CONTROL!$C$9, $C$13, 100%, $E$13) + CHOOSE(CONTROL!$C$28, 0.0276, 0)</f>
        <v>21.5685</v>
      </c>
      <c r="D252" s="4">
        <f>27.9196 * CHOOSE(CONTROL!$C$9, $C$13, 100%, $E$13) + CHOOSE(CONTROL!$C$28, 0, 0)</f>
        <v>27.919599999999999</v>
      </c>
      <c r="E252" s="4">
        <f>128.542926636285 * CHOOSE(CONTROL!$C$9, $C$13, 100%, $E$13) + CHOOSE(CONTROL!$C$28, 0, 0)</f>
        <v>128.54292663628499</v>
      </c>
    </row>
    <row r="253" spans="1:5" ht="15">
      <c r="A253" s="14">
        <v>49553</v>
      </c>
      <c r="B253" s="4">
        <f>21.0573 * CHOOSE(CONTROL!$C$9, $C$13, 100%, $E$13) + CHOOSE(CONTROL!$C$28, 0.0276, 0)</f>
        <v>21.084900000000001</v>
      </c>
      <c r="C253" s="4">
        <f>20.7448 * CHOOSE(CONTROL!$C$9, $C$13, 100%, $E$13) + CHOOSE(CONTROL!$C$28, 0.0276, 0)</f>
        <v>20.772400000000001</v>
      </c>
      <c r="D253" s="4">
        <f>27.7841 * CHOOSE(CONTROL!$C$9, $C$13, 100%, $E$13) + CHOOSE(CONTROL!$C$28, 0, 0)</f>
        <v>27.784099999999999</v>
      </c>
      <c r="E253" s="4">
        <f>123.420381668957 * CHOOSE(CONTROL!$C$9, $C$13, 100%, $E$13) + CHOOSE(CONTROL!$C$28, 0, 0)</f>
        <v>123.42038166895701</v>
      </c>
    </row>
    <row r="254" spans="1:5" ht="15">
      <c r="A254" s="14">
        <v>49583</v>
      </c>
      <c r="B254" s="4">
        <f>20.4199 * CHOOSE(CONTROL!$C$9, $C$13, 100%, $E$13) + CHOOSE(CONTROL!$C$28, 0.0003, 0)</f>
        <v>20.420199999999998</v>
      </c>
      <c r="C254" s="4">
        <f>20.1074 * CHOOSE(CONTROL!$C$9, $C$13, 100%, $E$13) + CHOOSE(CONTROL!$C$28, 0.0003, 0)</f>
        <v>20.107699999999998</v>
      </c>
      <c r="D254" s="4">
        <f>27.421 * CHOOSE(CONTROL!$C$9, $C$13, 100%, $E$13) + CHOOSE(CONTROL!$C$28, 0, 0)</f>
        <v>27.420999999999999</v>
      </c>
      <c r="E254" s="4">
        <f>119.319682903688 * CHOOSE(CONTROL!$C$9, $C$13, 100%, $E$13) + CHOOSE(CONTROL!$C$28, 0, 0)</f>
        <v>119.319682903688</v>
      </c>
    </row>
    <row r="255" spans="1:5" ht="15">
      <c r="A255" s="14">
        <v>49614</v>
      </c>
      <c r="B255" s="4">
        <f>20.0094 * CHOOSE(CONTROL!$C$9, $C$13, 100%, $E$13) + CHOOSE(CONTROL!$C$28, 0.0003, 0)</f>
        <v>20.009699999999999</v>
      </c>
      <c r="C255" s="4">
        <f>19.6969 * CHOOSE(CONTROL!$C$9, $C$13, 100%, $E$13) + CHOOSE(CONTROL!$C$28, 0.0003, 0)</f>
        <v>19.697199999999999</v>
      </c>
      <c r="D255" s="4">
        <f>27.2962 * CHOOSE(CONTROL!$C$9, $C$13, 100%, $E$13) + CHOOSE(CONTROL!$C$28, 0, 0)</f>
        <v>27.296199999999999</v>
      </c>
      <c r="E255" s="4">
        <f>116.678526677844 * CHOOSE(CONTROL!$C$9, $C$13, 100%, $E$13) + CHOOSE(CONTROL!$C$28, 0, 0)</f>
        <v>116.678526677844</v>
      </c>
    </row>
    <row r="256" spans="1:5" ht="15">
      <c r="A256" s="14">
        <v>49644</v>
      </c>
      <c r="B256" s="4">
        <f>19.7254 * CHOOSE(CONTROL!$C$9, $C$13, 100%, $E$13) + CHOOSE(CONTROL!$C$28, 0.0003, 0)</f>
        <v>19.7257</v>
      </c>
      <c r="C256" s="4">
        <f>19.4129 * CHOOSE(CONTROL!$C$9, $C$13, 100%, $E$13) + CHOOSE(CONTROL!$C$28, 0.0003, 0)</f>
        <v>19.4132</v>
      </c>
      <c r="D256" s="4">
        <f>26.3774 * CHOOSE(CONTROL!$C$9, $C$13, 100%, $E$13) + CHOOSE(CONTROL!$C$28, 0, 0)</f>
        <v>26.377400000000002</v>
      </c>
      <c r="E256" s="4">
        <f>114.851186075464 * CHOOSE(CONTROL!$C$9, $C$13, 100%, $E$13) + CHOOSE(CONTROL!$C$28, 0, 0)</f>
        <v>114.851186075464</v>
      </c>
    </row>
    <row r="257" spans="1:5" ht="15">
      <c r="A257" s="14">
        <v>49675</v>
      </c>
      <c r="B257" s="4">
        <f>19.264 * CHOOSE(CONTROL!$C$9, $C$13, 100%, $E$13) + CHOOSE(CONTROL!$C$28, 0.0003, 0)</f>
        <v>19.264299999999999</v>
      </c>
      <c r="C257" s="4">
        <f>18.9515 * CHOOSE(CONTROL!$C$9, $C$13, 100%, $E$13) + CHOOSE(CONTROL!$C$28, 0.0003, 0)</f>
        <v>18.951799999999999</v>
      </c>
      <c r="D257" s="4">
        <f>25.5329 * CHOOSE(CONTROL!$C$9, $C$13, 100%, $E$13) + CHOOSE(CONTROL!$C$28, 0, 0)</f>
        <v>25.532900000000001</v>
      </c>
      <c r="E257" s="4">
        <f>111.557691721872 * CHOOSE(CONTROL!$C$9, $C$13, 100%, $E$13) + CHOOSE(CONTROL!$C$28, 0, 0)</f>
        <v>111.557691721872</v>
      </c>
    </row>
    <row r="258" spans="1:5" ht="15">
      <c r="A258" s="14">
        <v>49706</v>
      </c>
      <c r="B258" s="4">
        <f>19.6769 * CHOOSE(CONTROL!$C$9, $C$13, 100%, $E$13) + CHOOSE(CONTROL!$C$28, 0.0003, 0)</f>
        <v>19.677199999999999</v>
      </c>
      <c r="C258" s="4">
        <f>19.3644 * CHOOSE(CONTROL!$C$9, $C$13, 100%, $E$13) + CHOOSE(CONTROL!$C$28, 0.0003, 0)</f>
        <v>19.364699999999999</v>
      </c>
      <c r="D258" s="4">
        <f>26.3833 * CHOOSE(CONTROL!$C$9, $C$13, 100%, $E$13) + CHOOSE(CONTROL!$C$28, 0, 0)</f>
        <v>26.383299999999998</v>
      </c>
      <c r="E258" s="4">
        <f>114.206510962109 * CHOOSE(CONTROL!$C$9, $C$13, 100%, $E$13) + CHOOSE(CONTROL!$C$28, 0, 0)</f>
        <v>114.20651096210899</v>
      </c>
    </row>
    <row r="259" spans="1:5" ht="15">
      <c r="A259" s="14">
        <v>49735</v>
      </c>
      <c r="B259" s="4">
        <f>20.7611 * CHOOSE(CONTROL!$C$9, $C$13, 100%, $E$13) + CHOOSE(CONTROL!$C$28, 0.0003, 0)</f>
        <v>20.761399999999998</v>
      </c>
      <c r="C259" s="4">
        <f>20.4486 * CHOOSE(CONTROL!$C$9, $C$13, 100%, $E$13) + CHOOSE(CONTROL!$C$28, 0.0003, 0)</f>
        <v>20.448899999999998</v>
      </c>
      <c r="D259" s="4">
        <f>27.7146 * CHOOSE(CONTROL!$C$9, $C$13, 100%, $E$13) + CHOOSE(CONTROL!$C$28, 0, 0)</f>
        <v>27.714600000000001</v>
      </c>
      <c r="E259" s="4">
        <f>121.162451053777 * CHOOSE(CONTROL!$C$9, $C$13, 100%, $E$13) + CHOOSE(CONTROL!$C$28, 0, 0)</f>
        <v>121.162451053777</v>
      </c>
    </row>
    <row r="260" spans="1:5" ht="15">
      <c r="A260" s="14">
        <v>49766</v>
      </c>
      <c r="B260" s="4">
        <f>21.5315 * CHOOSE(CONTROL!$C$9, $C$13, 100%, $E$13) + CHOOSE(CONTROL!$C$28, 0.0003, 0)</f>
        <v>21.5318</v>
      </c>
      <c r="C260" s="4">
        <f>21.219 * CHOOSE(CONTROL!$C$9, $C$13, 100%, $E$13) + CHOOSE(CONTROL!$C$28, 0.0003, 0)</f>
        <v>21.2193</v>
      </c>
      <c r="D260" s="4">
        <f>28.4814 * CHOOSE(CONTROL!$C$9, $C$13, 100%, $E$13) + CHOOSE(CONTROL!$C$28, 0, 0)</f>
        <v>28.481400000000001</v>
      </c>
      <c r="E260" s="4">
        <f>126.104739188997 * CHOOSE(CONTROL!$C$9, $C$13, 100%, $E$13) + CHOOSE(CONTROL!$C$28, 0, 0)</f>
        <v>126.104739188997</v>
      </c>
    </row>
    <row r="261" spans="1:5" ht="15">
      <c r="A261" s="14">
        <v>49796</v>
      </c>
      <c r="B261" s="4">
        <f>22.0022 * CHOOSE(CONTROL!$C$9, $C$13, 100%, $E$13) + CHOOSE(CONTROL!$C$28, 0.0276, 0)</f>
        <v>22.029799999999998</v>
      </c>
      <c r="C261" s="4">
        <f>21.6897 * CHOOSE(CONTROL!$C$9, $C$13, 100%, $E$13) + CHOOSE(CONTROL!$C$28, 0.0276, 0)</f>
        <v>21.717299999999998</v>
      </c>
      <c r="D261" s="4">
        <f>28.1784 * CHOOSE(CONTROL!$C$9, $C$13, 100%, $E$13) + CHOOSE(CONTROL!$C$28, 0, 0)</f>
        <v>28.1784</v>
      </c>
      <c r="E261" s="4">
        <f>129.124358789501 * CHOOSE(CONTROL!$C$9, $C$13, 100%, $E$13) + CHOOSE(CONTROL!$C$28, 0, 0)</f>
        <v>129.124358789501</v>
      </c>
    </row>
    <row r="262" spans="1:5" ht="15">
      <c r="A262" s="14">
        <v>49827</v>
      </c>
      <c r="B262" s="4">
        <f>22.0659 * CHOOSE(CONTROL!$C$9, $C$13, 100%, $E$13) + CHOOSE(CONTROL!$C$28, 0.0276, 0)</f>
        <v>22.093499999999999</v>
      </c>
      <c r="C262" s="4">
        <f>21.7534 * CHOOSE(CONTROL!$C$9, $C$13, 100%, $E$13) + CHOOSE(CONTROL!$C$28, 0.0276, 0)</f>
        <v>21.780999999999999</v>
      </c>
      <c r="D262" s="4">
        <f>28.4252 * CHOOSE(CONTROL!$C$9, $C$13, 100%, $E$13) + CHOOSE(CONTROL!$C$28, 0, 0)</f>
        <v>28.4252</v>
      </c>
      <c r="E262" s="4">
        <f>129.532925853128 * CHOOSE(CONTROL!$C$9, $C$13, 100%, $E$13) + CHOOSE(CONTROL!$C$28, 0, 0)</f>
        <v>129.53292585312801</v>
      </c>
    </row>
    <row r="263" spans="1:5" ht="15">
      <c r="A263" s="14">
        <v>49857</v>
      </c>
      <c r="B263" s="4">
        <f>22.0594 * CHOOSE(CONTROL!$C$9, $C$13, 100%, $E$13) + CHOOSE(CONTROL!$C$28, 0.0276, 0)</f>
        <v>22.087</v>
      </c>
      <c r="C263" s="4">
        <f>21.7469 * CHOOSE(CONTROL!$C$9, $C$13, 100%, $E$13) + CHOOSE(CONTROL!$C$28, 0.0276, 0)</f>
        <v>21.7745</v>
      </c>
      <c r="D263" s="4">
        <f>28.8705 * CHOOSE(CONTROL!$C$9, $C$13, 100%, $E$13) + CHOOSE(CONTROL!$C$28, 0, 0)</f>
        <v>28.8705</v>
      </c>
      <c r="E263" s="4">
        <f>129.491725813099 * CHOOSE(CONTROL!$C$9, $C$13, 100%, $E$13) + CHOOSE(CONTROL!$C$28, 0, 0)</f>
        <v>129.49172581309901</v>
      </c>
    </row>
    <row r="264" spans="1:5" ht="15">
      <c r="A264" s="14">
        <v>49888</v>
      </c>
      <c r="B264" s="4">
        <f>22.5427 * CHOOSE(CONTROL!$C$9, $C$13, 100%, $E$13) + CHOOSE(CONTROL!$C$28, 0.0276, 0)</f>
        <v>22.5703</v>
      </c>
      <c r="C264" s="4">
        <f>22.2302 * CHOOSE(CONTROL!$C$9, $C$13, 100%, $E$13) + CHOOSE(CONTROL!$C$28, 0.0276, 0)</f>
        <v>22.2578</v>
      </c>
      <c r="D264" s="4">
        <f>28.5764 * CHOOSE(CONTROL!$C$9, $C$13, 100%, $E$13) + CHOOSE(CONTROL!$C$28, 0, 0)</f>
        <v>28.5764</v>
      </c>
      <c r="E264" s="4">
        <f>132.592028825328 * CHOOSE(CONTROL!$C$9, $C$13, 100%, $E$13) + CHOOSE(CONTROL!$C$28, 0, 0)</f>
        <v>132.59202882532799</v>
      </c>
    </row>
    <row r="265" spans="1:5" ht="15">
      <c r="A265" s="14">
        <v>49919</v>
      </c>
      <c r="B265" s="4">
        <f>21.7191 * CHOOSE(CONTROL!$C$9, $C$13, 100%, $E$13) + CHOOSE(CONTROL!$C$28, 0.0276, 0)</f>
        <v>21.746700000000001</v>
      </c>
      <c r="C265" s="4">
        <f>21.4066 * CHOOSE(CONTROL!$C$9, $C$13, 100%, $E$13) + CHOOSE(CONTROL!$C$28, 0.0276, 0)</f>
        <v>21.434200000000001</v>
      </c>
      <c r="D265" s="4">
        <f>28.4375 * CHOOSE(CONTROL!$C$9, $C$13, 100%, $E$13) + CHOOSE(CONTROL!$C$28, 0, 0)</f>
        <v>28.4375</v>
      </c>
      <c r="E265" s="4">
        <f>127.308123691529 * CHOOSE(CONTROL!$C$9, $C$13, 100%, $E$13) + CHOOSE(CONTROL!$C$28, 0, 0)</f>
        <v>127.308123691529</v>
      </c>
    </row>
    <row r="266" spans="1:5" ht="15">
      <c r="A266" s="14">
        <v>49949</v>
      </c>
      <c r="B266" s="4">
        <f>21.0597 * CHOOSE(CONTROL!$C$9, $C$13, 100%, $E$13) + CHOOSE(CONTROL!$C$28, 0.0003, 0)</f>
        <v>21.06</v>
      </c>
      <c r="C266" s="4">
        <f>20.7472 * CHOOSE(CONTROL!$C$9, $C$13, 100%, $E$13) + CHOOSE(CONTROL!$C$28, 0.0003, 0)</f>
        <v>20.747499999999999</v>
      </c>
      <c r="D266" s="4">
        <f>28.0654 * CHOOSE(CONTROL!$C$9, $C$13, 100%, $E$13) + CHOOSE(CONTROL!$C$28, 0, 0)</f>
        <v>28.0654</v>
      </c>
      <c r="E266" s="4">
        <f>123.078252915154 * CHOOSE(CONTROL!$C$9, $C$13, 100%, $E$13) + CHOOSE(CONTROL!$C$28, 0, 0)</f>
        <v>123.078252915154</v>
      </c>
    </row>
    <row r="267" spans="1:5" ht="15">
      <c r="A267" s="14">
        <v>49980</v>
      </c>
      <c r="B267" s="4">
        <f>20.6351 * CHOOSE(CONTROL!$C$9, $C$13, 100%, $E$13) + CHOOSE(CONTROL!$C$28, 0.0003, 0)</f>
        <v>20.635400000000001</v>
      </c>
      <c r="C267" s="4">
        <f>20.3226 * CHOOSE(CONTROL!$C$9, $C$13, 100%, $E$13) + CHOOSE(CONTROL!$C$28, 0.0003, 0)</f>
        <v>20.322900000000001</v>
      </c>
      <c r="D267" s="4">
        <f>27.9375 * CHOOSE(CONTROL!$C$9, $C$13, 100%, $E$13) + CHOOSE(CONTROL!$C$28, 0, 0)</f>
        <v>27.9375</v>
      </c>
      <c r="E267" s="4">
        <f>120.353900268196 * CHOOSE(CONTROL!$C$9, $C$13, 100%, $E$13) + CHOOSE(CONTROL!$C$28, 0, 0)</f>
        <v>120.353900268196</v>
      </c>
    </row>
    <row r="268" spans="1:5" ht="15">
      <c r="A268" s="14">
        <v>50010</v>
      </c>
      <c r="B268" s="4">
        <f>20.3413 * CHOOSE(CONTROL!$C$9, $C$13, 100%, $E$13) + CHOOSE(CONTROL!$C$28, 0.0003, 0)</f>
        <v>20.3416</v>
      </c>
      <c r="C268" s="4">
        <f>20.0288 * CHOOSE(CONTROL!$C$9, $C$13, 100%, $E$13) + CHOOSE(CONTROL!$C$28, 0.0003, 0)</f>
        <v>20.0291</v>
      </c>
      <c r="D268" s="4">
        <f>26.9959 * CHOOSE(CONTROL!$C$9, $C$13, 100%, $E$13) + CHOOSE(CONTROL!$C$28, 0, 0)</f>
        <v>26.995899999999999</v>
      </c>
      <c r="E268" s="4">
        <f>118.468998436841 * CHOOSE(CONTROL!$C$9, $C$13, 100%, $E$13) + CHOOSE(CONTROL!$C$28, 0, 0)</f>
        <v>118.46899843684101</v>
      </c>
    </row>
    <row r="269" spans="1:5" ht="15">
      <c r="A269" s="14">
        <v>50041</v>
      </c>
      <c r="B269" s="4">
        <f>19.8639 * CHOOSE(CONTROL!$C$9, $C$13, 100%, $E$13) + CHOOSE(CONTROL!$C$28, 0.0003, 0)</f>
        <v>19.8642</v>
      </c>
      <c r="C269" s="4">
        <f>19.5514 * CHOOSE(CONTROL!$C$9, $C$13, 100%, $E$13) + CHOOSE(CONTROL!$C$28, 0.0003, 0)</f>
        <v>19.5517</v>
      </c>
      <c r="D269" s="4">
        <f>26.1305 * CHOOSE(CONTROL!$C$9, $C$13, 100%, $E$13) + CHOOSE(CONTROL!$C$28, 0, 0)</f>
        <v>26.130500000000001</v>
      </c>
      <c r="E269" s="4">
        <f>115.071759011111 * CHOOSE(CONTROL!$C$9, $C$13, 100%, $E$13) + CHOOSE(CONTROL!$C$28, 0, 0)</f>
        <v>115.071759011111</v>
      </c>
    </row>
    <row r="270" spans="1:5" ht="15">
      <c r="A270" s="14">
        <v>50072</v>
      </c>
      <c r="B270" s="4">
        <f>20.291 * CHOOSE(CONTROL!$C$9, $C$13, 100%, $E$13) + CHOOSE(CONTROL!$C$28, 0.0003, 0)</f>
        <v>20.2913</v>
      </c>
      <c r="C270" s="4">
        <f>19.9785 * CHOOSE(CONTROL!$C$9, $C$13, 100%, $E$13) + CHOOSE(CONTROL!$C$28, 0.0003, 0)</f>
        <v>19.9788</v>
      </c>
      <c r="D270" s="4">
        <f>27.002 * CHOOSE(CONTROL!$C$9, $C$13, 100%, $E$13) + CHOOSE(CONTROL!$C$28, 0, 0)</f>
        <v>27.001999999999999</v>
      </c>
      <c r="E270" s="4">
        <f>117.804016057416 * CHOOSE(CONTROL!$C$9, $C$13, 100%, $E$13) + CHOOSE(CONTROL!$C$28, 0, 0)</f>
        <v>117.80401605741601</v>
      </c>
    </row>
    <row r="271" spans="1:5" ht="15">
      <c r="A271" s="14">
        <v>50100</v>
      </c>
      <c r="B271" s="4">
        <f>21.4127 * CHOOSE(CONTROL!$C$9, $C$13, 100%, $E$13) + CHOOSE(CONTROL!$C$28, 0.0003, 0)</f>
        <v>21.413</v>
      </c>
      <c r="C271" s="4">
        <f>21.1002 * CHOOSE(CONTROL!$C$9, $C$13, 100%, $E$13) + CHOOSE(CONTROL!$C$28, 0.0003, 0)</f>
        <v>21.1005</v>
      </c>
      <c r="D271" s="4">
        <f>28.3662 * CHOOSE(CONTROL!$C$9, $C$13, 100%, $E$13) + CHOOSE(CONTROL!$C$28, 0, 0)</f>
        <v>28.366199999999999</v>
      </c>
      <c r="E271" s="4">
        <f>124.979068261971 * CHOOSE(CONTROL!$C$9, $C$13, 100%, $E$13) + CHOOSE(CONTROL!$C$28, 0, 0)</f>
        <v>124.97906826197099</v>
      </c>
    </row>
    <row r="272" spans="1:5" ht="15">
      <c r="A272" s="14">
        <v>50131</v>
      </c>
      <c r="B272" s="4">
        <f>22.2096 * CHOOSE(CONTROL!$C$9, $C$13, 100%, $E$13) + CHOOSE(CONTROL!$C$28, 0.0003, 0)</f>
        <v>22.209899999999998</v>
      </c>
      <c r="C272" s="4">
        <f>21.8971 * CHOOSE(CONTROL!$C$9, $C$13, 100%, $E$13) + CHOOSE(CONTROL!$C$28, 0.0003, 0)</f>
        <v>21.897399999999998</v>
      </c>
      <c r="D272" s="4">
        <f>29.1521 * CHOOSE(CONTROL!$C$9, $C$13, 100%, $E$13) + CHOOSE(CONTROL!$C$28, 0, 0)</f>
        <v>29.152100000000001</v>
      </c>
      <c r="E272" s="4">
        <f>130.07703847345 * CHOOSE(CONTROL!$C$9, $C$13, 100%, $E$13) + CHOOSE(CONTROL!$C$28, 0, 0)</f>
        <v>130.07703847344999</v>
      </c>
    </row>
    <row r="273" spans="1:5" ht="15">
      <c r="A273" s="14">
        <v>50161</v>
      </c>
      <c r="B273" s="4">
        <f>22.6966 * CHOOSE(CONTROL!$C$9, $C$13, 100%, $E$13) + CHOOSE(CONTROL!$C$28, 0.0276, 0)</f>
        <v>22.7242</v>
      </c>
      <c r="C273" s="4">
        <f>22.3841 * CHOOSE(CONTROL!$C$9, $C$13, 100%, $E$13) + CHOOSE(CONTROL!$C$28, 0.0276, 0)</f>
        <v>22.4117</v>
      </c>
      <c r="D273" s="4">
        <f>28.8416 * CHOOSE(CONTROL!$C$9, $C$13, 100%, $E$13) + CHOOSE(CONTROL!$C$28, 0, 0)</f>
        <v>28.8416</v>
      </c>
      <c r="E273" s="4">
        <f>133.191776091371 * CHOOSE(CONTROL!$C$9, $C$13, 100%, $E$13) + CHOOSE(CONTROL!$C$28, 0, 0)</f>
        <v>133.191776091371</v>
      </c>
    </row>
    <row r="274" spans="1:5" ht="15">
      <c r="A274" s="14">
        <v>50192</v>
      </c>
      <c r="B274" s="4">
        <f>22.7624 * CHOOSE(CONTROL!$C$9, $C$13, 100%, $E$13) + CHOOSE(CONTROL!$C$28, 0.0276, 0)</f>
        <v>22.79</v>
      </c>
      <c r="C274" s="4">
        <f>22.4499 * CHOOSE(CONTROL!$C$9, $C$13, 100%, $E$13) + CHOOSE(CONTROL!$C$28, 0.0276, 0)</f>
        <v>22.477499999999999</v>
      </c>
      <c r="D274" s="4">
        <f>29.0945 * CHOOSE(CONTROL!$C$9, $C$13, 100%, $E$13) + CHOOSE(CONTROL!$C$28, 0, 0)</f>
        <v>29.0945</v>
      </c>
      <c r="E274" s="4">
        <f>133.613213017502 * CHOOSE(CONTROL!$C$9, $C$13, 100%, $E$13) + CHOOSE(CONTROL!$C$28, 0, 0)</f>
        <v>133.61321301750201</v>
      </c>
    </row>
    <row r="275" spans="1:5" ht="15">
      <c r="A275" s="14">
        <v>50222</v>
      </c>
      <c r="B275" s="4">
        <f>22.7558 * CHOOSE(CONTROL!$C$9, $C$13, 100%, $E$13) + CHOOSE(CONTROL!$C$28, 0.0276, 0)</f>
        <v>22.7834</v>
      </c>
      <c r="C275" s="4">
        <f>22.4433 * CHOOSE(CONTROL!$C$9, $C$13, 100%, $E$13) + CHOOSE(CONTROL!$C$28, 0.0276, 0)</f>
        <v>22.4709</v>
      </c>
      <c r="D275" s="4">
        <f>29.5508 * CHOOSE(CONTROL!$C$9, $C$13, 100%, $E$13) + CHOOSE(CONTROL!$C$28, 0, 0)</f>
        <v>29.550799999999999</v>
      </c>
      <c r="E275" s="4">
        <f>133.570715176211 * CHOOSE(CONTROL!$C$9, $C$13, 100%, $E$13) + CHOOSE(CONTROL!$C$28, 0, 0)</f>
        <v>133.570715176211</v>
      </c>
    </row>
    <row r="276" spans="1:5" ht="15">
      <c r="A276" s="14">
        <v>50253</v>
      </c>
      <c r="B276" s="4">
        <f>23.2557 * CHOOSE(CONTROL!$C$9, $C$13, 100%, $E$13) + CHOOSE(CONTROL!$C$28, 0.0276, 0)</f>
        <v>23.283300000000001</v>
      </c>
      <c r="C276" s="4">
        <f>22.9432 * CHOOSE(CONTROL!$C$9, $C$13, 100%, $E$13) + CHOOSE(CONTROL!$C$28, 0.0276, 0)</f>
        <v>22.970800000000001</v>
      </c>
      <c r="D276" s="4">
        <f>29.2494 * CHOOSE(CONTROL!$C$9, $C$13, 100%, $E$13) + CHOOSE(CONTROL!$C$28, 0, 0)</f>
        <v>29.249400000000001</v>
      </c>
      <c r="E276" s="4">
        <f>136.768677733326 * CHOOSE(CONTROL!$C$9, $C$13, 100%, $E$13) + CHOOSE(CONTROL!$C$28, 0, 0)</f>
        <v>136.768677733326</v>
      </c>
    </row>
    <row r="277" spans="1:5" ht="15">
      <c r="A277" s="14">
        <v>50284</v>
      </c>
      <c r="B277" s="4">
        <f>22.4037 * CHOOSE(CONTROL!$C$9, $C$13, 100%, $E$13) + CHOOSE(CONTROL!$C$28, 0.0276, 0)</f>
        <v>22.4313</v>
      </c>
      <c r="C277" s="4">
        <f>22.0912 * CHOOSE(CONTROL!$C$9, $C$13, 100%, $E$13) + CHOOSE(CONTROL!$C$28, 0.0276, 0)</f>
        <v>22.1188</v>
      </c>
      <c r="D277" s="4">
        <f>29.107 * CHOOSE(CONTROL!$C$9, $C$13, 100%, $E$13) + CHOOSE(CONTROL!$C$28, 0, 0)</f>
        <v>29.106999999999999</v>
      </c>
      <c r="E277" s="4">
        <f>131.318329587812 * CHOOSE(CONTROL!$C$9, $C$13, 100%, $E$13) + CHOOSE(CONTROL!$C$28, 0, 0)</f>
        <v>131.318329587812</v>
      </c>
    </row>
    <row r="278" spans="1:5" ht="15">
      <c r="A278" s="14">
        <v>50314</v>
      </c>
      <c r="B278" s="4">
        <f>21.7216 * CHOOSE(CONTROL!$C$9, $C$13, 100%, $E$13) + CHOOSE(CONTROL!$C$28, 0.0003, 0)</f>
        <v>21.721899999999998</v>
      </c>
      <c r="C278" s="4">
        <f>21.4091 * CHOOSE(CONTROL!$C$9, $C$13, 100%, $E$13) + CHOOSE(CONTROL!$C$28, 0.0003, 0)</f>
        <v>21.409399999999998</v>
      </c>
      <c r="D278" s="4">
        <f>28.7258 * CHOOSE(CONTROL!$C$9, $C$13, 100%, $E$13) + CHOOSE(CONTROL!$C$28, 0, 0)</f>
        <v>28.7258</v>
      </c>
      <c r="E278" s="4">
        <f>126.955217881982 * CHOOSE(CONTROL!$C$9, $C$13, 100%, $E$13) + CHOOSE(CONTROL!$C$28, 0, 0)</f>
        <v>126.95521788198199</v>
      </c>
    </row>
    <row r="279" spans="1:5" ht="15">
      <c r="A279" s="14">
        <v>50345</v>
      </c>
      <c r="B279" s="4">
        <f>21.2823 * CHOOSE(CONTROL!$C$9, $C$13, 100%, $E$13) + CHOOSE(CONTROL!$C$28, 0.0003, 0)</f>
        <v>21.282599999999999</v>
      </c>
      <c r="C279" s="4">
        <f>20.9698 * CHOOSE(CONTROL!$C$9, $C$13, 100%, $E$13) + CHOOSE(CONTROL!$C$28, 0.0003, 0)</f>
        <v>20.970099999999999</v>
      </c>
      <c r="D279" s="4">
        <f>28.5947 * CHOOSE(CONTROL!$C$9, $C$13, 100%, $E$13) + CHOOSE(CONTROL!$C$28, 0, 0)</f>
        <v>28.5947</v>
      </c>
      <c r="E279" s="4">
        <f>124.145048126644 * CHOOSE(CONTROL!$C$9, $C$13, 100%, $E$13) + CHOOSE(CONTROL!$C$28, 0, 0)</f>
        <v>124.145048126644</v>
      </c>
    </row>
    <row r="280" spans="1:5" ht="15">
      <c r="A280" s="14">
        <v>50375</v>
      </c>
      <c r="B280" s="4">
        <f>20.9784 * CHOOSE(CONTROL!$C$9, $C$13, 100%, $E$13) + CHOOSE(CONTROL!$C$28, 0.0003, 0)</f>
        <v>20.9787</v>
      </c>
      <c r="C280" s="4">
        <f>20.6659 * CHOOSE(CONTROL!$C$9, $C$13, 100%, $E$13) + CHOOSE(CONTROL!$C$28, 0.0003, 0)</f>
        <v>20.6662</v>
      </c>
      <c r="D280" s="4">
        <f>27.6297 * CHOOSE(CONTROL!$C$9, $C$13, 100%, $E$13) + CHOOSE(CONTROL!$C$28, 0, 0)</f>
        <v>27.6297</v>
      </c>
      <c r="E280" s="4">
        <f>122.200771887601 * CHOOSE(CONTROL!$C$9, $C$13, 100%, $E$13) + CHOOSE(CONTROL!$C$28, 0, 0)</f>
        <v>122.20077188760099</v>
      </c>
    </row>
    <row r="281" spans="1:5" ht="15">
      <c r="A281" s="13">
        <v>50436</v>
      </c>
      <c r="B281" s="4">
        <f>20.4845 * CHOOSE(CONTROL!$C$9, $C$13, 100%, $E$13) + CHOOSE(CONTROL!$C$28, 0.0003, 0)</f>
        <v>20.4848</v>
      </c>
      <c r="C281" s="4">
        <f>20.172 * CHOOSE(CONTROL!$C$9, $C$13, 100%, $E$13) + CHOOSE(CONTROL!$C$28, 0.0003, 0)</f>
        <v>20.1723</v>
      </c>
      <c r="D281" s="4">
        <f>26.7428 * CHOOSE(CONTROL!$C$9, $C$13, 100%, $E$13) + CHOOSE(CONTROL!$C$28, 0, 0)</f>
        <v>26.742799999999999</v>
      </c>
      <c r="E281" s="4">
        <f>118.696519419961 * CHOOSE(CONTROL!$C$9, $C$13, 100%, $E$13) + CHOOSE(CONTROL!$C$28, 0, 0)</f>
        <v>118.69651941996101</v>
      </c>
    </row>
    <row r="282" spans="1:5" ht="15">
      <c r="A282" s="13">
        <v>50464</v>
      </c>
      <c r="B282" s="4">
        <f>20.9264 * CHOOSE(CONTROL!$C$9, $C$13, 100%, $E$13) + CHOOSE(CONTROL!$C$28, 0.0003, 0)</f>
        <v>20.9267</v>
      </c>
      <c r="C282" s="4">
        <f>20.6139 * CHOOSE(CONTROL!$C$9, $C$13, 100%, $E$13) + CHOOSE(CONTROL!$C$28, 0.0003, 0)</f>
        <v>20.6142</v>
      </c>
      <c r="D282" s="4">
        <f>27.6359 * CHOOSE(CONTROL!$C$9, $C$13, 100%, $E$13) + CHOOSE(CONTROL!$C$28, 0, 0)</f>
        <v>27.635899999999999</v>
      </c>
      <c r="E282" s="4">
        <f>121.514842563225 * CHOOSE(CONTROL!$C$9, $C$13, 100%, $E$13) + CHOOSE(CONTROL!$C$28, 0, 0)</f>
        <v>121.514842563225</v>
      </c>
    </row>
    <row r="283" spans="1:5" ht="15">
      <c r="A283" s="13">
        <v>50495</v>
      </c>
      <c r="B283" s="4">
        <f>22.0867 * CHOOSE(CONTROL!$C$9, $C$13, 100%, $E$13) + CHOOSE(CONTROL!$C$28, 0.0003, 0)</f>
        <v>22.087</v>
      </c>
      <c r="C283" s="4">
        <f>21.7742 * CHOOSE(CONTROL!$C$9, $C$13, 100%, $E$13) + CHOOSE(CONTROL!$C$28, 0.0003, 0)</f>
        <v>21.7745</v>
      </c>
      <c r="D283" s="4">
        <f>29.0341 * CHOOSE(CONTROL!$C$9, $C$13, 100%, $E$13) + CHOOSE(CONTROL!$C$28, 0, 0)</f>
        <v>29.034099999999999</v>
      </c>
      <c r="E283" s="4">
        <f>128.915908912223 * CHOOSE(CONTROL!$C$9, $C$13, 100%, $E$13) + CHOOSE(CONTROL!$C$28, 0, 0)</f>
        <v>128.91590891222299</v>
      </c>
    </row>
    <row r="284" spans="1:5" ht="15">
      <c r="A284" s="13">
        <v>50525</v>
      </c>
      <c r="B284" s="4">
        <f>22.9112 * CHOOSE(CONTROL!$C$9, $C$13, 100%, $E$13) + CHOOSE(CONTROL!$C$28, 0.0003, 0)</f>
        <v>22.9115</v>
      </c>
      <c r="C284" s="4">
        <f>22.5987 * CHOOSE(CONTROL!$C$9, $C$13, 100%, $E$13) + CHOOSE(CONTROL!$C$28, 0.0003, 0)</f>
        <v>22.599</v>
      </c>
      <c r="D284" s="4">
        <f>29.8394 * CHOOSE(CONTROL!$C$9, $C$13, 100%, $E$13) + CHOOSE(CONTROL!$C$28, 0, 0)</f>
        <v>29.839400000000001</v>
      </c>
      <c r="E284" s="4">
        <f>134.174465185364 * CHOOSE(CONTROL!$C$9, $C$13, 100%, $E$13) + CHOOSE(CONTROL!$C$28, 0, 0)</f>
        <v>134.174465185364</v>
      </c>
    </row>
    <row r="285" spans="1:5" ht="15">
      <c r="A285" s="13">
        <v>50556</v>
      </c>
      <c r="B285" s="4">
        <f>23.4149 * CHOOSE(CONTROL!$C$9, $C$13, 100%, $E$13) + CHOOSE(CONTROL!$C$28, 0.0276, 0)</f>
        <v>23.442499999999999</v>
      </c>
      <c r="C285" s="4">
        <f>23.1024 * CHOOSE(CONTROL!$C$9, $C$13, 100%, $E$13) + CHOOSE(CONTROL!$C$28, 0.0276, 0)</f>
        <v>23.13</v>
      </c>
      <c r="D285" s="4">
        <f>29.5212 * CHOOSE(CONTROL!$C$9, $C$13, 100%, $E$13) + CHOOSE(CONTROL!$C$28, 0, 0)</f>
        <v>29.5212</v>
      </c>
      <c r="E285" s="4">
        <f>137.387317038249 * CHOOSE(CONTROL!$C$9, $C$13, 100%, $E$13) + CHOOSE(CONTROL!$C$28, 0, 0)</f>
        <v>137.38731703824899</v>
      </c>
    </row>
    <row r="286" spans="1:5" ht="15">
      <c r="A286" s="13">
        <v>50586</v>
      </c>
      <c r="B286" s="4">
        <f>23.4831 * CHOOSE(CONTROL!$C$9, $C$13, 100%, $E$13) + CHOOSE(CONTROL!$C$28, 0.0276, 0)</f>
        <v>23.5107</v>
      </c>
      <c r="C286" s="4">
        <f>23.1706 * CHOOSE(CONTROL!$C$9, $C$13, 100%, $E$13) + CHOOSE(CONTROL!$C$28, 0.0276, 0)</f>
        <v>23.1982</v>
      </c>
      <c r="D286" s="4">
        <f>29.7804 * CHOOSE(CONTROL!$C$9, $C$13, 100%, $E$13) + CHOOSE(CONTROL!$C$28, 0, 0)</f>
        <v>29.7804</v>
      </c>
      <c r="E286" s="4">
        <f>137.822029227553 * CHOOSE(CONTROL!$C$9, $C$13, 100%, $E$13) + CHOOSE(CONTROL!$C$28, 0, 0)</f>
        <v>137.822029227553</v>
      </c>
    </row>
    <row r="287" spans="1:5" ht="15">
      <c r="A287" s="13">
        <v>50617</v>
      </c>
      <c r="B287" s="4">
        <f>23.4762 * CHOOSE(CONTROL!$C$9, $C$13, 100%, $E$13) + CHOOSE(CONTROL!$C$28, 0.0276, 0)</f>
        <v>23.503799999999998</v>
      </c>
      <c r="C287" s="4">
        <f>23.1637 * CHOOSE(CONTROL!$C$9, $C$13, 100%, $E$13) + CHOOSE(CONTROL!$C$28, 0.0276, 0)</f>
        <v>23.191299999999998</v>
      </c>
      <c r="D287" s="4">
        <f>30.248 * CHOOSE(CONTROL!$C$9, $C$13, 100%, $E$13) + CHOOSE(CONTROL!$C$28, 0, 0)</f>
        <v>30.248000000000001</v>
      </c>
      <c r="E287" s="4">
        <f>137.778192704262 * CHOOSE(CONTROL!$C$9, $C$13, 100%, $E$13) + CHOOSE(CONTROL!$C$28, 0, 0)</f>
        <v>137.77819270426201</v>
      </c>
    </row>
    <row r="288" spans="1:5" ht="15">
      <c r="A288" s="13">
        <v>50648</v>
      </c>
      <c r="B288" s="4">
        <f>23.9934 * CHOOSE(CONTROL!$C$9, $C$13, 100%, $E$13) + CHOOSE(CONTROL!$C$28, 0.0276, 0)</f>
        <v>24.021000000000001</v>
      </c>
      <c r="C288" s="4">
        <f>23.6809 * CHOOSE(CONTROL!$C$9, $C$13, 100%, $E$13) + CHOOSE(CONTROL!$C$28, 0.0276, 0)</f>
        <v>23.708500000000001</v>
      </c>
      <c r="D288" s="4">
        <f>29.9392 * CHOOSE(CONTROL!$C$9, $C$13, 100%, $E$13) + CHOOSE(CONTROL!$C$28, 0, 0)</f>
        <v>29.9392</v>
      </c>
      <c r="E288" s="4">
        <f>141.076891081925 * CHOOSE(CONTROL!$C$9, $C$13, 100%, $E$13) + CHOOSE(CONTROL!$C$28, 0, 0)</f>
        <v>141.076891081925</v>
      </c>
    </row>
    <row r="289" spans="1:5" ht="15">
      <c r="A289" s="13">
        <v>50678</v>
      </c>
      <c r="B289" s="4">
        <f>23.1119 * CHOOSE(CONTROL!$C$9, $C$13, 100%, $E$13) + CHOOSE(CONTROL!$C$28, 0.0276, 0)</f>
        <v>23.139499999999998</v>
      </c>
      <c r="C289" s="4">
        <f>22.7994 * CHOOSE(CONTROL!$C$9, $C$13, 100%, $E$13) + CHOOSE(CONTROL!$C$28, 0.0276, 0)</f>
        <v>22.826999999999998</v>
      </c>
      <c r="D289" s="4">
        <f>29.7932 * CHOOSE(CONTROL!$C$9, $C$13, 100%, $E$13) + CHOOSE(CONTROL!$C$28, 0, 0)</f>
        <v>29.793199999999999</v>
      </c>
      <c r="E289" s="4">
        <f>135.454856969828 * CHOOSE(CONTROL!$C$9, $C$13, 100%, $E$13) + CHOOSE(CONTROL!$C$28, 0, 0)</f>
        <v>135.454856969828</v>
      </c>
    </row>
    <row r="290" spans="1:5" ht="15">
      <c r="A290" s="13">
        <v>50709</v>
      </c>
      <c r="B290" s="4">
        <f>22.4063 * CHOOSE(CONTROL!$C$9, $C$13, 100%, $E$13) + CHOOSE(CONTROL!$C$28, 0.0003, 0)</f>
        <v>22.406600000000001</v>
      </c>
      <c r="C290" s="4">
        <f>22.0938 * CHOOSE(CONTROL!$C$9, $C$13, 100%, $E$13) + CHOOSE(CONTROL!$C$28, 0.0003, 0)</f>
        <v>22.094100000000001</v>
      </c>
      <c r="D290" s="4">
        <f>29.4025 * CHOOSE(CONTROL!$C$9, $C$13, 100%, $E$13) + CHOOSE(CONTROL!$C$28, 0, 0)</f>
        <v>29.4025</v>
      </c>
      <c r="E290" s="4">
        <f>130.954307245264 * CHOOSE(CONTROL!$C$9, $C$13, 100%, $E$13) + CHOOSE(CONTROL!$C$28, 0, 0)</f>
        <v>130.954307245264</v>
      </c>
    </row>
    <row r="291" spans="1:5" ht="15">
      <c r="A291" s="13">
        <v>50739</v>
      </c>
      <c r="B291" s="4">
        <f>21.9519 * CHOOSE(CONTROL!$C$9, $C$13, 100%, $E$13) + CHOOSE(CONTROL!$C$28, 0.0003, 0)</f>
        <v>21.952199999999998</v>
      </c>
      <c r="C291" s="4">
        <f>21.6394 * CHOOSE(CONTROL!$C$9, $C$13, 100%, $E$13) + CHOOSE(CONTROL!$C$28, 0.0003, 0)</f>
        <v>21.639699999999998</v>
      </c>
      <c r="D291" s="4">
        <f>29.2682 * CHOOSE(CONTROL!$C$9, $C$13, 100%, $E$13) + CHOOSE(CONTROL!$C$28, 0, 0)</f>
        <v>29.2682</v>
      </c>
      <c r="E291" s="4">
        <f>128.055617142633 * CHOOSE(CONTROL!$C$9, $C$13, 100%, $E$13) + CHOOSE(CONTROL!$C$28, 0, 0)</f>
        <v>128.055617142633</v>
      </c>
    </row>
    <row r="292" spans="1:5" ht="15">
      <c r="A292" s="13">
        <v>50770</v>
      </c>
      <c r="B292" s="4">
        <f>21.6374 * CHOOSE(CONTROL!$C$9, $C$13, 100%, $E$13) + CHOOSE(CONTROL!$C$28, 0.0003, 0)</f>
        <v>21.637699999999999</v>
      </c>
      <c r="C292" s="4">
        <f>21.3249 * CHOOSE(CONTROL!$C$9, $C$13, 100%, $E$13) + CHOOSE(CONTROL!$C$28, 0.0003, 0)</f>
        <v>21.325199999999999</v>
      </c>
      <c r="D292" s="4">
        <f>28.2793 * CHOOSE(CONTROL!$C$9, $C$13, 100%, $E$13) + CHOOSE(CONTROL!$C$28, 0, 0)</f>
        <v>28.279299999999999</v>
      </c>
      <c r="E292" s="4">
        <f>126.050096202061 * CHOOSE(CONTROL!$C$9, $C$13, 100%, $E$13) + CHOOSE(CONTROL!$C$28, 0, 0)</f>
        <v>126.050096202061</v>
      </c>
    </row>
    <row r="293" spans="1:5" ht="15">
      <c r="A293" s="13">
        <v>50801</v>
      </c>
      <c r="B293" s="4">
        <f>21.1265 * CHOOSE(CONTROL!$C$9, $C$13, 100%, $E$13) + CHOOSE(CONTROL!$C$28, 0.0003, 0)</f>
        <v>21.126799999999999</v>
      </c>
      <c r="C293" s="4">
        <f>20.814 * CHOOSE(CONTROL!$C$9, $C$13, 100%, $E$13) + CHOOSE(CONTROL!$C$28, 0.0003, 0)</f>
        <v>20.814299999999999</v>
      </c>
      <c r="D293" s="4">
        <f>27.3704 * CHOOSE(CONTROL!$C$9, $C$13, 100%, $E$13) + CHOOSE(CONTROL!$C$28, 0, 0)</f>
        <v>27.3704</v>
      </c>
      <c r="E293" s="4">
        <f>122.435459781689 * CHOOSE(CONTROL!$C$9, $C$13, 100%, $E$13) + CHOOSE(CONTROL!$C$28, 0, 0)</f>
        <v>122.435459781689</v>
      </c>
    </row>
    <row r="294" spans="1:5" ht="15">
      <c r="A294" s="13">
        <v>50829</v>
      </c>
      <c r="B294" s="4">
        <f>21.5837 * CHOOSE(CONTROL!$C$9, $C$13, 100%, $E$13) + CHOOSE(CONTROL!$C$28, 0.0003, 0)</f>
        <v>21.584</v>
      </c>
      <c r="C294" s="4">
        <f>21.2712 * CHOOSE(CONTROL!$C$9, $C$13, 100%, $E$13) + CHOOSE(CONTROL!$C$28, 0.0003, 0)</f>
        <v>21.2715</v>
      </c>
      <c r="D294" s="4">
        <f>28.2857 * CHOOSE(CONTROL!$C$9, $C$13, 100%, $E$13) + CHOOSE(CONTROL!$C$28, 0, 0)</f>
        <v>28.285699999999999</v>
      </c>
      <c r="E294" s="4">
        <f>125.342560103966 * CHOOSE(CONTROL!$C$9, $C$13, 100%, $E$13) + CHOOSE(CONTROL!$C$28, 0, 0)</f>
        <v>125.34256010396599</v>
      </c>
    </row>
    <row r="295" spans="1:5" ht="15">
      <c r="A295" s="13">
        <v>50860</v>
      </c>
      <c r="B295" s="4">
        <f>22.784 * CHOOSE(CONTROL!$C$9, $C$13, 100%, $E$13) + CHOOSE(CONTROL!$C$28, 0.0003, 0)</f>
        <v>22.784299999999998</v>
      </c>
      <c r="C295" s="4">
        <f>22.4715 * CHOOSE(CONTROL!$C$9, $C$13, 100%, $E$13) + CHOOSE(CONTROL!$C$28, 0.0003, 0)</f>
        <v>22.471799999999998</v>
      </c>
      <c r="D295" s="4">
        <f>29.7184 * CHOOSE(CONTROL!$C$9, $C$13, 100%, $E$13) + CHOOSE(CONTROL!$C$28, 0, 0)</f>
        <v>29.718399999999999</v>
      </c>
      <c r="E295" s="4">
        <f>132.976760042958 * CHOOSE(CONTROL!$C$9, $C$13, 100%, $E$13) + CHOOSE(CONTROL!$C$28, 0, 0)</f>
        <v>132.97676004295801</v>
      </c>
    </row>
    <row r="296" spans="1:5" ht="15">
      <c r="A296" s="13">
        <v>50890</v>
      </c>
      <c r="B296" s="4">
        <f>23.6369 * CHOOSE(CONTROL!$C$9, $C$13, 100%, $E$13) + CHOOSE(CONTROL!$C$28, 0.0003, 0)</f>
        <v>23.6372</v>
      </c>
      <c r="C296" s="4">
        <f>23.3244 * CHOOSE(CONTROL!$C$9, $C$13, 100%, $E$13) + CHOOSE(CONTROL!$C$28, 0.0003, 0)</f>
        <v>23.3247</v>
      </c>
      <c r="D296" s="4">
        <f>30.5438 * CHOOSE(CONTROL!$C$9, $C$13, 100%, $E$13) + CHOOSE(CONTROL!$C$28, 0, 0)</f>
        <v>30.543800000000001</v>
      </c>
      <c r="E296" s="4">
        <f>138.400960838703 * CHOOSE(CONTROL!$C$9, $C$13, 100%, $E$13) + CHOOSE(CONTROL!$C$28, 0, 0)</f>
        <v>138.40096083870301</v>
      </c>
    </row>
    <row r="297" spans="1:5" ht="15">
      <c r="A297" s="13">
        <v>50921</v>
      </c>
      <c r="B297" s="4">
        <f>24.158 * CHOOSE(CONTROL!$C$9, $C$13, 100%, $E$13) + CHOOSE(CONTROL!$C$28, 0.0276, 0)</f>
        <v>24.185600000000001</v>
      </c>
      <c r="C297" s="4">
        <f>23.8455 * CHOOSE(CONTROL!$C$9, $C$13, 100%, $E$13) + CHOOSE(CONTROL!$C$28, 0.0276, 0)</f>
        <v>23.873100000000001</v>
      </c>
      <c r="D297" s="4">
        <f>30.2176 * CHOOSE(CONTROL!$C$9, $C$13, 100%, $E$13) + CHOOSE(CONTROL!$C$28, 0, 0)</f>
        <v>30.217600000000001</v>
      </c>
      <c r="E297" s="4">
        <f>141.715017524954 * CHOOSE(CONTROL!$C$9, $C$13, 100%, $E$13) + CHOOSE(CONTROL!$C$28, 0, 0)</f>
        <v>141.71501752495399</v>
      </c>
    </row>
    <row r="298" spans="1:5" ht="15">
      <c r="A298" s="13">
        <v>50951</v>
      </c>
      <c r="B298" s="4">
        <f>24.2285 * CHOOSE(CONTROL!$C$9, $C$13, 100%, $E$13) + CHOOSE(CONTROL!$C$28, 0.0276, 0)</f>
        <v>24.2561</v>
      </c>
      <c r="C298" s="4">
        <f>23.916 * CHOOSE(CONTROL!$C$9, $C$13, 100%, $E$13) + CHOOSE(CONTROL!$C$28, 0.0276, 0)</f>
        <v>23.9436</v>
      </c>
      <c r="D298" s="4">
        <f>30.4833 * CHOOSE(CONTROL!$C$9, $C$13, 100%, $E$13) + CHOOSE(CONTROL!$C$28, 0, 0)</f>
        <v>30.4833</v>
      </c>
      <c r="E298" s="4">
        <f>142.163423148221 * CHOOSE(CONTROL!$C$9, $C$13, 100%, $E$13) + CHOOSE(CONTROL!$C$28, 0, 0)</f>
        <v>142.163423148221</v>
      </c>
    </row>
    <row r="299" spans="1:5" ht="15">
      <c r="A299" s="13">
        <v>50982</v>
      </c>
      <c r="B299" s="4">
        <f>24.2214 * CHOOSE(CONTROL!$C$9, $C$13, 100%, $E$13) + CHOOSE(CONTROL!$C$28, 0.0276, 0)</f>
        <v>24.248999999999999</v>
      </c>
      <c r="C299" s="4">
        <f>23.9089 * CHOOSE(CONTROL!$C$9, $C$13, 100%, $E$13) + CHOOSE(CONTROL!$C$28, 0.0276, 0)</f>
        <v>23.936499999999999</v>
      </c>
      <c r="D299" s="4">
        <f>30.9625 * CHOOSE(CONTROL!$C$9, $C$13, 100%, $E$13) + CHOOSE(CONTROL!$C$28, 0, 0)</f>
        <v>30.962499999999999</v>
      </c>
      <c r="E299" s="4">
        <f>142.118205774446 * CHOOSE(CONTROL!$C$9, $C$13, 100%, $E$13) + CHOOSE(CONTROL!$C$28, 0, 0)</f>
        <v>142.11820577444601</v>
      </c>
    </row>
    <row r="300" spans="1:5" ht="15">
      <c r="A300" s="13">
        <v>51013</v>
      </c>
      <c r="B300" s="4">
        <f>24.7564 * CHOOSE(CONTROL!$C$9, $C$13, 100%, $E$13) + CHOOSE(CONTROL!$C$28, 0.0276, 0)</f>
        <v>24.783999999999999</v>
      </c>
      <c r="C300" s="4">
        <f>24.4439 * CHOOSE(CONTROL!$C$9, $C$13, 100%, $E$13) + CHOOSE(CONTROL!$C$28, 0.0276, 0)</f>
        <v>24.471499999999999</v>
      </c>
      <c r="D300" s="4">
        <f>30.646 * CHOOSE(CONTROL!$C$9, $C$13, 100%, $E$13) + CHOOSE(CONTROL!$C$28, 0, 0)</f>
        <v>30.646000000000001</v>
      </c>
      <c r="E300" s="4">
        <f>145.520813151006 * CHOOSE(CONTROL!$C$9, $C$13, 100%, $E$13) + CHOOSE(CONTROL!$C$28, 0, 0)</f>
        <v>145.520813151006</v>
      </c>
    </row>
    <row r="301" spans="1:5" ht="15">
      <c r="A301" s="13">
        <v>51043</v>
      </c>
      <c r="B301" s="4">
        <f>23.8446 * CHOOSE(CONTROL!$C$9, $C$13, 100%, $E$13) + CHOOSE(CONTROL!$C$28, 0.0276, 0)</f>
        <v>23.872199999999999</v>
      </c>
      <c r="C301" s="4">
        <f>23.5321 * CHOOSE(CONTROL!$C$9, $C$13, 100%, $E$13) + CHOOSE(CONTROL!$C$28, 0.0276, 0)</f>
        <v>23.559699999999999</v>
      </c>
      <c r="D301" s="4">
        <f>30.4965 * CHOOSE(CONTROL!$C$9, $C$13, 100%, $E$13) + CHOOSE(CONTROL!$C$28, 0, 0)</f>
        <v>30.496500000000001</v>
      </c>
      <c r="E301" s="4">
        <f>139.721684964378 * CHOOSE(CONTROL!$C$9, $C$13, 100%, $E$13) + CHOOSE(CONTROL!$C$28, 0, 0)</f>
        <v>139.721684964378</v>
      </c>
    </row>
    <row r="302" spans="1:5" ht="15">
      <c r="A302" s="13">
        <v>51074</v>
      </c>
      <c r="B302" s="4">
        <f>23.1147 * CHOOSE(CONTROL!$C$9, $C$13, 100%, $E$13) + CHOOSE(CONTROL!$C$28, 0.0003, 0)</f>
        <v>23.114999999999998</v>
      </c>
      <c r="C302" s="4">
        <f>22.8022 * CHOOSE(CONTROL!$C$9, $C$13, 100%, $E$13) + CHOOSE(CONTROL!$C$28, 0.0003, 0)</f>
        <v>22.802499999999998</v>
      </c>
      <c r="D302" s="4">
        <f>30.0961 * CHOOSE(CONTROL!$C$9, $C$13, 100%, $E$13) + CHOOSE(CONTROL!$C$28, 0, 0)</f>
        <v>30.0961</v>
      </c>
      <c r="E302" s="4">
        <f>135.07936792349 * CHOOSE(CONTROL!$C$9, $C$13, 100%, $E$13) + CHOOSE(CONTROL!$C$28, 0, 0)</f>
        <v>135.07936792349</v>
      </c>
    </row>
    <row r="303" spans="1:5" ht="15">
      <c r="A303" s="13">
        <v>51104</v>
      </c>
      <c r="B303" s="4">
        <f>22.6445 * CHOOSE(CONTROL!$C$9, $C$13, 100%, $E$13) + CHOOSE(CONTROL!$C$28, 0.0003, 0)</f>
        <v>22.6448</v>
      </c>
      <c r="C303" s="4">
        <f>22.332 * CHOOSE(CONTROL!$C$9, $C$13, 100%, $E$13) + CHOOSE(CONTROL!$C$28, 0.0003, 0)</f>
        <v>22.3323</v>
      </c>
      <c r="D303" s="4">
        <f>29.9584 * CHOOSE(CONTROL!$C$9, $C$13, 100%, $E$13) + CHOOSE(CONTROL!$C$28, 0, 0)</f>
        <v>29.958400000000001</v>
      </c>
      <c r="E303" s="4">
        <f>132.089369082626 * CHOOSE(CONTROL!$C$9, $C$13, 100%, $E$13) + CHOOSE(CONTROL!$C$28, 0, 0)</f>
        <v>132.08936908262601</v>
      </c>
    </row>
    <row r="304" spans="1:5" ht="15">
      <c r="A304" s="13">
        <v>51135</v>
      </c>
      <c r="B304" s="4">
        <f>22.3192 * CHOOSE(CONTROL!$C$9, $C$13, 100%, $E$13) + CHOOSE(CONTROL!$C$28, 0.0003, 0)</f>
        <v>22.319499999999998</v>
      </c>
      <c r="C304" s="4">
        <f>22.0067 * CHOOSE(CONTROL!$C$9, $C$13, 100%, $E$13) + CHOOSE(CONTROL!$C$28, 0.0003, 0)</f>
        <v>22.006999999999998</v>
      </c>
      <c r="D304" s="4">
        <f>28.945 * CHOOSE(CONTROL!$C$9, $C$13, 100%, $E$13) + CHOOSE(CONTROL!$C$28, 0, 0)</f>
        <v>28.945</v>
      </c>
      <c r="E304" s="4">
        <f>130.020674232426 * CHOOSE(CONTROL!$C$9, $C$13, 100%, $E$13) + CHOOSE(CONTROL!$C$28, 0, 0)</f>
        <v>130.02067423242599</v>
      </c>
    </row>
    <row r="305" spans="1:5" ht="15">
      <c r="A305" s="13">
        <v>51166</v>
      </c>
      <c r="B305" s="4">
        <f>21.7907 * CHOOSE(CONTROL!$C$9, $C$13, 100%, $E$13) + CHOOSE(CONTROL!$C$28, 0.0003, 0)</f>
        <v>21.791</v>
      </c>
      <c r="C305" s="4">
        <f>21.4782 * CHOOSE(CONTROL!$C$9, $C$13, 100%, $E$13) + CHOOSE(CONTROL!$C$28, 0.0003, 0)</f>
        <v>21.4785</v>
      </c>
      <c r="D305" s="4">
        <f>28.0135 * CHOOSE(CONTROL!$C$9, $C$13, 100%, $E$13) + CHOOSE(CONTROL!$C$28, 0, 0)</f>
        <v>28.013500000000001</v>
      </c>
      <c r="E305" s="4">
        <f>126.292176764813 * CHOOSE(CONTROL!$C$9, $C$13, 100%, $E$13) + CHOOSE(CONTROL!$C$28, 0, 0)</f>
        <v>126.29217676481299</v>
      </c>
    </row>
    <row r="306" spans="1:5" ht="15">
      <c r="A306" s="13">
        <v>51194</v>
      </c>
      <c r="B306" s="4">
        <f>22.2636 * CHOOSE(CONTROL!$C$9, $C$13, 100%, $E$13) + CHOOSE(CONTROL!$C$28, 0.0003, 0)</f>
        <v>22.2639</v>
      </c>
      <c r="C306" s="4">
        <f>21.9511 * CHOOSE(CONTROL!$C$9, $C$13, 100%, $E$13) + CHOOSE(CONTROL!$C$28, 0.0003, 0)</f>
        <v>21.9514</v>
      </c>
      <c r="D306" s="4">
        <f>28.9515 * CHOOSE(CONTROL!$C$9, $C$13, 100%, $E$13) + CHOOSE(CONTROL!$C$28, 0, 0)</f>
        <v>28.951499999999999</v>
      </c>
      <c r="E306" s="4">
        <f>129.290850747241 * CHOOSE(CONTROL!$C$9, $C$13, 100%, $E$13) + CHOOSE(CONTROL!$C$28, 0, 0)</f>
        <v>129.290850747241</v>
      </c>
    </row>
    <row r="307" spans="1:5" ht="15">
      <c r="A307" s="13">
        <v>51226</v>
      </c>
      <c r="B307" s="4">
        <f>23.5054 * CHOOSE(CONTROL!$C$9, $C$13, 100%, $E$13) + CHOOSE(CONTROL!$C$28, 0.0003, 0)</f>
        <v>23.505700000000001</v>
      </c>
      <c r="C307" s="4">
        <f>23.1929 * CHOOSE(CONTROL!$C$9, $C$13, 100%, $E$13) + CHOOSE(CONTROL!$C$28, 0.0003, 0)</f>
        <v>23.193200000000001</v>
      </c>
      <c r="D307" s="4">
        <f>30.4198 * CHOOSE(CONTROL!$C$9, $C$13, 100%, $E$13) + CHOOSE(CONTROL!$C$28, 0, 0)</f>
        <v>30.419799999999999</v>
      </c>
      <c r="E307" s="4">
        <f>137.165527984311 * CHOOSE(CONTROL!$C$9, $C$13, 100%, $E$13) + CHOOSE(CONTROL!$C$28, 0, 0)</f>
        <v>137.16552798431101</v>
      </c>
    </row>
    <row r="308" spans="1:5" ht="15">
      <c r="A308" s="13">
        <v>51256</v>
      </c>
      <c r="B308" s="4">
        <f>24.3877 * CHOOSE(CONTROL!$C$9, $C$13, 100%, $E$13) + CHOOSE(CONTROL!$C$28, 0.0003, 0)</f>
        <v>24.387999999999998</v>
      </c>
      <c r="C308" s="4">
        <f>24.0752 * CHOOSE(CONTROL!$C$9, $C$13, 100%, $E$13) + CHOOSE(CONTROL!$C$28, 0.0003, 0)</f>
        <v>24.075499999999998</v>
      </c>
      <c r="D308" s="4">
        <f>31.2656 * CHOOSE(CONTROL!$C$9, $C$13, 100%, $E$13) + CHOOSE(CONTROL!$C$28, 0, 0)</f>
        <v>31.265599999999999</v>
      </c>
      <c r="E308" s="4">
        <f>142.760591105122 * CHOOSE(CONTROL!$C$9, $C$13, 100%, $E$13) + CHOOSE(CONTROL!$C$28, 0, 0)</f>
        <v>142.76059110512199</v>
      </c>
    </row>
    <row r="309" spans="1:5" ht="15">
      <c r="A309" s="13">
        <v>51287</v>
      </c>
      <c r="B309" s="4">
        <f>24.9268 * CHOOSE(CONTROL!$C$9, $C$13, 100%, $E$13) + CHOOSE(CONTROL!$C$28, 0.0276, 0)</f>
        <v>24.9544</v>
      </c>
      <c r="C309" s="4">
        <f>24.6143 * CHOOSE(CONTROL!$C$9, $C$13, 100%, $E$13) + CHOOSE(CONTROL!$C$28, 0.0276, 0)</f>
        <v>24.6419</v>
      </c>
      <c r="D309" s="4">
        <f>30.9314 * CHOOSE(CONTROL!$C$9, $C$13, 100%, $E$13) + CHOOSE(CONTROL!$C$28, 0, 0)</f>
        <v>30.9314</v>
      </c>
      <c r="E309" s="4">
        <f>146.17904057699 * CHOOSE(CONTROL!$C$9, $C$13, 100%, $E$13) + CHOOSE(CONTROL!$C$28, 0, 0)</f>
        <v>146.17904057698999</v>
      </c>
    </row>
    <row r="310" spans="1:5" ht="15">
      <c r="A310" s="13">
        <v>51317</v>
      </c>
      <c r="B310" s="4">
        <f>24.9997 * CHOOSE(CONTROL!$C$9, $C$13, 100%, $E$13) + CHOOSE(CONTROL!$C$28, 0.0276, 0)</f>
        <v>25.0273</v>
      </c>
      <c r="C310" s="4">
        <f>24.6872 * CHOOSE(CONTROL!$C$9, $C$13, 100%, $E$13) + CHOOSE(CONTROL!$C$28, 0.0276, 0)</f>
        <v>24.7148</v>
      </c>
      <c r="D310" s="4">
        <f>31.2036 * CHOOSE(CONTROL!$C$9, $C$13, 100%, $E$13) + CHOOSE(CONTROL!$C$28, 0, 0)</f>
        <v>31.203600000000002</v>
      </c>
      <c r="E310" s="4">
        <f>146.64157097739 * CHOOSE(CONTROL!$C$9, $C$13, 100%, $E$13) + CHOOSE(CONTROL!$C$28, 0, 0)</f>
        <v>146.64157097738999</v>
      </c>
    </row>
    <row r="311" spans="1:5" ht="15">
      <c r="A311" s="13">
        <v>51348</v>
      </c>
      <c r="B311" s="4">
        <f>24.9924 * CHOOSE(CONTROL!$C$9, $C$13, 100%, $E$13) + CHOOSE(CONTROL!$C$28, 0.0276, 0)</f>
        <v>25.02</v>
      </c>
      <c r="C311" s="4">
        <f>24.6799 * CHOOSE(CONTROL!$C$9, $C$13, 100%, $E$13) + CHOOSE(CONTROL!$C$28, 0.0276, 0)</f>
        <v>24.7075</v>
      </c>
      <c r="D311" s="4">
        <f>31.6947 * CHOOSE(CONTROL!$C$9, $C$13, 100%, $E$13) + CHOOSE(CONTROL!$C$28, 0, 0)</f>
        <v>31.694700000000001</v>
      </c>
      <c r="E311" s="4">
        <f>146.594929256341 * CHOOSE(CONTROL!$C$9, $C$13, 100%, $E$13) + CHOOSE(CONTROL!$C$28, 0, 0)</f>
        <v>146.594929256341</v>
      </c>
    </row>
    <row r="312" spans="1:5" ht="15">
      <c r="A312" s="13">
        <v>51379</v>
      </c>
      <c r="B312" s="4">
        <f>25.5459 * CHOOSE(CONTROL!$C$9, $C$13, 100%, $E$13) + CHOOSE(CONTROL!$C$28, 0.0276, 0)</f>
        <v>25.573499999999999</v>
      </c>
      <c r="C312" s="4">
        <f>25.2334 * CHOOSE(CONTROL!$C$9, $C$13, 100%, $E$13) + CHOOSE(CONTROL!$C$28, 0.0276, 0)</f>
        <v>25.260999999999999</v>
      </c>
      <c r="D312" s="4">
        <f>31.3704 * CHOOSE(CONTROL!$C$9, $C$13, 100%, $E$13) + CHOOSE(CONTROL!$C$28, 0, 0)</f>
        <v>31.3704</v>
      </c>
      <c r="E312" s="4">
        <f>150.104718765263 * CHOOSE(CONTROL!$C$9, $C$13, 100%, $E$13) + CHOOSE(CONTROL!$C$28, 0, 0)</f>
        <v>150.10471876526299</v>
      </c>
    </row>
    <row r="313" spans="1:5" ht="15">
      <c r="A313" s="13">
        <v>51409</v>
      </c>
      <c r="B313" s="4">
        <f>24.6026 * CHOOSE(CONTROL!$C$9, $C$13, 100%, $E$13) + CHOOSE(CONTROL!$C$28, 0.0276, 0)</f>
        <v>24.630199999999999</v>
      </c>
      <c r="C313" s="4">
        <f>24.2901 * CHOOSE(CONTROL!$C$9, $C$13, 100%, $E$13) + CHOOSE(CONTROL!$C$28, 0.0276, 0)</f>
        <v>24.317699999999999</v>
      </c>
      <c r="D313" s="4">
        <f>31.2171 * CHOOSE(CONTROL!$C$9, $C$13, 100%, $E$13) + CHOOSE(CONTROL!$C$28, 0, 0)</f>
        <v>31.217099999999999</v>
      </c>
      <c r="E313" s="4">
        <f>144.122918040756 * CHOOSE(CONTROL!$C$9, $C$13, 100%, $E$13) + CHOOSE(CONTROL!$C$28, 0, 0)</f>
        <v>144.12291804075599</v>
      </c>
    </row>
    <row r="314" spans="1:5" ht="15">
      <c r="A314" s="13">
        <v>51440</v>
      </c>
      <c r="B314" s="4">
        <f>23.8474 * CHOOSE(CONTROL!$C$9, $C$13, 100%, $E$13) + CHOOSE(CONTROL!$C$28, 0.0003, 0)</f>
        <v>23.8477</v>
      </c>
      <c r="C314" s="4">
        <f>23.5349 * CHOOSE(CONTROL!$C$9, $C$13, 100%, $E$13) + CHOOSE(CONTROL!$C$28, 0.0003, 0)</f>
        <v>23.5352</v>
      </c>
      <c r="D314" s="4">
        <f>30.8068 * CHOOSE(CONTROL!$C$9, $C$13, 100%, $E$13) + CHOOSE(CONTROL!$C$28, 0, 0)</f>
        <v>30.806799999999999</v>
      </c>
      <c r="E314" s="4">
        <f>139.33436801308 * CHOOSE(CONTROL!$C$9, $C$13, 100%, $E$13) + CHOOSE(CONTROL!$C$28, 0, 0)</f>
        <v>139.33436801308</v>
      </c>
    </row>
    <row r="315" spans="1:5" ht="15">
      <c r="A315" s="13">
        <v>51470</v>
      </c>
      <c r="B315" s="4">
        <f>23.3611 * CHOOSE(CONTROL!$C$9, $C$13, 100%, $E$13) + CHOOSE(CONTROL!$C$28, 0.0003, 0)</f>
        <v>23.3614</v>
      </c>
      <c r="C315" s="4">
        <f>23.0486 * CHOOSE(CONTROL!$C$9, $C$13, 100%, $E$13) + CHOOSE(CONTROL!$C$28, 0.0003, 0)</f>
        <v>23.0489</v>
      </c>
      <c r="D315" s="4">
        <f>30.6657 * CHOOSE(CONTROL!$C$9, $C$13, 100%, $E$13) + CHOOSE(CONTROL!$C$28, 0, 0)</f>
        <v>30.665700000000001</v>
      </c>
      <c r="E315" s="4">
        <f>136.250184208729 * CHOOSE(CONTROL!$C$9, $C$13, 100%, $E$13) + CHOOSE(CONTROL!$C$28, 0, 0)</f>
        <v>136.250184208729</v>
      </c>
    </row>
    <row r="316" spans="1:5" ht="15">
      <c r="A316" s="13">
        <v>51501</v>
      </c>
      <c r="B316" s="4">
        <f>23.0246 * CHOOSE(CONTROL!$C$9, $C$13, 100%, $E$13) + CHOOSE(CONTROL!$C$28, 0.0003, 0)</f>
        <v>23.024899999999999</v>
      </c>
      <c r="C316" s="4">
        <f>22.7121 * CHOOSE(CONTROL!$C$9, $C$13, 100%, $E$13) + CHOOSE(CONTROL!$C$28, 0.0003, 0)</f>
        <v>22.712399999999999</v>
      </c>
      <c r="D316" s="4">
        <f>29.6272 * CHOOSE(CONTROL!$C$9, $C$13, 100%, $E$13) + CHOOSE(CONTROL!$C$28, 0, 0)</f>
        <v>29.627199999999998</v>
      </c>
      <c r="E316" s="4">
        <f>134.116325470747 * CHOOSE(CONTROL!$C$9, $C$13, 100%, $E$13) + CHOOSE(CONTROL!$C$28, 0, 0)</f>
        <v>134.116325470747</v>
      </c>
    </row>
    <row r="317" spans="1:5" ht="15">
      <c r="A317" s="13">
        <v>51532</v>
      </c>
      <c r="B317" s="4">
        <f>22.4778 * CHOOSE(CONTROL!$C$9, $C$13, 100%, $E$13) + CHOOSE(CONTROL!$C$28, 0.0003, 0)</f>
        <v>22.478099999999998</v>
      </c>
      <c r="C317" s="4">
        <f>22.1653 * CHOOSE(CONTROL!$C$9, $C$13, 100%, $E$13) + CHOOSE(CONTROL!$C$28, 0.0003, 0)</f>
        <v>22.165599999999998</v>
      </c>
      <c r="D317" s="4">
        <f>28.6726 * CHOOSE(CONTROL!$C$9, $C$13, 100%, $E$13) + CHOOSE(CONTROL!$C$28, 0, 0)</f>
        <v>28.672599999999999</v>
      </c>
      <c r="E317" s="4">
        <f>130.270380332904 * CHOOSE(CONTROL!$C$9, $C$13, 100%, $E$13) + CHOOSE(CONTROL!$C$28, 0, 0)</f>
        <v>130.27038033290401</v>
      </c>
    </row>
    <row r="318" spans="1:5" ht="15">
      <c r="A318" s="13">
        <v>51560</v>
      </c>
      <c r="B318" s="4">
        <f>22.967 * CHOOSE(CONTROL!$C$9, $C$13, 100%, $E$13) + CHOOSE(CONTROL!$C$28, 0.0003, 0)</f>
        <v>22.967299999999998</v>
      </c>
      <c r="C318" s="4">
        <f>22.6545 * CHOOSE(CONTROL!$C$9, $C$13, 100%, $E$13) + CHOOSE(CONTROL!$C$28, 0.0003, 0)</f>
        <v>22.654799999999998</v>
      </c>
      <c r="D318" s="4">
        <f>29.6338 * CHOOSE(CONTROL!$C$9, $C$13, 100%, $E$13) + CHOOSE(CONTROL!$C$28, 0, 0)</f>
        <v>29.633800000000001</v>
      </c>
      <c r="E318" s="4">
        <f>133.363512545779 * CHOOSE(CONTROL!$C$9, $C$13, 100%, $E$13) + CHOOSE(CONTROL!$C$28, 0, 0)</f>
        <v>133.363512545779</v>
      </c>
    </row>
    <row r="319" spans="1:5" ht="15">
      <c r="A319" s="13">
        <v>51591</v>
      </c>
      <c r="B319" s="4">
        <f>24.2517 * CHOOSE(CONTROL!$C$9, $C$13, 100%, $E$13) + CHOOSE(CONTROL!$C$28, 0.0003, 0)</f>
        <v>24.251999999999999</v>
      </c>
      <c r="C319" s="4">
        <f>23.9392 * CHOOSE(CONTROL!$C$9, $C$13, 100%, $E$13) + CHOOSE(CONTROL!$C$28, 0.0003, 0)</f>
        <v>23.939499999999999</v>
      </c>
      <c r="D319" s="4">
        <f>31.1386 * CHOOSE(CONTROL!$C$9, $C$13, 100%, $E$13) + CHOOSE(CONTROL!$C$28, 0, 0)</f>
        <v>31.1386</v>
      </c>
      <c r="E319" s="4">
        <f>141.486242115817 * CHOOSE(CONTROL!$C$9, $C$13, 100%, $E$13) + CHOOSE(CONTROL!$C$28, 0, 0)</f>
        <v>141.48624211581699</v>
      </c>
    </row>
    <row r="320" spans="1:5" ht="15">
      <c r="A320" s="13">
        <v>51621</v>
      </c>
      <c r="B320" s="4">
        <f>25.1644 * CHOOSE(CONTROL!$C$9, $C$13, 100%, $E$13) + CHOOSE(CONTROL!$C$28, 0.0003, 0)</f>
        <v>25.1647</v>
      </c>
      <c r="C320" s="4">
        <f>24.8519 * CHOOSE(CONTROL!$C$9, $C$13, 100%, $E$13) + CHOOSE(CONTROL!$C$28, 0.0003, 0)</f>
        <v>24.8522</v>
      </c>
      <c r="D320" s="4">
        <f>32.0053 * CHOOSE(CONTROL!$C$9, $C$13, 100%, $E$13) + CHOOSE(CONTROL!$C$28, 0, 0)</f>
        <v>32.005299999999998</v>
      </c>
      <c r="E320" s="4">
        <f>147.257549724934 * CHOOSE(CONTROL!$C$9, $C$13, 100%, $E$13) + CHOOSE(CONTROL!$C$28, 0, 0)</f>
        <v>147.25754972493399</v>
      </c>
    </row>
    <row r="321" spans="1:5" ht="15">
      <c r="A321" s="13">
        <v>51652</v>
      </c>
      <c r="B321" s="4">
        <f>25.7221 * CHOOSE(CONTROL!$C$9, $C$13, 100%, $E$13) + CHOOSE(CONTROL!$C$28, 0.0276, 0)</f>
        <v>25.749700000000001</v>
      </c>
      <c r="C321" s="4">
        <f>25.4096 * CHOOSE(CONTROL!$C$9, $C$13, 100%, $E$13) + CHOOSE(CONTROL!$C$28, 0.0276, 0)</f>
        <v>25.437200000000001</v>
      </c>
      <c r="D321" s="4">
        <f>31.6628 * CHOOSE(CONTROL!$C$9, $C$13, 100%, $E$13) + CHOOSE(CONTROL!$C$28, 0, 0)</f>
        <v>31.662800000000001</v>
      </c>
      <c r="E321" s="4">
        <f>150.783680355165 * CHOOSE(CONTROL!$C$9, $C$13, 100%, $E$13) + CHOOSE(CONTROL!$C$28, 0, 0)</f>
        <v>150.78368035516499</v>
      </c>
    </row>
    <row r="322" spans="1:5" ht="15">
      <c r="A322" s="13">
        <v>51682</v>
      </c>
      <c r="B322" s="4">
        <f>25.7975 * CHOOSE(CONTROL!$C$9, $C$13, 100%, $E$13) + CHOOSE(CONTROL!$C$28, 0.0276, 0)</f>
        <v>25.825099999999999</v>
      </c>
      <c r="C322" s="4">
        <f>25.485 * CHOOSE(CONTROL!$C$9, $C$13, 100%, $E$13) + CHOOSE(CONTROL!$C$28, 0.0276, 0)</f>
        <v>25.512599999999999</v>
      </c>
      <c r="D322" s="4">
        <f>31.9418 * CHOOSE(CONTROL!$C$9, $C$13, 100%, $E$13) + CHOOSE(CONTROL!$C$28, 0, 0)</f>
        <v>31.941800000000001</v>
      </c>
      <c r="E322" s="4">
        <f>151.260780463178 * CHOOSE(CONTROL!$C$9, $C$13, 100%, $E$13) + CHOOSE(CONTROL!$C$28, 0, 0)</f>
        <v>151.26078046317801</v>
      </c>
    </row>
    <row r="323" spans="1:5" ht="15">
      <c r="A323" s="13">
        <v>51713</v>
      </c>
      <c r="B323" s="4">
        <f>25.7899 * CHOOSE(CONTROL!$C$9, $C$13, 100%, $E$13) + CHOOSE(CONTROL!$C$28, 0.0276, 0)</f>
        <v>25.817499999999999</v>
      </c>
      <c r="C323" s="4">
        <f>25.4774 * CHOOSE(CONTROL!$C$9, $C$13, 100%, $E$13) + CHOOSE(CONTROL!$C$28, 0.0276, 0)</f>
        <v>25.504999999999999</v>
      </c>
      <c r="D323" s="4">
        <f>32.4451 * CHOOSE(CONTROL!$C$9, $C$13, 100%, $E$13) + CHOOSE(CONTROL!$C$28, 0, 0)</f>
        <v>32.445099999999996</v>
      </c>
      <c r="E323" s="4">
        <f>151.212669527916 * CHOOSE(CONTROL!$C$9, $C$13, 100%, $E$13) + CHOOSE(CONTROL!$C$28, 0, 0)</f>
        <v>151.21266952791601</v>
      </c>
    </row>
    <row r="324" spans="1:5" ht="15">
      <c r="A324" s="13">
        <v>51744</v>
      </c>
      <c r="B324" s="4">
        <f>26.3625 * CHOOSE(CONTROL!$C$9, $C$13, 100%, $E$13) + CHOOSE(CONTROL!$C$28, 0.0276, 0)</f>
        <v>26.3901</v>
      </c>
      <c r="C324" s="4">
        <f>26.05 * CHOOSE(CONTROL!$C$9, $C$13, 100%, $E$13) + CHOOSE(CONTROL!$C$28, 0.0276, 0)</f>
        <v>26.0776</v>
      </c>
      <c r="D324" s="4">
        <f>32.1127 * CHOOSE(CONTROL!$C$9, $C$13, 100%, $E$13) + CHOOSE(CONTROL!$C$28, 0, 0)</f>
        <v>32.112699999999997</v>
      </c>
      <c r="E324" s="4">
        <f>154.833017406369 * CHOOSE(CONTROL!$C$9, $C$13, 100%, $E$13) + CHOOSE(CONTROL!$C$28, 0, 0)</f>
        <v>154.83301740636901</v>
      </c>
    </row>
    <row r="325" spans="1:5" ht="15">
      <c r="A325" s="13">
        <v>51774</v>
      </c>
      <c r="B325" s="4">
        <f>25.3867 * CHOOSE(CONTROL!$C$9, $C$13, 100%, $E$13) + CHOOSE(CONTROL!$C$28, 0.0276, 0)</f>
        <v>25.414300000000001</v>
      </c>
      <c r="C325" s="4">
        <f>25.0742 * CHOOSE(CONTROL!$C$9, $C$13, 100%, $E$13) + CHOOSE(CONTROL!$C$28, 0.0276, 0)</f>
        <v>25.101800000000001</v>
      </c>
      <c r="D325" s="4">
        <f>31.9557 * CHOOSE(CONTROL!$C$9, $C$13, 100%, $E$13) + CHOOSE(CONTROL!$C$28, 0, 0)</f>
        <v>31.9557</v>
      </c>
      <c r="E325" s="4">
        <f>148.66278995904 * CHOOSE(CONTROL!$C$9, $C$13, 100%, $E$13) + CHOOSE(CONTROL!$C$28, 0, 0)</f>
        <v>148.66278995904</v>
      </c>
    </row>
    <row r="326" spans="1:5" ht="15">
      <c r="A326" s="13">
        <v>51805</v>
      </c>
      <c r="B326" s="4">
        <f>24.6055 * CHOOSE(CONTROL!$C$9, $C$13, 100%, $E$13) + CHOOSE(CONTROL!$C$28, 0.0003, 0)</f>
        <v>24.605799999999999</v>
      </c>
      <c r="C326" s="4">
        <f>24.293 * CHOOSE(CONTROL!$C$9, $C$13, 100%, $E$13) + CHOOSE(CONTROL!$C$28, 0.0003, 0)</f>
        <v>24.293299999999999</v>
      </c>
      <c r="D326" s="4">
        <f>31.5352 * CHOOSE(CONTROL!$C$9, $C$13, 100%, $E$13) + CHOOSE(CONTROL!$C$28, 0, 0)</f>
        <v>31.5352</v>
      </c>
      <c r="E326" s="4">
        <f>143.723400605492 * CHOOSE(CONTROL!$C$9, $C$13, 100%, $E$13) + CHOOSE(CONTROL!$C$28, 0, 0)</f>
        <v>143.723400605492</v>
      </c>
    </row>
    <row r="327" spans="1:5" ht="15">
      <c r="A327" s="13">
        <v>51835</v>
      </c>
      <c r="B327" s="4">
        <f>24.1023 * CHOOSE(CONTROL!$C$9, $C$13, 100%, $E$13) + CHOOSE(CONTROL!$C$28, 0.0003, 0)</f>
        <v>24.102599999999999</v>
      </c>
      <c r="C327" s="4">
        <f>23.7898 * CHOOSE(CONTROL!$C$9, $C$13, 100%, $E$13) + CHOOSE(CONTROL!$C$28, 0.0003, 0)</f>
        <v>23.790099999999999</v>
      </c>
      <c r="D327" s="4">
        <f>31.3906 * CHOOSE(CONTROL!$C$9, $C$13, 100%, $E$13) + CHOOSE(CONTROL!$C$28, 0, 0)</f>
        <v>31.390599999999999</v>
      </c>
      <c r="E327" s="4">
        <f>140.542065011304 * CHOOSE(CONTROL!$C$9, $C$13, 100%, $E$13) + CHOOSE(CONTROL!$C$28, 0, 0)</f>
        <v>140.542065011304</v>
      </c>
    </row>
    <row r="328" spans="1:5" ht="15">
      <c r="A328" s="13">
        <v>51866</v>
      </c>
      <c r="B328" s="4">
        <f>23.7542 * CHOOSE(CONTROL!$C$9, $C$13, 100%, $E$13) + CHOOSE(CONTROL!$C$28, 0.0003, 0)</f>
        <v>23.7545</v>
      </c>
      <c r="C328" s="4">
        <f>23.4417 * CHOOSE(CONTROL!$C$9, $C$13, 100%, $E$13) + CHOOSE(CONTROL!$C$28, 0.0003, 0)</f>
        <v>23.442</v>
      </c>
      <c r="D328" s="4">
        <f>30.3263 * CHOOSE(CONTROL!$C$9, $C$13, 100%, $E$13) + CHOOSE(CONTROL!$C$28, 0, 0)</f>
        <v>30.3263</v>
      </c>
      <c r="E328" s="4">
        <f>138.340989723075 * CHOOSE(CONTROL!$C$9, $C$13, 100%, $E$13) + CHOOSE(CONTROL!$C$28, 0, 0)</f>
        <v>138.34098972307501</v>
      </c>
    </row>
    <row r="329" spans="1:5" ht="15">
      <c r="A329" s="13">
        <v>51897</v>
      </c>
      <c r="B329" s="4">
        <f>23.1886 * CHOOSE(CONTROL!$C$9, $C$13, 100%, $E$13) + CHOOSE(CONTROL!$C$28, 0.0003, 0)</f>
        <v>23.1889</v>
      </c>
      <c r="C329" s="4">
        <f>22.8761 * CHOOSE(CONTROL!$C$9, $C$13, 100%, $E$13) + CHOOSE(CONTROL!$C$28, 0.0003, 0)</f>
        <v>22.8764</v>
      </c>
      <c r="D329" s="4">
        <f>29.348 * CHOOSE(CONTROL!$C$9, $C$13, 100%, $E$13) + CHOOSE(CONTROL!$C$28, 0, 0)</f>
        <v>29.347999999999999</v>
      </c>
      <c r="E329" s="4">
        <f>134.373897313391 * CHOOSE(CONTROL!$C$9, $C$13, 100%, $E$13) + CHOOSE(CONTROL!$C$28, 0, 0)</f>
        <v>134.37389731339101</v>
      </c>
    </row>
    <row r="330" spans="1:5" ht="15">
      <c r="A330" s="13">
        <v>51925</v>
      </c>
      <c r="B330" s="4">
        <f>23.6947 * CHOOSE(CONTROL!$C$9, $C$13, 100%, $E$13) + CHOOSE(CONTROL!$C$28, 0.0003, 0)</f>
        <v>23.695</v>
      </c>
      <c r="C330" s="4">
        <f>23.3822 * CHOOSE(CONTROL!$C$9, $C$13, 100%, $E$13) + CHOOSE(CONTROL!$C$28, 0.0003, 0)</f>
        <v>23.3825</v>
      </c>
      <c r="D330" s="4">
        <f>30.3331 * CHOOSE(CONTROL!$C$9, $C$13, 100%, $E$13) + CHOOSE(CONTROL!$C$28, 0, 0)</f>
        <v>30.333100000000002</v>
      </c>
      <c r="E330" s="4">
        <f>137.564463190971 * CHOOSE(CONTROL!$C$9, $C$13, 100%, $E$13) + CHOOSE(CONTROL!$C$28, 0, 0)</f>
        <v>137.564463190971</v>
      </c>
    </row>
    <row r="331" spans="1:5" ht="15">
      <c r="A331" s="13">
        <v>51956</v>
      </c>
      <c r="B331" s="4">
        <f>25.0236 * CHOOSE(CONTROL!$C$9, $C$13, 100%, $E$13) + CHOOSE(CONTROL!$C$28, 0.0003, 0)</f>
        <v>25.023899999999998</v>
      </c>
      <c r="C331" s="4">
        <f>24.7111 * CHOOSE(CONTROL!$C$9, $C$13, 100%, $E$13) + CHOOSE(CONTROL!$C$28, 0.0003, 0)</f>
        <v>24.711399999999998</v>
      </c>
      <c r="D331" s="4">
        <f>31.8752 * CHOOSE(CONTROL!$C$9, $C$13, 100%, $E$13) + CHOOSE(CONTROL!$C$28, 0, 0)</f>
        <v>31.8752</v>
      </c>
      <c r="E331" s="4">
        <f>145.943058742466 * CHOOSE(CONTROL!$C$9, $C$13, 100%, $E$13) + CHOOSE(CONTROL!$C$28, 0, 0)</f>
        <v>145.94305874246601</v>
      </c>
    </row>
    <row r="332" spans="1:5" ht="15">
      <c r="A332" s="13">
        <v>51986</v>
      </c>
      <c r="B332" s="4">
        <f>25.9679 * CHOOSE(CONTROL!$C$9, $C$13, 100%, $E$13) + CHOOSE(CONTROL!$C$28, 0.0003, 0)</f>
        <v>25.9682</v>
      </c>
      <c r="C332" s="4">
        <f>25.6554 * CHOOSE(CONTROL!$C$9, $C$13, 100%, $E$13) + CHOOSE(CONTROL!$C$28, 0.0003, 0)</f>
        <v>25.6557</v>
      </c>
      <c r="D332" s="4">
        <f>32.7634 * CHOOSE(CONTROL!$C$9, $C$13, 100%, $E$13) + CHOOSE(CONTROL!$C$28, 0, 0)</f>
        <v>32.763399999999997</v>
      </c>
      <c r="E332" s="4">
        <f>151.896162541269 * CHOOSE(CONTROL!$C$9, $C$13, 100%, $E$13) + CHOOSE(CONTROL!$C$28, 0, 0)</f>
        <v>151.89616254126901</v>
      </c>
    </row>
    <row r="333" spans="1:5" ht="15">
      <c r="A333" s="13">
        <v>52017</v>
      </c>
      <c r="B333" s="4">
        <f>26.5448 * CHOOSE(CONTROL!$C$9, $C$13, 100%, $E$13) + CHOOSE(CONTROL!$C$28, 0.0276, 0)</f>
        <v>26.572399999999998</v>
      </c>
      <c r="C333" s="4">
        <f>26.2323 * CHOOSE(CONTROL!$C$9, $C$13, 100%, $E$13) + CHOOSE(CONTROL!$C$28, 0.0276, 0)</f>
        <v>26.259899999999998</v>
      </c>
      <c r="D333" s="4">
        <f>32.4124 * CHOOSE(CONTROL!$C$9, $C$13, 100%, $E$13) + CHOOSE(CONTROL!$C$28, 0, 0)</f>
        <v>32.412399999999998</v>
      </c>
      <c r="E333" s="4">
        <f>155.533366286353 * CHOOSE(CONTROL!$C$9, $C$13, 100%, $E$13) + CHOOSE(CONTROL!$C$28, 0, 0)</f>
        <v>155.53336628635299</v>
      </c>
    </row>
    <row r="334" spans="1:5" ht="15">
      <c r="A334" s="13">
        <v>52047</v>
      </c>
      <c r="B334" s="4">
        <f>26.6229 * CHOOSE(CONTROL!$C$9, $C$13, 100%, $E$13) + CHOOSE(CONTROL!$C$28, 0.0276, 0)</f>
        <v>26.650500000000001</v>
      </c>
      <c r="C334" s="4">
        <f>26.3104 * CHOOSE(CONTROL!$C$9, $C$13, 100%, $E$13) + CHOOSE(CONTROL!$C$28, 0.0276, 0)</f>
        <v>26.338000000000001</v>
      </c>
      <c r="D334" s="4">
        <f>32.6983 * CHOOSE(CONTROL!$C$9, $C$13, 100%, $E$13) + CHOOSE(CONTROL!$C$28, 0, 0)</f>
        <v>32.698300000000003</v>
      </c>
      <c r="E334" s="4">
        <f>156.025495047768 * CHOOSE(CONTROL!$C$9, $C$13, 100%, $E$13) + CHOOSE(CONTROL!$C$28, 0, 0)</f>
        <v>156.025495047768</v>
      </c>
    </row>
    <row r="335" spans="1:5" ht="15">
      <c r="A335" s="13">
        <v>52078</v>
      </c>
      <c r="B335" s="4">
        <f>26.615 * CHOOSE(CONTROL!$C$9, $C$13, 100%, $E$13) + CHOOSE(CONTROL!$C$28, 0.0276, 0)</f>
        <v>26.642599999999998</v>
      </c>
      <c r="C335" s="4">
        <f>26.3025 * CHOOSE(CONTROL!$C$9, $C$13, 100%, $E$13) + CHOOSE(CONTROL!$C$28, 0.0276, 0)</f>
        <v>26.330099999999998</v>
      </c>
      <c r="D335" s="4">
        <f>33.2141 * CHOOSE(CONTROL!$C$9, $C$13, 100%, $E$13) + CHOOSE(CONTROL!$C$28, 0, 0)</f>
        <v>33.214100000000002</v>
      </c>
      <c r="E335" s="4">
        <f>155.975868618046 * CHOOSE(CONTROL!$C$9, $C$13, 100%, $E$13) + CHOOSE(CONTROL!$C$28, 0, 0)</f>
        <v>155.97586861804601</v>
      </c>
    </row>
    <row r="336" spans="1:5" ht="15">
      <c r="A336" s="13">
        <v>52109</v>
      </c>
      <c r="B336" s="4">
        <f>27.2073 * CHOOSE(CONTROL!$C$9, $C$13, 100%, $E$13) + CHOOSE(CONTROL!$C$28, 0.0276, 0)</f>
        <v>27.2349</v>
      </c>
      <c r="C336" s="4">
        <f>26.8948 * CHOOSE(CONTROL!$C$9, $C$13, 100%, $E$13) + CHOOSE(CONTROL!$C$28, 0.0276, 0)</f>
        <v>26.9224</v>
      </c>
      <c r="D336" s="4">
        <f>32.8734 * CHOOSE(CONTROL!$C$9, $C$13, 100%, $E$13) + CHOOSE(CONTROL!$C$28, 0, 0)</f>
        <v>32.873399999999997</v>
      </c>
      <c r="E336" s="4">
        <f>159.710257454669 * CHOOSE(CONTROL!$C$9, $C$13, 100%, $E$13) + CHOOSE(CONTROL!$C$28, 0, 0)</f>
        <v>159.71025745466901</v>
      </c>
    </row>
    <row r="337" spans="1:5" ht="15">
      <c r="A337" s="13">
        <v>52139</v>
      </c>
      <c r="B337" s="4">
        <f>26.1978 * CHOOSE(CONTROL!$C$9, $C$13, 100%, $E$13) + CHOOSE(CONTROL!$C$28, 0.0276, 0)</f>
        <v>26.2254</v>
      </c>
      <c r="C337" s="4">
        <f>25.8853 * CHOOSE(CONTROL!$C$9, $C$13, 100%, $E$13) + CHOOSE(CONTROL!$C$28, 0.0276, 0)</f>
        <v>25.9129</v>
      </c>
      <c r="D337" s="4">
        <f>32.7125 * CHOOSE(CONTROL!$C$9, $C$13, 100%, $E$13) + CHOOSE(CONTROL!$C$28, 0, 0)</f>
        <v>32.712499999999999</v>
      </c>
      <c r="E337" s="4">
        <f>153.345667842749 * CHOOSE(CONTROL!$C$9, $C$13, 100%, $E$13) + CHOOSE(CONTROL!$C$28, 0, 0)</f>
        <v>153.34566784274901</v>
      </c>
    </row>
    <row r="338" spans="1:5" ht="15">
      <c r="A338" s="13">
        <v>52170</v>
      </c>
      <c r="B338" s="4">
        <f>25.3897 * CHOOSE(CONTROL!$C$9, $C$13, 100%, $E$13) + CHOOSE(CONTROL!$C$28, 0.0003, 0)</f>
        <v>25.39</v>
      </c>
      <c r="C338" s="4">
        <f>25.0772 * CHOOSE(CONTROL!$C$9, $C$13, 100%, $E$13) + CHOOSE(CONTROL!$C$28, 0.0003, 0)</f>
        <v>25.077500000000001</v>
      </c>
      <c r="D338" s="4">
        <f>32.2816 * CHOOSE(CONTROL!$C$9, $C$13, 100%, $E$13) + CHOOSE(CONTROL!$C$28, 0, 0)</f>
        <v>32.281599999999997</v>
      </c>
      <c r="E338" s="4">
        <f>148.250687724565 * CHOOSE(CONTROL!$C$9, $C$13, 100%, $E$13) + CHOOSE(CONTROL!$C$28, 0, 0)</f>
        <v>148.25068772456501</v>
      </c>
    </row>
    <row r="339" spans="1:5" ht="15">
      <c r="A339" s="13">
        <v>52200</v>
      </c>
      <c r="B339" s="4">
        <f>24.8692 * CHOOSE(CONTROL!$C$9, $C$13, 100%, $E$13) + CHOOSE(CONTROL!$C$28, 0.0003, 0)</f>
        <v>24.869499999999999</v>
      </c>
      <c r="C339" s="4">
        <f>24.5567 * CHOOSE(CONTROL!$C$9, $C$13, 100%, $E$13) + CHOOSE(CONTROL!$C$28, 0.0003, 0)</f>
        <v>24.556999999999999</v>
      </c>
      <c r="D339" s="4">
        <f>32.1334 * CHOOSE(CONTROL!$C$9, $C$13, 100%, $E$13) + CHOOSE(CONTROL!$C$28, 0, 0)</f>
        <v>32.133400000000002</v>
      </c>
      <c r="E339" s="4">
        <f>144.96914005916 * CHOOSE(CONTROL!$C$9, $C$13, 100%, $E$13) + CHOOSE(CONTROL!$C$28, 0, 0)</f>
        <v>144.96914005916</v>
      </c>
    </row>
    <row r="340" spans="1:5" ht="15">
      <c r="A340" s="13">
        <v>52231</v>
      </c>
      <c r="B340" s="4">
        <f>24.5091 * CHOOSE(CONTROL!$C$9, $C$13, 100%, $E$13) + CHOOSE(CONTROL!$C$28, 0.0003, 0)</f>
        <v>24.509399999999999</v>
      </c>
      <c r="C340" s="4">
        <f>24.1966 * CHOOSE(CONTROL!$C$9, $C$13, 100%, $E$13) + CHOOSE(CONTROL!$C$28, 0.0003, 0)</f>
        <v>24.196899999999999</v>
      </c>
      <c r="D340" s="4">
        <f>31.0427 * CHOOSE(CONTROL!$C$9, $C$13, 100%, $E$13) + CHOOSE(CONTROL!$C$28, 0, 0)</f>
        <v>31.0427</v>
      </c>
      <c r="E340" s="4">
        <f>142.698730899352 * CHOOSE(CONTROL!$C$9, $C$13, 100%, $E$13) + CHOOSE(CONTROL!$C$28, 0, 0)</f>
        <v>142.698730899352</v>
      </c>
    </row>
    <row r="341" spans="1:5" ht="15">
      <c r="A341" s="13">
        <v>52262</v>
      </c>
      <c r="B341" s="4">
        <f>23.9239 * CHOOSE(CONTROL!$C$9, $C$13, 100%, $E$13) + CHOOSE(CONTROL!$C$28, 0.0003, 0)</f>
        <v>23.924199999999999</v>
      </c>
      <c r="C341" s="4">
        <f>23.6114 * CHOOSE(CONTROL!$C$9, $C$13, 100%, $E$13) + CHOOSE(CONTROL!$C$28, 0.0003, 0)</f>
        <v>23.611699999999999</v>
      </c>
      <c r="D341" s="4">
        <f>30.0402 * CHOOSE(CONTROL!$C$9, $C$13, 100%, $E$13) + CHOOSE(CONTROL!$C$28, 0, 0)</f>
        <v>30.040199999999999</v>
      </c>
      <c r="E341" s="4">
        <f>138.606675078763 * CHOOSE(CONTROL!$C$9, $C$13, 100%, $E$13) + CHOOSE(CONTROL!$C$28, 0, 0)</f>
        <v>138.606675078763</v>
      </c>
    </row>
    <row r="342" spans="1:5" ht="15">
      <c r="A342" s="13">
        <v>52290</v>
      </c>
      <c r="B342" s="4">
        <f>24.4475 * CHOOSE(CONTROL!$C$9, $C$13, 100%, $E$13) + CHOOSE(CONTROL!$C$28, 0.0003, 0)</f>
        <v>24.447800000000001</v>
      </c>
      <c r="C342" s="4">
        <f>24.135 * CHOOSE(CONTROL!$C$9, $C$13, 100%, $E$13) + CHOOSE(CONTROL!$C$28, 0.0003, 0)</f>
        <v>24.135300000000001</v>
      </c>
      <c r="D342" s="4">
        <f>31.0497 * CHOOSE(CONTROL!$C$9, $C$13, 100%, $E$13) + CHOOSE(CONTROL!$C$28, 0, 0)</f>
        <v>31.049700000000001</v>
      </c>
      <c r="E342" s="4">
        <f>141.897743781487 * CHOOSE(CONTROL!$C$9, $C$13, 100%, $E$13) + CHOOSE(CONTROL!$C$28, 0, 0)</f>
        <v>141.89774378148701</v>
      </c>
    </row>
    <row r="343" spans="1:5" ht="15">
      <c r="A343" s="13">
        <v>52321</v>
      </c>
      <c r="B343" s="4">
        <f>25.8223 * CHOOSE(CONTROL!$C$9, $C$13, 100%, $E$13) + CHOOSE(CONTROL!$C$28, 0.0003, 0)</f>
        <v>25.822599999999998</v>
      </c>
      <c r="C343" s="4">
        <f>25.5098 * CHOOSE(CONTROL!$C$9, $C$13, 100%, $E$13) + CHOOSE(CONTROL!$C$28, 0.0003, 0)</f>
        <v>25.510099999999998</v>
      </c>
      <c r="D343" s="4">
        <f>32.63 * CHOOSE(CONTROL!$C$9, $C$13, 100%, $E$13) + CHOOSE(CONTROL!$C$28, 0, 0)</f>
        <v>32.630000000000003</v>
      </c>
      <c r="E343" s="4">
        <f>150.540265092853 * CHOOSE(CONTROL!$C$9, $C$13, 100%, $E$13) + CHOOSE(CONTROL!$C$28, 0, 0)</f>
        <v>150.54026509285299</v>
      </c>
    </row>
    <row r="344" spans="1:5" ht="15">
      <c r="A344" s="13">
        <v>52351</v>
      </c>
      <c r="B344" s="4">
        <f>26.7991 * CHOOSE(CONTROL!$C$9, $C$13, 100%, $E$13) + CHOOSE(CONTROL!$C$28, 0.0003, 0)</f>
        <v>26.799399999999999</v>
      </c>
      <c r="C344" s="4">
        <f>26.4866 * CHOOSE(CONTROL!$C$9, $C$13, 100%, $E$13) + CHOOSE(CONTROL!$C$28, 0.0003, 0)</f>
        <v>26.486899999999999</v>
      </c>
      <c r="D344" s="4">
        <f>33.5403 * CHOOSE(CONTROL!$C$9, $C$13, 100%, $E$13) + CHOOSE(CONTROL!$C$28, 0, 0)</f>
        <v>33.540300000000002</v>
      </c>
      <c r="E344" s="4">
        <f>156.680891661319 * CHOOSE(CONTROL!$C$9, $C$13, 100%, $E$13) + CHOOSE(CONTROL!$C$28, 0, 0)</f>
        <v>156.68089166131901</v>
      </c>
    </row>
    <row r="345" spans="1:5" ht="15">
      <c r="A345" s="13">
        <v>52382</v>
      </c>
      <c r="B345" s="4">
        <f>27.3959 * CHOOSE(CONTROL!$C$9, $C$13, 100%, $E$13) + CHOOSE(CONTROL!$C$28, 0.0276, 0)</f>
        <v>27.423500000000001</v>
      </c>
      <c r="C345" s="4">
        <f>27.0834 * CHOOSE(CONTROL!$C$9, $C$13, 100%, $E$13) + CHOOSE(CONTROL!$C$28, 0.0276, 0)</f>
        <v>27.111000000000001</v>
      </c>
      <c r="D345" s="4">
        <f>33.1806 * CHOOSE(CONTROL!$C$9, $C$13, 100%, $E$13) + CHOOSE(CONTROL!$C$28, 0, 0)</f>
        <v>33.180599999999998</v>
      </c>
      <c r="E345" s="4">
        <f>160.432667324373 * CHOOSE(CONTROL!$C$9, $C$13, 100%, $E$13) + CHOOSE(CONTROL!$C$28, 0, 0)</f>
        <v>160.432667324373</v>
      </c>
    </row>
    <row r="346" spans="1:5" ht="15">
      <c r="A346" s="13">
        <v>52412</v>
      </c>
      <c r="B346" s="4">
        <f>27.4767 * CHOOSE(CONTROL!$C$9, $C$13, 100%, $E$13) + CHOOSE(CONTROL!$C$28, 0.0276, 0)</f>
        <v>27.504300000000001</v>
      </c>
      <c r="C346" s="4">
        <f>27.1642 * CHOOSE(CONTROL!$C$9, $C$13, 100%, $E$13) + CHOOSE(CONTROL!$C$28, 0.0276, 0)</f>
        <v>27.191800000000001</v>
      </c>
      <c r="D346" s="4">
        <f>33.4735 * CHOOSE(CONTROL!$C$9, $C$13, 100%, $E$13) + CHOOSE(CONTROL!$C$28, 0, 0)</f>
        <v>33.473500000000001</v>
      </c>
      <c r="E346" s="4">
        <f>160.940298141773 * CHOOSE(CONTROL!$C$9, $C$13, 100%, $E$13) + CHOOSE(CONTROL!$C$28, 0, 0)</f>
        <v>160.94029814177301</v>
      </c>
    </row>
    <row r="347" spans="1:5" ht="15">
      <c r="A347" s="13">
        <v>52443</v>
      </c>
      <c r="B347" s="4">
        <f>27.4685 * CHOOSE(CONTROL!$C$9, $C$13, 100%, $E$13) + CHOOSE(CONTROL!$C$28, 0.0276, 0)</f>
        <v>27.496099999999998</v>
      </c>
      <c r="C347" s="4">
        <f>27.156 * CHOOSE(CONTROL!$C$9, $C$13, 100%, $E$13) + CHOOSE(CONTROL!$C$28, 0.0276, 0)</f>
        <v>27.183599999999998</v>
      </c>
      <c r="D347" s="4">
        <f>34.0021 * CHOOSE(CONTROL!$C$9, $C$13, 100%, $E$13) + CHOOSE(CONTROL!$C$28, 0, 0)</f>
        <v>34.002099999999999</v>
      </c>
      <c r="E347" s="4">
        <f>160.889108479514 * CHOOSE(CONTROL!$C$9, $C$13, 100%, $E$13) + CHOOSE(CONTROL!$C$28, 0, 0)</f>
        <v>160.88910847951399</v>
      </c>
    </row>
    <row r="348" spans="1:5" ht="15">
      <c r="A348" s="13">
        <v>52474</v>
      </c>
      <c r="B348" s="4">
        <f>28.0813 * CHOOSE(CONTROL!$C$9, $C$13, 100%, $E$13) + CHOOSE(CONTROL!$C$28, 0.0276, 0)</f>
        <v>28.108899999999998</v>
      </c>
      <c r="C348" s="4">
        <f>27.7688 * CHOOSE(CONTROL!$C$9, $C$13, 100%, $E$13) + CHOOSE(CONTROL!$C$28, 0.0276, 0)</f>
        <v>27.796399999999998</v>
      </c>
      <c r="D348" s="4">
        <f>33.6531 * CHOOSE(CONTROL!$C$9, $C$13, 100%, $E$13) + CHOOSE(CONTROL!$C$28, 0, 0)</f>
        <v>33.653100000000002</v>
      </c>
      <c r="E348" s="4">
        <f>164.741130564491 * CHOOSE(CONTROL!$C$9, $C$13, 100%, $E$13) + CHOOSE(CONTROL!$C$28, 0, 0)</f>
        <v>164.74113056449099</v>
      </c>
    </row>
    <row r="349" spans="1:5" ht="15">
      <c r="A349" s="13">
        <v>52504</v>
      </c>
      <c r="B349" s="4">
        <f>27.0369 * CHOOSE(CONTROL!$C$9, $C$13, 100%, $E$13) + CHOOSE(CONTROL!$C$28, 0.0276, 0)</f>
        <v>27.064499999999999</v>
      </c>
      <c r="C349" s="4">
        <f>26.7244 * CHOOSE(CONTROL!$C$9, $C$13, 100%, $E$13) + CHOOSE(CONTROL!$C$28, 0.0276, 0)</f>
        <v>26.751999999999999</v>
      </c>
      <c r="D349" s="4">
        <f>33.4881 * CHOOSE(CONTROL!$C$9, $C$13, 100%, $E$13) + CHOOSE(CONTROL!$C$28, 0, 0)</f>
        <v>33.488100000000003</v>
      </c>
      <c r="E349" s="4">
        <f>158.176056379796 * CHOOSE(CONTROL!$C$9, $C$13, 100%, $E$13) + CHOOSE(CONTROL!$C$28, 0, 0)</f>
        <v>158.17605637979599</v>
      </c>
    </row>
    <row r="350" spans="1:5" ht="15">
      <c r="A350" s="13">
        <v>52535</v>
      </c>
      <c r="B350" s="4">
        <f>26.2009 * CHOOSE(CONTROL!$C$9, $C$13, 100%, $E$13) + CHOOSE(CONTROL!$C$28, 0.0003, 0)</f>
        <v>26.2012</v>
      </c>
      <c r="C350" s="4">
        <f>25.8884 * CHOOSE(CONTROL!$C$9, $C$13, 100%, $E$13) + CHOOSE(CONTROL!$C$28, 0.0003, 0)</f>
        <v>25.8887</v>
      </c>
      <c r="D350" s="4">
        <f>33.0465 * CHOOSE(CONTROL!$C$9, $C$13, 100%, $E$13) + CHOOSE(CONTROL!$C$28, 0, 0)</f>
        <v>33.046500000000002</v>
      </c>
      <c r="E350" s="4">
        <f>152.920584387889 * CHOOSE(CONTROL!$C$9, $C$13, 100%, $E$13) + CHOOSE(CONTROL!$C$28, 0, 0)</f>
        <v>152.92058438788899</v>
      </c>
    </row>
    <row r="351" spans="1:5" ht="15">
      <c r="A351" s="13">
        <v>52565</v>
      </c>
      <c r="B351" s="4">
        <f>25.6625 * CHOOSE(CONTROL!$C$9, $C$13, 100%, $E$13) + CHOOSE(CONTROL!$C$28, 0.0003, 0)</f>
        <v>25.662800000000001</v>
      </c>
      <c r="C351" s="4">
        <f>25.35 * CHOOSE(CONTROL!$C$9, $C$13, 100%, $E$13) + CHOOSE(CONTROL!$C$28, 0.0003, 0)</f>
        <v>25.350300000000001</v>
      </c>
      <c r="D351" s="4">
        <f>32.8947 * CHOOSE(CONTROL!$C$9, $C$13, 100%, $E$13) + CHOOSE(CONTROL!$C$28, 0, 0)</f>
        <v>32.8947</v>
      </c>
      <c r="E351" s="4">
        <f>149.535667971024 * CHOOSE(CONTROL!$C$9, $C$13, 100%, $E$13) + CHOOSE(CONTROL!$C$28, 0, 0)</f>
        <v>149.535667971024</v>
      </c>
    </row>
    <row r="352" spans="1:5" ht="15">
      <c r="A352" s="13">
        <v>52596</v>
      </c>
      <c r="B352" s="4">
        <f>25.2899 * CHOOSE(CONTROL!$C$9, $C$13, 100%, $E$13) + CHOOSE(CONTROL!$C$28, 0.0003, 0)</f>
        <v>25.290199999999999</v>
      </c>
      <c r="C352" s="4">
        <f>24.9774 * CHOOSE(CONTROL!$C$9, $C$13, 100%, $E$13) + CHOOSE(CONTROL!$C$28, 0.0003, 0)</f>
        <v>24.977699999999999</v>
      </c>
      <c r="D352" s="4">
        <f>31.7769 * CHOOSE(CONTROL!$C$9, $C$13, 100%, $E$13) + CHOOSE(CONTROL!$C$28, 0, 0)</f>
        <v>31.776900000000001</v>
      </c>
      <c r="E352" s="4">
        <f>147.193740922682 * CHOOSE(CONTROL!$C$9, $C$13, 100%, $E$13) + CHOOSE(CONTROL!$C$28, 0, 0)</f>
        <v>147.193740922682</v>
      </c>
    </row>
    <row r="353" spans="1:5" ht="15">
      <c r="A353" s="13">
        <v>52627</v>
      </c>
      <c r="B353" s="4">
        <f>24.6846 * CHOOSE(CONTROL!$C$9, $C$13, 100%, $E$13) + CHOOSE(CONTROL!$C$28, 0.0003, 0)</f>
        <v>24.684899999999999</v>
      </c>
      <c r="C353" s="4">
        <f>24.3721 * CHOOSE(CONTROL!$C$9, $C$13, 100%, $E$13) + CHOOSE(CONTROL!$C$28, 0.0003, 0)</f>
        <v>24.372399999999999</v>
      </c>
      <c r="D353" s="4">
        <f>30.7496 * CHOOSE(CONTROL!$C$9, $C$13, 100%, $E$13) + CHOOSE(CONTROL!$C$28, 0, 0)</f>
        <v>30.749600000000001</v>
      </c>
      <c r="E353" s="4">
        <f>142.972785343744 * CHOOSE(CONTROL!$C$9, $C$13, 100%, $E$13) + CHOOSE(CONTROL!$C$28, 0, 0)</f>
        <v>142.97278534374399</v>
      </c>
    </row>
    <row r="354" spans="1:5" ht="15">
      <c r="A354" s="13">
        <v>52655</v>
      </c>
      <c r="B354" s="4">
        <f>25.2262 * CHOOSE(CONTROL!$C$9, $C$13, 100%, $E$13) + CHOOSE(CONTROL!$C$28, 0.0003, 0)</f>
        <v>25.226499999999998</v>
      </c>
      <c r="C354" s="4">
        <f>24.9137 * CHOOSE(CONTROL!$C$9, $C$13, 100%, $E$13) + CHOOSE(CONTROL!$C$28, 0.0003, 0)</f>
        <v>24.913999999999998</v>
      </c>
      <c r="D354" s="4">
        <f>31.7841 * CHOOSE(CONTROL!$C$9, $C$13, 100%, $E$13) + CHOOSE(CONTROL!$C$28, 0, 0)</f>
        <v>31.784099999999999</v>
      </c>
      <c r="E354" s="4">
        <f>146.367522710604 * CHOOSE(CONTROL!$C$9, $C$13, 100%, $E$13) + CHOOSE(CONTROL!$C$28, 0, 0)</f>
        <v>146.36752271060399</v>
      </c>
    </row>
    <row r="355" spans="1:5" ht="15">
      <c r="A355" s="13">
        <v>52687</v>
      </c>
      <c r="B355" s="4">
        <f>26.6485 * CHOOSE(CONTROL!$C$9, $C$13, 100%, $E$13) + CHOOSE(CONTROL!$C$28, 0.0003, 0)</f>
        <v>26.648799999999998</v>
      </c>
      <c r="C355" s="4">
        <f>26.336 * CHOOSE(CONTROL!$C$9, $C$13, 100%, $E$13) + CHOOSE(CONTROL!$C$28, 0.0003, 0)</f>
        <v>26.336299999999998</v>
      </c>
      <c r="D355" s="4">
        <f>33.4036 * CHOOSE(CONTROL!$C$9, $C$13, 100%, $E$13) + CHOOSE(CONTROL!$C$28, 0, 0)</f>
        <v>33.403599999999997</v>
      </c>
      <c r="E355" s="4">
        <f>155.282283443278 * CHOOSE(CONTROL!$C$9, $C$13, 100%, $E$13) + CHOOSE(CONTROL!$C$28, 0, 0)</f>
        <v>155.282283443278</v>
      </c>
    </row>
    <row r="356" spans="1:5" ht="15">
      <c r="A356" s="13">
        <v>52717</v>
      </c>
      <c r="B356" s="4">
        <f>27.659 * CHOOSE(CONTROL!$C$9, $C$13, 100%, $E$13) + CHOOSE(CONTROL!$C$28, 0.0003, 0)</f>
        <v>27.659299999999998</v>
      </c>
      <c r="C356" s="4">
        <f>27.3465 * CHOOSE(CONTROL!$C$9, $C$13, 100%, $E$13) + CHOOSE(CONTROL!$C$28, 0.0003, 0)</f>
        <v>27.346799999999998</v>
      </c>
      <c r="D356" s="4">
        <f>34.3364 * CHOOSE(CONTROL!$C$9, $C$13, 100%, $E$13) + CHOOSE(CONTROL!$C$28, 0, 0)</f>
        <v>34.336399999999998</v>
      </c>
      <c r="E356" s="4">
        <f>161.616339748651 * CHOOSE(CONTROL!$C$9, $C$13, 100%, $E$13) + CHOOSE(CONTROL!$C$28, 0, 0)</f>
        <v>161.616339748651</v>
      </c>
    </row>
    <row r="357" spans="1:5" ht="15">
      <c r="A357" s="13">
        <v>52748</v>
      </c>
      <c r="B357" s="4">
        <f>28.2764 * CHOOSE(CONTROL!$C$9, $C$13, 100%, $E$13) + CHOOSE(CONTROL!$C$28, 0.0276, 0)</f>
        <v>28.303999999999998</v>
      </c>
      <c r="C357" s="4">
        <f>27.9639 * CHOOSE(CONTROL!$C$9, $C$13, 100%, $E$13) + CHOOSE(CONTROL!$C$28, 0.0276, 0)</f>
        <v>27.991499999999998</v>
      </c>
      <c r="D357" s="4">
        <f>33.9678 * CHOOSE(CONTROL!$C$9, $C$13, 100%, $E$13) + CHOOSE(CONTROL!$C$28, 0, 0)</f>
        <v>33.967799999999997</v>
      </c>
      <c r="E357" s="4">
        <f>165.486296345091 * CHOOSE(CONTROL!$C$9, $C$13, 100%, $E$13) + CHOOSE(CONTROL!$C$28, 0, 0)</f>
        <v>165.48629634509101</v>
      </c>
    </row>
    <row r="358" spans="1:5" ht="15">
      <c r="A358" s="13">
        <v>52778</v>
      </c>
      <c r="B358" s="4">
        <f>28.3599 * CHOOSE(CONTROL!$C$9, $C$13, 100%, $E$13) + CHOOSE(CONTROL!$C$28, 0.0276, 0)</f>
        <v>28.387499999999999</v>
      </c>
      <c r="C358" s="4">
        <f>28.0474 * CHOOSE(CONTROL!$C$9, $C$13, 100%, $E$13) + CHOOSE(CONTROL!$C$28, 0.0276, 0)</f>
        <v>28.074999999999999</v>
      </c>
      <c r="D358" s="4">
        <f>34.268 * CHOOSE(CONTROL!$C$9, $C$13, 100%, $E$13) + CHOOSE(CONTROL!$C$28, 0, 0)</f>
        <v>34.268000000000001</v>
      </c>
      <c r="E358" s="4">
        <f>166.009917533239 * CHOOSE(CONTROL!$C$9, $C$13, 100%, $E$13) + CHOOSE(CONTROL!$C$28, 0, 0)</f>
        <v>166.00991753323899</v>
      </c>
    </row>
    <row r="359" spans="1:5" ht="15">
      <c r="A359" s="13">
        <v>52809</v>
      </c>
      <c r="B359" s="4">
        <f>28.3515 * CHOOSE(CONTROL!$C$9, $C$13, 100%, $E$13) + CHOOSE(CONTROL!$C$28, 0.0276, 0)</f>
        <v>28.379100000000001</v>
      </c>
      <c r="C359" s="4">
        <f>28.039 * CHOOSE(CONTROL!$C$9, $C$13, 100%, $E$13) + CHOOSE(CONTROL!$C$28, 0.0276, 0)</f>
        <v>28.066600000000001</v>
      </c>
      <c r="D359" s="4">
        <f>34.8097 * CHOOSE(CONTROL!$C$9, $C$13, 100%, $E$13) + CHOOSE(CONTROL!$C$28, 0, 0)</f>
        <v>34.809699999999999</v>
      </c>
      <c r="E359" s="4">
        <f>165.957115396619 * CHOOSE(CONTROL!$C$9, $C$13, 100%, $E$13) + CHOOSE(CONTROL!$C$28, 0, 0)</f>
        <v>165.957115396619</v>
      </c>
    </row>
    <row r="360" spans="1:5" ht="15">
      <c r="A360" s="13">
        <v>52840</v>
      </c>
      <c r="B360" s="4">
        <f>28.9854 * CHOOSE(CONTROL!$C$9, $C$13, 100%, $E$13) + CHOOSE(CONTROL!$C$28, 0.0276, 0)</f>
        <v>29.012999999999998</v>
      </c>
      <c r="C360" s="4">
        <f>28.6729 * CHOOSE(CONTROL!$C$9, $C$13, 100%, $E$13) + CHOOSE(CONTROL!$C$28, 0.0276, 0)</f>
        <v>28.700499999999998</v>
      </c>
      <c r="D360" s="4">
        <f>34.452 * CHOOSE(CONTROL!$C$9, $C$13, 100%, $E$13) + CHOOSE(CONTROL!$C$28, 0, 0)</f>
        <v>34.451999999999998</v>
      </c>
      <c r="E360" s="4">
        <f>169.930476177273 * CHOOSE(CONTROL!$C$9, $C$13, 100%, $E$13) + CHOOSE(CONTROL!$C$28, 0, 0)</f>
        <v>169.93047617727299</v>
      </c>
    </row>
    <row r="361" spans="1:5" ht="15">
      <c r="A361" s="13">
        <v>52870</v>
      </c>
      <c r="B361" s="4">
        <f>27.905 * CHOOSE(CONTROL!$C$9, $C$13, 100%, $E$13) + CHOOSE(CONTROL!$C$28, 0.0276, 0)</f>
        <v>27.932600000000001</v>
      </c>
      <c r="C361" s="4">
        <f>27.5925 * CHOOSE(CONTROL!$C$9, $C$13, 100%, $E$13) + CHOOSE(CONTROL!$C$28, 0.0276, 0)</f>
        <v>27.620100000000001</v>
      </c>
      <c r="D361" s="4">
        <f>34.283 * CHOOSE(CONTROL!$C$9, $C$13, 100%, $E$13) + CHOOSE(CONTROL!$C$28, 0, 0)</f>
        <v>34.283000000000001</v>
      </c>
      <c r="E361" s="4">
        <f>163.15860215576 * CHOOSE(CONTROL!$C$9, $C$13, 100%, $E$13) + CHOOSE(CONTROL!$C$28, 0, 0)</f>
        <v>163.15860215576001</v>
      </c>
    </row>
    <row r="362" spans="1:5" ht="15">
      <c r="A362" s="13">
        <v>52901</v>
      </c>
      <c r="B362" s="4">
        <f>27.0402 * CHOOSE(CONTROL!$C$9, $C$13, 100%, $E$13) + CHOOSE(CONTROL!$C$28, 0.0003, 0)</f>
        <v>27.040499999999998</v>
      </c>
      <c r="C362" s="4">
        <f>26.7277 * CHOOSE(CONTROL!$C$9, $C$13, 100%, $E$13) + CHOOSE(CONTROL!$C$28, 0.0003, 0)</f>
        <v>26.727999999999998</v>
      </c>
      <c r="D362" s="4">
        <f>33.8304 * CHOOSE(CONTROL!$C$9, $C$13, 100%, $E$13) + CHOOSE(CONTROL!$C$28, 0, 0)</f>
        <v>33.830399999999997</v>
      </c>
      <c r="E362" s="4">
        <f>157.737582796107 * CHOOSE(CONTROL!$C$9, $C$13, 100%, $E$13) + CHOOSE(CONTROL!$C$28, 0, 0)</f>
        <v>157.73758279610701</v>
      </c>
    </row>
    <row r="363" spans="1:5" ht="15">
      <c r="A363" s="13">
        <v>52931</v>
      </c>
      <c r="B363" s="4">
        <f>26.4831 * CHOOSE(CONTROL!$C$9, $C$13, 100%, $E$13) + CHOOSE(CONTROL!$C$28, 0.0003, 0)</f>
        <v>26.4834</v>
      </c>
      <c r="C363" s="4">
        <f>26.1706 * CHOOSE(CONTROL!$C$9, $C$13, 100%, $E$13) + CHOOSE(CONTROL!$C$28, 0.0003, 0)</f>
        <v>26.1709</v>
      </c>
      <c r="D363" s="4">
        <f>33.6748 * CHOOSE(CONTROL!$C$9, $C$13, 100%, $E$13) + CHOOSE(CONTROL!$C$28, 0, 0)</f>
        <v>33.674799999999998</v>
      </c>
      <c r="E363" s="4">
        <f>154.246041512111 * CHOOSE(CONTROL!$C$9, $C$13, 100%, $E$13) + CHOOSE(CONTROL!$C$28, 0, 0)</f>
        <v>154.24604151211099</v>
      </c>
    </row>
    <row r="364" spans="1:5" ht="15">
      <c r="A364" s="13">
        <v>52962</v>
      </c>
      <c r="B364" s="4">
        <f>26.0977 * CHOOSE(CONTROL!$C$9, $C$13, 100%, $E$13) + CHOOSE(CONTROL!$C$28, 0.0003, 0)</f>
        <v>26.097999999999999</v>
      </c>
      <c r="C364" s="4">
        <f>25.7852 * CHOOSE(CONTROL!$C$9, $C$13, 100%, $E$13) + CHOOSE(CONTROL!$C$28, 0.0003, 0)</f>
        <v>25.785499999999999</v>
      </c>
      <c r="D364" s="4">
        <f>32.5293 * CHOOSE(CONTROL!$C$9, $C$13, 100%, $E$13) + CHOOSE(CONTROL!$C$28, 0, 0)</f>
        <v>32.529299999999999</v>
      </c>
      <c r="E364" s="4">
        <f>151.830343761746 * CHOOSE(CONTROL!$C$9, $C$13, 100%, $E$13) + CHOOSE(CONTROL!$C$28, 0, 0)</f>
        <v>151.83034376174601</v>
      </c>
    </row>
    <row r="365" spans="1:5" ht="15">
      <c r="A365" s="13">
        <v>52993</v>
      </c>
      <c r="B365" s="4">
        <f>25.4716 * CHOOSE(CONTROL!$C$9, $C$13, 100%, $E$13) + CHOOSE(CONTROL!$C$28, 0.0003, 0)</f>
        <v>25.471899999999998</v>
      </c>
      <c r="C365" s="4">
        <f>25.1591 * CHOOSE(CONTROL!$C$9, $C$13, 100%, $E$13) + CHOOSE(CONTROL!$C$28, 0.0003, 0)</f>
        <v>25.159399999999998</v>
      </c>
      <c r="D365" s="4">
        <f>31.4765 * CHOOSE(CONTROL!$C$9, $C$13, 100%, $E$13) + CHOOSE(CONTROL!$C$28, 0, 0)</f>
        <v>31.476500000000001</v>
      </c>
      <c r="E365" s="4">
        <f>147.476428082072 * CHOOSE(CONTROL!$C$9, $C$13, 100%, $E$13) + CHOOSE(CONTROL!$C$28, 0, 0)</f>
        <v>147.476428082072</v>
      </c>
    </row>
    <row r="366" spans="1:5" ht="15">
      <c r="A366" s="13">
        <v>53021</v>
      </c>
      <c r="B366" s="4">
        <f>26.0318 * CHOOSE(CONTROL!$C$9, $C$13, 100%, $E$13) + CHOOSE(CONTROL!$C$28, 0.0003, 0)</f>
        <v>26.0321</v>
      </c>
      <c r="C366" s="4">
        <f>25.7193 * CHOOSE(CONTROL!$C$9, $C$13, 100%, $E$13) + CHOOSE(CONTROL!$C$28, 0.0003, 0)</f>
        <v>25.7196</v>
      </c>
      <c r="D366" s="4">
        <f>32.5367 * CHOOSE(CONTROL!$C$9, $C$13, 100%, $E$13) + CHOOSE(CONTROL!$C$28, 0, 0)</f>
        <v>32.536700000000003</v>
      </c>
      <c r="E366" s="4">
        <f>150.978099675988 * CHOOSE(CONTROL!$C$9, $C$13, 100%, $E$13) + CHOOSE(CONTROL!$C$28, 0, 0)</f>
        <v>150.97809967598801</v>
      </c>
    </row>
    <row r="367" spans="1:5" ht="15">
      <c r="A367" s="13">
        <v>53052</v>
      </c>
      <c r="B367" s="4">
        <f>27.5031 * CHOOSE(CONTROL!$C$9, $C$13, 100%, $E$13) + CHOOSE(CONTROL!$C$28, 0.0003, 0)</f>
        <v>27.503399999999999</v>
      </c>
      <c r="C367" s="4">
        <f>27.1906 * CHOOSE(CONTROL!$C$9, $C$13, 100%, $E$13) + CHOOSE(CONTROL!$C$28, 0.0003, 0)</f>
        <v>27.190899999999999</v>
      </c>
      <c r="D367" s="4">
        <f>34.1963 * CHOOSE(CONTROL!$C$9, $C$13, 100%, $E$13) + CHOOSE(CONTROL!$C$28, 0, 0)</f>
        <v>34.196300000000001</v>
      </c>
      <c r="E367" s="4">
        <f>160.173675371741 * CHOOSE(CONTROL!$C$9, $C$13, 100%, $E$13) + CHOOSE(CONTROL!$C$28, 0, 0)</f>
        <v>160.17367537174101</v>
      </c>
    </row>
    <row r="368" spans="1:5" ht="15">
      <c r="A368" s="13">
        <v>53082</v>
      </c>
      <c r="B368" s="4">
        <f>28.5485 * CHOOSE(CONTROL!$C$9, $C$13, 100%, $E$13) + CHOOSE(CONTROL!$C$28, 0.0003, 0)</f>
        <v>28.5488</v>
      </c>
      <c r="C368" s="4">
        <f>28.236 * CHOOSE(CONTROL!$C$9, $C$13, 100%, $E$13) + CHOOSE(CONTROL!$C$28, 0.0003, 0)</f>
        <v>28.2363</v>
      </c>
      <c r="D368" s="4">
        <f>35.1523 * CHOOSE(CONTROL!$C$9, $C$13, 100%, $E$13) + CHOOSE(CONTROL!$C$28, 0, 0)</f>
        <v>35.152299999999997</v>
      </c>
      <c r="E368" s="4">
        <f>166.707254450733 * CHOOSE(CONTROL!$C$9, $C$13, 100%, $E$13) + CHOOSE(CONTROL!$C$28, 0, 0)</f>
        <v>166.70725445073299</v>
      </c>
    </row>
    <row r="369" spans="1:5" ht="15">
      <c r="A369" s="13">
        <v>53113</v>
      </c>
      <c r="B369" s="4">
        <f>29.1872 * CHOOSE(CONTROL!$C$9, $C$13, 100%, $E$13) + CHOOSE(CONTROL!$C$28, 0.0276, 0)</f>
        <v>29.2148</v>
      </c>
      <c r="C369" s="4">
        <f>28.8747 * CHOOSE(CONTROL!$C$9, $C$13, 100%, $E$13) + CHOOSE(CONTROL!$C$28, 0.0276, 0)</f>
        <v>28.9023</v>
      </c>
      <c r="D369" s="4">
        <f>34.7746 * CHOOSE(CONTROL!$C$9, $C$13, 100%, $E$13) + CHOOSE(CONTROL!$C$28, 0, 0)</f>
        <v>34.7746</v>
      </c>
      <c r="E369" s="4">
        <f>170.699114679961 * CHOOSE(CONTROL!$C$9, $C$13, 100%, $E$13) + CHOOSE(CONTROL!$C$28, 0, 0)</f>
        <v>170.69911467996101</v>
      </c>
    </row>
    <row r="370" spans="1:5" ht="15">
      <c r="A370" s="13">
        <v>53143</v>
      </c>
      <c r="B370" s="4">
        <f>29.2737 * CHOOSE(CONTROL!$C$9, $C$13, 100%, $E$13) + CHOOSE(CONTROL!$C$28, 0.0276, 0)</f>
        <v>29.301300000000001</v>
      </c>
      <c r="C370" s="4">
        <f>28.9612 * CHOOSE(CONTROL!$C$9, $C$13, 100%, $E$13) + CHOOSE(CONTROL!$C$28, 0.0276, 0)</f>
        <v>28.988800000000001</v>
      </c>
      <c r="D370" s="4">
        <f>35.0822 * CHOOSE(CONTROL!$C$9, $C$13, 100%, $E$13) + CHOOSE(CONTROL!$C$28, 0, 0)</f>
        <v>35.0822</v>
      </c>
      <c r="E370" s="4">
        <f>171.239229935536 * CHOOSE(CONTROL!$C$9, $C$13, 100%, $E$13) + CHOOSE(CONTROL!$C$28, 0, 0)</f>
        <v>171.239229935536</v>
      </c>
    </row>
    <row r="371" spans="1:5" ht="15">
      <c r="A371" s="13">
        <v>53174</v>
      </c>
      <c r="B371" s="4">
        <f>29.2649 * CHOOSE(CONTROL!$C$9, $C$13, 100%, $E$13) + CHOOSE(CONTROL!$C$28, 0.0276, 0)</f>
        <v>29.2925</v>
      </c>
      <c r="C371" s="4">
        <f>28.9524 * CHOOSE(CONTROL!$C$9, $C$13, 100%, $E$13) + CHOOSE(CONTROL!$C$28, 0.0276, 0)</f>
        <v>28.98</v>
      </c>
      <c r="D371" s="4">
        <f>35.6374 * CHOOSE(CONTROL!$C$9, $C$13, 100%, $E$13) + CHOOSE(CONTROL!$C$28, 0, 0)</f>
        <v>35.6374</v>
      </c>
      <c r="E371" s="4">
        <f>171.184764531612 * CHOOSE(CONTROL!$C$9, $C$13, 100%, $E$13) + CHOOSE(CONTROL!$C$28, 0, 0)</f>
        <v>171.18476453161199</v>
      </c>
    </row>
    <row r="372" spans="1:5" ht="15">
      <c r="A372" s="13">
        <v>53205</v>
      </c>
      <c r="B372" s="4">
        <f>29.9207 * CHOOSE(CONTROL!$C$9, $C$13, 100%, $E$13) + CHOOSE(CONTROL!$C$28, 0.0276, 0)</f>
        <v>29.9483</v>
      </c>
      <c r="C372" s="4">
        <f>29.6082 * CHOOSE(CONTROL!$C$9, $C$13, 100%, $E$13) + CHOOSE(CONTROL!$C$28, 0.0276, 0)</f>
        <v>29.6358</v>
      </c>
      <c r="D372" s="4">
        <f>35.2707 * CHOOSE(CONTROL!$C$9, $C$13, 100%, $E$13) + CHOOSE(CONTROL!$C$28, 0, 0)</f>
        <v>35.270699999999998</v>
      </c>
      <c r="E372" s="4">
        <f>175.283286176857 * CHOOSE(CONTROL!$C$9, $C$13, 100%, $E$13) + CHOOSE(CONTROL!$C$28, 0, 0)</f>
        <v>175.28328617685699</v>
      </c>
    </row>
    <row r="373" spans="1:5" ht="15">
      <c r="A373" s="13">
        <v>53235</v>
      </c>
      <c r="B373" s="4">
        <f>28.8031 * CHOOSE(CONTROL!$C$9, $C$13, 100%, $E$13) + CHOOSE(CONTROL!$C$28, 0.0276, 0)</f>
        <v>28.8307</v>
      </c>
      <c r="C373" s="4">
        <f>28.4906 * CHOOSE(CONTROL!$C$9, $C$13, 100%, $E$13) + CHOOSE(CONTROL!$C$28, 0.0276, 0)</f>
        <v>28.5182</v>
      </c>
      <c r="D373" s="4">
        <f>35.0975 * CHOOSE(CONTROL!$C$9, $C$13, 100%, $E$13) + CHOOSE(CONTROL!$C$28, 0, 0)</f>
        <v>35.097499999999997</v>
      </c>
      <c r="E373" s="4">
        <f>168.298098123666 * CHOOSE(CONTROL!$C$9, $C$13, 100%, $E$13) + CHOOSE(CONTROL!$C$28, 0, 0)</f>
        <v>168.29809812366599</v>
      </c>
    </row>
    <row r="374" spans="1:5" ht="15">
      <c r="A374" s="13">
        <v>53266</v>
      </c>
      <c r="B374" s="4">
        <f>27.9084 * CHOOSE(CONTROL!$C$9, $C$13, 100%, $E$13) + CHOOSE(CONTROL!$C$28, 0.0003, 0)</f>
        <v>27.9087</v>
      </c>
      <c r="C374" s="4">
        <f>27.5959 * CHOOSE(CONTROL!$C$9, $C$13, 100%, $E$13) + CHOOSE(CONTROL!$C$28, 0.0003, 0)</f>
        <v>27.5962</v>
      </c>
      <c r="D374" s="4">
        <f>34.6337 * CHOOSE(CONTROL!$C$9, $C$13, 100%, $E$13) + CHOOSE(CONTROL!$C$28, 0, 0)</f>
        <v>34.633699999999997</v>
      </c>
      <c r="E374" s="4">
        <f>162.706316654185 * CHOOSE(CONTROL!$C$9, $C$13, 100%, $E$13) + CHOOSE(CONTROL!$C$28, 0, 0)</f>
        <v>162.706316654185</v>
      </c>
    </row>
    <row r="375" spans="1:5" ht="15">
      <c r="A375" s="13">
        <v>53296</v>
      </c>
      <c r="B375" s="4">
        <f>27.3321 * CHOOSE(CONTROL!$C$9, $C$13, 100%, $E$13) + CHOOSE(CONTROL!$C$28, 0.0003, 0)</f>
        <v>27.3324</v>
      </c>
      <c r="C375" s="4">
        <f>27.0196 * CHOOSE(CONTROL!$C$9, $C$13, 100%, $E$13) + CHOOSE(CONTROL!$C$28, 0.0003, 0)</f>
        <v>27.0199</v>
      </c>
      <c r="D375" s="4">
        <f>34.4743 * CHOOSE(CONTROL!$C$9, $C$13, 100%, $E$13) + CHOOSE(CONTROL!$C$28, 0, 0)</f>
        <v>34.474299999999999</v>
      </c>
      <c r="E375" s="4">
        <f>159.104791819742 * CHOOSE(CONTROL!$C$9, $C$13, 100%, $E$13) + CHOOSE(CONTROL!$C$28, 0, 0)</f>
        <v>159.10479181974199</v>
      </c>
    </row>
    <row r="376" spans="1:5" ht="15">
      <c r="A376" s="13">
        <v>53327</v>
      </c>
      <c r="B376" s="4">
        <f>26.9334 * CHOOSE(CONTROL!$C$9, $C$13, 100%, $E$13) + CHOOSE(CONTROL!$C$28, 0.0003, 0)</f>
        <v>26.933699999999998</v>
      </c>
      <c r="C376" s="4">
        <f>26.6209 * CHOOSE(CONTROL!$C$9, $C$13, 100%, $E$13) + CHOOSE(CONTROL!$C$28, 0.0003, 0)</f>
        <v>26.621199999999998</v>
      </c>
      <c r="D376" s="4">
        <f>33.3004 * CHOOSE(CONTROL!$C$9, $C$13, 100%, $E$13) + CHOOSE(CONTROL!$C$28, 0, 0)</f>
        <v>33.300400000000003</v>
      </c>
      <c r="E376" s="4">
        <f>156.612999590241 * CHOOSE(CONTROL!$C$9, $C$13, 100%, $E$13) + CHOOSE(CONTROL!$C$28, 0, 0)</f>
        <v>156.612999590241</v>
      </c>
    </row>
    <row r="377" spans="1:5" ht="15">
      <c r="A377" s="13">
        <v>53358</v>
      </c>
      <c r="B377" s="4">
        <f>26.2856 * CHOOSE(CONTROL!$C$9, $C$13, 100%, $E$13) + CHOOSE(CONTROL!$C$28, 0.0003, 0)</f>
        <v>26.285899999999998</v>
      </c>
      <c r="C377" s="4">
        <f>25.9731 * CHOOSE(CONTROL!$C$9, $C$13, 100%, $E$13) + CHOOSE(CONTROL!$C$28, 0.0003, 0)</f>
        <v>25.973399999999998</v>
      </c>
      <c r="D377" s="4">
        <f>32.2215 * CHOOSE(CONTROL!$C$9, $C$13, 100%, $E$13) + CHOOSE(CONTROL!$C$28, 0, 0)</f>
        <v>32.221499999999999</v>
      </c>
      <c r="E377" s="4">
        <f>152.121935566657 * CHOOSE(CONTROL!$C$9, $C$13, 100%, $E$13) + CHOOSE(CONTROL!$C$28, 0, 0)</f>
        <v>152.12193556665699</v>
      </c>
    </row>
    <row r="378" spans="1:5" ht="15">
      <c r="A378" s="13">
        <v>53386</v>
      </c>
      <c r="B378" s="4">
        <f>26.8652 * CHOOSE(CONTROL!$C$9, $C$13, 100%, $E$13) + CHOOSE(CONTROL!$C$28, 0.0003, 0)</f>
        <v>26.865500000000001</v>
      </c>
      <c r="C378" s="4">
        <f>26.5527 * CHOOSE(CONTROL!$C$9, $C$13, 100%, $E$13) + CHOOSE(CONTROL!$C$28, 0.0003, 0)</f>
        <v>26.553000000000001</v>
      </c>
      <c r="D378" s="4">
        <f>33.3079 * CHOOSE(CONTROL!$C$9, $C$13, 100%, $E$13) + CHOOSE(CONTROL!$C$28, 0, 0)</f>
        <v>33.307899999999997</v>
      </c>
      <c r="E378" s="4">
        <f>155.733909815781 * CHOOSE(CONTROL!$C$9, $C$13, 100%, $E$13) + CHOOSE(CONTROL!$C$28, 0, 0)</f>
        <v>155.733909815781</v>
      </c>
    </row>
    <row r="379" spans="1:5" ht="15">
      <c r="A379" s="13">
        <v>53417</v>
      </c>
      <c r="B379" s="4">
        <f>28.3873 * CHOOSE(CONTROL!$C$9, $C$13, 100%, $E$13) + CHOOSE(CONTROL!$C$28, 0.0003, 0)</f>
        <v>28.387599999999999</v>
      </c>
      <c r="C379" s="4">
        <f>28.0748 * CHOOSE(CONTROL!$C$9, $C$13, 100%, $E$13) + CHOOSE(CONTROL!$C$28, 0.0003, 0)</f>
        <v>28.075099999999999</v>
      </c>
      <c r="D379" s="4">
        <f>35.0087 * CHOOSE(CONTROL!$C$9, $C$13, 100%, $E$13) + CHOOSE(CONTROL!$C$28, 0, 0)</f>
        <v>35.008699999999997</v>
      </c>
      <c r="E379" s="4">
        <f>165.219146145951 * CHOOSE(CONTROL!$C$9, $C$13, 100%, $E$13) + CHOOSE(CONTROL!$C$28, 0, 0)</f>
        <v>165.21914614595099</v>
      </c>
    </row>
    <row r="380" spans="1:5" ht="15">
      <c r="A380" s="13">
        <v>53447</v>
      </c>
      <c r="B380" s="4">
        <f>29.4688 * CHOOSE(CONTROL!$C$9, $C$13, 100%, $E$13) + CHOOSE(CONTROL!$C$28, 0.0003, 0)</f>
        <v>29.469100000000001</v>
      </c>
      <c r="C380" s="4">
        <f>29.1563 * CHOOSE(CONTROL!$C$9, $C$13, 100%, $E$13) + CHOOSE(CONTROL!$C$28, 0.0003, 0)</f>
        <v>29.156600000000001</v>
      </c>
      <c r="D380" s="4">
        <f>35.9885 * CHOOSE(CONTROL!$C$9, $C$13, 100%, $E$13) + CHOOSE(CONTROL!$C$28, 0, 0)</f>
        <v>35.988500000000002</v>
      </c>
      <c r="E380" s="4">
        <f>171.958532965931 * CHOOSE(CONTROL!$C$9, $C$13, 100%, $E$13) + CHOOSE(CONTROL!$C$28, 0, 0)</f>
        <v>171.958532965931</v>
      </c>
    </row>
    <row r="381" spans="1:5" ht="15">
      <c r="A381" s="13">
        <v>53478</v>
      </c>
      <c r="B381" s="4">
        <f>30.1295 * CHOOSE(CONTROL!$C$9, $C$13, 100%, $E$13) + CHOOSE(CONTROL!$C$28, 0.0276, 0)</f>
        <v>30.1571</v>
      </c>
      <c r="C381" s="4">
        <f>29.817 * CHOOSE(CONTROL!$C$9, $C$13, 100%, $E$13) + CHOOSE(CONTROL!$C$28, 0.0276, 0)</f>
        <v>29.8446</v>
      </c>
      <c r="D381" s="4">
        <f>35.6013 * CHOOSE(CONTROL!$C$9, $C$13, 100%, $E$13) + CHOOSE(CONTROL!$C$28, 0, 0)</f>
        <v>35.601300000000002</v>
      </c>
      <c r="E381" s="4">
        <f>176.07613679238 * CHOOSE(CONTROL!$C$9, $C$13, 100%, $E$13) + CHOOSE(CONTROL!$C$28, 0, 0)</f>
        <v>176.07613679238</v>
      </c>
    </row>
    <row r="382" spans="1:5" ht="15">
      <c r="A382" s="13">
        <v>53508</v>
      </c>
      <c r="B382" s="4">
        <f>30.2189 * CHOOSE(CONTROL!$C$9, $C$13, 100%, $E$13) + CHOOSE(CONTROL!$C$28, 0.0276, 0)</f>
        <v>30.246500000000001</v>
      </c>
      <c r="C382" s="4">
        <f>29.9064 * CHOOSE(CONTROL!$C$9, $C$13, 100%, $E$13) + CHOOSE(CONTROL!$C$28, 0.0276, 0)</f>
        <v>29.934000000000001</v>
      </c>
      <c r="D382" s="4">
        <f>35.9166 * CHOOSE(CONTROL!$C$9, $C$13, 100%, $E$13) + CHOOSE(CONTROL!$C$28, 0, 0)</f>
        <v>35.916600000000003</v>
      </c>
      <c r="E382" s="4">
        <f>176.633265678505 * CHOOSE(CONTROL!$C$9, $C$13, 100%, $E$13) + CHOOSE(CONTROL!$C$28, 0, 0)</f>
        <v>176.63326567850501</v>
      </c>
    </row>
    <row r="383" spans="1:5" ht="15">
      <c r="A383" s="13">
        <v>53539</v>
      </c>
      <c r="B383" s="4">
        <f>30.2099 * CHOOSE(CONTROL!$C$9, $C$13, 100%, $E$13) + CHOOSE(CONTROL!$C$28, 0.0276, 0)</f>
        <v>30.237500000000001</v>
      </c>
      <c r="C383" s="4">
        <f>29.8974 * CHOOSE(CONTROL!$C$9, $C$13, 100%, $E$13) + CHOOSE(CONTROL!$C$28, 0.0276, 0)</f>
        <v>29.925000000000001</v>
      </c>
      <c r="D383" s="4">
        <f>36.4855 * CHOOSE(CONTROL!$C$9, $C$13, 100%, $E$13) + CHOOSE(CONTROL!$C$28, 0, 0)</f>
        <v>36.485500000000002</v>
      </c>
      <c r="E383" s="4">
        <f>176.577084614358 * CHOOSE(CONTROL!$C$9, $C$13, 100%, $E$13) + CHOOSE(CONTROL!$C$28, 0, 0)</f>
        <v>176.577084614358</v>
      </c>
    </row>
    <row r="384" spans="1:5" ht="15">
      <c r="A384" s="13">
        <v>53570</v>
      </c>
      <c r="B384" s="4">
        <f>30.8883 * CHOOSE(CONTROL!$C$9, $C$13, 100%, $E$13) + CHOOSE(CONTROL!$C$28, 0.0276, 0)</f>
        <v>30.915900000000001</v>
      </c>
      <c r="C384" s="4">
        <f>30.5758 * CHOOSE(CONTROL!$C$9, $C$13, 100%, $E$13) + CHOOSE(CONTROL!$C$28, 0.0276, 0)</f>
        <v>30.603400000000001</v>
      </c>
      <c r="D384" s="4">
        <f>36.1098 * CHOOSE(CONTROL!$C$9, $C$13, 100%, $E$13) + CHOOSE(CONTROL!$C$28, 0, 0)</f>
        <v>36.1098</v>
      </c>
      <c r="E384" s="4">
        <f>180.804709691428 * CHOOSE(CONTROL!$C$9, $C$13, 100%, $E$13) + CHOOSE(CONTROL!$C$28, 0, 0)</f>
        <v>180.804709691428</v>
      </c>
    </row>
    <row r="385" spans="1:5" ht="15">
      <c r="A385" s="13">
        <v>53600</v>
      </c>
      <c r="B385" s="4">
        <f>29.7321 * CHOOSE(CONTROL!$C$9, $C$13, 100%, $E$13) + CHOOSE(CONTROL!$C$28, 0.0276, 0)</f>
        <v>29.759699999999999</v>
      </c>
      <c r="C385" s="4">
        <f>29.4196 * CHOOSE(CONTROL!$C$9, $C$13, 100%, $E$13) + CHOOSE(CONTROL!$C$28, 0.0276, 0)</f>
        <v>29.447199999999999</v>
      </c>
      <c r="D385" s="4">
        <f>35.9323 * CHOOSE(CONTROL!$C$9, $C$13, 100%, $E$13) + CHOOSE(CONTROL!$C$28, 0, 0)</f>
        <v>35.932299999999998</v>
      </c>
      <c r="E385" s="4">
        <f>173.599488214561 * CHOOSE(CONTROL!$C$9, $C$13, 100%, $E$13) + CHOOSE(CONTROL!$C$28, 0, 0)</f>
        <v>173.59948821456101</v>
      </c>
    </row>
    <row r="386" spans="1:5" ht="15">
      <c r="A386" s="13">
        <v>53631</v>
      </c>
      <c r="B386" s="4">
        <f>28.8065 * CHOOSE(CONTROL!$C$9, $C$13, 100%, $E$13) + CHOOSE(CONTROL!$C$28, 0.0003, 0)</f>
        <v>28.806799999999999</v>
      </c>
      <c r="C386" s="4">
        <f>28.494 * CHOOSE(CONTROL!$C$9, $C$13, 100%, $E$13) + CHOOSE(CONTROL!$C$28, 0.0003, 0)</f>
        <v>28.494299999999999</v>
      </c>
      <c r="D386" s="4">
        <f>35.457 * CHOOSE(CONTROL!$C$9, $C$13, 100%, $E$13) + CHOOSE(CONTROL!$C$28, 0, 0)</f>
        <v>35.457000000000001</v>
      </c>
      <c r="E386" s="4">
        <f>167.831565628792 * CHOOSE(CONTROL!$C$9, $C$13, 100%, $E$13) + CHOOSE(CONTROL!$C$28, 0, 0)</f>
        <v>167.83156562879199</v>
      </c>
    </row>
    <row r="387" spans="1:5" ht="15">
      <c r="A387" s="13">
        <v>53661</v>
      </c>
      <c r="B387" s="4">
        <f>28.2104 * CHOOSE(CONTROL!$C$9, $C$13, 100%, $E$13) + CHOOSE(CONTROL!$C$28, 0.0003, 0)</f>
        <v>28.210699999999999</v>
      </c>
      <c r="C387" s="4">
        <f>27.8979 * CHOOSE(CONTROL!$C$9, $C$13, 100%, $E$13) + CHOOSE(CONTROL!$C$28, 0.0003, 0)</f>
        <v>27.898199999999999</v>
      </c>
      <c r="D387" s="4">
        <f>35.2936 * CHOOSE(CONTROL!$C$9, $C$13, 100%, $E$13) + CHOOSE(CONTROL!$C$28, 0, 0)</f>
        <v>35.293599999999998</v>
      </c>
      <c r="E387" s="4">
        <f>164.116592762064 * CHOOSE(CONTROL!$C$9, $C$13, 100%, $E$13) + CHOOSE(CONTROL!$C$28, 0, 0)</f>
        <v>164.11659276206399</v>
      </c>
    </row>
    <row r="388" spans="1:5" ht="15">
      <c r="A388" s="13">
        <v>53692</v>
      </c>
      <c r="B388" s="4">
        <f>27.7979 * CHOOSE(CONTROL!$C$9, $C$13, 100%, $E$13) + CHOOSE(CONTROL!$C$28, 0.0003, 0)</f>
        <v>27.798199999999998</v>
      </c>
      <c r="C388" s="4">
        <f>27.4854 * CHOOSE(CONTROL!$C$9, $C$13, 100%, $E$13) + CHOOSE(CONTROL!$C$28, 0.0003, 0)</f>
        <v>27.485699999999998</v>
      </c>
      <c r="D388" s="4">
        <f>34.0906 * CHOOSE(CONTROL!$C$9, $C$13, 100%, $E$13) + CHOOSE(CONTROL!$C$28, 0, 0)</f>
        <v>34.090600000000002</v>
      </c>
      <c r="E388" s="4">
        <f>161.546309077334 * CHOOSE(CONTROL!$C$9, $C$13, 100%, $E$13) + CHOOSE(CONTROL!$C$28, 0, 0)</f>
        <v>161.546309077334</v>
      </c>
    </row>
    <row r="389" spans="1:5" ht="15">
      <c r="A389" s="13">
        <v>53723</v>
      </c>
      <c r="B389" s="4">
        <f>27.1278 * CHOOSE(CONTROL!$C$9, $C$13, 100%, $E$13) + CHOOSE(CONTROL!$C$28, 0.0003, 0)</f>
        <v>27.1281</v>
      </c>
      <c r="C389" s="4">
        <f>26.8153 * CHOOSE(CONTROL!$C$9, $C$13, 100%, $E$13) + CHOOSE(CONTROL!$C$28, 0.0003, 0)</f>
        <v>26.8156</v>
      </c>
      <c r="D389" s="4">
        <f>32.9849 * CHOOSE(CONTROL!$C$9, $C$13, 100%, $E$13) + CHOOSE(CONTROL!$C$28, 0, 0)</f>
        <v>32.984900000000003</v>
      </c>
      <c r="E389" s="4">
        <f>156.913776537007 * CHOOSE(CONTROL!$C$9, $C$13, 100%, $E$13) + CHOOSE(CONTROL!$C$28, 0, 0)</f>
        <v>156.91377653700701</v>
      </c>
    </row>
    <row r="390" spans="1:5" ht="15">
      <c r="A390" s="13">
        <v>53751</v>
      </c>
      <c r="B390" s="4">
        <f>27.7274 * CHOOSE(CONTROL!$C$9, $C$13, 100%, $E$13) + CHOOSE(CONTROL!$C$28, 0.0003, 0)</f>
        <v>27.727699999999999</v>
      </c>
      <c r="C390" s="4">
        <f>27.4149 * CHOOSE(CONTROL!$C$9, $C$13, 100%, $E$13) + CHOOSE(CONTROL!$C$28, 0.0003, 0)</f>
        <v>27.415199999999999</v>
      </c>
      <c r="D390" s="4">
        <f>34.0983 * CHOOSE(CONTROL!$C$9, $C$13, 100%, $E$13) + CHOOSE(CONTROL!$C$28, 0, 0)</f>
        <v>34.098300000000002</v>
      </c>
      <c r="E390" s="4">
        <f>160.639527974978 * CHOOSE(CONTROL!$C$9, $C$13, 100%, $E$13) + CHOOSE(CONTROL!$C$28, 0, 0)</f>
        <v>160.63952797497799</v>
      </c>
    </row>
    <row r="391" spans="1:5" ht="15">
      <c r="A391" s="13">
        <v>53782</v>
      </c>
      <c r="B391" s="4">
        <f>29.302 * CHOOSE(CONTROL!$C$9, $C$13, 100%, $E$13) + CHOOSE(CONTROL!$C$28, 0.0003, 0)</f>
        <v>29.302299999999999</v>
      </c>
      <c r="C391" s="4">
        <f>28.9895 * CHOOSE(CONTROL!$C$9, $C$13, 100%, $E$13) + CHOOSE(CONTROL!$C$28, 0.0003, 0)</f>
        <v>28.989799999999999</v>
      </c>
      <c r="D391" s="4">
        <f>35.8413 * CHOOSE(CONTROL!$C$9, $C$13, 100%, $E$13) + CHOOSE(CONTROL!$C$28, 0, 0)</f>
        <v>35.841299999999997</v>
      </c>
      <c r="E391" s="4">
        <f>170.423549249549 * CHOOSE(CONTROL!$C$9, $C$13, 100%, $E$13) + CHOOSE(CONTROL!$C$28, 0, 0)</f>
        <v>170.42354924954901</v>
      </c>
    </row>
    <row r="392" spans="1:5" ht="15">
      <c r="A392" s="13">
        <v>53812</v>
      </c>
      <c r="B392" s="4">
        <f>30.4208 * CHOOSE(CONTROL!$C$9, $C$13, 100%, $E$13) + CHOOSE(CONTROL!$C$28, 0.0003, 0)</f>
        <v>30.421099999999999</v>
      </c>
      <c r="C392" s="4">
        <f>30.1083 * CHOOSE(CONTROL!$C$9, $C$13, 100%, $E$13) + CHOOSE(CONTROL!$C$28, 0.0003, 0)</f>
        <v>30.108599999999999</v>
      </c>
      <c r="D392" s="4">
        <f>36.8453 * CHOOSE(CONTROL!$C$9, $C$13, 100%, $E$13) + CHOOSE(CONTROL!$C$28, 0, 0)</f>
        <v>36.845300000000002</v>
      </c>
      <c r="E392" s="4">
        <f>177.375226754358 * CHOOSE(CONTROL!$C$9, $C$13, 100%, $E$13) + CHOOSE(CONTROL!$C$28, 0, 0)</f>
        <v>177.37522675435801</v>
      </c>
    </row>
    <row r="393" spans="1:5" ht="15">
      <c r="A393" s="13">
        <v>53843</v>
      </c>
      <c r="B393" s="4">
        <f>31.1043 * CHOOSE(CONTROL!$C$9, $C$13, 100%, $E$13) + CHOOSE(CONTROL!$C$28, 0.0276, 0)</f>
        <v>31.131899999999998</v>
      </c>
      <c r="C393" s="4">
        <f>30.7918 * CHOOSE(CONTROL!$C$9, $C$13, 100%, $E$13) + CHOOSE(CONTROL!$C$28, 0.0276, 0)</f>
        <v>30.819399999999998</v>
      </c>
      <c r="D393" s="4">
        <f>36.4486 * CHOOSE(CONTROL!$C$9, $C$13, 100%, $E$13) + CHOOSE(CONTROL!$C$28, 0, 0)</f>
        <v>36.448599999999999</v>
      </c>
      <c r="E393" s="4">
        <f>181.62253510134 * CHOOSE(CONTROL!$C$9, $C$13, 100%, $E$13) + CHOOSE(CONTROL!$C$28, 0, 0)</f>
        <v>181.62253510133999</v>
      </c>
    </row>
    <row r="394" spans="1:5" ht="15">
      <c r="A394" s="13">
        <v>53873</v>
      </c>
      <c r="B394" s="4">
        <f>31.1968 * CHOOSE(CONTROL!$C$9, $C$13, 100%, $E$13) + CHOOSE(CONTROL!$C$28, 0.0276, 0)</f>
        <v>31.224399999999999</v>
      </c>
      <c r="C394" s="4">
        <f>30.8843 * CHOOSE(CONTROL!$C$9, $C$13, 100%, $E$13) + CHOOSE(CONTROL!$C$28, 0.0276, 0)</f>
        <v>30.911899999999999</v>
      </c>
      <c r="D394" s="4">
        <f>36.7717 * CHOOSE(CONTROL!$C$9, $C$13, 100%, $E$13) + CHOOSE(CONTROL!$C$28, 0, 0)</f>
        <v>36.771700000000003</v>
      </c>
      <c r="E394" s="4">
        <f>182.197213547378 * CHOOSE(CONTROL!$C$9, $C$13, 100%, $E$13) + CHOOSE(CONTROL!$C$28, 0, 0)</f>
        <v>182.197213547378</v>
      </c>
    </row>
    <row r="395" spans="1:5" ht="15">
      <c r="A395" s="13">
        <v>53904</v>
      </c>
      <c r="B395" s="4">
        <f>31.1874 * CHOOSE(CONTROL!$C$9, $C$13, 100%, $E$13) + CHOOSE(CONTROL!$C$28, 0.0276, 0)</f>
        <v>31.215</v>
      </c>
      <c r="C395" s="4">
        <f>30.8749 * CHOOSE(CONTROL!$C$9, $C$13, 100%, $E$13) + CHOOSE(CONTROL!$C$28, 0.0276, 0)</f>
        <v>30.9025</v>
      </c>
      <c r="D395" s="4">
        <f>37.3547 * CHOOSE(CONTROL!$C$9, $C$13, 100%, $E$13) + CHOOSE(CONTROL!$C$28, 0, 0)</f>
        <v>37.354700000000001</v>
      </c>
      <c r="E395" s="4">
        <f>182.13926277971 * CHOOSE(CONTROL!$C$9, $C$13, 100%, $E$13) + CHOOSE(CONTROL!$C$28, 0, 0)</f>
        <v>182.13926277971001</v>
      </c>
    </row>
    <row r="396" spans="1:5" ht="15">
      <c r="A396" s="13">
        <v>53935</v>
      </c>
      <c r="B396" s="4">
        <f>31.8893 * CHOOSE(CONTROL!$C$9, $C$13, 100%, $E$13) + CHOOSE(CONTROL!$C$28, 0.0276, 0)</f>
        <v>31.916899999999998</v>
      </c>
      <c r="C396" s="4">
        <f>31.5768 * CHOOSE(CONTROL!$C$9, $C$13, 100%, $E$13) + CHOOSE(CONTROL!$C$28, 0.0276, 0)</f>
        <v>31.604399999999998</v>
      </c>
      <c r="D396" s="4">
        <f>36.9697 * CHOOSE(CONTROL!$C$9, $C$13, 100%, $E$13) + CHOOSE(CONTROL!$C$28, 0, 0)</f>
        <v>36.969700000000003</v>
      </c>
      <c r="E396" s="4">
        <f>186.500058046708 * CHOOSE(CONTROL!$C$9, $C$13, 100%, $E$13) + CHOOSE(CONTROL!$C$28, 0, 0)</f>
        <v>186.50005804670801</v>
      </c>
    </row>
    <row r="397" spans="1:5" ht="15">
      <c r="A397" s="13">
        <v>53965</v>
      </c>
      <c r="B397" s="4">
        <f>30.6932 * CHOOSE(CONTROL!$C$9, $C$13, 100%, $E$13) + CHOOSE(CONTROL!$C$28, 0.0276, 0)</f>
        <v>30.720800000000001</v>
      </c>
      <c r="C397" s="4">
        <f>30.3807 * CHOOSE(CONTROL!$C$9, $C$13, 100%, $E$13) + CHOOSE(CONTROL!$C$28, 0.0276, 0)</f>
        <v>30.408300000000001</v>
      </c>
      <c r="D397" s="4">
        <f>36.7878 * CHOOSE(CONTROL!$C$9, $C$13, 100%, $E$13) + CHOOSE(CONTROL!$C$28, 0, 0)</f>
        <v>36.787799999999997</v>
      </c>
      <c r="E397" s="4">
        <f>179.06787209332 * CHOOSE(CONTROL!$C$9, $C$13, 100%, $E$13) + CHOOSE(CONTROL!$C$28, 0, 0)</f>
        <v>179.06787209332001</v>
      </c>
    </row>
    <row r="398" spans="1:5" ht="15">
      <c r="A398" s="13">
        <v>53996</v>
      </c>
      <c r="B398" s="4">
        <f>29.7357 * CHOOSE(CONTROL!$C$9, $C$13, 100%, $E$13) + CHOOSE(CONTROL!$C$28, 0.0003, 0)</f>
        <v>29.736000000000001</v>
      </c>
      <c r="C398" s="4">
        <f>29.4232 * CHOOSE(CONTROL!$C$9, $C$13, 100%, $E$13) + CHOOSE(CONTROL!$C$28, 0.0003, 0)</f>
        <v>29.423500000000001</v>
      </c>
      <c r="D398" s="4">
        <f>36.3007 * CHOOSE(CONTROL!$C$9, $C$13, 100%, $E$13) + CHOOSE(CONTROL!$C$28, 0, 0)</f>
        <v>36.300699999999999</v>
      </c>
      <c r="E398" s="4">
        <f>173.118259946099 * CHOOSE(CONTROL!$C$9, $C$13, 100%, $E$13) + CHOOSE(CONTROL!$C$28, 0, 0)</f>
        <v>173.11825994609899</v>
      </c>
    </row>
    <row r="399" spans="1:5" ht="15">
      <c r="A399" s="13">
        <v>54026</v>
      </c>
      <c r="B399" s="4">
        <f>29.119 * CHOOSE(CONTROL!$C$9, $C$13, 100%, $E$13) + CHOOSE(CONTROL!$C$28, 0.0003, 0)</f>
        <v>29.119299999999999</v>
      </c>
      <c r="C399" s="4">
        <f>28.8065 * CHOOSE(CONTROL!$C$9, $C$13, 100%, $E$13) + CHOOSE(CONTROL!$C$28, 0.0003, 0)</f>
        <v>28.806799999999999</v>
      </c>
      <c r="D399" s="4">
        <f>36.1332 * CHOOSE(CONTROL!$C$9, $C$13, 100%, $E$13) + CHOOSE(CONTROL!$C$28, 0, 0)</f>
        <v>36.133200000000002</v>
      </c>
      <c r="E399" s="4">
        <f>169.286265434069 * CHOOSE(CONTROL!$C$9, $C$13, 100%, $E$13) + CHOOSE(CONTROL!$C$28, 0, 0)</f>
        <v>169.28626543406901</v>
      </c>
    </row>
    <row r="400" spans="1:5" ht="15">
      <c r="A400" s="13">
        <v>54057</v>
      </c>
      <c r="B400" s="4">
        <f>28.6923 * CHOOSE(CONTROL!$C$9, $C$13, 100%, $E$13) + CHOOSE(CONTROL!$C$28, 0.0003, 0)</f>
        <v>28.692599999999999</v>
      </c>
      <c r="C400" s="4">
        <f>28.3798 * CHOOSE(CONTROL!$C$9, $C$13, 100%, $E$13) + CHOOSE(CONTROL!$C$28, 0.0003, 0)</f>
        <v>28.380099999999999</v>
      </c>
      <c r="D400" s="4">
        <f>34.9004 * CHOOSE(CONTROL!$C$9, $C$13, 100%, $E$13) + CHOOSE(CONTROL!$C$28, 0, 0)</f>
        <v>34.900399999999998</v>
      </c>
      <c r="E400" s="4">
        <f>166.63501781327 * CHOOSE(CONTROL!$C$9, $C$13, 100%, $E$13) + CHOOSE(CONTROL!$C$28, 0, 0)</f>
        <v>166.63501781327</v>
      </c>
    </row>
    <row r="401" spans="1:5" ht="15">
      <c r="A401" s="13">
        <v>54088</v>
      </c>
      <c r="B401" s="4">
        <f>27.999 * CHOOSE(CONTROL!$C$9, $C$13, 100%, $E$13) + CHOOSE(CONTROL!$C$28, 0.0003, 0)</f>
        <v>27.999299999999998</v>
      </c>
      <c r="C401" s="4">
        <f>27.6865 * CHOOSE(CONTROL!$C$9, $C$13, 100%, $E$13) + CHOOSE(CONTROL!$C$28, 0.0003, 0)</f>
        <v>27.686799999999998</v>
      </c>
      <c r="D401" s="4">
        <f>33.7673 * CHOOSE(CONTROL!$C$9, $C$13, 100%, $E$13) + CHOOSE(CONTROL!$C$28, 0, 0)</f>
        <v>33.767299999999999</v>
      </c>
      <c r="E401" s="4">
        <f>161.856560497922 * CHOOSE(CONTROL!$C$9, $C$13, 100%, $E$13) + CHOOSE(CONTROL!$C$28, 0, 0)</f>
        <v>161.856560497922</v>
      </c>
    </row>
    <row r="402" spans="1:5" ht="15">
      <c r="A402" s="13">
        <v>54116</v>
      </c>
      <c r="B402" s="4">
        <f>28.6193 * CHOOSE(CONTROL!$C$9, $C$13, 100%, $E$13) + CHOOSE(CONTROL!$C$28, 0.0003, 0)</f>
        <v>28.619599999999998</v>
      </c>
      <c r="C402" s="4">
        <f>28.3068 * CHOOSE(CONTROL!$C$9, $C$13, 100%, $E$13) + CHOOSE(CONTROL!$C$28, 0.0003, 0)</f>
        <v>28.307099999999998</v>
      </c>
      <c r="D402" s="4">
        <f>34.9083 * CHOOSE(CONTROL!$C$9, $C$13, 100%, $E$13) + CHOOSE(CONTROL!$C$28, 0, 0)</f>
        <v>34.908299999999997</v>
      </c>
      <c r="E402" s="4">
        <f>165.69967310619 * CHOOSE(CONTROL!$C$9, $C$13, 100%, $E$13) + CHOOSE(CONTROL!$C$28, 0, 0)</f>
        <v>165.69967310619001</v>
      </c>
    </row>
    <row r="403" spans="1:5" ht="15">
      <c r="A403" s="13">
        <v>54148</v>
      </c>
      <c r="B403" s="4">
        <f>30.2482 * CHOOSE(CONTROL!$C$9, $C$13, 100%, $E$13) + CHOOSE(CONTROL!$C$28, 0.0003, 0)</f>
        <v>30.2485</v>
      </c>
      <c r="C403" s="4">
        <f>29.9357 * CHOOSE(CONTROL!$C$9, $C$13, 100%, $E$13) + CHOOSE(CONTROL!$C$28, 0.0003, 0)</f>
        <v>29.936</v>
      </c>
      <c r="D403" s="4">
        <f>36.6945 * CHOOSE(CONTROL!$C$9, $C$13, 100%, $E$13) + CHOOSE(CONTROL!$C$28, 0, 0)</f>
        <v>36.694499999999998</v>
      </c>
      <c r="E403" s="4">
        <f>175.791891050909 * CHOOSE(CONTROL!$C$9, $C$13, 100%, $E$13) + CHOOSE(CONTROL!$C$28, 0, 0)</f>
        <v>175.79189105090899</v>
      </c>
    </row>
    <row r="404" spans="1:5" ht="15">
      <c r="A404" s="13">
        <v>54178</v>
      </c>
      <c r="B404" s="4">
        <f>31.4056 * CHOOSE(CONTROL!$C$9, $C$13, 100%, $E$13) + CHOOSE(CONTROL!$C$28, 0.0003, 0)</f>
        <v>31.405899999999999</v>
      </c>
      <c r="C404" s="4">
        <f>31.0931 * CHOOSE(CONTROL!$C$9, $C$13, 100%, $E$13) + CHOOSE(CONTROL!$C$28, 0.0003, 0)</f>
        <v>31.093399999999999</v>
      </c>
      <c r="D404" s="4">
        <f>37.7234 * CHOOSE(CONTROL!$C$9, $C$13, 100%, $E$13) + CHOOSE(CONTROL!$C$28, 0, 0)</f>
        <v>37.723399999999998</v>
      </c>
      <c r="E404" s="4">
        <f>182.96254639712 * CHOOSE(CONTROL!$C$9, $C$13, 100%, $E$13) + CHOOSE(CONTROL!$C$28, 0, 0)</f>
        <v>182.96254639712001</v>
      </c>
    </row>
    <row r="405" spans="1:5" ht="15">
      <c r="A405" s="13">
        <v>54209</v>
      </c>
      <c r="B405" s="4">
        <f>32.1127 * CHOOSE(CONTROL!$C$9, $C$13, 100%, $E$13) + CHOOSE(CONTROL!$C$28, 0.0276, 0)</f>
        <v>32.140299999999996</v>
      </c>
      <c r="C405" s="4">
        <f>31.8002 * CHOOSE(CONTROL!$C$9, $C$13, 100%, $E$13) + CHOOSE(CONTROL!$C$28, 0.0276, 0)</f>
        <v>31.8278</v>
      </c>
      <c r="D405" s="4">
        <f>37.3168 * CHOOSE(CONTROL!$C$9, $C$13, 100%, $E$13) + CHOOSE(CONTROL!$C$28, 0, 0)</f>
        <v>37.316800000000001</v>
      </c>
      <c r="E405" s="4">
        <f>187.343644957032 * CHOOSE(CONTROL!$C$9, $C$13, 100%, $E$13) + CHOOSE(CONTROL!$C$28, 0, 0)</f>
        <v>187.34364495703201</v>
      </c>
    </row>
    <row r="406" spans="1:5" ht="15">
      <c r="A406" s="13">
        <v>54239</v>
      </c>
      <c r="B406" s="4">
        <f>32.2084 * CHOOSE(CONTROL!$C$9, $C$13, 100%, $E$13) + CHOOSE(CONTROL!$C$28, 0.0276, 0)</f>
        <v>32.235999999999997</v>
      </c>
      <c r="C406" s="4">
        <f>31.8959 * CHOOSE(CONTROL!$C$9, $C$13, 100%, $E$13) + CHOOSE(CONTROL!$C$28, 0.0276, 0)</f>
        <v>31.923500000000001</v>
      </c>
      <c r="D406" s="4">
        <f>37.648 * CHOOSE(CONTROL!$C$9, $C$13, 100%, $E$13) + CHOOSE(CONTROL!$C$28, 0, 0)</f>
        <v>37.648000000000003</v>
      </c>
      <c r="E406" s="4">
        <f>187.93642577412 * CHOOSE(CONTROL!$C$9, $C$13, 100%, $E$13) + CHOOSE(CONTROL!$C$28, 0, 0)</f>
        <v>187.93642577412001</v>
      </c>
    </row>
    <row r="407" spans="1:5" ht="15">
      <c r="A407" s="13">
        <v>54270</v>
      </c>
      <c r="B407" s="4">
        <f>32.1987 * CHOOSE(CONTROL!$C$9, $C$13, 100%, $E$13) + CHOOSE(CONTROL!$C$28, 0.0276, 0)</f>
        <v>32.226300000000002</v>
      </c>
      <c r="C407" s="4">
        <f>31.8862 * CHOOSE(CONTROL!$C$9, $C$13, 100%, $E$13) + CHOOSE(CONTROL!$C$28, 0.0276, 0)</f>
        <v>31.913799999999998</v>
      </c>
      <c r="D407" s="4">
        <f>38.2454 * CHOOSE(CONTROL!$C$9, $C$13, 100%, $E$13) + CHOOSE(CONTROL!$C$28, 0, 0)</f>
        <v>38.245399999999997</v>
      </c>
      <c r="E407" s="4">
        <f>187.876649557271 * CHOOSE(CONTROL!$C$9, $C$13, 100%, $E$13) + CHOOSE(CONTROL!$C$28, 0, 0)</f>
        <v>187.87664955727101</v>
      </c>
    </row>
    <row r="408" spans="1:5" ht="15">
      <c r="A408" s="13">
        <v>54301</v>
      </c>
      <c r="B408" s="4">
        <f>32.9247 * CHOOSE(CONTROL!$C$9, $C$13, 100%, $E$13) + CHOOSE(CONTROL!$C$28, 0.0276, 0)</f>
        <v>32.952300000000001</v>
      </c>
      <c r="C408" s="4">
        <f>32.6122 * CHOOSE(CONTROL!$C$9, $C$13, 100%, $E$13) + CHOOSE(CONTROL!$C$28, 0.0276, 0)</f>
        <v>32.639800000000001</v>
      </c>
      <c r="D408" s="4">
        <f>37.8509 * CHOOSE(CONTROL!$C$9, $C$13, 100%, $E$13) + CHOOSE(CONTROL!$C$28, 0, 0)</f>
        <v>37.850900000000003</v>
      </c>
      <c r="E408" s="4">
        <f>192.374809875179 * CHOOSE(CONTROL!$C$9, $C$13, 100%, $E$13) + CHOOSE(CONTROL!$C$28, 0, 0)</f>
        <v>192.37480987517901</v>
      </c>
    </row>
    <row r="409" spans="1:5" ht="15">
      <c r="A409" s="13">
        <v>54331</v>
      </c>
      <c r="B409" s="4">
        <f>31.6874 * CHOOSE(CONTROL!$C$9, $C$13, 100%, $E$13) + CHOOSE(CONTROL!$C$28, 0.0276, 0)</f>
        <v>31.715</v>
      </c>
      <c r="C409" s="4">
        <f>31.3749 * CHOOSE(CONTROL!$C$9, $C$13, 100%, $E$13) + CHOOSE(CONTROL!$C$28, 0.0276, 0)</f>
        <v>31.4025</v>
      </c>
      <c r="D409" s="4">
        <f>37.6644 * CHOOSE(CONTROL!$C$9, $C$13, 100%, $E$13) + CHOOSE(CONTROL!$C$28, 0, 0)</f>
        <v>37.664400000000001</v>
      </c>
      <c r="E409" s="4">
        <f>184.70851006426 * CHOOSE(CONTROL!$C$9, $C$13, 100%, $E$13) + CHOOSE(CONTROL!$C$28, 0, 0)</f>
        <v>184.70851006426</v>
      </c>
    </row>
    <row r="410" spans="1:5" ht="15">
      <c r="A410" s="13">
        <v>54362</v>
      </c>
      <c r="B410" s="4">
        <f>30.6969 * CHOOSE(CONTROL!$C$9, $C$13, 100%, $E$13) + CHOOSE(CONTROL!$C$28, 0.0003, 0)</f>
        <v>30.697199999999999</v>
      </c>
      <c r="C410" s="4">
        <f>30.3844 * CHOOSE(CONTROL!$C$9, $C$13, 100%, $E$13) + CHOOSE(CONTROL!$C$28, 0.0003, 0)</f>
        <v>30.384699999999999</v>
      </c>
      <c r="D410" s="4">
        <f>37.1653 * CHOOSE(CONTROL!$C$9, $C$13, 100%, $E$13) + CHOOSE(CONTROL!$C$28, 0, 0)</f>
        <v>37.165300000000002</v>
      </c>
      <c r="E410" s="4">
        <f>178.571485134401 * CHOOSE(CONTROL!$C$9, $C$13, 100%, $E$13) + CHOOSE(CONTROL!$C$28, 0, 0)</f>
        <v>178.571485134401</v>
      </c>
    </row>
    <row r="411" spans="1:5" ht="15">
      <c r="A411" s="13">
        <v>54392</v>
      </c>
      <c r="B411" s="4">
        <f>30.0589 * CHOOSE(CONTROL!$C$9, $C$13, 100%, $E$13) + CHOOSE(CONTROL!$C$28, 0.0003, 0)</f>
        <v>30.059200000000001</v>
      </c>
      <c r="C411" s="4">
        <f>29.7464 * CHOOSE(CONTROL!$C$9, $C$13, 100%, $E$13) + CHOOSE(CONTROL!$C$28, 0.0003, 0)</f>
        <v>29.746700000000001</v>
      </c>
      <c r="D411" s="4">
        <f>36.9937 * CHOOSE(CONTROL!$C$9, $C$13, 100%, $E$13) + CHOOSE(CONTROL!$C$28, 0, 0)</f>
        <v>36.993699999999997</v>
      </c>
      <c r="E411" s="4">
        <f>174.618782795242 * CHOOSE(CONTROL!$C$9, $C$13, 100%, $E$13) + CHOOSE(CONTROL!$C$28, 0, 0)</f>
        <v>174.618782795242</v>
      </c>
    </row>
    <row r="412" spans="1:5" ht="15">
      <c r="A412" s="13">
        <v>54423</v>
      </c>
      <c r="B412" s="4">
        <f>29.6175 * CHOOSE(CONTROL!$C$9, $C$13, 100%, $E$13) + CHOOSE(CONTROL!$C$28, 0.0003, 0)</f>
        <v>29.617799999999999</v>
      </c>
      <c r="C412" s="4">
        <f>29.305 * CHOOSE(CONTROL!$C$9, $C$13, 100%, $E$13) + CHOOSE(CONTROL!$C$28, 0.0003, 0)</f>
        <v>29.305299999999999</v>
      </c>
      <c r="D412" s="4">
        <f>35.7302 * CHOOSE(CONTROL!$C$9, $C$13, 100%, $E$13) + CHOOSE(CONTROL!$C$28, 0, 0)</f>
        <v>35.730200000000004</v>
      </c>
      <c r="E412" s="4">
        <f>171.884020874388 * CHOOSE(CONTROL!$C$9, $C$13, 100%, $E$13) + CHOOSE(CONTROL!$C$28, 0, 0)</f>
        <v>171.884020874388</v>
      </c>
    </row>
    <row r="413" spans="1:5" ht="15">
      <c r="A413" s="13">
        <v>54454</v>
      </c>
      <c r="B413" s="4">
        <f>28.9003 * CHOOSE(CONTROL!$C$9, $C$13, 100%, $E$13) + CHOOSE(CONTROL!$C$28, 0.0003, 0)</f>
        <v>28.900600000000001</v>
      </c>
      <c r="C413" s="4">
        <f>28.5878 * CHOOSE(CONTROL!$C$9, $C$13, 100%, $E$13) + CHOOSE(CONTROL!$C$28, 0.0003, 0)</f>
        <v>28.588100000000001</v>
      </c>
      <c r="D413" s="4">
        <f>34.569 * CHOOSE(CONTROL!$C$9, $C$13, 100%, $E$13) + CHOOSE(CONTROL!$C$28, 0, 0)</f>
        <v>34.569000000000003</v>
      </c>
      <c r="E413" s="4">
        <f>166.955042153607 * CHOOSE(CONTROL!$C$9, $C$13, 100%, $E$13) + CHOOSE(CONTROL!$C$28, 0, 0)</f>
        <v>166.955042153607</v>
      </c>
    </row>
    <row r="414" spans="1:5" ht="15">
      <c r="A414" s="13">
        <v>54482</v>
      </c>
      <c r="B414" s="4">
        <f>29.542 * CHOOSE(CONTROL!$C$9, $C$13, 100%, $E$13) + CHOOSE(CONTROL!$C$28, 0.0003, 0)</f>
        <v>29.542300000000001</v>
      </c>
      <c r="C414" s="4">
        <f>29.2295 * CHOOSE(CONTROL!$C$9, $C$13, 100%, $E$13) + CHOOSE(CONTROL!$C$28, 0.0003, 0)</f>
        <v>29.229800000000001</v>
      </c>
      <c r="D414" s="4">
        <f>35.7384 * CHOOSE(CONTROL!$C$9, $C$13, 100%, $E$13) + CHOOSE(CONTROL!$C$28, 0, 0)</f>
        <v>35.738399999999999</v>
      </c>
      <c r="E414" s="4">
        <f>170.919212809035 * CHOOSE(CONTROL!$C$9, $C$13, 100%, $E$13) + CHOOSE(CONTROL!$C$28, 0, 0)</f>
        <v>170.919212809035</v>
      </c>
    </row>
    <row r="415" spans="1:5" ht="15">
      <c r="A415" s="13">
        <v>54513</v>
      </c>
      <c r="B415" s="4">
        <f>31.2271 * CHOOSE(CONTROL!$C$9, $C$13, 100%, $E$13) + CHOOSE(CONTROL!$C$28, 0.0003, 0)</f>
        <v>31.227399999999999</v>
      </c>
      <c r="C415" s="4">
        <f>30.9146 * CHOOSE(CONTROL!$C$9, $C$13, 100%, $E$13) + CHOOSE(CONTROL!$C$28, 0.0003, 0)</f>
        <v>30.914899999999999</v>
      </c>
      <c r="D415" s="4">
        <f>37.5689 * CHOOSE(CONTROL!$C$9, $C$13, 100%, $E$13) + CHOOSE(CONTROL!$C$28, 0, 0)</f>
        <v>37.568899999999999</v>
      </c>
      <c r="E415" s="4">
        <f>181.329335619013 * CHOOSE(CONTROL!$C$9, $C$13, 100%, $E$13) + CHOOSE(CONTROL!$C$28, 0, 0)</f>
        <v>181.32933561901299</v>
      </c>
    </row>
    <row r="416" spans="1:5" ht="15">
      <c r="A416" s="13">
        <v>54543</v>
      </c>
      <c r="B416" s="4">
        <f>32.4244 * CHOOSE(CONTROL!$C$9, $C$13, 100%, $E$13) + CHOOSE(CONTROL!$C$28, 0.0003, 0)</f>
        <v>32.424700000000001</v>
      </c>
      <c r="C416" s="4">
        <f>32.1119 * CHOOSE(CONTROL!$C$9, $C$13, 100%, $E$13) + CHOOSE(CONTROL!$C$28, 0.0003, 0)</f>
        <v>32.112200000000001</v>
      </c>
      <c r="D416" s="4">
        <f>38.6233 * CHOOSE(CONTROL!$C$9, $C$13, 100%, $E$13) + CHOOSE(CONTROL!$C$28, 0, 0)</f>
        <v>38.6233</v>
      </c>
      <c r="E416" s="4">
        <f>188.72586660863 * CHOOSE(CONTROL!$C$9, $C$13, 100%, $E$13) + CHOOSE(CONTROL!$C$28, 0, 0)</f>
        <v>188.72586660863001</v>
      </c>
    </row>
    <row r="417" spans="1:5" ht="15">
      <c r="A417" s="13">
        <v>54574</v>
      </c>
      <c r="B417" s="4">
        <f>33.1559 * CHOOSE(CONTROL!$C$9, $C$13, 100%, $E$13) + CHOOSE(CONTROL!$C$28, 0.0276, 0)</f>
        <v>33.183500000000002</v>
      </c>
      <c r="C417" s="4">
        <f>32.8434 * CHOOSE(CONTROL!$C$9, $C$13, 100%, $E$13) + CHOOSE(CONTROL!$C$28, 0.0276, 0)</f>
        <v>32.871000000000002</v>
      </c>
      <c r="D417" s="4">
        <f>38.2067 * CHOOSE(CONTROL!$C$9, $C$13, 100%, $E$13) + CHOOSE(CONTROL!$C$28, 0, 0)</f>
        <v>38.206699999999998</v>
      </c>
      <c r="E417" s="4">
        <f>193.244969773178 * CHOOSE(CONTROL!$C$9, $C$13, 100%, $E$13) + CHOOSE(CONTROL!$C$28, 0, 0)</f>
        <v>193.24496977317801</v>
      </c>
    </row>
    <row r="418" spans="1:5" ht="15">
      <c r="A418" s="13">
        <v>54604</v>
      </c>
      <c r="B418" s="4">
        <f>33.2549 * CHOOSE(CONTROL!$C$9, $C$13, 100%, $E$13) + CHOOSE(CONTROL!$C$28, 0.0276, 0)</f>
        <v>33.282499999999999</v>
      </c>
      <c r="C418" s="4">
        <f>32.9424 * CHOOSE(CONTROL!$C$9, $C$13, 100%, $E$13) + CHOOSE(CONTROL!$C$28, 0.0276, 0)</f>
        <v>32.97</v>
      </c>
      <c r="D418" s="4">
        <f>38.546 * CHOOSE(CONTROL!$C$9, $C$13, 100%, $E$13) + CHOOSE(CONTROL!$C$28, 0, 0)</f>
        <v>38.545999999999999</v>
      </c>
      <c r="E418" s="4">
        <f>193.856423186005 * CHOOSE(CONTROL!$C$9, $C$13, 100%, $E$13) + CHOOSE(CONTROL!$C$28, 0, 0)</f>
        <v>193.856423186005</v>
      </c>
    </row>
    <row r="419" spans="1:5" ht="15">
      <c r="A419" s="13">
        <v>54635</v>
      </c>
      <c r="B419" s="4">
        <f>33.2449 * CHOOSE(CONTROL!$C$9, $C$13, 100%, $E$13) + CHOOSE(CONTROL!$C$28, 0.0276, 0)</f>
        <v>33.272500000000001</v>
      </c>
      <c r="C419" s="4">
        <f>32.9324 * CHOOSE(CONTROL!$C$9, $C$13, 100%, $E$13) + CHOOSE(CONTROL!$C$28, 0.0276, 0)</f>
        <v>32.96</v>
      </c>
      <c r="D419" s="4">
        <f>39.1583 * CHOOSE(CONTROL!$C$9, $C$13, 100%, $E$13) + CHOOSE(CONTROL!$C$28, 0, 0)</f>
        <v>39.158299999999997</v>
      </c>
      <c r="E419" s="4">
        <f>193.794764018325 * CHOOSE(CONTROL!$C$9, $C$13, 100%, $E$13) + CHOOSE(CONTROL!$C$28, 0, 0)</f>
        <v>193.794764018325</v>
      </c>
    </row>
    <row r="420" spans="1:5" ht="15">
      <c r="A420" s="13">
        <v>54666</v>
      </c>
      <c r="B420" s="4">
        <f>33.996 * CHOOSE(CONTROL!$C$9, $C$13, 100%, $E$13) + CHOOSE(CONTROL!$C$28, 0.0276, 0)</f>
        <v>34.023600000000002</v>
      </c>
      <c r="C420" s="4">
        <f>33.6835 * CHOOSE(CONTROL!$C$9, $C$13, 100%, $E$13) + CHOOSE(CONTROL!$C$28, 0.0276, 0)</f>
        <v>33.711100000000002</v>
      </c>
      <c r="D420" s="4">
        <f>38.7539 * CHOOSE(CONTROL!$C$9, $C$13, 100%, $E$13) + CHOOSE(CONTROL!$C$28, 0, 0)</f>
        <v>38.753900000000002</v>
      </c>
      <c r="E420" s="4">
        <f>198.434616386247 * CHOOSE(CONTROL!$C$9, $C$13, 100%, $E$13) + CHOOSE(CONTROL!$C$28, 0, 0)</f>
        <v>198.434616386247</v>
      </c>
    </row>
    <row r="421" spans="1:5" ht="15">
      <c r="A421" s="13">
        <v>54696</v>
      </c>
      <c r="B421" s="4">
        <f>32.7159 * CHOOSE(CONTROL!$C$9, $C$13, 100%, $E$13) + CHOOSE(CONTROL!$C$28, 0.0276, 0)</f>
        <v>32.743499999999997</v>
      </c>
      <c r="C421" s="4">
        <f>32.4034 * CHOOSE(CONTROL!$C$9, $C$13, 100%, $E$13) + CHOOSE(CONTROL!$C$28, 0.0276, 0)</f>
        <v>32.430999999999997</v>
      </c>
      <c r="D421" s="4">
        <f>38.5629 * CHOOSE(CONTROL!$C$9, $C$13, 100%, $E$13) + CHOOSE(CONTROL!$C$28, 0, 0)</f>
        <v>38.562899999999999</v>
      </c>
      <c r="E421" s="4">
        <f>190.526828131284 * CHOOSE(CONTROL!$C$9, $C$13, 100%, $E$13) + CHOOSE(CONTROL!$C$28, 0, 0)</f>
        <v>190.52682813128399</v>
      </c>
    </row>
    <row r="422" spans="1:5" ht="15">
      <c r="A422" s="13">
        <v>54727</v>
      </c>
      <c r="B422" s="4">
        <f>31.6912 * CHOOSE(CONTROL!$C$9, $C$13, 100%, $E$13) + CHOOSE(CONTROL!$C$28, 0.0003, 0)</f>
        <v>31.691499999999998</v>
      </c>
      <c r="C422" s="4">
        <f>31.3787 * CHOOSE(CONTROL!$C$9, $C$13, 100%, $E$13) + CHOOSE(CONTROL!$C$28, 0.0003, 0)</f>
        <v>31.378999999999998</v>
      </c>
      <c r="D422" s="4">
        <f>38.0513 * CHOOSE(CONTROL!$C$9, $C$13, 100%, $E$13) + CHOOSE(CONTROL!$C$28, 0, 0)</f>
        <v>38.051299999999998</v>
      </c>
      <c r="E422" s="4">
        <f>184.196486916134 * CHOOSE(CONTROL!$C$9, $C$13, 100%, $E$13) + CHOOSE(CONTROL!$C$28, 0, 0)</f>
        <v>184.19648691613401</v>
      </c>
    </row>
    <row r="423" spans="1:5" ht="15">
      <c r="A423" s="13">
        <v>54757</v>
      </c>
      <c r="B423" s="4">
        <f>31.0312 * CHOOSE(CONTROL!$C$9, $C$13, 100%, $E$13) + CHOOSE(CONTROL!$C$28, 0.0003, 0)</f>
        <v>31.031499999999998</v>
      </c>
      <c r="C423" s="4">
        <f>30.7187 * CHOOSE(CONTROL!$C$9, $C$13, 100%, $E$13) + CHOOSE(CONTROL!$C$28, 0.0003, 0)</f>
        <v>30.718999999999998</v>
      </c>
      <c r="D423" s="4">
        <f>37.8755 * CHOOSE(CONTROL!$C$9, $C$13, 100%, $E$13) + CHOOSE(CONTROL!$C$28, 0, 0)</f>
        <v>37.875500000000002</v>
      </c>
      <c r="E423" s="4">
        <f>180.119274453293 * CHOOSE(CONTROL!$C$9, $C$13, 100%, $E$13) + CHOOSE(CONTROL!$C$28, 0, 0)</f>
        <v>180.119274453293</v>
      </c>
    </row>
    <row r="424" spans="1:5" ht="15">
      <c r="A424" s="13">
        <v>54788</v>
      </c>
      <c r="B424" s="4">
        <f>30.5746 * CHOOSE(CONTROL!$C$9, $C$13, 100%, $E$13) + CHOOSE(CONTROL!$C$28, 0.0003, 0)</f>
        <v>30.5749</v>
      </c>
      <c r="C424" s="4">
        <f>30.2621 * CHOOSE(CONTROL!$C$9, $C$13, 100%, $E$13) + CHOOSE(CONTROL!$C$28, 0.0003, 0)</f>
        <v>30.2624</v>
      </c>
      <c r="D424" s="4">
        <f>36.5807 * CHOOSE(CONTROL!$C$9, $C$13, 100%, $E$13) + CHOOSE(CONTROL!$C$28, 0, 0)</f>
        <v>36.5807</v>
      </c>
      <c r="E424" s="4">
        <f>177.298367531931 * CHOOSE(CONTROL!$C$9, $C$13, 100%, $E$13) + CHOOSE(CONTROL!$C$28, 0, 0)</f>
        <v>177.29836753193101</v>
      </c>
    </row>
    <row r="425" spans="1:5" ht="15">
      <c r="A425" s="13">
        <v>54819</v>
      </c>
      <c r="B425" s="4">
        <f>29.8327 * CHOOSE(CONTROL!$C$9, $C$13, 100%, $E$13) + CHOOSE(CONTROL!$C$28, 0.0003, 0)</f>
        <v>29.832999999999998</v>
      </c>
      <c r="C425" s="4">
        <f>29.5202 * CHOOSE(CONTROL!$C$9, $C$13, 100%, $E$13) + CHOOSE(CONTROL!$C$28, 0.0003, 0)</f>
        <v>29.520499999999998</v>
      </c>
      <c r="D425" s="4">
        <f>35.3907 * CHOOSE(CONTROL!$C$9, $C$13, 100%, $E$13) + CHOOSE(CONTROL!$C$28, 0, 0)</f>
        <v>35.390700000000002</v>
      </c>
      <c r="E425" s="4">
        <f>172.214125981445 * CHOOSE(CONTROL!$C$9, $C$13, 100%, $E$13) + CHOOSE(CONTROL!$C$28, 0, 0)</f>
        <v>172.21412598144499</v>
      </c>
    </row>
    <row r="426" spans="1:5" ht="15">
      <c r="A426" s="13">
        <v>54847</v>
      </c>
      <c r="B426" s="4">
        <f>30.4965 * CHOOSE(CONTROL!$C$9, $C$13, 100%, $E$13) + CHOOSE(CONTROL!$C$28, 0.0003, 0)</f>
        <v>30.4968</v>
      </c>
      <c r="C426" s="4">
        <f>30.184 * CHOOSE(CONTROL!$C$9, $C$13, 100%, $E$13) + CHOOSE(CONTROL!$C$28, 0.0003, 0)</f>
        <v>30.1843</v>
      </c>
      <c r="D426" s="4">
        <f>36.589 * CHOOSE(CONTROL!$C$9, $C$13, 100%, $E$13) + CHOOSE(CONTROL!$C$28, 0, 0)</f>
        <v>36.588999999999999</v>
      </c>
      <c r="E426" s="4">
        <f>176.30316801252 * CHOOSE(CONTROL!$C$9, $C$13, 100%, $E$13) + CHOOSE(CONTROL!$C$28, 0, 0)</f>
        <v>176.30316801251999</v>
      </c>
    </row>
    <row r="427" spans="1:5" ht="15">
      <c r="A427" s="13">
        <v>54878</v>
      </c>
      <c r="B427" s="4">
        <f>32.2397 * CHOOSE(CONTROL!$C$9, $C$13, 100%, $E$13) + CHOOSE(CONTROL!$C$28, 0.0003, 0)</f>
        <v>32.24</v>
      </c>
      <c r="C427" s="4">
        <f>31.9272 * CHOOSE(CONTROL!$C$9, $C$13, 100%, $E$13) + CHOOSE(CONTROL!$C$28, 0.0003, 0)</f>
        <v>31.927499999999998</v>
      </c>
      <c r="D427" s="4">
        <f>38.4649 * CHOOSE(CONTROL!$C$9, $C$13, 100%, $E$13) + CHOOSE(CONTROL!$C$28, 0, 0)</f>
        <v>38.4649</v>
      </c>
      <c r="E427" s="4">
        <f>187.041209691012 * CHOOSE(CONTROL!$C$9, $C$13, 100%, $E$13) + CHOOSE(CONTROL!$C$28, 0, 0)</f>
        <v>187.041209691012</v>
      </c>
    </row>
    <row r="428" spans="1:5" ht="15">
      <c r="A428" s="13">
        <v>54908</v>
      </c>
      <c r="B428" s="4">
        <f>33.4783 * CHOOSE(CONTROL!$C$9, $C$13, 100%, $E$13) + CHOOSE(CONTROL!$C$28, 0.0003, 0)</f>
        <v>33.4786</v>
      </c>
      <c r="C428" s="4">
        <f>33.1658 * CHOOSE(CONTROL!$C$9, $C$13, 100%, $E$13) + CHOOSE(CONTROL!$C$28, 0.0003, 0)</f>
        <v>33.1661</v>
      </c>
      <c r="D428" s="4">
        <f>39.5455 * CHOOSE(CONTROL!$C$9, $C$13, 100%, $E$13) + CHOOSE(CONTROL!$C$28, 0, 0)</f>
        <v>39.545499999999997</v>
      </c>
      <c r="E428" s="4">
        <f>194.670731406802 * CHOOSE(CONTROL!$C$9, $C$13, 100%, $E$13) + CHOOSE(CONTROL!$C$28, 0, 0)</f>
        <v>194.67073140680199</v>
      </c>
    </row>
    <row r="429" spans="1:5" ht="15">
      <c r="A429" s="13">
        <v>54939</v>
      </c>
      <c r="B429" s="4">
        <f>34.2351 * CHOOSE(CONTROL!$C$9, $C$13, 100%, $E$13) + CHOOSE(CONTROL!$C$28, 0.0276, 0)</f>
        <v>34.262700000000002</v>
      </c>
      <c r="C429" s="4">
        <f>33.9226 * CHOOSE(CONTROL!$C$9, $C$13, 100%, $E$13) + CHOOSE(CONTROL!$C$28, 0.0276, 0)</f>
        <v>33.950200000000002</v>
      </c>
      <c r="D429" s="4">
        <f>39.1185 * CHOOSE(CONTROL!$C$9, $C$13, 100%, $E$13) + CHOOSE(CONTROL!$C$28, 0, 0)</f>
        <v>39.118499999999997</v>
      </c>
      <c r="E429" s="4">
        <f>199.332186321034 * CHOOSE(CONTROL!$C$9, $C$13, 100%, $E$13) + CHOOSE(CONTROL!$C$28, 0, 0)</f>
        <v>199.33218632103399</v>
      </c>
    </row>
    <row r="430" spans="1:5" ht="15">
      <c r="A430" s="13">
        <v>54969</v>
      </c>
      <c r="B430" s="4">
        <f>34.3375 * CHOOSE(CONTROL!$C$9, $C$13, 100%, $E$13) + CHOOSE(CONTROL!$C$28, 0.0276, 0)</f>
        <v>34.365099999999998</v>
      </c>
      <c r="C430" s="4">
        <f>34.025 * CHOOSE(CONTROL!$C$9, $C$13, 100%, $E$13) + CHOOSE(CONTROL!$C$28, 0.0276, 0)</f>
        <v>34.052599999999998</v>
      </c>
      <c r="D430" s="4">
        <f>39.4663 * CHOOSE(CONTROL!$C$9, $C$13, 100%, $E$13) + CHOOSE(CONTROL!$C$28, 0, 0)</f>
        <v>39.466299999999997</v>
      </c>
      <c r="E430" s="4">
        <f>199.962900516364 * CHOOSE(CONTROL!$C$9, $C$13, 100%, $E$13) + CHOOSE(CONTROL!$C$28, 0, 0)</f>
        <v>199.96290051636399</v>
      </c>
    </row>
    <row r="431" spans="1:5" ht="15">
      <c r="A431" s="13">
        <v>55000</v>
      </c>
      <c r="B431" s="4">
        <f>34.3272 * CHOOSE(CONTROL!$C$9, $C$13, 100%, $E$13) + CHOOSE(CONTROL!$C$28, 0.0276, 0)</f>
        <v>34.354799999999997</v>
      </c>
      <c r="C431" s="4">
        <f>34.0147 * CHOOSE(CONTROL!$C$9, $C$13, 100%, $E$13) + CHOOSE(CONTROL!$C$28, 0.0276, 0)</f>
        <v>34.042299999999997</v>
      </c>
      <c r="D431" s="4">
        <f>40.0937 * CHOOSE(CONTROL!$C$9, $C$13, 100%, $E$13) + CHOOSE(CONTROL!$C$28, 0, 0)</f>
        <v>40.093699999999998</v>
      </c>
      <c r="E431" s="4">
        <f>199.899299084903 * CHOOSE(CONTROL!$C$9, $C$13, 100%, $E$13) + CHOOSE(CONTROL!$C$28, 0, 0)</f>
        <v>199.89929908490299</v>
      </c>
    </row>
    <row r="432" spans="1:5" ht="15">
      <c r="A432" s="13">
        <v>55031</v>
      </c>
      <c r="B432" s="4">
        <f>35.1041 * CHOOSE(CONTROL!$C$9, $C$13, 100%, $E$13) + CHOOSE(CONTROL!$C$28, 0.0276, 0)</f>
        <v>35.131700000000002</v>
      </c>
      <c r="C432" s="4">
        <f>34.7916 * CHOOSE(CONTROL!$C$9, $C$13, 100%, $E$13) + CHOOSE(CONTROL!$C$28, 0.0276, 0)</f>
        <v>34.819200000000002</v>
      </c>
      <c r="D432" s="4">
        <f>39.6794 * CHOOSE(CONTROL!$C$9, $C$13, 100%, $E$13) + CHOOSE(CONTROL!$C$28, 0, 0)</f>
        <v>39.679400000000001</v>
      </c>
      <c r="E432" s="4">
        <f>204.685306802414 * CHOOSE(CONTROL!$C$9, $C$13, 100%, $E$13) + CHOOSE(CONTROL!$C$28, 0, 0)</f>
        <v>204.685306802414</v>
      </c>
    </row>
    <row r="433" spans="1:5" ht="15">
      <c r="A433" s="13">
        <v>55061</v>
      </c>
      <c r="B433" s="4">
        <f>33.7799 * CHOOSE(CONTROL!$C$9, $C$13, 100%, $E$13) + CHOOSE(CONTROL!$C$28, 0.0276, 0)</f>
        <v>33.807499999999997</v>
      </c>
      <c r="C433" s="4">
        <f>33.4674 * CHOOSE(CONTROL!$C$9, $C$13, 100%, $E$13) + CHOOSE(CONTROL!$C$28, 0.0276, 0)</f>
        <v>33.494999999999997</v>
      </c>
      <c r="D433" s="4">
        <f>39.4836 * CHOOSE(CONTROL!$C$9, $C$13, 100%, $E$13) + CHOOSE(CONTROL!$C$28, 0, 0)</f>
        <v>39.483600000000003</v>
      </c>
      <c r="E433" s="4">
        <f>196.528423217419 * CHOOSE(CONTROL!$C$9, $C$13, 100%, $E$13) + CHOOSE(CONTROL!$C$28, 0, 0)</f>
        <v>196.528423217419</v>
      </c>
    </row>
    <row r="434" spans="1:5" ht="15">
      <c r="A434" s="13">
        <v>55092</v>
      </c>
      <c r="B434" s="4">
        <f>32.7199 * CHOOSE(CONTROL!$C$9, $C$13, 100%, $E$13) + CHOOSE(CONTROL!$C$28, 0.0003, 0)</f>
        <v>32.720200000000006</v>
      </c>
      <c r="C434" s="4">
        <f>32.4074 * CHOOSE(CONTROL!$C$9, $C$13, 100%, $E$13) + CHOOSE(CONTROL!$C$28, 0.0003, 0)</f>
        <v>32.407700000000006</v>
      </c>
      <c r="D434" s="4">
        <f>38.9593 * CHOOSE(CONTROL!$C$9, $C$13, 100%, $E$13) + CHOOSE(CONTROL!$C$28, 0, 0)</f>
        <v>38.959299999999999</v>
      </c>
      <c r="E434" s="4">
        <f>189.998676253993 * CHOOSE(CONTROL!$C$9, $C$13, 100%, $E$13) + CHOOSE(CONTROL!$C$28, 0, 0)</f>
        <v>189.99867625399301</v>
      </c>
    </row>
    <row r="435" spans="1:5" ht="15">
      <c r="A435" s="13">
        <v>55122</v>
      </c>
      <c r="B435" s="4">
        <f>32.0371 * CHOOSE(CONTROL!$C$9, $C$13, 100%, $E$13) + CHOOSE(CONTROL!$C$28, 0.0003, 0)</f>
        <v>32.037400000000005</v>
      </c>
      <c r="C435" s="4">
        <f>31.7246 * CHOOSE(CONTROL!$C$9, $C$13, 100%, $E$13) + CHOOSE(CONTROL!$C$28, 0.0003, 0)</f>
        <v>31.724899999999998</v>
      </c>
      <c r="D435" s="4">
        <f>38.7791 * CHOOSE(CONTROL!$C$9, $C$13, 100%, $E$13) + CHOOSE(CONTROL!$C$28, 0, 0)</f>
        <v>38.7791</v>
      </c>
      <c r="E435" s="4">
        <f>185.793031598571 * CHOOSE(CONTROL!$C$9, $C$13, 100%, $E$13) + CHOOSE(CONTROL!$C$28, 0, 0)</f>
        <v>185.79303159857099</v>
      </c>
    </row>
    <row r="436" spans="1:5" ht="15">
      <c r="A436" s="13">
        <v>55153</v>
      </c>
      <c r="B436" s="4">
        <f>31.5647 * CHOOSE(CONTROL!$C$9, $C$13, 100%, $E$13) + CHOOSE(CONTROL!$C$28, 0.0003, 0)</f>
        <v>31.564999999999998</v>
      </c>
      <c r="C436" s="4">
        <f>31.2522 * CHOOSE(CONTROL!$C$9, $C$13, 100%, $E$13) + CHOOSE(CONTROL!$C$28, 0.0003, 0)</f>
        <v>31.252499999999998</v>
      </c>
      <c r="D436" s="4">
        <f>37.4522 * CHOOSE(CONTROL!$C$9, $C$13, 100%, $E$13) + CHOOSE(CONTROL!$C$28, 0, 0)</f>
        <v>37.452199999999998</v>
      </c>
      <c r="E436" s="4">
        <f>182.883266109187 * CHOOSE(CONTROL!$C$9, $C$13, 100%, $E$13) + CHOOSE(CONTROL!$C$28, 0, 0)</f>
        <v>182.88326610918699</v>
      </c>
    </row>
    <row r="437" spans="1:5" ht="15">
      <c r="A437" s="13">
        <v>55184</v>
      </c>
      <c r="B437" s="4">
        <f>30.7972 * CHOOSE(CONTROL!$C$9, $C$13, 100%, $E$13) + CHOOSE(CONTROL!$C$28, 0.0003, 0)</f>
        <v>30.797499999999999</v>
      </c>
      <c r="C437" s="4">
        <f>30.4847 * CHOOSE(CONTROL!$C$9, $C$13, 100%, $E$13) + CHOOSE(CONTROL!$C$28, 0.0003, 0)</f>
        <v>30.484999999999999</v>
      </c>
      <c r="D437" s="4">
        <f>36.2327 * CHOOSE(CONTROL!$C$9, $C$13, 100%, $E$13) + CHOOSE(CONTROL!$C$28, 0, 0)</f>
        <v>36.232700000000001</v>
      </c>
      <c r="E437" s="4">
        <f>177.638870949861 * CHOOSE(CONTROL!$C$9, $C$13, 100%, $E$13) + CHOOSE(CONTROL!$C$28, 0, 0)</f>
        <v>177.638870949861</v>
      </c>
    </row>
    <row r="438" spans="1:5" ht="15">
      <c r="A438" s="13">
        <v>55212</v>
      </c>
      <c r="B438" s="4">
        <f>31.4839 * CHOOSE(CONTROL!$C$9, $C$13, 100%, $E$13) + CHOOSE(CONTROL!$C$28, 0.0003, 0)</f>
        <v>31.484199999999998</v>
      </c>
      <c r="C438" s="4">
        <f>31.1714 * CHOOSE(CONTROL!$C$9, $C$13, 100%, $E$13) + CHOOSE(CONTROL!$C$28, 0.0003, 0)</f>
        <v>31.171699999999998</v>
      </c>
      <c r="D438" s="4">
        <f>37.4608 * CHOOSE(CONTROL!$C$9, $C$13, 100%, $E$13) + CHOOSE(CONTROL!$C$28, 0, 0)</f>
        <v>37.460799999999999</v>
      </c>
      <c r="E438" s="4">
        <f>181.856717804914 * CHOOSE(CONTROL!$C$9, $C$13, 100%, $E$13) + CHOOSE(CONTROL!$C$28, 0, 0)</f>
        <v>181.85671780491401</v>
      </c>
    </row>
    <row r="439" spans="1:5" ht="15">
      <c r="A439" s="13">
        <v>55243</v>
      </c>
      <c r="B439" s="4">
        <f>33.2873 * CHOOSE(CONTROL!$C$9, $C$13, 100%, $E$13) + CHOOSE(CONTROL!$C$28, 0.0003, 0)</f>
        <v>33.287600000000005</v>
      </c>
      <c r="C439" s="4">
        <f>32.9748 * CHOOSE(CONTROL!$C$9, $C$13, 100%, $E$13) + CHOOSE(CONTROL!$C$28, 0.0003, 0)</f>
        <v>32.975100000000005</v>
      </c>
      <c r="D439" s="4">
        <f>39.3832 * CHOOSE(CONTROL!$C$9, $C$13, 100%, $E$13) + CHOOSE(CONTROL!$C$28, 0, 0)</f>
        <v>39.383200000000002</v>
      </c>
      <c r="E439" s="4">
        <f>192.933007796279 * CHOOSE(CONTROL!$C$9, $C$13, 100%, $E$13) + CHOOSE(CONTROL!$C$28, 0, 0)</f>
        <v>192.93300779627901</v>
      </c>
    </row>
    <row r="440" spans="1:5" ht="15">
      <c r="A440" s="13">
        <v>55273</v>
      </c>
      <c r="B440" s="4">
        <f>34.5687 * CHOOSE(CONTROL!$C$9, $C$13, 100%, $E$13) + CHOOSE(CONTROL!$C$28, 0.0003, 0)</f>
        <v>34.569000000000003</v>
      </c>
      <c r="C440" s="4">
        <f>34.2562 * CHOOSE(CONTROL!$C$9, $C$13, 100%, $E$13) + CHOOSE(CONTROL!$C$28, 0.0003, 0)</f>
        <v>34.256500000000003</v>
      </c>
      <c r="D440" s="4">
        <f>40.4906 * CHOOSE(CONTROL!$C$9, $C$13, 100%, $E$13) + CHOOSE(CONTROL!$C$28, 0, 0)</f>
        <v>40.490600000000001</v>
      </c>
      <c r="E440" s="4">
        <f>200.802859446116 * CHOOSE(CONTROL!$C$9, $C$13, 100%, $E$13) + CHOOSE(CONTROL!$C$28, 0, 0)</f>
        <v>200.802859446116</v>
      </c>
    </row>
    <row r="441" spans="1:5" ht="15">
      <c r="A441" s="13">
        <v>55304</v>
      </c>
      <c r="B441" s="4">
        <f>35.3515 * CHOOSE(CONTROL!$C$9, $C$13, 100%, $E$13) + CHOOSE(CONTROL!$C$28, 0.0276, 0)</f>
        <v>35.379100000000001</v>
      </c>
      <c r="C441" s="4">
        <f>35.039 * CHOOSE(CONTROL!$C$9, $C$13, 100%, $E$13) + CHOOSE(CONTROL!$C$28, 0.0276, 0)</f>
        <v>35.066600000000001</v>
      </c>
      <c r="D441" s="4">
        <f>40.053 * CHOOSE(CONTROL!$C$9, $C$13, 100%, $E$13) + CHOOSE(CONTROL!$C$28, 0, 0)</f>
        <v>40.052999999999997</v>
      </c>
      <c r="E441" s="4">
        <f>205.611150190146 * CHOOSE(CONTROL!$C$9, $C$13, 100%, $E$13) + CHOOSE(CONTROL!$C$28, 0, 0)</f>
        <v>205.61115019014599</v>
      </c>
    </row>
    <row r="442" spans="1:5" ht="15">
      <c r="A442" s="13">
        <v>55334</v>
      </c>
      <c r="B442" s="4">
        <f>35.4574 * CHOOSE(CONTROL!$C$9, $C$13, 100%, $E$13) + CHOOSE(CONTROL!$C$28, 0.0276, 0)</f>
        <v>35.484999999999999</v>
      </c>
      <c r="C442" s="4">
        <f>35.1449 * CHOOSE(CONTROL!$C$9, $C$13, 100%, $E$13) + CHOOSE(CONTROL!$C$28, 0.0276, 0)</f>
        <v>35.172499999999999</v>
      </c>
      <c r="D442" s="4">
        <f>40.4094 * CHOOSE(CONTROL!$C$9, $C$13, 100%, $E$13) + CHOOSE(CONTROL!$C$28, 0, 0)</f>
        <v>40.409399999999998</v>
      </c>
      <c r="E442" s="4">
        <f>206.26173188263 * CHOOSE(CONTROL!$C$9, $C$13, 100%, $E$13) + CHOOSE(CONTROL!$C$28, 0, 0)</f>
        <v>206.26173188262999</v>
      </c>
    </row>
    <row r="443" spans="1:5" ht="15">
      <c r="A443" s="13">
        <v>55365</v>
      </c>
      <c r="B443" s="4">
        <f>35.4468 * CHOOSE(CONTROL!$C$9, $C$13, 100%, $E$13) + CHOOSE(CONTROL!$C$28, 0.0276, 0)</f>
        <v>35.474400000000003</v>
      </c>
      <c r="C443" s="4">
        <f>35.1343 * CHOOSE(CONTROL!$C$9, $C$13, 100%, $E$13) + CHOOSE(CONTROL!$C$28, 0.0276, 0)</f>
        <v>35.161900000000003</v>
      </c>
      <c r="D443" s="4">
        <f>41.0524 * CHOOSE(CONTROL!$C$9, $C$13, 100%, $E$13) + CHOOSE(CONTROL!$C$28, 0, 0)</f>
        <v>41.052399999999999</v>
      </c>
      <c r="E443" s="4">
        <f>206.196127006077 * CHOOSE(CONTROL!$C$9, $C$13, 100%, $E$13) + CHOOSE(CONTROL!$C$28, 0, 0)</f>
        <v>206.19612700607701</v>
      </c>
    </row>
    <row r="444" spans="1:5" ht="15">
      <c r="A444" s="13">
        <v>55396</v>
      </c>
      <c r="B444" s="4">
        <f>36.2505 * CHOOSE(CONTROL!$C$9, $C$13, 100%, $E$13) + CHOOSE(CONTROL!$C$28, 0.0276, 0)</f>
        <v>36.278100000000002</v>
      </c>
      <c r="C444" s="4">
        <f>35.938 * CHOOSE(CONTROL!$C$9, $C$13, 100%, $E$13) + CHOOSE(CONTROL!$C$28, 0.0276, 0)</f>
        <v>35.965600000000002</v>
      </c>
      <c r="D444" s="4">
        <f>40.6278 * CHOOSE(CONTROL!$C$9, $C$13, 100%, $E$13) + CHOOSE(CONTROL!$C$28, 0, 0)</f>
        <v>40.627800000000001</v>
      </c>
      <c r="E444" s="4">
        <f>211.13289396669 * CHOOSE(CONTROL!$C$9, $C$13, 100%, $E$13) + CHOOSE(CONTROL!$C$28, 0, 0)</f>
        <v>211.13289396669001</v>
      </c>
    </row>
    <row r="445" spans="1:5" ht="15">
      <c r="A445" s="13">
        <v>55426</v>
      </c>
      <c r="B445" s="4">
        <f>34.8806 * CHOOSE(CONTROL!$C$9, $C$13, 100%, $E$13) + CHOOSE(CONTROL!$C$28, 0.0276, 0)</f>
        <v>34.908200000000001</v>
      </c>
      <c r="C445" s="4">
        <f>34.5681 * CHOOSE(CONTROL!$C$9, $C$13, 100%, $E$13) + CHOOSE(CONTROL!$C$28, 0.0276, 0)</f>
        <v>34.595700000000001</v>
      </c>
      <c r="D445" s="4">
        <f>40.4271 * CHOOSE(CONTROL!$C$9, $C$13, 100%, $E$13) + CHOOSE(CONTROL!$C$28, 0, 0)</f>
        <v>40.427100000000003</v>
      </c>
      <c r="E445" s="4">
        <f>202.719068548768 * CHOOSE(CONTROL!$C$9, $C$13, 100%, $E$13) + CHOOSE(CONTROL!$C$28, 0, 0)</f>
        <v>202.71906854876801</v>
      </c>
    </row>
    <row r="446" spans="1:5" ht="15">
      <c r="A446" s="13">
        <v>55457</v>
      </c>
      <c r="B446" s="4">
        <f>33.784 * CHOOSE(CONTROL!$C$9, $C$13, 100%, $E$13) + CHOOSE(CONTROL!$C$28, 0.0003, 0)</f>
        <v>33.784300000000002</v>
      </c>
      <c r="C446" s="4">
        <f>33.4715 * CHOOSE(CONTROL!$C$9, $C$13, 100%, $E$13) + CHOOSE(CONTROL!$C$28, 0.0003, 0)</f>
        <v>33.471800000000002</v>
      </c>
      <c r="D446" s="4">
        <f>39.8899 * CHOOSE(CONTROL!$C$9, $C$13, 100%, $E$13) + CHOOSE(CONTROL!$C$28, 0, 0)</f>
        <v>39.889899999999997</v>
      </c>
      <c r="E446" s="4">
        <f>195.983634555993 * CHOOSE(CONTROL!$C$9, $C$13, 100%, $E$13) + CHOOSE(CONTROL!$C$28, 0, 0)</f>
        <v>195.98363455599301</v>
      </c>
    </row>
    <row r="447" spans="1:5" ht="15">
      <c r="A447" s="13">
        <v>55487</v>
      </c>
      <c r="B447" s="4">
        <f>33.0777 * CHOOSE(CONTROL!$C$9, $C$13, 100%, $E$13) + CHOOSE(CONTROL!$C$28, 0.0003, 0)</f>
        <v>33.078000000000003</v>
      </c>
      <c r="C447" s="4">
        <f>32.7652 * CHOOSE(CONTROL!$C$9, $C$13, 100%, $E$13) + CHOOSE(CONTROL!$C$28, 0.0003, 0)</f>
        <v>32.765500000000003</v>
      </c>
      <c r="D447" s="4">
        <f>39.7052 * CHOOSE(CONTROL!$C$9, $C$13, 100%, $E$13) + CHOOSE(CONTROL!$C$28, 0, 0)</f>
        <v>39.705199999999998</v>
      </c>
      <c r="E447" s="4">
        <f>191.645512093926 * CHOOSE(CONTROL!$C$9, $C$13, 100%, $E$13) + CHOOSE(CONTROL!$C$28, 0, 0)</f>
        <v>191.64551209392599</v>
      </c>
    </row>
    <row r="448" spans="1:5" ht="15">
      <c r="A448" s="13">
        <v>55518</v>
      </c>
      <c r="B448" s="4">
        <f>32.589 * CHOOSE(CONTROL!$C$9, $C$13, 100%, $E$13) + CHOOSE(CONTROL!$C$28, 0.0003, 0)</f>
        <v>32.589300000000001</v>
      </c>
      <c r="C448" s="4">
        <f>32.2765 * CHOOSE(CONTROL!$C$9, $C$13, 100%, $E$13) + CHOOSE(CONTROL!$C$28, 0.0003, 0)</f>
        <v>32.276800000000001</v>
      </c>
      <c r="D448" s="4">
        <f>38.3454 * CHOOSE(CONTROL!$C$9, $C$13, 100%, $E$13) + CHOOSE(CONTROL!$C$28, 0, 0)</f>
        <v>38.345399999999998</v>
      </c>
      <c r="E448" s="4">
        <f>188.644088991627 * CHOOSE(CONTROL!$C$9, $C$13, 100%, $E$13) + CHOOSE(CONTROL!$C$28, 0, 0)</f>
        <v>188.644088991627</v>
      </c>
    </row>
    <row r="449" spans="1:5" ht="15">
      <c r="A449" s="13">
        <v>55549</v>
      </c>
      <c r="B449" s="4">
        <f>31.795 * CHOOSE(CONTROL!$C$9, $C$13, 100%, $E$13) + CHOOSE(CONTROL!$C$28, 0.0003, 0)</f>
        <v>31.795300000000001</v>
      </c>
      <c r="C449" s="4">
        <f>31.4825 * CHOOSE(CONTROL!$C$9, $C$13, 100%, $E$13) + CHOOSE(CONTROL!$C$28, 0.0003, 0)</f>
        <v>31.482800000000001</v>
      </c>
      <c r="D449" s="4">
        <f>37.0957 * CHOOSE(CONTROL!$C$9, $C$13, 100%, $E$13) + CHOOSE(CONTROL!$C$28, 0, 0)</f>
        <v>37.095700000000001</v>
      </c>
      <c r="E449" s="4">
        <f>183.234495384782 * CHOOSE(CONTROL!$C$9, $C$13, 100%, $E$13) + CHOOSE(CONTROL!$C$28, 0, 0)</f>
        <v>183.23449538478201</v>
      </c>
    </row>
    <row r="450" spans="1:5" ht="15">
      <c r="A450" s="13">
        <v>55577</v>
      </c>
      <c r="B450" s="4">
        <f>32.5055 * CHOOSE(CONTROL!$C$9, $C$13, 100%, $E$13) + CHOOSE(CONTROL!$C$28, 0.0003, 0)</f>
        <v>32.505800000000001</v>
      </c>
      <c r="C450" s="4">
        <f>32.193 * CHOOSE(CONTROL!$C$9, $C$13, 100%, $E$13) + CHOOSE(CONTROL!$C$28, 0.0003, 0)</f>
        <v>32.193300000000001</v>
      </c>
      <c r="D450" s="4">
        <f>38.3542 * CHOOSE(CONTROL!$C$9, $C$13, 100%, $E$13) + CHOOSE(CONTROL!$C$28, 0, 0)</f>
        <v>38.354199999999999</v>
      </c>
      <c r="E450" s="4">
        <f>187.585204415769 * CHOOSE(CONTROL!$C$9, $C$13, 100%, $E$13) + CHOOSE(CONTROL!$C$28, 0, 0)</f>
        <v>187.585204415769</v>
      </c>
    </row>
    <row r="451" spans="1:5" ht="15">
      <c r="A451" s="13">
        <v>55609</v>
      </c>
      <c r="B451" s="4">
        <f>34.3711 * CHOOSE(CONTROL!$C$9, $C$13, 100%, $E$13) + CHOOSE(CONTROL!$C$28, 0.0003, 0)</f>
        <v>34.371400000000001</v>
      </c>
      <c r="C451" s="4">
        <f>34.0586 * CHOOSE(CONTROL!$C$9, $C$13, 100%, $E$13) + CHOOSE(CONTROL!$C$28, 0.0003, 0)</f>
        <v>34.058900000000001</v>
      </c>
      <c r="D451" s="4">
        <f>40.3243 * CHOOSE(CONTROL!$C$9, $C$13, 100%, $E$13) + CHOOSE(CONTROL!$C$28, 0, 0)</f>
        <v>40.324300000000001</v>
      </c>
      <c r="E451" s="4">
        <f>199.010397541862 * CHOOSE(CONTROL!$C$9, $C$13, 100%, $E$13) + CHOOSE(CONTROL!$C$28, 0, 0)</f>
        <v>199.01039754186201</v>
      </c>
    </row>
    <row r="452" spans="1:5" ht="15">
      <c r="A452" s="13">
        <v>55639</v>
      </c>
      <c r="B452" s="4">
        <f>35.6966 * CHOOSE(CONTROL!$C$9, $C$13, 100%, $E$13) + CHOOSE(CONTROL!$C$28, 0.0003, 0)</f>
        <v>35.696899999999999</v>
      </c>
      <c r="C452" s="4">
        <f>35.3841 * CHOOSE(CONTROL!$C$9, $C$13, 100%, $E$13) + CHOOSE(CONTROL!$C$28, 0.0003, 0)</f>
        <v>35.384399999999999</v>
      </c>
      <c r="D452" s="4">
        <f>41.4591 * CHOOSE(CONTROL!$C$9, $C$13, 100%, $E$13) + CHOOSE(CONTROL!$C$28, 0, 0)</f>
        <v>41.459099999999999</v>
      </c>
      <c r="E452" s="4">
        <f>207.128149518669 * CHOOSE(CONTROL!$C$9, $C$13, 100%, $E$13) + CHOOSE(CONTROL!$C$28, 0, 0)</f>
        <v>207.12814951866901</v>
      </c>
    </row>
    <row r="453" spans="1:5" ht="15">
      <c r="A453" s="13">
        <v>55670</v>
      </c>
      <c r="B453" s="4">
        <f>36.5065 * CHOOSE(CONTROL!$C$9, $C$13, 100%, $E$13) + CHOOSE(CONTROL!$C$28, 0.0276, 0)</f>
        <v>36.534100000000002</v>
      </c>
      <c r="C453" s="4">
        <f>36.194 * CHOOSE(CONTROL!$C$9, $C$13, 100%, $E$13) + CHOOSE(CONTROL!$C$28, 0.0276, 0)</f>
        <v>36.221600000000002</v>
      </c>
      <c r="D453" s="4">
        <f>41.0107 * CHOOSE(CONTROL!$C$9, $C$13, 100%, $E$13) + CHOOSE(CONTROL!$C$28, 0, 0)</f>
        <v>41.0107</v>
      </c>
      <c r="E453" s="4">
        <f>212.087901421136 * CHOOSE(CONTROL!$C$9, $C$13, 100%, $E$13) + CHOOSE(CONTROL!$C$28, 0, 0)</f>
        <v>212.087901421136</v>
      </c>
    </row>
    <row r="454" spans="1:5" ht="15">
      <c r="A454" s="13">
        <v>55700</v>
      </c>
      <c r="B454" s="4">
        <f>36.616 * CHOOSE(CONTROL!$C$9, $C$13, 100%, $E$13) + CHOOSE(CONTROL!$C$28, 0.0276, 0)</f>
        <v>36.643599999999999</v>
      </c>
      <c r="C454" s="4">
        <f>36.3035 * CHOOSE(CONTROL!$C$9, $C$13, 100%, $E$13) + CHOOSE(CONTROL!$C$28, 0.0276, 0)</f>
        <v>36.331099999999999</v>
      </c>
      <c r="D454" s="4">
        <f>41.3759 * CHOOSE(CONTROL!$C$9, $C$13, 100%, $E$13) + CHOOSE(CONTROL!$C$28, 0, 0)</f>
        <v>41.375900000000001</v>
      </c>
      <c r="E454" s="4">
        <f>212.758976436933 * CHOOSE(CONTROL!$C$9, $C$13, 100%, $E$13) + CHOOSE(CONTROL!$C$28, 0, 0)</f>
        <v>212.75897643693301</v>
      </c>
    </row>
    <row r="455" spans="1:5" ht="15">
      <c r="A455" s="13">
        <v>55731</v>
      </c>
      <c r="B455" s="4">
        <f>36.605 * CHOOSE(CONTROL!$C$9, $C$13, 100%, $E$13) + CHOOSE(CONTROL!$C$28, 0.0276, 0)</f>
        <v>36.632599999999996</v>
      </c>
      <c r="C455" s="4">
        <f>36.2925 * CHOOSE(CONTROL!$C$9, $C$13, 100%, $E$13) + CHOOSE(CONTROL!$C$28, 0.0276, 0)</f>
        <v>36.320099999999996</v>
      </c>
      <c r="D455" s="4">
        <f>42.0349 * CHOOSE(CONTROL!$C$9, $C$13, 100%, $E$13) + CHOOSE(CONTROL!$C$28, 0, 0)</f>
        <v>42.0349</v>
      </c>
      <c r="E455" s="4">
        <f>212.691305006768 * CHOOSE(CONTROL!$C$9, $C$13, 100%, $E$13) + CHOOSE(CONTROL!$C$28, 0, 0)</f>
        <v>212.691305006768</v>
      </c>
    </row>
    <row r="456" spans="1:5" ht="15">
      <c r="A456" s="13">
        <v>55762</v>
      </c>
      <c r="B456" s="4">
        <f>37.4365 * CHOOSE(CONTROL!$C$9, $C$13, 100%, $E$13) + CHOOSE(CONTROL!$C$28, 0.0276, 0)</f>
        <v>37.464100000000002</v>
      </c>
      <c r="C456" s="4">
        <f>37.124 * CHOOSE(CONTROL!$C$9, $C$13, 100%, $E$13) + CHOOSE(CONTROL!$C$28, 0.0276, 0)</f>
        <v>37.151600000000002</v>
      </c>
      <c r="D456" s="4">
        <f>41.5997 * CHOOSE(CONTROL!$C$9, $C$13, 100%, $E$13) + CHOOSE(CONTROL!$C$28, 0, 0)</f>
        <v>41.599699999999999</v>
      </c>
      <c r="E456" s="4">
        <f>217.783580126641 * CHOOSE(CONTROL!$C$9, $C$13, 100%, $E$13) + CHOOSE(CONTROL!$C$28, 0, 0)</f>
        <v>217.783580126641</v>
      </c>
    </row>
    <row r="457" spans="1:5" ht="15">
      <c r="A457" s="13">
        <v>55792</v>
      </c>
      <c r="B457" s="4">
        <f>36.0193 * CHOOSE(CONTROL!$C$9, $C$13, 100%, $E$13) + CHOOSE(CONTROL!$C$28, 0.0276, 0)</f>
        <v>36.046900000000001</v>
      </c>
      <c r="C457" s="4">
        <f>35.7068 * CHOOSE(CONTROL!$C$9, $C$13, 100%, $E$13) + CHOOSE(CONTROL!$C$28, 0.0276, 0)</f>
        <v>35.734400000000001</v>
      </c>
      <c r="D457" s="4">
        <f>41.394 * CHOOSE(CONTROL!$C$9, $C$13, 100%, $E$13) + CHOOSE(CONTROL!$C$28, 0, 0)</f>
        <v>41.393999999999998</v>
      </c>
      <c r="E457" s="4">
        <f>209.104719208054 * CHOOSE(CONTROL!$C$9, $C$13, 100%, $E$13) + CHOOSE(CONTROL!$C$28, 0, 0)</f>
        <v>209.10471920805401</v>
      </c>
    </row>
    <row r="458" spans="1:5" ht="15">
      <c r="A458" s="13">
        <v>55823</v>
      </c>
      <c r="B458" s="4">
        <f>34.8849 * CHOOSE(CONTROL!$C$9, $C$13, 100%, $E$13) + CHOOSE(CONTROL!$C$28, 0.0003, 0)</f>
        <v>34.885200000000005</v>
      </c>
      <c r="C458" s="4">
        <f>34.5724 * CHOOSE(CONTROL!$C$9, $C$13, 100%, $E$13) + CHOOSE(CONTROL!$C$28, 0.0003, 0)</f>
        <v>34.572700000000005</v>
      </c>
      <c r="D458" s="4">
        <f>40.8435 * CHOOSE(CONTROL!$C$9, $C$13, 100%, $E$13) + CHOOSE(CONTROL!$C$28, 0, 0)</f>
        <v>40.843499999999999</v>
      </c>
      <c r="E458" s="4">
        <f>202.157119044507 * CHOOSE(CONTROL!$C$9, $C$13, 100%, $E$13) + CHOOSE(CONTROL!$C$28, 0, 0)</f>
        <v>202.157119044507</v>
      </c>
    </row>
    <row r="459" spans="1:5" ht="15">
      <c r="A459" s="13">
        <v>55853</v>
      </c>
      <c r="B459" s="4">
        <f>34.1542 * CHOOSE(CONTROL!$C$9, $C$13, 100%, $E$13) + CHOOSE(CONTROL!$C$28, 0.0003, 0)</f>
        <v>34.154500000000006</v>
      </c>
      <c r="C459" s="4">
        <f>33.8417 * CHOOSE(CONTROL!$C$9, $C$13, 100%, $E$13) + CHOOSE(CONTROL!$C$28, 0.0003, 0)</f>
        <v>33.842000000000006</v>
      </c>
      <c r="D459" s="4">
        <f>40.6542 * CHOOSE(CONTROL!$C$9, $C$13, 100%, $E$13) + CHOOSE(CONTROL!$C$28, 0, 0)</f>
        <v>40.654200000000003</v>
      </c>
      <c r="E459" s="4">
        <f>197.682345724885 * CHOOSE(CONTROL!$C$9, $C$13, 100%, $E$13) + CHOOSE(CONTROL!$C$28, 0, 0)</f>
        <v>197.68234572488501</v>
      </c>
    </row>
    <row r="460" spans="1:5" ht="15">
      <c r="A460" s="13">
        <v>55884</v>
      </c>
      <c r="B460" s="4">
        <f>33.6487 * CHOOSE(CONTROL!$C$9, $C$13, 100%, $E$13) + CHOOSE(CONTROL!$C$28, 0.0003, 0)</f>
        <v>33.649000000000001</v>
      </c>
      <c r="C460" s="4">
        <f>33.3362 * CHOOSE(CONTROL!$C$9, $C$13, 100%, $E$13) + CHOOSE(CONTROL!$C$28, 0.0003, 0)</f>
        <v>33.336500000000001</v>
      </c>
      <c r="D460" s="4">
        <f>39.2607 * CHOOSE(CONTROL!$C$9, $C$13, 100%, $E$13) + CHOOSE(CONTROL!$C$28, 0, 0)</f>
        <v>39.2607</v>
      </c>
      <c r="E460" s="4">
        <f>194.586377794863 * CHOOSE(CONTROL!$C$9, $C$13, 100%, $E$13) + CHOOSE(CONTROL!$C$28, 0, 0)</f>
        <v>194.58637779486301</v>
      </c>
    </row>
    <row r="461" spans="1:5" ht="15">
      <c r="A461" s="13">
        <v>55915</v>
      </c>
      <c r="B461" s="4">
        <f>32.8273 * CHOOSE(CONTROL!$C$9, $C$13, 100%, $E$13) + CHOOSE(CONTROL!$C$28, 0.0003, 0)</f>
        <v>32.827600000000004</v>
      </c>
      <c r="C461" s="4">
        <f>32.5148 * CHOOSE(CONTROL!$C$9, $C$13, 100%, $E$13) + CHOOSE(CONTROL!$C$28, 0.0003, 0)</f>
        <v>32.515100000000004</v>
      </c>
      <c r="D461" s="4">
        <f>37.98 * CHOOSE(CONTROL!$C$9, $C$13, 100%, $E$13) + CHOOSE(CONTROL!$C$28, 0, 0)</f>
        <v>37.979999999999997</v>
      </c>
      <c r="E461" s="4">
        <f>189.006381989402 * CHOOSE(CONTROL!$C$9, $C$13, 100%, $E$13) + CHOOSE(CONTROL!$C$28, 0, 0)</f>
        <v>189.006381989402</v>
      </c>
    </row>
    <row r="462" spans="1:5" ht="15">
      <c r="A462" s="13">
        <v>55943</v>
      </c>
      <c r="B462" s="4">
        <f>33.5622 * CHOOSE(CONTROL!$C$9, $C$13, 100%, $E$13) + CHOOSE(CONTROL!$C$28, 0.0003, 0)</f>
        <v>33.5625</v>
      </c>
      <c r="C462" s="4">
        <f>33.2497 * CHOOSE(CONTROL!$C$9, $C$13, 100%, $E$13) + CHOOSE(CONTROL!$C$28, 0.0003, 0)</f>
        <v>33.25</v>
      </c>
      <c r="D462" s="4">
        <f>39.2697 * CHOOSE(CONTROL!$C$9, $C$13, 100%, $E$13) + CHOOSE(CONTROL!$C$28, 0, 0)</f>
        <v>39.2697</v>
      </c>
      <c r="E462" s="4">
        <f>193.494138354866 * CHOOSE(CONTROL!$C$9, $C$13, 100%, $E$13) + CHOOSE(CONTROL!$C$28, 0, 0)</f>
        <v>193.49413835486601</v>
      </c>
    </row>
    <row r="463" spans="1:5" ht="15">
      <c r="A463" s="13">
        <v>55974</v>
      </c>
      <c r="B463" s="4">
        <f>35.4922 * CHOOSE(CONTROL!$C$9, $C$13, 100%, $E$13) + CHOOSE(CONTROL!$C$28, 0.0003, 0)</f>
        <v>35.4925</v>
      </c>
      <c r="C463" s="4">
        <f>35.1797 * CHOOSE(CONTROL!$C$9, $C$13, 100%, $E$13) + CHOOSE(CONTROL!$C$28, 0.0003, 0)</f>
        <v>35.18</v>
      </c>
      <c r="D463" s="4">
        <f>41.2886 * CHOOSE(CONTROL!$C$9, $C$13, 100%, $E$13) + CHOOSE(CONTROL!$C$28, 0, 0)</f>
        <v>41.288600000000002</v>
      </c>
      <c r="E463" s="4">
        <f>205.27922506443 * CHOOSE(CONTROL!$C$9, $C$13, 100%, $E$13) + CHOOSE(CONTROL!$C$28, 0, 0)</f>
        <v>205.27922506442999</v>
      </c>
    </row>
    <row r="464" spans="1:5" ht="15">
      <c r="A464" s="13">
        <v>56004</v>
      </c>
      <c r="B464" s="4">
        <f>36.8634 * CHOOSE(CONTROL!$C$9, $C$13, 100%, $E$13) + CHOOSE(CONTROL!$C$28, 0.0003, 0)</f>
        <v>36.863700000000001</v>
      </c>
      <c r="C464" s="4">
        <f>36.5509 * CHOOSE(CONTROL!$C$9, $C$13, 100%, $E$13) + CHOOSE(CONTROL!$C$28, 0.0003, 0)</f>
        <v>36.551200000000001</v>
      </c>
      <c r="D464" s="4">
        <f>42.4516 * CHOOSE(CONTROL!$C$9, $C$13, 100%, $E$13) + CHOOSE(CONTROL!$C$28, 0, 0)</f>
        <v>42.451599999999999</v>
      </c>
      <c r="E464" s="4">
        <f>213.652686228507 * CHOOSE(CONTROL!$C$9, $C$13, 100%, $E$13) + CHOOSE(CONTROL!$C$28, 0, 0)</f>
        <v>213.65268622850701</v>
      </c>
    </row>
    <row r="465" spans="1:5" ht="15">
      <c r="A465" s="13">
        <v>56035</v>
      </c>
      <c r="B465" s="4">
        <f>37.7012 * CHOOSE(CONTROL!$C$9, $C$13, 100%, $E$13) + CHOOSE(CONTROL!$C$28, 0.0276, 0)</f>
        <v>37.7288</v>
      </c>
      <c r="C465" s="4">
        <f>37.3887 * CHOOSE(CONTROL!$C$9, $C$13, 100%, $E$13) + CHOOSE(CONTROL!$C$28, 0.0276, 0)</f>
        <v>37.4163</v>
      </c>
      <c r="D465" s="4">
        <f>41.9921 * CHOOSE(CONTROL!$C$9, $C$13, 100%, $E$13) + CHOOSE(CONTROL!$C$28, 0, 0)</f>
        <v>41.992100000000001</v>
      </c>
      <c r="E465" s="4">
        <f>218.768670315901 * CHOOSE(CONTROL!$C$9, $C$13, 100%, $E$13) + CHOOSE(CONTROL!$C$28, 0, 0)</f>
        <v>218.76867031590101</v>
      </c>
    </row>
    <row r="466" spans="1:5" ht="15">
      <c r="A466" s="13">
        <v>56065</v>
      </c>
      <c r="B466" s="4">
        <f>37.8146 * CHOOSE(CONTROL!$C$9, $C$13, 100%, $E$13) + CHOOSE(CONTROL!$C$28, 0.0276, 0)</f>
        <v>37.842199999999998</v>
      </c>
      <c r="C466" s="4">
        <f>37.5021 * CHOOSE(CONTROL!$C$9, $C$13, 100%, $E$13) + CHOOSE(CONTROL!$C$28, 0.0276, 0)</f>
        <v>37.529699999999998</v>
      </c>
      <c r="D466" s="4">
        <f>42.3663 * CHOOSE(CONTROL!$C$9, $C$13, 100%, $E$13) + CHOOSE(CONTROL!$C$28, 0, 0)</f>
        <v>42.366300000000003</v>
      </c>
      <c r="E466" s="4">
        <f>219.460884194696 * CHOOSE(CONTROL!$C$9, $C$13, 100%, $E$13) + CHOOSE(CONTROL!$C$28, 0, 0)</f>
        <v>219.46088419469601</v>
      </c>
    </row>
    <row r="467" spans="1:5" ht="15">
      <c r="A467" s="13">
        <v>56096</v>
      </c>
      <c r="B467" s="4">
        <f>37.8032 * CHOOSE(CONTROL!$C$9, $C$13, 100%, $E$13) + CHOOSE(CONTROL!$C$28, 0.0276, 0)</f>
        <v>37.830799999999996</v>
      </c>
      <c r="C467" s="4">
        <f>37.4907 * CHOOSE(CONTROL!$C$9, $C$13, 100%, $E$13) + CHOOSE(CONTROL!$C$28, 0.0276, 0)</f>
        <v>37.518299999999996</v>
      </c>
      <c r="D467" s="4">
        <f>43.0417 * CHOOSE(CONTROL!$C$9, $C$13, 100%, $E$13) + CHOOSE(CONTROL!$C$28, 0, 0)</f>
        <v>43.041699999999999</v>
      </c>
      <c r="E467" s="4">
        <f>219.391081114482 * CHOOSE(CONTROL!$C$9, $C$13, 100%, $E$13) + CHOOSE(CONTROL!$C$28, 0, 0)</f>
        <v>219.39108111448201</v>
      </c>
    </row>
    <row r="468" spans="1:5" ht="15">
      <c r="A468" s="13">
        <v>56127</v>
      </c>
      <c r="B468" s="4">
        <f>38.6634 * CHOOSE(CONTROL!$C$9, $C$13, 100%, $E$13) + CHOOSE(CONTROL!$C$28, 0.0276, 0)</f>
        <v>38.691000000000003</v>
      </c>
      <c r="C468" s="4">
        <f>38.3509 * CHOOSE(CONTROL!$C$9, $C$13, 100%, $E$13) + CHOOSE(CONTROL!$C$28, 0.0276, 0)</f>
        <v>38.378500000000003</v>
      </c>
      <c r="D468" s="4">
        <f>42.5957 * CHOOSE(CONTROL!$C$9, $C$13, 100%, $E$13) + CHOOSE(CONTROL!$C$28, 0, 0)</f>
        <v>42.595700000000001</v>
      </c>
      <c r="E468" s="4">
        <f>224.64376290063 * CHOOSE(CONTROL!$C$9, $C$13, 100%, $E$13) + CHOOSE(CONTROL!$C$28, 0, 0)</f>
        <v>224.64376290063001</v>
      </c>
    </row>
    <row r="469" spans="1:5" ht="15">
      <c r="A469" s="13">
        <v>56157</v>
      </c>
      <c r="B469" s="4">
        <f>37.1973 * CHOOSE(CONTROL!$C$9, $C$13, 100%, $E$13) + CHOOSE(CONTROL!$C$28, 0.0276, 0)</f>
        <v>37.224899999999998</v>
      </c>
      <c r="C469" s="4">
        <f>36.8848 * CHOOSE(CONTROL!$C$9, $C$13, 100%, $E$13) + CHOOSE(CONTROL!$C$28, 0.0276, 0)</f>
        <v>36.912399999999998</v>
      </c>
      <c r="D469" s="4">
        <f>42.385 * CHOOSE(CONTROL!$C$9, $C$13, 100%, $E$13) + CHOOSE(CONTROL!$C$28, 0, 0)</f>
        <v>42.384999999999998</v>
      </c>
      <c r="E469" s="4">
        <f>215.691517863108 * CHOOSE(CONTROL!$C$9, $C$13, 100%, $E$13) + CHOOSE(CONTROL!$C$28, 0, 0)</f>
        <v>215.691517863108</v>
      </c>
    </row>
    <row r="470" spans="1:5" ht="15">
      <c r="A470" s="13">
        <v>56188</v>
      </c>
      <c r="B470" s="4">
        <f>36.0237 * CHOOSE(CONTROL!$C$9, $C$13, 100%, $E$13) + CHOOSE(CONTROL!$C$28, 0.0003, 0)</f>
        <v>36.024000000000001</v>
      </c>
      <c r="C470" s="4">
        <f>35.7112 * CHOOSE(CONTROL!$C$9, $C$13, 100%, $E$13) + CHOOSE(CONTROL!$C$28, 0.0003, 0)</f>
        <v>35.711500000000001</v>
      </c>
      <c r="D470" s="4">
        <f>41.8208 * CHOOSE(CONTROL!$C$9, $C$13, 100%, $E$13) + CHOOSE(CONTROL!$C$28, 0, 0)</f>
        <v>41.820799999999998</v>
      </c>
      <c r="E470" s="4">
        <f>208.525068294409 * CHOOSE(CONTROL!$C$9, $C$13, 100%, $E$13) + CHOOSE(CONTROL!$C$28, 0, 0)</f>
        <v>208.52506829440901</v>
      </c>
    </row>
    <row r="471" spans="1:5" ht="15">
      <c r="A471" s="13">
        <v>56218</v>
      </c>
      <c r="B471" s="4">
        <f>35.2678 * CHOOSE(CONTROL!$C$9, $C$13, 100%, $E$13) + CHOOSE(CONTROL!$C$28, 0.0003, 0)</f>
        <v>35.268100000000004</v>
      </c>
      <c r="C471" s="4">
        <f>34.9553 * CHOOSE(CONTROL!$C$9, $C$13, 100%, $E$13) + CHOOSE(CONTROL!$C$28, 0.0003, 0)</f>
        <v>34.955600000000004</v>
      </c>
      <c r="D471" s="4">
        <f>41.6268 * CHOOSE(CONTROL!$C$9, $C$13, 100%, $E$13) + CHOOSE(CONTROL!$C$28, 0, 0)</f>
        <v>41.626800000000003</v>
      </c>
      <c r="E471" s="4">
        <f>203.909339615219 * CHOOSE(CONTROL!$C$9, $C$13, 100%, $E$13) + CHOOSE(CONTROL!$C$28, 0, 0)</f>
        <v>203.90933961521901</v>
      </c>
    </row>
    <row r="472" spans="1:5" ht="15">
      <c r="A472" s="13">
        <v>56249</v>
      </c>
      <c r="B472" s="4">
        <f>34.7449 * CHOOSE(CONTROL!$C$9, $C$13, 100%, $E$13) + CHOOSE(CONTROL!$C$28, 0.0003, 0)</f>
        <v>34.745200000000004</v>
      </c>
      <c r="C472" s="4">
        <f>34.4324 * CHOOSE(CONTROL!$C$9, $C$13, 100%, $E$13) + CHOOSE(CONTROL!$C$28, 0.0003, 0)</f>
        <v>34.432700000000004</v>
      </c>
      <c r="D472" s="4">
        <f>40.1987 * CHOOSE(CONTROL!$C$9, $C$13, 100%, $E$13) + CHOOSE(CONTROL!$C$28, 0, 0)</f>
        <v>40.198700000000002</v>
      </c>
      <c r="E472" s="4">
        <f>200.715848695401 * CHOOSE(CONTROL!$C$9, $C$13, 100%, $E$13) + CHOOSE(CONTROL!$C$28, 0, 0)</f>
        <v>200.71584869540101</v>
      </c>
    </row>
    <row r="473" spans="1:5" ht="15">
      <c r="A473" s="13">
        <v>56280</v>
      </c>
      <c r="B473" s="4">
        <f>33.8951 * CHOOSE(CONTROL!$C$9, $C$13, 100%, $E$13) + CHOOSE(CONTROL!$C$28, 0.0003, 0)</f>
        <v>33.895400000000002</v>
      </c>
      <c r="C473" s="4">
        <f>33.5826 * CHOOSE(CONTROL!$C$9, $C$13, 100%, $E$13) + CHOOSE(CONTROL!$C$28, 0.0003, 0)</f>
        <v>33.582900000000002</v>
      </c>
      <c r="D473" s="4">
        <f>38.8862 * CHOOSE(CONTROL!$C$9, $C$13, 100%, $E$13) + CHOOSE(CONTROL!$C$28, 0, 0)</f>
        <v>38.886200000000002</v>
      </c>
      <c r="E473" s="4">
        <f>194.960083022068 * CHOOSE(CONTROL!$C$9, $C$13, 100%, $E$13) + CHOOSE(CONTROL!$C$28, 0, 0)</f>
        <v>194.96008302206801</v>
      </c>
    </row>
    <row r="474" spans="1:5" ht="15">
      <c r="A474" s="13">
        <v>56308</v>
      </c>
      <c r="B474" s="4">
        <f>34.6554 * CHOOSE(CONTROL!$C$9, $C$13, 100%, $E$13) + CHOOSE(CONTROL!$C$28, 0.0003, 0)</f>
        <v>34.655700000000003</v>
      </c>
      <c r="C474" s="4">
        <f>34.3429 * CHOOSE(CONTROL!$C$9, $C$13, 100%, $E$13) + CHOOSE(CONTROL!$C$28, 0.0003, 0)</f>
        <v>34.343200000000003</v>
      </c>
      <c r="D474" s="4">
        <f>40.2079 * CHOOSE(CONTROL!$C$9, $C$13, 100%, $E$13) + CHOOSE(CONTROL!$C$28, 0, 0)</f>
        <v>40.207900000000002</v>
      </c>
      <c r="E474" s="4">
        <f>199.589203713044 * CHOOSE(CONTROL!$C$9, $C$13, 100%, $E$13) + CHOOSE(CONTROL!$C$28, 0, 0)</f>
        <v>199.58920371304399</v>
      </c>
    </row>
    <row r="475" spans="1:5" ht="15">
      <c r="A475" s="13">
        <v>56339</v>
      </c>
      <c r="B475" s="4">
        <f>36.652 * CHOOSE(CONTROL!$C$9, $C$13, 100%, $E$13) + CHOOSE(CONTROL!$C$28, 0.0003, 0)</f>
        <v>36.652300000000004</v>
      </c>
      <c r="C475" s="4">
        <f>36.3395 * CHOOSE(CONTROL!$C$9, $C$13, 100%, $E$13) + CHOOSE(CONTROL!$C$28, 0.0003, 0)</f>
        <v>36.339800000000004</v>
      </c>
      <c r="D475" s="4">
        <f>42.277 * CHOOSE(CONTROL!$C$9, $C$13, 100%, $E$13) + CHOOSE(CONTROL!$C$28, 0, 0)</f>
        <v>42.277000000000001</v>
      </c>
      <c r="E475" s="4">
        <f>211.74552065396 * CHOOSE(CONTROL!$C$9, $C$13, 100%, $E$13) + CHOOSE(CONTROL!$C$28, 0, 0)</f>
        <v>211.74552065396</v>
      </c>
    </row>
    <row r="476" spans="1:5" ht="15">
      <c r="A476" s="13">
        <v>56369</v>
      </c>
      <c r="B476" s="4">
        <f>38.0705 * CHOOSE(CONTROL!$C$9, $C$13, 100%, $E$13) + CHOOSE(CONTROL!$C$28, 0.0003, 0)</f>
        <v>38.070800000000006</v>
      </c>
      <c r="C476" s="4">
        <f>37.758 * CHOOSE(CONTROL!$C$9, $C$13, 100%, $E$13) + CHOOSE(CONTROL!$C$28, 0.0003, 0)</f>
        <v>37.758300000000006</v>
      </c>
      <c r="D476" s="4">
        <f>43.4688 * CHOOSE(CONTROL!$C$9, $C$13, 100%, $E$13) + CHOOSE(CONTROL!$C$28, 0, 0)</f>
        <v>43.468800000000002</v>
      </c>
      <c r="E476" s="4">
        <f>220.382745844705 * CHOOSE(CONTROL!$C$9, $C$13, 100%, $E$13) + CHOOSE(CONTROL!$C$28, 0, 0)</f>
        <v>220.382745844705</v>
      </c>
    </row>
    <row r="477" spans="1:5" ht="15">
      <c r="A477" s="13">
        <v>56400</v>
      </c>
      <c r="B477" s="4">
        <f>38.9372 * CHOOSE(CONTROL!$C$9, $C$13, 100%, $E$13) + CHOOSE(CONTROL!$C$28, 0.0276, 0)</f>
        <v>38.964799999999997</v>
      </c>
      <c r="C477" s="4">
        <f>38.6247 * CHOOSE(CONTROL!$C$9, $C$13, 100%, $E$13) + CHOOSE(CONTROL!$C$28, 0.0276, 0)</f>
        <v>38.652299999999997</v>
      </c>
      <c r="D477" s="4">
        <f>42.9978 * CHOOSE(CONTROL!$C$9, $C$13, 100%, $E$13) + CHOOSE(CONTROL!$C$28, 0, 0)</f>
        <v>42.997799999999998</v>
      </c>
      <c r="E477" s="4">
        <f>225.659883430852 * CHOOSE(CONTROL!$C$9, $C$13, 100%, $E$13) + CHOOSE(CONTROL!$C$28, 0, 0)</f>
        <v>225.65988343085201</v>
      </c>
    </row>
    <row r="478" spans="1:5" ht="15">
      <c r="A478" s="13">
        <v>56430</v>
      </c>
      <c r="B478" s="4">
        <f>39.0545 * CHOOSE(CONTROL!$C$9, $C$13, 100%, $E$13) + CHOOSE(CONTROL!$C$28, 0.0276, 0)</f>
        <v>39.082099999999997</v>
      </c>
      <c r="C478" s="4">
        <f>38.742 * CHOOSE(CONTROL!$C$9, $C$13, 100%, $E$13) + CHOOSE(CONTROL!$C$28, 0.0276, 0)</f>
        <v>38.769599999999997</v>
      </c>
      <c r="D478" s="4">
        <f>43.3814 * CHOOSE(CONTROL!$C$9, $C$13, 100%, $E$13) + CHOOSE(CONTROL!$C$28, 0, 0)</f>
        <v>43.381399999999999</v>
      </c>
      <c r="E478" s="4">
        <f>226.373902046829 * CHOOSE(CONTROL!$C$9, $C$13, 100%, $E$13) + CHOOSE(CONTROL!$C$28, 0, 0)</f>
        <v>226.37390204682899</v>
      </c>
    </row>
    <row r="479" spans="1:5" ht="15">
      <c r="A479" s="13">
        <v>56461</v>
      </c>
      <c r="B479" s="4">
        <f>39.0427 * CHOOSE(CONTROL!$C$9, $C$13, 100%, $E$13) + CHOOSE(CONTROL!$C$28, 0.0276, 0)</f>
        <v>39.070300000000003</v>
      </c>
      <c r="C479" s="4">
        <f>38.7302 * CHOOSE(CONTROL!$C$9, $C$13, 100%, $E$13) + CHOOSE(CONTROL!$C$28, 0.0276, 0)</f>
        <v>38.757800000000003</v>
      </c>
      <c r="D479" s="4">
        <f>44.0735 * CHOOSE(CONTROL!$C$9, $C$13, 100%, $E$13) + CHOOSE(CONTROL!$C$28, 0, 0)</f>
        <v>44.073500000000003</v>
      </c>
      <c r="E479" s="4">
        <f>226.301900169588 * CHOOSE(CONTROL!$C$9, $C$13, 100%, $E$13) + CHOOSE(CONTROL!$C$28, 0, 0)</f>
        <v>226.30190016958801</v>
      </c>
    </row>
    <row r="480" spans="1:5" ht="15">
      <c r="A480" s="13">
        <v>56492</v>
      </c>
      <c r="B480" s="4">
        <f>39.9326 * CHOOSE(CONTROL!$C$9, $C$13, 100%, $E$13) + CHOOSE(CONTROL!$C$28, 0.0276, 0)</f>
        <v>39.9602</v>
      </c>
      <c r="C480" s="4">
        <f>39.6201 * CHOOSE(CONTROL!$C$9, $C$13, 100%, $E$13) + CHOOSE(CONTROL!$C$28, 0.0276, 0)</f>
        <v>39.6477</v>
      </c>
      <c r="D480" s="4">
        <f>43.6164 * CHOOSE(CONTROL!$C$9, $C$13, 100%, $E$13) + CHOOSE(CONTROL!$C$28, 0, 0)</f>
        <v>43.616399999999999</v>
      </c>
      <c r="E480" s="4">
        <f>231.720041432 * CHOOSE(CONTROL!$C$9, $C$13, 100%, $E$13) + CHOOSE(CONTROL!$C$28, 0, 0)</f>
        <v>231.72004143199999</v>
      </c>
    </row>
    <row r="481" spans="1:5" ht="15">
      <c r="A481" s="13">
        <v>56522</v>
      </c>
      <c r="B481" s="4">
        <f>38.4159 * CHOOSE(CONTROL!$C$9, $C$13, 100%, $E$13) + CHOOSE(CONTROL!$C$28, 0.0276, 0)</f>
        <v>38.4435</v>
      </c>
      <c r="C481" s="4">
        <f>38.1034 * CHOOSE(CONTROL!$C$9, $C$13, 100%, $E$13) + CHOOSE(CONTROL!$C$28, 0.0276, 0)</f>
        <v>38.131</v>
      </c>
      <c r="D481" s="4">
        <f>43.4005 * CHOOSE(CONTROL!$C$9, $C$13, 100%, $E$13) + CHOOSE(CONTROL!$C$28, 0, 0)</f>
        <v>43.400500000000001</v>
      </c>
      <c r="E481" s="4">
        <f>222.485800675796 * CHOOSE(CONTROL!$C$9, $C$13, 100%, $E$13) + CHOOSE(CONTROL!$C$28, 0, 0)</f>
        <v>222.48580067579601</v>
      </c>
    </row>
    <row r="482" spans="1:5" ht="15">
      <c r="A482" s="13">
        <v>56553</v>
      </c>
      <c r="B482" s="4">
        <f>37.2018 * CHOOSE(CONTROL!$C$9, $C$13, 100%, $E$13) + CHOOSE(CONTROL!$C$28, 0.0003, 0)</f>
        <v>37.202100000000002</v>
      </c>
      <c r="C482" s="4">
        <f>36.8893 * CHOOSE(CONTROL!$C$9, $C$13, 100%, $E$13) + CHOOSE(CONTROL!$C$28, 0.0003, 0)</f>
        <v>36.889600000000002</v>
      </c>
      <c r="D482" s="4">
        <f>42.8223 * CHOOSE(CONTROL!$C$9, $C$13, 100%, $E$13) + CHOOSE(CONTROL!$C$28, 0, 0)</f>
        <v>42.822299999999998</v>
      </c>
      <c r="E482" s="4">
        <f>215.093607945683 * CHOOSE(CONTROL!$C$9, $C$13, 100%, $E$13) + CHOOSE(CONTROL!$C$28, 0, 0)</f>
        <v>215.093607945683</v>
      </c>
    </row>
    <row r="483" spans="1:5" ht="15">
      <c r="A483" s="13">
        <v>56583</v>
      </c>
      <c r="B483" s="4">
        <f>36.4199 * CHOOSE(CONTROL!$C$9, $C$13, 100%, $E$13) + CHOOSE(CONTROL!$C$28, 0.0003, 0)</f>
        <v>36.420200000000001</v>
      </c>
      <c r="C483" s="4">
        <f>36.1074 * CHOOSE(CONTROL!$C$9, $C$13, 100%, $E$13) + CHOOSE(CONTROL!$C$28, 0.0003, 0)</f>
        <v>36.107700000000001</v>
      </c>
      <c r="D483" s="4">
        <f>42.6235 * CHOOSE(CONTROL!$C$9, $C$13, 100%, $E$13) + CHOOSE(CONTROL!$C$28, 0, 0)</f>
        <v>42.6235</v>
      </c>
      <c r="E483" s="4">
        <f>210.332483813098 * CHOOSE(CONTROL!$C$9, $C$13, 100%, $E$13) + CHOOSE(CONTROL!$C$28, 0, 0)</f>
        <v>210.33248381309801</v>
      </c>
    </row>
    <row r="484" spans="1:5" ht="15">
      <c r="A484" s="13">
        <v>56614</v>
      </c>
      <c r="B484" s="4">
        <f>35.8789 * CHOOSE(CONTROL!$C$9, $C$13, 100%, $E$13) + CHOOSE(CONTROL!$C$28, 0.0003, 0)</f>
        <v>35.879200000000004</v>
      </c>
      <c r="C484" s="4">
        <f>35.5664 * CHOOSE(CONTROL!$C$9, $C$13, 100%, $E$13) + CHOOSE(CONTROL!$C$28, 0.0003, 0)</f>
        <v>35.566700000000004</v>
      </c>
      <c r="D484" s="4">
        <f>41.16 * CHOOSE(CONTROL!$C$9, $C$13, 100%, $E$13) + CHOOSE(CONTROL!$C$28, 0, 0)</f>
        <v>41.16</v>
      </c>
      <c r="E484" s="4">
        <f>207.038397929306 * CHOOSE(CONTROL!$C$9, $C$13, 100%, $E$13) + CHOOSE(CONTROL!$C$28, 0, 0)</f>
        <v>207.038397929306</v>
      </c>
    </row>
    <row r="485" spans="1:5" ht="15">
      <c r="A485" s="13">
        <v>56645</v>
      </c>
      <c r="B485" s="4">
        <f>34.9998 * CHOOSE(CONTROL!$C$9, $C$13, 100%, $E$13) + CHOOSE(CONTROL!$C$28, 0.0003, 0)</f>
        <v>35.000100000000003</v>
      </c>
      <c r="C485" s="4">
        <f>34.6873 * CHOOSE(CONTROL!$C$9, $C$13, 100%, $E$13) + CHOOSE(CONTROL!$C$28, 0.0003, 0)</f>
        <v>34.687600000000003</v>
      </c>
      <c r="D485" s="4">
        <f>39.8149 * CHOOSE(CONTROL!$C$9, $C$13, 100%, $E$13) + CHOOSE(CONTROL!$C$28, 0, 0)</f>
        <v>39.814900000000002</v>
      </c>
      <c r="E485" s="4">
        <f>201.101325637264 * CHOOSE(CONTROL!$C$9, $C$13, 100%, $E$13) + CHOOSE(CONTROL!$C$28, 0, 0)</f>
        <v>201.10132563726401</v>
      </c>
    </row>
    <row r="486" spans="1:5" ht="15">
      <c r="A486" s="13">
        <v>56673</v>
      </c>
      <c r="B486" s="4">
        <f>35.7863 * CHOOSE(CONTROL!$C$9, $C$13, 100%, $E$13) + CHOOSE(CONTROL!$C$28, 0.0003, 0)</f>
        <v>35.7866</v>
      </c>
      <c r="C486" s="4">
        <f>35.4738 * CHOOSE(CONTROL!$C$9, $C$13, 100%, $E$13) + CHOOSE(CONTROL!$C$28, 0.0003, 0)</f>
        <v>35.4741</v>
      </c>
      <c r="D486" s="4">
        <f>41.1694 * CHOOSE(CONTROL!$C$9, $C$13, 100%, $E$13) + CHOOSE(CONTROL!$C$28, 0, 0)</f>
        <v>41.169400000000003</v>
      </c>
      <c r="E486" s="4">
        <f>205.876263630005 * CHOOSE(CONTROL!$C$9, $C$13, 100%, $E$13) + CHOOSE(CONTROL!$C$28, 0, 0)</f>
        <v>205.87626363000501</v>
      </c>
    </row>
    <row r="487" spans="1:5" ht="15">
      <c r="A487" s="13">
        <v>56704</v>
      </c>
      <c r="B487" s="4">
        <f>37.8518 * CHOOSE(CONTROL!$C$9, $C$13, 100%, $E$13) + CHOOSE(CONTROL!$C$28, 0.0003, 0)</f>
        <v>37.8521</v>
      </c>
      <c r="C487" s="4">
        <f>37.5393 * CHOOSE(CONTROL!$C$9, $C$13, 100%, $E$13) + CHOOSE(CONTROL!$C$28, 0.0003, 0)</f>
        <v>37.5396</v>
      </c>
      <c r="D487" s="4">
        <f>43.2898 * CHOOSE(CONTROL!$C$9, $C$13, 100%, $E$13) + CHOOSE(CONTROL!$C$28, 0, 0)</f>
        <v>43.2898</v>
      </c>
      <c r="E487" s="4">
        <f>218.41550455456 * CHOOSE(CONTROL!$C$9, $C$13, 100%, $E$13) + CHOOSE(CONTROL!$C$28, 0, 0)</f>
        <v>218.41550455455999</v>
      </c>
    </row>
    <row r="488" spans="1:5" ht="15">
      <c r="A488" s="13">
        <v>56734</v>
      </c>
      <c r="B488" s="4">
        <f>39.3193 * CHOOSE(CONTROL!$C$9, $C$13, 100%, $E$13) + CHOOSE(CONTROL!$C$28, 0.0003, 0)</f>
        <v>39.319600000000001</v>
      </c>
      <c r="C488" s="4">
        <f>39.0068 * CHOOSE(CONTROL!$C$9, $C$13, 100%, $E$13) + CHOOSE(CONTROL!$C$28, 0.0003, 0)</f>
        <v>39.007100000000001</v>
      </c>
      <c r="D488" s="4">
        <f>44.5112 * CHOOSE(CONTROL!$C$9, $C$13, 100%, $E$13) + CHOOSE(CONTROL!$C$28, 0, 0)</f>
        <v>44.511200000000002</v>
      </c>
      <c r="E488" s="4">
        <f>227.324802338813 * CHOOSE(CONTROL!$C$9, $C$13, 100%, $E$13) + CHOOSE(CONTROL!$C$28, 0, 0)</f>
        <v>227.32480233881299</v>
      </c>
    </row>
    <row r="489" spans="1:5" ht="15">
      <c r="A489" s="13">
        <v>56765</v>
      </c>
      <c r="B489" s="4">
        <f>40.2159 * CHOOSE(CONTROL!$C$9, $C$13, 100%, $E$13) + CHOOSE(CONTROL!$C$28, 0.0276, 0)</f>
        <v>40.243499999999997</v>
      </c>
      <c r="C489" s="4">
        <f>39.9034 * CHOOSE(CONTROL!$C$9, $C$13, 100%, $E$13) + CHOOSE(CONTROL!$C$28, 0.0276, 0)</f>
        <v>39.930999999999997</v>
      </c>
      <c r="D489" s="4">
        <f>44.0285 * CHOOSE(CONTROL!$C$9, $C$13, 100%, $E$13) + CHOOSE(CONTROL!$C$28, 0, 0)</f>
        <v>44.028500000000001</v>
      </c>
      <c r="E489" s="4">
        <f>232.768169758924 * CHOOSE(CONTROL!$C$9, $C$13, 100%, $E$13) + CHOOSE(CONTROL!$C$28, 0, 0)</f>
        <v>232.76816975892399</v>
      </c>
    </row>
    <row r="490" spans="1:5" ht="15">
      <c r="A490" s="13">
        <v>56795</v>
      </c>
      <c r="B490" s="4">
        <f>40.3372 * CHOOSE(CONTROL!$C$9, $C$13, 100%, $E$13) + CHOOSE(CONTROL!$C$28, 0.0276, 0)</f>
        <v>40.364800000000002</v>
      </c>
      <c r="C490" s="4">
        <f>40.0247 * CHOOSE(CONTROL!$C$9, $C$13, 100%, $E$13) + CHOOSE(CONTROL!$C$28, 0.0276, 0)</f>
        <v>40.052300000000002</v>
      </c>
      <c r="D490" s="4">
        <f>44.4216 * CHOOSE(CONTROL!$C$9, $C$13, 100%, $E$13) + CHOOSE(CONTROL!$C$28, 0, 0)</f>
        <v>44.421599999999998</v>
      </c>
      <c r="E490" s="4">
        <f>233.504679961304 * CHOOSE(CONTROL!$C$9, $C$13, 100%, $E$13) + CHOOSE(CONTROL!$C$28, 0, 0)</f>
        <v>233.50467996130399</v>
      </c>
    </row>
    <row r="491" spans="1:5" ht="15">
      <c r="A491" s="13">
        <v>56826</v>
      </c>
      <c r="B491" s="4">
        <f>40.325 * CHOOSE(CONTROL!$C$9, $C$13, 100%, $E$13) + CHOOSE(CONTROL!$C$28, 0.0276, 0)</f>
        <v>40.352600000000002</v>
      </c>
      <c r="C491" s="4">
        <f>40.0125 * CHOOSE(CONTROL!$C$9, $C$13, 100%, $E$13) + CHOOSE(CONTROL!$C$28, 0.0276, 0)</f>
        <v>40.040100000000002</v>
      </c>
      <c r="D491" s="4">
        <f>45.1308 * CHOOSE(CONTROL!$C$9, $C$13, 100%, $E$13) + CHOOSE(CONTROL!$C$28, 0, 0)</f>
        <v>45.130800000000001</v>
      </c>
      <c r="E491" s="4">
        <f>233.43041002493 * CHOOSE(CONTROL!$C$9, $C$13, 100%, $E$13) + CHOOSE(CONTROL!$C$28, 0, 0)</f>
        <v>233.43041002493001</v>
      </c>
    </row>
    <row r="492" spans="1:5" ht="15">
      <c r="A492" s="13">
        <v>56857</v>
      </c>
      <c r="B492" s="4">
        <f>41.2455 * CHOOSE(CONTROL!$C$9, $C$13, 100%, $E$13) + CHOOSE(CONTROL!$C$28, 0.0276, 0)</f>
        <v>41.273099999999999</v>
      </c>
      <c r="C492" s="4">
        <f>40.933 * CHOOSE(CONTROL!$C$9, $C$13, 100%, $E$13) + CHOOSE(CONTROL!$C$28, 0.0276, 0)</f>
        <v>40.960599999999999</v>
      </c>
      <c r="D492" s="4">
        <f>44.6624 * CHOOSE(CONTROL!$C$9, $C$13, 100%, $E$13) + CHOOSE(CONTROL!$C$28, 0, 0)</f>
        <v>44.662399999999998</v>
      </c>
      <c r="E492" s="4">
        <f>239.019222737108 * CHOOSE(CONTROL!$C$9, $C$13, 100%, $E$13) + CHOOSE(CONTROL!$C$28, 0, 0)</f>
        <v>239.01922273710801</v>
      </c>
    </row>
    <row r="493" spans="1:5" ht="15">
      <c r="A493" s="13">
        <v>56887</v>
      </c>
      <c r="B493" s="4">
        <f>39.6766 * CHOOSE(CONTROL!$C$9, $C$13, 100%, $E$13) + CHOOSE(CONTROL!$C$28, 0.0276, 0)</f>
        <v>39.7042</v>
      </c>
      <c r="C493" s="4">
        <f>39.3641 * CHOOSE(CONTROL!$C$9, $C$13, 100%, $E$13) + CHOOSE(CONTROL!$C$28, 0.0276, 0)</f>
        <v>39.3917</v>
      </c>
      <c r="D493" s="4">
        <f>44.4411 * CHOOSE(CONTROL!$C$9, $C$13, 100%, $E$13) + CHOOSE(CONTROL!$C$28, 0, 0)</f>
        <v>44.441099999999999</v>
      </c>
      <c r="E493" s="4">
        <f>229.494103397084 * CHOOSE(CONTROL!$C$9, $C$13, 100%, $E$13) + CHOOSE(CONTROL!$C$28, 0, 0)</f>
        <v>229.49410339708399</v>
      </c>
    </row>
    <row r="494" spans="1:5" ht="15">
      <c r="A494" s="13">
        <v>56918</v>
      </c>
      <c r="B494" s="4">
        <f>38.4206 * CHOOSE(CONTROL!$C$9, $C$13, 100%, $E$13) + CHOOSE(CONTROL!$C$28, 0.0003, 0)</f>
        <v>38.420900000000003</v>
      </c>
      <c r="C494" s="4">
        <f>38.1081 * CHOOSE(CONTROL!$C$9, $C$13, 100%, $E$13) + CHOOSE(CONTROL!$C$28, 0.0003, 0)</f>
        <v>38.108400000000003</v>
      </c>
      <c r="D494" s="4">
        <f>43.8486 * CHOOSE(CONTROL!$C$9, $C$13, 100%, $E$13) + CHOOSE(CONTROL!$C$28, 0, 0)</f>
        <v>43.848599999999998</v>
      </c>
      <c r="E494" s="4">
        <f>221.869056595972 * CHOOSE(CONTROL!$C$9, $C$13, 100%, $E$13) + CHOOSE(CONTROL!$C$28, 0, 0)</f>
        <v>221.86905659597201</v>
      </c>
    </row>
    <row r="495" spans="1:5" ht="15">
      <c r="A495" s="13">
        <v>56948</v>
      </c>
      <c r="B495" s="4">
        <f>37.6117 * CHOOSE(CONTROL!$C$9, $C$13, 100%, $E$13) + CHOOSE(CONTROL!$C$28, 0.0003, 0)</f>
        <v>37.612000000000002</v>
      </c>
      <c r="C495" s="4">
        <f>37.2992 * CHOOSE(CONTROL!$C$9, $C$13, 100%, $E$13) + CHOOSE(CONTROL!$C$28, 0.0003, 0)</f>
        <v>37.299500000000002</v>
      </c>
      <c r="D495" s="4">
        <f>43.6449 * CHOOSE(CONTROL!$C$9, $C$13, 100%, $E$13) + CHOOSE(CONTROL!$C$28, 0, 0)</f>
        <v>43.6449</v>
      </c>
      <c r="E495" s="4">
        <f>216.957957053211 * CHOOSE(CONTROL!$C$9, $C$13, 100%, $E$13) + CHOOSE(CONTROL!$C$28, 0, 0)</f>
        <v>216.957957053211</v>
      </c>
    </row>
    <row r="496" spans="1:5" ht="15">
      <c r="A496" s="13">
        <v>56979</v>
      </c>
      <c r="B496" s="4">
        <f>37.052 * CHOOSE(CONTROL!$C$9, $C$13, 100%, $E$13) + CHOOSE(CONTROL!$C$28, 0.0003, 0)</f>
        <v>37.052300000000002</v>
      </c>
      <c r="C496" s="4">
        <f>36.7395 * CHOOSE(CONTROL!$C$9, $C$13, 100%, $E$13) + CHOOSE(CONTROL!$C$28, 0.0003, 0)</f>
        <v>36.739800000000002</v>
      </c>
      <c r="D496" s="4">
        <f>42.1451 * CHOOSE(CONTROL!$C$9, $C$13, 100%, $E$13) + CHOOSE(CONTROL!$C$28, 0, 0)</f>
        <v>42.145099999999999</v>
      </c>
      <c r="E496" s="4">
        <f>213.560107464079 * CHOOSE(CONTROL!$C$9, $C$13, 100%, $E$13) + CHOOSE(CONTROL!$C$28, 0, 0)</f>
        <v>213.56010746407901</v>
      </c>
    </row>
    <row r="497" spans="1:5" ht="15">
      <c r="A497" s="13">
        <v>57010</v>
      </c>
      <c r="B497" s="4">
        <f>36.1426 * CHOOSE(CONTROL!$C$9, $C$13, 100%, $E$13) + CHOOSE(CONTROL!$C$28, 0.0003, 0)</f>
        <v>36.142900000000004</v>
      </c>
      <c r="C497" s="4">
        <f>35.8301 * CHOOSE(CONTROL!$C$9, $C$13, 100%, $E$13) + CHOOSE(CONTROL!$C$28, 0.0003, 0)</f>
        <v>35.830400000000004</v>
      </c>
      <c r="D497" s="4">
        <f>40.7667 * CHOOSE(CONTROL!$C$9, $C$13, 100%, $E$13) + CHOOSE(CONTROL!$C$28, 0, 0)</f>
        <v>40.7667</v>
      </c>
      <c r="E497" s="4">
        <f>207.436017394837 * CHOOSE(CONTROL!$C$9, $C$13, 100%, $E$13) + CHOOSE(CONTROL!$C$28, 0, 0)</f>
        <v>207.43601739483699</v>
      </c>
    </row>
    <row r="498" spans="1:5" ht="15">
      <c r="A498" s="13">
        <v>57038</v>
      </c>
      <c r="B498" s="4">
        <f>36.9563 * CHOOSE(CONTROL!$C$9, $C$13, 100%, $E$13) + CHOOSE(CONTROL!$C$28, 0.0003, 0)</f>
        <v>36.956600000000002</v>
      </c>
      <c r="C498" s="4">
        <f>36.6438 * CHOOSE(CONTROL!$C$9, $C$13, 100%, $E$13) + CHOOSE(CONTROL!$C$28, 0.0003, 0)</f>
        <v>36.644100000000002</v>
      </c>
      <c r="D498" s="4">
        <f>42.1548 * CHOOSE(CONTROL!$C$9, $C$13, 100%, $E$13) + CHOOSE(CONTROL!$C$28, 0, 0)</f>
        <v>42.154800000000002</v>
      </c>
      <c r="E498" s="4">
        <f>212.36136593435 * CHOOSE(CONTROL!$C$9, $C$13, 100%, $E$13) + CHOOSE(CONTROL!$C$28, 0, 0)</f>
        <v>212.36136593435</v>
      </c>
    </row>
    <row r="499" spans="1:5" ht="15">
      <c r="A499" s="13">
        <v>57070</v>
      </c>
      <c r="B499" s="4">
        <f>39.093 * CHOOSE(CONTROL!$C$9, $C$13, 100%, $E$13) + CHOOSE(CONTROL!$C$28, 0.0003, 0)</f>
        <v>39.093300000000006</v>
      </c>
      <c r="C499" s="4">
        <f>38.7805 * CHOOSE(CONTROL!$C$9, $C$13, 100%, $E$13) + CHOOSE(CONTROL!$C$28, 0.0003, 0)</f>
        <v>38.780800000000006</v>
      </c>
      <c r="D499" s="4">
        <f>44.3277 * CHOOSE(CONTROL!$C$9, $C$13, 100%, $E$13) + CHOOSE(CONTROL!$C$28, 0, 0)</f>
        <v>44.3277</v>
      </c>
      <c r="E499" s="4">
        <f>225.295592948028 * CHOOSE(CONTROL!$C$9, $C$13, 100%, $E$13) + CHOOSE(CONTROL!$C$28, 0, 0)</f>
        <v>225.295592948028</v>
      </c>
    </row>
    <row r="500" spans="1:5" ht="15">
      <c r="A500" s="13">
        <v>57100</v>
      </c>
      <c r="B500" s="4">
        <f>40.6111 * CHOOSE(CONTROL!$C$9, $C$13, 100%, $E$13) + CHOOSE(CONTROL!$C$28, 0.0003, 0)</f>
        <v>40.611400000000003</v>
      </c>
      <c r="C500" s="4">
        <f>40.2986 * CHOOSE(CONTROL!$C$9, $C$13, 100%, $E$13) + CHOOSE(CONTROL!$C$28, 0.0003, 0)</f>
        <v>40.298900000000003</v>
      </c>
      <c r="D500" s="4">
        <f>45.5794 * CHOOSE(CONTROL!$C$9, $C$13, 100%, $E$13) + CHOOSE(CONTROL!$C$28, 0, 0)</f>
        <v>45.5794</v>
      </c>
      <c r="E500" s="4">
        <f>234.485533612485 * CHOOSE(CONTROL!$C$9, $C$13, 100%, $E$13) + CHOOSE(CONTROL!$C$28, 0, 0)</f>
        <v>234.485533612485</v>
      </c>
    </row>
    <row r="501" spans="1:5" ht="15">
      <c r="A501" s="13">
        <v>57131</v>
      </c>
      <c r="B501" s="4">
        <f>41.5387 * CHOOSE(CONTROL!$C$9, $C$13, 100%, $E$13) + CHOOSE(CONTROL!$C$28, 0.0276, 0)</f>
        <v>41.566299999999998</v>
      </c>
      <c r="C501" s="4">
        <f>41.2262 * CHOOSE(CONTROL!$C$9, $C$13, 100%, $E$13) + CHOOSE(CONTROL!$C$28, 0.0276, 0)</f>
        <v>41.253799999999998</v>
      </c>
      <c r="D501" s="4">
        <f>45.0848 * CHOOSE(CONTROL!$C$9, $C$13, 100%, $E$13) + CHOOSE(CONTROL!$C$28, 0, 0)</f>
        <v>45.084800000000001</v>
      </c>
      <c r="E501" s="4">
        <f>240.10036710633 * CHOOSE(CONTROL!$C$9, $C$13, 100%, $E$13) + CHOOSE(CONTROL!$C$28, 0, 0)</f>
        <v>240.10036710633</v>
      </c>
    </row>
    <row r="502" spans="1:5" ht="15">
      <c r="A502" s="13">
        <v>57161</v>
      </c>
      <c r="B502" s="4">
        <f>41.6642 * CHOOSE(CONTROL!$C$9, $C$13, 100%, $E$13) + CHOOSE(CONTROL!$C$28, 0.0276, 0)</f>
        <v>41.691800000000001</v>
      </c>
      <c r="C502" s="4">
        <f>41.3517 * CHOOSE(CONTROL!$C$9, $C$13, 100%, $E$13) + CHOOSE(CONTROL!$C$28, 0.0276, 0)</f>
        <v>41.379300000000001</v>
      </c>
      <c r="D502" s="4">
        <f>45.4876 * CHOOSE(CONTROL!$C$9, $C$13, 100%, $E$13) + CHOOSE(CONTROL!$C$28, 0, 0)</f>
        <v>45.4876</v>
      </c>
      <c r="E502" s="4">
        <f>240.860077380085 * CHOOSE(CONTROL!$C$9, $C$13, 100%, $E$13) + CHOOSE(CONTROL!$C$28, 0, 0)</f>
        <v>240.86007738008499</v>
      </c>
    </row>
    <row r="503" spans="1:5" ht="15">
      <c r="A503" s="13">
        <v>57192</v>
      </c>
      <c r="B503" s="4">
        <f>41.6515 * CHOOSE(CONTROL!$C$9, $C$13, 100%, $E$13) + CHOOSE(CONTROL!$C$28, 0.0276, 0)</f>
        <v>41.679099999999998</v>
      </c>
      <c r="C503" s="4">
        <f>41.339 * CHOOSE(CONTROL!$C$9, $C$13, 100%, $E$13) + CHOOSE(CONTROL!$C$28, 0.0276, 0)</f>
        <v>41.366599999999998</v>
      </c>
      <c r="D503" s="4">
        <f>46.2144 * CHOOSE(CONTROL!$C$9, $C$13, 100%, $E$13) + CHOOSE(CONTROL!$C$28, 0, 0)</f>
        <v>46.214399999999998</v>
      </c>
      <c r="E503" s="4">
        <f>240.783467940715 * CHOOSE(CONTROL!$C$9, $C$13, 100%, $E$13) + CHOOSE(CONTROL!$C$28, 0, 0)</f>
        <v>240.78346794071501</v>
      </c>
    </row>
    <row r="504" spans="1:5" ht="15">
      <c r="A504" s="13">
        <v>57223</v>
      </c>
      <c r="B504" s="4">
        <f>42.6038 * CHOOSE(CONTROL!$C$9, $C$13, 100%, $E$13) + CHOOSE(CONTROL!$C$28, 0.0276, 0)</f>
        <v>42.631399999999999</v>
      </c>
      <c r="C504" s="4">
        <f>42.2913 * CHOOSE(CONTROL!$C$9, $C$13, 100%, $E$13) + CHOOSE(CONTROL!$C$28, 0.0276, 0)</f>
        <v>42.318899999999999</v>
      </c>
      <c r="D504" s="4">
        <f>45.7344 * CHOOSE(CONTROL!$C$9, $C$13, 100%, $E$13) + CHOOSE(CONTROL!$C$28, 0, 0)</f>
        <v>45.734400000000001</v>
      </c>
      <c r="E504" s="4">
        <f>246.548328253327 * CHOOSE(CONTROL!$C$9, $C$13, 100%, $E$13) + CHOOSE(CONTROL!$C$28, 0, 0)</f>
        <v>246.54832825332701</v>
      </c>
    </row>
    <row r="505" spans="1:5" ht="15">
      <c r="A505" s="13">
        <v>57253</v>
      </c>
      <c r="B505" s="4">
        <f>40.9808 * CHOOSE(CONTROL!$C$9, $C$13, 100%, $E$13) + CHOOSE(CONTROL!$C$28, 0.0276, 0)</f>
        <v>41.008400000000002</v>
      </c>
      <c r="C505" s="4">
        <f>40.6683 * CHOOSE(CONTROL!$C$9, $C$13, 100%, $E$13) + CHOOSE(CONTROL!$C$28, 0.0276, 0)</f>
        <v>40.695900000000002</v>
      </c>
      <c r="D505" s="4">
        <f>45.5076 * CHOOSE(CONTROL!$C$9, $C$13, 100%, $E$13) + CHOOSE(CONTROL!$C$28, 0, 0)</f>
        <v>45.507599999999996</v>
      </c>
      <c r="E505" s="4">
        <f>236.723167654092 * CHOOSE(CONTROL!$C$9, $C$13, 100%, $E$13) + CHOOSE(CONTROL!$C$28, 0, 0)</f>
        <v>236.72316765409201</v>
      </c>
    </row>
    <row r="506" spans="1:5" ht="15">
      <c r="A506" s="13">
        <v>57284</v>
      </c>
      <c r="B506" s="4">
        <f>39.6814 * CHOOSE(CONTROL!$C$9, $C$13, 100%, $E$13) + CHOOSE(CONTROL!$C$28, 0.0003, 0)</f>
        <v>39.681699999999999</v>
      </c>
      <c r="C506" s="4">
        <f>39.3689 * CHOOSE(CONTROL!$C$9, $C$13, 100%, $E$13) + CHOOSE(CONTROL!$C$28, 0.0003, 0)</f>
        <v>39.369199999999999</v>
      </c>
      <c r="D506" s="4">
        <f>44.9004 * CHOOSE(CONTROL!$C$9, $C$13, 100%, $E$13) + CHOOSE(CONTROL!$C$28, 0, 0)</f>
        <v>44.900399999999998</v>
      </c>
      <c r="E506" s="4">
        <f>228.857931878745 * CHOOSE(CONTROL!$C$9, $C$13, 100%, $E$13) + CHOOSE(CONTROL!$C$28, 0, 0)</f>
        <v>228.85793187874501</v>
      </c>
    </row>
    <row r="507" spans="1:5" ht="15">
      <c r="A507" s="13">
        <v>57314</v>
      </c>
      <c r="B507" s="4">
        <f>38.8446 * CHOOSE(CONTROL!$C$9, $C$13, 100%, $E$13) + CHOOSE(CONTROL!$C$28, 0.0003, 0)</f>
        <v>38.844900000000003</v>
      </c>
      <c r="C507" s="4">
        <f>38.5321 * CHOOSE(CONTROL!$C$9, $C$13, 100%, $E$13) + CHOOSE(CONTROL!$C$28, 0.0003, 0)</f>
        <v>38.532400000000003</v>
      </c>
      <c r="D507" s="4">
        <f>44.6916 * CHOOSE(CONTROL!$C$9, $C$13, 100%, $E$13) + CHOOSE(CONTROL!$C$28, 0, 0)</f>
        <v>44.691600000000001</v>
      </c>
      <c r="E507" s="4">
        <f>223.792132700387 * CHOOSE(CONTROL!$C$9, $C$13, 100%, $E$13) + CHOOSE(CONTROL!$C$28, 0, 0)</f>
        <v>223.79213270038699</v>
      </c>
    </row>
    <row r="508" spans="1:5" ht="15">
      <c r="A508" s="13">
        <v>57345</v>
      </c>
      <c r="B508" s="4">
        <f>38.2656 * CHOOSE(CONTROL!$C$9, $C$13, 100%, $E$13) + CHOOSE(CONTROL!$C$28, 0.0003, 0)</f>
        <v>38.265900000000002</v>
      </c>
      <c r="C508" s="4">
        <f>37.9531 * CHOOSE(CONTROL!$C$9, $C$13, 100%, $E$13) + CHOOSE(CONTROL!$C$28, 0.0003, 0)</f>
        <v>37.953400000000002</v>
      </c>
      <c r="D508" s="4">
        <f>43.1547 * CHOOSE(CONTROL!$C$9, $C$13, 100%, $E$13) + CHOOSE(CONTROL!$C$28, 0, 0)</f>
        <v>43.154699999999998</v>
      </c>
      <c r="E508" s="4">
        <f>220.287250849198 * CHOOSE(CONTROL!$C$9, $C$13, 100%, $E$13) + CHOOSE(CONTROL!$C$28, 0, 0)</f>
        <v>220.28725084919799</v>
      </c>
    </row>
    <row r="509" spans="1:5" ht="15">
      <c r="A509" s="13">
        <v>57376</v>
      </c>
      <c r="B509" s="4">
        <f>37.3249 * CHOOSE(CONTROL!$C$9, $C$13, 100%, $E$13) + CHOOSE(CONTROL!$C$28, 0.0003, 0)</f>
        <v>37.325200000000002</v>
      </c>
      <c r="C509" s="4">
        <f>37.0124 * CHOOSE(CONTROL!$C$9, $C$13, 100%, $E$13) + CHOOSE(CONTROL!$C$28, 0.0003, 0)</f>
        <v>37.012700000000002</v>
      </c>
      <c r="D509" s="4">
        <f>41.7421 * CHOOSE(CONTROL!$C$9, $C$13, 100%, $E$13) + CHOOSE(CONTROL!$C$28, 0, 0)</f>
        <v>41.742100000000001</v>
      </c>
      <c r="E509" s="4">
        <f>213.970251942775 * CHOOSE(CONTROL!$C$9, $C$13, 100%, $E$13) + CHOOSE(CONTROL!$C$28, 0, 0)</f>
        <v>213.97025194277501</v>
      </c>
    </row>
    <row r="510" spans="1:5" ht="15">
      <c r="A510" s="13">
        <v>57404</v>
      </c>
      <c r="B510" s="4">
        <f>38.1666 * CHOOSE(CONTROL!$C$9, $C$13, 100%, $E$13) + CHOOSE(CONTROL!$C$28, 0.0003, 0)</f>
        <v>38.166900000000005</v>
      </c>
      <c r="C510" s="4">
        <f>37.8541 * CHOOSE(CONTROL!$C$9, $C$13, 100%, $E$13) + CHOOSE(CONTROL!$C$28, 0.0003, 0)</f>
        <v>37.854400000000005</v>
      </c>
      <c r="D510" s="4">
        <f>43.1646 * CHOOSE(CONTROL!$C$9, $C$13, 100%, $E$13) + CHOOSE(CONTROL!$C$28, 0, 0)</f>
        <v>43.1646</v>
      </c>
      <c r="E510" s="4">
        <f>219.050748961282 * CHOOSE(CONTROL!$C$9, $C$13, 100%, $E$13) + CHOOSE(CONTROL!$C$28, 0, 0)</f>
        <v>219.05074896128201</v>
      </c>
    </row>
    <row r="511" spans="1:5" ht="15">
      <c r="A511" s="13">
        <v>57435</v>
      </c>
      <c r="B511" s="4">
        <f>40.377 * CHOOSE(CONTROL!$C$9, $C$13, 100%, $E$13) + CHOOSE(CONTROL!$C$28, 0.0003, 0)</f>
        <v>40.377300000000005</v>
      </c>
      <c r="C511" s="4">
        <f>40.0645 * CHOOSE(CONTROL!$C$9, $C$13, 100%, $E$13) + CHOOSE(CONTROL!$C$28, 0.0003, 0)</f>
        <v>40.064800000000005</v>
      </c>
      <c r="D511" s="4">
        <f>45.3914 * CHOOSE(CONTROL!$C$9, $C$13, 100%, $E$13) + CHOOSE(CONTROL!$C$28, 0, 0)</f>
        <v>45.391399999999997</v>
      </c>
      <c r="E511" s="4">
        <f>232.392404125891 * CHOOSE(CONTROL!$C$9, $C$13, 100%, $E$13) + CHOOSE(CONTROL!$C$28, 0, 0)</f>
        <v>232.39240412589101</v>
      </c>
    </row>
    <row r="512" spans="1:5" ht="15">
      <c r="A512" s="13">
        <v>57465</v>
      </c>
      <c r="B512" s="4">
        <f>41.9475 * CHOOSE(CONTROL!$C$9, $C$13, 100%, $E$13) + CHOOSE(CONTROL!$C$28, 0.0003, 0)</f>
        <v>41.947800000000001</v>
      </c>
      <c r="C512" s="4">
        <f>41.635 * CHOOSE(CONTROL!$C$9, $C$13, 100%, $E$13) + CHOOSE(CONTROL!$C$28, 0.0003, 0)</f>
        <v>41.635300000000001</v>
      </c>
      <c r="D512" s="4">
        <f>46.6741 * CHOOSE(CONTROL!$C$9, $C$13, 100%, $E$13) + CHOOSE(CONTROL!$C$28, 0, 0)</f>
        <v>46.674100000000003</v>
      </c>
      <c r="E512" s="4">
        <f>241.871827921279 * CHOOSE(CONTROL!$C$9, $C$13, 100%, $E$13) + CHOOSE(CONTROL!$C$28, 0, 0)</f>
        <v>241.87182792127899</v>
      </c>
    </row>
    <row r="513" spans="1:5" ht="15">
      <c r="A513" s="13">
        <v>57496</v>
      </c>
      <c r="B513" s="4">
        <f>42.907 * CHOOSE(CONTROL!$C$9, $C$13, 100%, $E$13) + CHOOSE(CONTROL!$C$28, 0.0276, 0)</f>
        <v>42.934599999999996</v>
      </c>
      <c r="C513" s="4">
        <f>42.5945 * CHOOSE(CONTROL!$C$9, $C$13, 100%, $E$13) + CHOOSE(CONTROL!$C$28, 0.0276, 0)</f>
        <v>42.622099999999996</v>
      </c>
      <c r="D513" s="4">
        <f>46.1672 * CHOOSE(CONTROL!$C$9, $C$13, 100%, $E$13) + CHOOSE(CONTROL!$C$28, 0, 0)</f>
        <v>46.167200000000001</v>
      </c>
      <c r="E513" s="4">
        <f>247.66352867018 * CHOOSE(CONTROL!$C$9, $C$13, 100%, $E$13) + CHOOSE(CONTROL!$C$28, 0, 0)</f>
        <v>247.66352867018</v>
      </c>
    </row>
    <row r="514" spans="1:5" ht="15">
      <c r="A514" s="13">
        <v>57526</v>
      </c>
      <c r="B514" s="4">
        <f>43.0369 * CHOOSE(CONTROL!$C$9, $C$13, 100%, $E$13) + CHOOSE(CONTROL!$C$28, 0.0276, 0)</f>
        <v>43.064500000000002</v>
      </c>
      <c r="C514" s="4">
        <f>42.7244 * CHOOSE(CONTROL!$C$9, $C$13, 100%, $E$13) + CHOOSE(CONTROL!$C$28, 0.0276, 0)</f>
        <v>42.752000000000002</v>
      </c>
      <c r="D514" s="4">
        <f>46.58 * CHOOSE(CONTROL!$C$9, $C$13, 100%, $E$13) + CHOOSE(CONTROL!$C$28, 0, 0)</f>
        <v>46.58</v>
      </c>
      <c r="E514" s="4">
        <f>248.447169817558 * CHOOSE(CONTROL!$C$9, $C$13, 100%, $E$13) + CHOOSE(CONTROL!$C$28, 0, 0)</f>
        <v>248.44716981755801</v>
      </c>
    </row>
    <row r="515" spans="1:5" ht="15">
      <c r="A515" s="13">
        <v>57557</v>
      </c>
      <c r="B515" s="4">
        <f>43.0238 * CHOOSE(CONTROL!$C$9, $C$13, 100%, $E$13) + CHOOSE(CONTROL!$C$28, 0.0276, 0)</f>
        <v>43.051400000000001</v>
      </c>
      <c r="C515" s="4">
        <f>42.7113 * CHOOSE(CONTROL!$C$9, $C$13, 100%, $E$13) + CHOOSE(CONTROL!$C$28, 0.0276, 0)</f>
        <v>42.738900000000001</v>
      </c>
      <c r="D515" s="4">
        <f>47.3249 * CHOOSE(CONTROL!$C$9, $C$13, 100%, $E$13) + CHOOSE(CONTROL!$C$28, 0, 0)</f>
        <v>47.3249</v>
      </c>
      <c r="E515" s="4">
        <f>248.368147180848 * CHOOSE(CONTROL!$C$9, $C$13, 100%, $E$13) + CHOOSE(CONTROL!$C$28, 0, 0)</f>
        <v>248.36814718084801</v>
      </c>
    </row>
    <row r="516" spans="1:5" ht="15">
      <c r="A516" s="13">
        <v>57588</v>
      </c>
      <c r="B516" s="4">
        <f>44.009 * CHOOSE(CONTROL!$C$9, $C$13, 100%, $E$13) + CHOOSE(CONTROL!$C$28, 0.0276, 0)</f>
        <v>44.0366</v>
      </c>
      <c r="C516" s="4">
        <f>43.6965 * CHOOSE(CONTROL!$C$9, $C$13, 100%, $E$13) + CHOOSE(CONTROL!$C$28, 0.0276, 0)</f>
        <v>43.7241</v>
      </c>
      <c r="D516" s="4">
        <f>46.833 * CHOOSE(CONTROL!$C$9, $C$13, 100%, $E$13) + CHOOSE(CONTROL!$C$28, 0, 0)</f>
        <v>46.832999999999998</v>
      </c>
      <c r="E516" s="4">
        <f>254.314600593307 * CHOOSE(CONTROL!$C$9, $C$13, 100%, $E$13) + CHOOSE(CONTROL!$C$28, 0, 0)</f>
        <v>254.31460059330701</v>
      </c>
    </row>
    <row r="517" spans="1:5" ht="15">
      <c r="A517" s="13">
        <v>57618</v>
      </c>
      <c r="B517" s="4">
        <f>42.3299 * CHOOSE(CONTROL!$C$9, $C$13, 100%, $E$13) + CHOOSE(CONTROL!$C$28, 0.0276, 0)</f>
        <v>42.357500000000002</v>
      </c>
      <c r="C517" s="4">
        <f>42.0174 * CHOOSE(CONTROL!$C$9, $C$13, 100%, $E$13) + CHOOSE(CONTROL!$C$28, 0.0276, 0)</f>
        <v>42.045000000000002</v>
      </c>
      <c r="D517" s="4">
        <f>46.6006 * CHOOSE(CONTROL!$C$9, $C$13, 100%, $E$13) + CHOOSE(CONTROL!$C$28, 0, 0)</f>
        <v>46.6006</v>
      </c>
      <c r="E517" s="4">
        <f>244.179947435196 * CHOOSE(CONTROL!$C$9, $C$13, 100%, $E$13) + CHOOSE(CONTROL!$C$28, 0, 0)</f>
        <v>244.179947435196</v>
      </c>
    </row>
    <row r="518" spans="1:5" ht="15">
      <c r="A518" s="13">
        <v>57649</v>
      </c>
      <c r="B518" s="4">
        <f>40.9858 * CHOOSE(CONTROL!$C$9, $C$13, 100%, $E$13) + CHOOSE(CONTROL!$C$28, 0.0003, 0)</f>
        <v>40.9861</v>
      </c>
      <c r="C518" s="4">
        <f>40.6733 * CHOOSE(CONTROL!$C$9, $C$13, 100%, $E$13) + CHOOSE(CONTROL!$C$28, 0.0003, 0)</f>
        <v>40.6736</v>
      </c>
      <c r="D518" s="4">
        <f>45.9783 * CHOOSE(CONTROL!$C$9, $C$13, 100%, $E$13) + CHOOSE(CONTROL!$C$28, 0, 0)</f>
        <v>45.978299999999997</v>
      </c>
      <c r="E518" s="4">
        <f>236.066956732926 * CHOOSE(CONTROL!$C$9, $C$13, 100%, $E$13) + CHOOSE(CONTROL!$C$28, 0, 0)</f>
        <v>236.066956732926</v>
      </c>
    </row>
    <row r="519" spans="1:5" ht="15">
      <c r="A519" s="13">
        <v>57679</v>
      </c>
      <c r="B519" s="4">
        <f>40.12 * CHOOSE(CONTROL!$C$9, $C$13, 100%, $E$13) + CHOOSE(CONTROL!$C$28, 0.0003, 0)</f>
        <v>40.1203</v>
      </c>
      <c r="C519" s="4">
        <f>39.8075 * CHOOSE(CONTROL!$C$9, $C$13, 100%, $E$13) + CHOOSE(CONTROL!$C$28, 0.0003, 0)</f>
        <v>39.8078</v>
      </c>
      <c r="D519" s="4">
        <f>45.7643 * CHOOSE(CONTROL!$C$9, $C$13, 100%, $E$13) + CHOOSE(CONTROL!$C$28, 0, 0)</f>
        <v>45.764299999999999</v>
      </c>
      <c r="E519" s="4">
        <f>230.841584880449 * CHOOSE(CONTROL!$C$9, $C$13, 100%, $E$13) + CHOOSE(CONTROL!$C$28, 0, 0)</f>
        <v>230.84158488044901</v>
      </c>
    </row>
    <row r="520" spans="1:5" ht="15">
      <c r="A520" s="13">
        <v>57710</v>
      </c>
      <c r="B520" s="4">
        <f>39.5211 * CHOOSE(CONTROL!$C$9, $C$13, 100%, $E$13) + CHOOSE(CONTROL!$C$28, 0.0003, 0)</f>
        <v>39.5214</v>
      </c>
      <c r="C520" s="4">
        <f>39.2086 * CHOOSE(CONTROL!$C$9, $C$13, 100%, $E$13) + CHOOSE(CONTROL!$C$28, 0.0003, 0)</f>
        <v>39.2089</v>
      </c>
      <c r="D520" s="4">
        <f>44.1892 * CHOOSE(CONTROL!$C$9, $C$13, 100%, $E$13) + CHOOSE(CONTROL!$C$28, 0, 0)</f>
        <v>44.1892</v>
      </c>
      <c r="E520" s="4">
        <f>227.226299250948 * CHOOSE(CONTROL!$C$9, $C$13, 100%, $E$13) + CHOOSE(CONTROL!$C$28, 0, 0)</f>
        <v>227.22629925094799</v>
      </c>
    </row>
    <row r="521" spans="1:5" ht="15">
      <c r="A521" s="13">
        <v>57741</v>
      </c>
      <c r="B521" s="4">
        <f>38.5479 * CHOOSE(CONTROL!$C$9, $C$13, 100%, $E$13) + CHOOSE(CONTROL!$C$28, 0.0003, 0)</f>
        <v>38.548200000000001</v>
      </c>
      <c r="C521" s="4">
        <f>38.2354 * CHOOSE(CONTROL!$C$9, $C$13, 100%, $E$13) + CHOOSE(CONTROL!$C$28, 0.0003, 0)</f>
        <v>38.235700000000001</v>
      </c>
      <c r="D521" s="4">
        <f>42.7416 * CHOOSE(CONTROL!$C$9, $C$13, 100%, $E$13) + CHOOSE(CONTROL!$C$28, 0, 0)</f>
        <v>42.741599999999998</v>
      </c>
      <c r="E521" s="4">
        <f>220.710314878972 * CHOOSE(CONTROL!$C$9, $C$13, 100%, $E$13) + CHOOSE(CONTROL!$C$28, 0, 0)</f>
        <v>220.71031487897201</v>
      </c>
    </row>
    <row r="522" spans="1:5" ht="15">
      <c r="A522" s="13">
        <v>57769</v>
      </c>
      <c r="B522" s="4">
        <f>39.4186 * CHOOSE(CONTROL!$C$9, $C$13, 100%, $E$13) + CHOOSE(CONTROL!$C$28, 0.0003, 0)</f>
        <v>39.418900000000001</v>
      </c>
      <c r="C522" s="4">
        <f>39.1061 * CHOOSE(CONTROL!$C$9, $C$13, 100%, $E$13) + CHOOSE(CONTROL!$C$28, 0.0003, 0)</f>
        <v>39.106400000000001</v>
      </c>
      <c r="D522" s="4">
        <f>44.1994 * CHOOSE(CONTROL!$C$9, $C$13, 100%, $E$13) + CHOOSE(CONTROL!$C$28, 0, 0)</f>
        <v>44.199399999999997</v>
      </c>
      <c r="E522" s="4">
        <f>225.950847553563 * CHOOSE(CONTROL!$C$9, $C$13, 100%, $E$13) + CHOOSE(CONTROL!$C$28, 0, 0)</f>
        <v>225.95084755356299</v>
      </c>
    </row>
    <row r="523" spans="1:5" ht="15">
      <c r="A523" s="13">
        <v>57800</v>
      </c>
      <c r="B523" s="4">
        <f>41.7053 * CHOOSE(CONTROL!$C$9, $C$13, 100%, $E$13) + CHOOSE(CONTROL!$C$28, 0.0003, 0)</f>
        <v>41.705600000000004</v>
      </c>
      <c r="C523" s="4">
        <f>41.3928 * CHOOSE(CONTROL!$C$9, $C$13, 100%, $E$13) + CHOOSE(CONTROL!$C$28, 0.0003, 0)</f>
        <v>41.393100000000004</v>
      </c>
      <c r="D523" s="4">
        <f>46.4814 * CHOOSE(CONTROL!$C$9, $C$13, 100%, $E$13) + CHOOSE(CONTROL!$C$28, 0, 0)</f>
        <v>46.481400000000001</v>
      </c>
      <c r="E523" s="4">
        <f>239.712764855857 * CHOOSE(CONTROL!$C$9, $C$13, 100%, $E$13) + CHOOSE(CONTROL!$C$28, 0, 0)</f>
        <v>239.71276485585699</v>
      </c>
    </row>
    <row r="524" spans="1:5" ht="15">
      <c r="A524" s="13">
        <v>57830</v>
      </c>
      <c r="B524" s="4">
        <f>43.33 * CHOOSE(CONTROL!$C$9, $C$13, 100%, $E$13) + CHOOSE(CONTROL!$C$28, 0.0003, 0)</f>
        <v>43.330300000000001</v>
      </c>
      <c r="C524" s="4">
        <f>43.0175 * CHOOSE(CONTROL!$C$9, $C$13, 100%, $E$13) + CHOOSE(CONTROL!$C$28, 0.0003, 0)</f>
        <v>43.017800000000001</v>
      </c>
      <c r="D524" s="4">
        <f>47.796 * CHOOSE(CONTROL!$C$9, $C$13, 100%, $E$13) + CHOOSE(CONTROL!$C$28, 0, 0)</f>
        <v>47.795999999999999</v>
      </c>
      <c r="E524" s="4">
        <f>249.490790500799 * CHOOSE(CONTROL!$C$9, $C$13, 100%, $E$13) + CHOOSE(CONTROL!$C$28, 0, 0)</f>
        <v>249.49079050079899</v>
      </c>
    </row>
    <row r="525" spans="1:5" ht="15">
      <c r="A525" s="13">
        <v>57861</v>
      </c>
      <c r="B525" s="4">
        <f>44.3227 * CHOOSE(CONTROL!$C$9, $C$13, 100%, $E$13) + CHOOSE(CONTROL!$C$28, 0.0276, 0)</f>
        <v>44.350299999999997</v>
      </c>
      <c r="C525" s="4">
        <f>44.0102 * CHOOSE(CONTROL!$C$9, $C$13, 100%, $E$13) + CHOOSE(CONTROL!$C$28, 0.0276, 0)</f>
        <v>44.037799999999997</v>
      </c>
      <c r="D525" s="4">
        <f>47.2765 * CHOOSE(CONTROL!$C$9, $C$13, 100%, $E$13) + CHOOSE(CONTROL!$C$28, 0, 0)</f>
        <v>47.276499999999999</v>
      </c>
      <c r="E525" s="4">
        <f>255.464929823291 * CHOOSE(CONTROL!$C$9, $C$13, 100%, $E$13) + CHOOSE(CONTROL!$C$28, 0, 0)</f>
        <v>255.46492982329099</v>
      </c>
    </row>
    <row r="526" spans="1:5" ht="15">
      <c r="A526" s="13">
        <v>57891</v>
      </c>
      <c r="B526" s="4">
        <f>44.457 * CHOOSE(CONTROL!$C$9, $C$13, 100%, $E$13) + CHOOSE(CONTROL!$C$28, 0.0276, 0)</f>
        <v>44.4846</v>
      </c>
      <c r="C526" s="4">
        <f>44.1445 * CHOOSE(CONTROL!$C$9, $C$13, 100%, $E$13) + CHOOSE(CONTROL!$C$28, 0.0276, 0)</f>
        <v>44.1721</v>
      </c>
      <c r="D526" s="4">
        <f>47.6996 * CHOOSE(CONTROL!$C$9, $C$13, 100%, $E$13) + CHOOSE(CONTROL!$C$28, 0, 0)</f>
        <v>47.699599999999997</v>
      </c>
      <c r="E526" s="4">
        <f>256.273255666811 * CHOOSE(CONTROL!$C$9, $C$13, 100%, $E$13) + CHOOSE(CONTROL!$C$28, 0, 0)</f>
        <v>256.273255666811</v>
      </c>
    </row>
    <row r="527" spans="1:5" ht="15">
      <c r="A527" s="13">
        <v>57922</v>
      </c>
      <c r="B527" s="4">
        <f>44.4434 * CHOOSE(CONTROL!$C$9, $C$13, 100%, $E$13) + CHOOSE(CONTROL!$C$28, 0.0276, 0)</f>
        <v>44.470999999999997</v>
      </c>
      <c r="C527" s="4">
        <f>44.1309 * CHOOSE(CONTROL!$C$9, $C$13, 100%, $E$13) + CHOOSE(CONTROL!$C$28, 0.0276, 0)</f>
        <v>44.158499999999997</v>
      </c>
      <c r="D527" s="4">
        <f>48.4629 * CHOOSE(CONTROL!$C$9, $C$13, 100%, $E$13) + CHOOSE(CONTROL!$C$28, 0, 0)</f>
        <v>48.462899999999998</v>
      </c>
      <c r="E527" s="4">
        <f>256.191743817044 * CHOOSE(CONTROL!$C$9, $C$13, 100%, $E$13) + CHOOSE(CONTROL!$C$28, 0, 0)</f>
        <v>256.19174381704403</v>
      </c>
    </row>
    <row r="528" spans="1:5" ht="15">
      <c r="A528" s="13">
        <v>57953</v>
      </c>
      <c r="B528" s="4">
        <f>45.4626 * CHOOSE(CONTROL!$C$9, $C$13, 100%, $E$13) + CHOOSE(CONTROL!$C$28, 0.0276, 0)</f>
        <v>45.490200000000002</v>
      </c>
      <c r="C528" s="4">
        <f>45.1501 * CHOOSE(CONTROL!$C$9, $C$13, 100%, $E$13) + CHOOSE(CONTROL!$C$28, 0.0276, 0)</f>
        <v>45.177700000000002</v>
      </c>
      <c r="D528" s="4">
        <f>47.9588 * CHOOSE(CONTROL!$C$9, $C$13, 100%, $E$13) + CHOOSE(CONTROL!$C$28, 0, 0)</f>
        <v>47.958799999999997</v>
      </c>
      <c r="E528" s="4">
        <f>262.325510511996 * CHOOSE(CONTROL!$C$9, $C$13, 100%, $E$13) + CHOOSE(CONTROL!$C$28, 0, 0)</f>
        <v>262.32551051199601</v>
      </c>
    </row>
    <row r="529" spans="1:5" ht="15">
      <c r="A529" s="13">
        <v>57983</v>
      </c>
      <c r="B529" s="4">
        <f>43.7256 * CHOOSE(CONTROL!$C$9, $C$13, 100%, $E$13) + CHOOSE(CONTROL!$C$28, 0.0276, 0)</f>
        <v>43.7532</v>
      </c>
      <c r="C529" s="4">
        <f>43.4131 * CHOOSE(CONTROL!$C$9, $C$13, 100%, $E$13) + CHOOSE(CONTROL!$C$28, 0.0276, 0)</f>
        <v>43.4407</v>
      </c>
      <c r="D529" s="4">
        <f>47.7206 * CHOOSE(CONTROL!$C$9, $C$13, 100%, $E$13) + CHOOSE(CONTROL!$C$28, 0, 0)</f>
        <v>47.720599999999997</v>
      </c>
      <c r="E529" s="4">
        <f>251.871615779404 * CHOOSE(CONTROL!$C$9, $C$13, 100%, $E$13) + CHOOSE(CONTROL!$C$28, 0, 0)</f>
        <v>251.87161577940401</v>
      </c>
    </row>
    <row r="530" spans="1:5" ht="15">
      <c r="A530" s="13">
        <v>58014</v>
      </c>
      <c r="B530" s="4">
        <f>42.3351 * CHOOSE(CONTROL!$C$9, $C$13, 100%, $E$13) + CHOOSE(CONTROL!$C$28, 0.0003, 0)</f>
        <v>42.3354</v>
      </c>
      <c r="C530" s="4">
        <f>42.0226 * CHOOSE(CONTROL!$C$9, $C$13, 100%, $E$13) + CHOOSE(CONTROL!$C$28, 0.0003, 0)</f>
        <v>42.0229</v>
      </c>
      <c r="D530" s="4">
        <f>47.0829 * CHOOSE(CONTROL!$C$9, $C$13, 100%, $E$13) + CHOOSE(CONTROL!$C$28, 0, 0)</f>
        <v>47.082900000000002</v>
      </c>
      <c r="E530" s="4">
        <f>243.503065870013 * CHOOSE(CONTROL!$C$9, $C$13, 100%, $E$13) + CHOOSE(CONTROL!$C$28, 0, 0)</f>
        <v>243.50306587001299</v>
      </c>
    </row>
    <row r="531" spans="1:5" ht="15">
      <c r="A531" s="13">
        <v>58044</v>
      </c>
      <c r="B531" s="4">
        <f>41.4395 * CHOOSE(CONTROL!$C$9, $C$13, 100%, $E$13) + CHOOSE(CONTROL!$C$28, 0.0003, 0)</f>
        <v>41.439800000000005</v>
      </c>
      <c r="C531" s="4">
        <f>41.127 * CHOOSE(CONTROL!$C$9, $C$13, 100%, $E$13) + CHOOSE(CONTROL!$C$28, 0.0003, 0)</f>
        <v>41.127300000000005</v>
      </c>
      <c r="D531" s="4">
        <f>46.8636 * CHOOSE(CONTROL!$C$9, $C$13, 100%, $E$13) + CHOOSE(CONTROL!$C$28, 0, 0)</f>
        <v>46.863599999999998</v>
      </c>
      <c r="E531" s="4">
        <f>238.113094804184 * CHOOSE(CONTROL!$C$9, $C$13, 100%, $E$13) + CHOOSE(CONTROL!$C$28, 0, 0)</f>
        <v>238.11309480418399</v>
      </c>
    </row>
    <row r="532" spans="1:5" ht="15">
      <c r="A532" s="13">
        <v>58075</v>
      </c>
      <c r="B532" s="4">
        <f>40.8199 * CHOOSE(CONTROL!$C$9, $C$13, 100%, $E$13) + CHOOSE(CONTROL!$C$28, 0.0003, 0)</f>
        <v>40.8202</v>
      </c>
      <c r="C532" s="4">
        <f>40.5074 * CHOOSE(CONTROL!$C$9, $C$13, 100%, $E$13) + CHOOSE(CONTROL!$C$28, 0.0003, 0)</f>
        <v>40.5077</v>
      </c>
      <c r="D532" s="4">
        <f>45.2495 * CHOOSE(CONTROL!$C$9, $C$13, 100%, $E$13) + CHOOSE(CONTROL!$C$28, 0, 0)</f>
        <v>45.249499999999998</v>
      </c>
      <c r="E532" s="4">
        <f>234.383927677353 * CHOOSE(CONTROL!$C$9, $C$13, 100%, $E$13) + CHOOSE(CONTROL!$C$28, 0, 0)</f>
        <v>234.383927677353</v>
      </c>
    </row>
    <row r="533" spans="1:5" ht="15">
      <c r="A533" s="13">
        <v>58106</v>
      </c>
      <c r="B533" s="4">
        <f>39.8131 * CHOOSE(CONTROL!$C$9, $C$13, 100%, $E$13) + CHOOSE(CONTROL!$C$28, 0.0003, 0)</f>
        <v>39.813400000000001</v>
      </c>
      <c r="C533" s="4">
        <f>39.5006 * CHOOSE(CONTROL!$C$9, $C$13, 100%, $E$13) + CHOOSE(CONTROL!$C$28, 0.0003, 0)</f>
        <v>39.500900000000001</v>
      </c>
      <c r="D533" s="4">
        <f>43.7659 * CHOOSE(CONTROL!$C$9, $C$13, 100%, $E$13) + CHOOSE(CONTROL!$C$28, 0, 0)</f>
        <v>43.765900000000002</v>
      </c>
      <c r="E533" s="4">
        <f>227.66268979766 * CHOOSE(CONTROL!$C$9, $C$13, 100%, $E$13) + CHOOSE(CONTROL!$C$28, 0, 0)</f>
        <v>227.66268979765999</v>
      </c>
    </row>
    <row r="534" spans="1:5" ht="15">
      <c r="A534" s="13">
        <v>58134</v>
      </c>
      <c r="B534" s="4">
        <f>40.7139 * CHOOSE(CONTROL!$C$9, $C$13, 100%, $E$13) + CHOOSE(CONTROL!$C$28, 0.0003, 0)</f>
        <v>40.714200000000005</v>
      </c>
      <c r="C534" s="4">
        <f>40.4014 * CHOOSE(CONTROL!$C$9, $C$13, 100%, $E$13) + CHOOSE(CONTROL!$C$28, 0.0003, 0)</f>
        <v>40.401700000000005</v>
      </c>
      <c r="D534" s="4">
        <f>45.2599 * CHOOSE(CONTROL!$C$9, $C$13, 100%, $E$13) + CHOOSE(CONTROL!$C$28, 0, 0)</f>
        <v>45.259900000000002</v>
      </c>
      <c r="E534" s="4">
        <f>233.0682992515 * CHOOSE(CONTROL!$C$9, $C$13, 100%, $E$13) + CHOOSE(CONTROL!$C$28, 0, 0)</f>
        <v>233.06829925150001</v>
      </c>
    </row>
    <row r="535" spans="1:5" ht="15">
      <c r="A535" s="13">
        <v>58165</v>
      </c>
      <c r="B535" s="4">
        <f>43.0794 * CHOOSE(CONTROL!$C$9, $C$13, 100%, $E$13) + CHOOSE(CONTROL!$C$28, 0.0003, 0)</f>
        <v>43.079700000000003</v>
      </c>
      <c r="C535" s="4">
        <f>42.7669 * CHOOSE(CONTROL!$C$9, $C$13, 100%, $E$13) + CHOOSE(CONTROL!$C$28, 0.0003, 0)</f>
        <v>42.767200000000003</v>
      </c>
      <c r="D535" s="4">
        <f>47.5985 * CHOOSE(CONTROL!$C$9, $C$13, 100%, $E$13) + CHOOSE(CONTROL!$C$28, 0, 0)</f>
        <v>47.598500000000001</v>
      </c>
      <c r="E535" s="4">
        <f>247.263716948816 * CHOOSE(CONTROL!$C$9, $C$13, 100%, $E$13) + CHOOSE(CONTROL!$C$28, 0, 0)</f>
        <v>247.26371694881601</v>
      </c>
    </row>
    <row r="536" spans="1:5" ht="15">
      <c r="A536" s="13">
        <v>58195</v>
      </c>
      <c r="B536" s="4">
        <f>44.7602 * CHOOSE(CONTROL!$C$9, $C$13, 100%, $E$13) + CHOOSE(CONTROL!$C$28, 0.0003, 0)</f>
        <v>44.7605</v>
      </c>
      <c r="C536" s="4">
        <f>44.4477 * CHOOSE(CONTROL!$C$9, $C$13, 100%, $E$13) + CHOOSE(CONTROL!$C$28, 0.0003, 0)</f>
        <v>44.448</v>
      </c>
      <c r="D536" s="4">
        <f>48.9456 * CHOOSE(CONTROL!$C$9, $C$13, 100%, $E$13) + CHOOSE(CONTROL!$C$28, 0, 0)</f>
        <v>48.945599999999999</v>
      </c>
      <c r="E536" s="4">
        <f>257.349750401574 * CHOOSE(CONTROL!$C$9, $C$13, 100%, $E$13) + CHOOSE(CONTROL!$C$28, 0, 0)</f>
        <v>257.349750401574</v>
      </c>
    </row>
    <row r="537" spans="1:5" ht="15">
      <c r="A537" s="13">
        <v>58226</v>
      </c>
      <c r="B537" s="4">
        <f>45.7871 * CHOOSE(CONTROL!$C$9, $C$13, 100%, $E$13) + CHOOSE(CONTROL!$C$28, 0.0276, 0)</f>
        <v>45.814700000000002</v>
      </c>
      <c r="C537" s="4">
        <f>45.4746 * CHOOSE(CONTROL!$C$9, $C$13, 100%, $E$13) + CHOOSE(CONTROL!$C$28, 0.0276, 0)</f>
        <v>45.502200000000002</v>
      </c>
      <c r="D537" s="4">
        <f>48.4133 * CHOOSE(CONTROL!$C$9, $C$13, 100%, $E$13) + CHOOSE(CONTROL!$C$28, 0, 0)</f>
        <v>48.4133</v>
      </c>
      <c r="E537" s="4">
        <f>263.512075112724 * CHOOSE(CONTROL!$C$9, $C$13, 100%, $E$13) + CHOOSE(CONTROL!$C$28, 0, 0)</f>
        <v>263.51207511272401</v>
      </c>
    </row>
    <row r="538" spans="1:5" ht="15">
      <c r="A538" s="13">
        <v>58256</v>
      </c>
      <c r="B538" s="4">
        <f>45.926 * CHOOSE(CONTROL!$C$9, $C$13, 100%, $E$13) + CHOOSE(CONTROL!$C$28, 0.0276, 0)</f>
        <v>45.953600000000002</v>
      </c>
      <c r="C538" s="4">
        <f>45.6135 * CHOOSE(CONTROL!$C$9, $C$13, 100%, $E$13) + CHOOSE(CONTROL!$C$28, 0.0276, 0)</f>
        <v>45.641100000000002</v>
      </c>
      <c r="D538" s="4">
        <f>48.8468 * CHOOSE(CONTROL!$C$9, $C$13, 100%, $E$13) + CHOOSE(CONTROL!$C$28, 0, 0)</f>
        <v>48.846800000000002</v>
      </c>
      <c r="E538" s="4">
        <f>264.345863220316 * CHOOSE(CONTROL!$C$9, $C$13, 100%, $E$13) + CHOOSE(CONTROL!$C$28, 0, 0)</f>
        <v>264.34586322031601</v>
      </c>
    </row>
    <row r="539" spans="1:5" ht="15">
      <c r="A539" s="13">
        <v>58287</v>
      </c>
      <c r="B539" s="4">
        <f>45.912 * CHOOSE(CONTROL!$C$9, $C$13, 100%, $E$13) + CHOOSE(CONTROL!$C$28, 0.0276, 0)</f>
        <v>45.939599999999999</v>
      </c>
      <c r="C539" s="4">
        <f>45.5995 * CHOOSE(CONTROL!$C$9, $C$13, 100%, $E$13) + CHOOSE(CONTROL!$C$28, 0.0276, 0)</f>
        <v>45.627099999999999</v>
      </c>
      <c r="D539" s="4">
        <f>49.6291 * CHOOSE(CONTROL!$C$9, $C$13, 100%, $E$13) + CHOOSE(CONTROL!$C$28, 0, 0)</f>
        <v>49.629100000000001</v>
      </c>
      <c r="E539" s="4">
        <f>264.261783747281 * CHOOSE(CONTROL!$C$9, $C$13, 100%, $E$13) + CHOOSE(CONTROL!$C$28, 0, 0)</f>
        <v>264.26178374728102</v>
      </c>
    </row>
    <row r="540" spans="1:5" ht="15">
      <c r="A540" s="13">
        <v>58318</v>
      </c>
      <c r="B540" s="4">
        <f>46.9664 * CHOOSE(CONTROL!$C$9, $C$13, 100%, $E$13) + CHOOSE(CONTROL!$C$28, 0.0276, 0)</f>
        <v>46.994</v>
      </c>
      <c r="C540" s="4">
        <f>46.6539 * CHOOSE(CONTROL!$C$9, $C$13, 100%, $E$13) + CHOOSE(CONTROL!$C$28, 0.0276, 0)</f>
        <v>46.6815</v>
      </c>
      <c r="D540" s="4">
        <f>49.1125 * CHOOSE(CONTROL!$C$9, $C$13, 100%, $E$13) + CHOOSE(CONTROL!$C$28, 0, 0)</f>
        <v>49.112499999999997</v>
      </c>
      <c r="E540" s="4">
        <f>270.588764093124 * CHOOSE(CONTROL!$C$9, $C$13, 100%, $E$13) + CHOOSE(CONTROL!$C$28, 0, 0)</f>
        <v>270.58876409312398</v>
      </c>
    </row>
    <row r="541" spans="1:5" ht="15">
      <c r="A541" s="13">
        <v>58348</v>
      </c>
      <c r="B541" s="4">
        <f>45.1694 * CHOOSE(CONTROL!$C$9, $C$13, 100%, $E$13) + CHOOSE(CONTROL!$C$28, 0.0276, 0)</f>
        <v>45.197000000000003</v>
      </c>
      <c r="C541" s="4">
        <f>44.8569 * CHOOSE(CONTROL!$C$9, $C$13, 100%, $E$13) + CHOOSE(CONTROL!$C$28, 0.0276, 0)</f>
        <v>44.884500000000003</v>
      </c>
      <c r="D541" s="4">
        <f>48.8684 * CHOOSE(CONTROL!$C$9, $C$13, 100%, $E$13) + CHOOSE(CONTROL!$C$28, 0, 0)</f>
        <v>48.868400000000001</v>
      </c>
      <c r="E541" s="4">
        <f>259.805571676456 * CHOOSE(CONTROL!$C$9, $C$13, 100%, $E$13) + CHOOSE(CONTROL!$C$28, 0, 0)</f>
        <v>259.805571676456</v>
      </c>
    </row>
    <row r="542" spans="1:5" ht="15">
      <c r="A542" s="13">
        <v>58379</v>
      </c>
      <c r="B542" s="4">
        <f>43.731 * CHOOSE(CONTROL!$C$9, $C$13, 100%, $E$13) + CHOOSE(CONTROL!$C$28, 0.0003, 0)</f>
        <v>43.731300000000005</v>
      </c>
      <c r="C542" s="4">
        <f>43.4185 * CHOOSE(CONTROL!$C$9, $C$13, 100%, $E$13) + CHOOSE(CONTROL!$C$28, 0.0003, 0)</f>
        <v>43.418800000000005</v>
      </c>
      <c r="D542" s="4">
        <f>48.2149 * CHOOSE(CONTROL!$C$9, $C$13, 100%, $E$13) + CHOOSE(CONTROL!$C$28, 0, 0)</f>
        <v>48.2149</v>
      </c>
      <c r="E542" s="4">
        <f>251.173412444918 * CHOOSE(CONTROL!$C$9, $C$13, 100%, $E$13) + CHOOSE(CONTROL!$C$28, 0, 0)</f>
        <v>251.173412444918</v>
      </c>
    </row>
    <row r="543" spans="1:5" ht="15">
      <c r="A543" s="13">
        <v>58409</v>
      </c>
      <c r="B543" s="4">
        <f>42.8045 * CHOOSE(CONTROL!$C$9, $C$13, 100%, $E$13) + CHOOSE(CONTROL!$C$28, 0.0003, 0)</f>
        <v>42.8048</v>
      </c>
      <c r="C543" s="4">
        <f>42.492 * CHOOSE(CONTROL!$C$9, $C$13, 100%, $E$13) + CHOOSE(CONTROL!$C$28, 0.0003, 0)</f>
        <v>42.4923</v>
      </c>
      <c r="D543" s="4">
        <f>47.9902 * CHOOSE(CONTROL!$C$9, $C$13, 100%, $E$13) + CHOOSE(CONTROL!$C$28, 0, 0)</f>
        <v>47.990200000000002</v>
      </c>
      <c r="E543" s="4">
        <f>245.613657290515 * CHOOSE(CONTROL!$C$9, $C$13, 100%, $E$13) + CHOOSE(CONTROL!$C$28, 0, 0)</f>
        <v>245.61365729051499</v>
      </c>
    </row>
    <row r="544" spans="1:5" ht="15">
      <c r="A544" s="13">
        <v>58440</v>
      </c>
      <c r="B544" s="4">
        <f>42.1635 * CHOOSE(CONTROL!$C$9, $C$13, 100%, $E$13) + CHOOSE(CONTROL!$C$28, 0.0003, 0)</f>
        <v>42.163800000000002</v>
      </c>
      <c r="C544" s="4">
        <f>41.851 * CHOOSE(CONTROL!$C$9, $C$13, 100%, $E$13) + CHOOSE(CONTROL!$C$28, 0.0003, 0)</f>
        <v>41.851300000000002</v>
      </c>
      <c r="D544" s="4">
        <f>46.336 * CHOOSE(CONTROL!$C$9, $C$13, 100%, $E$13) + CHOOSE(CONTROL!$C$28, 0, 0)</f>
        <v>46.335999999999999</v>
      </c>
      <c r="E544" s="4">
        <f>241.767021399189 * CHOOSE(CONTROL!$C$9, $C$13, 100%, $E$13) + CHOOSE(CONTROL!$C$28, 0, 0)</f>
        <v>241.76702139918899</v>
      </c>
    </row>
    <row r="545" spans="1:5" ht="15">
      <c r="A545" s="13">
        <v>58471</v>
      </c>
      <c r="B545" s="4">
        <f>41.122 * CHOOSE(CONTROL!$C$9, $C$13, 100%, $E$13) + CHOOSE(CONTROL!$C$28, 0.0003, 0)</f>
        <v>41.122300000000003</v>
      </c>
      <c r="C545" s="4">
        <f>40.8095 * CHOOSE(CONTROL!$C$9, $C$13, 100%, $E$13) + CHOOSE(CONTROL!$C$28, 0.0003, 0)</f>
        <v>40.809800000000003</v>
      </c>
      <c r="D545" s="4">
        <f>44.8157 * CHOOSE(CONTROL!$C$9, $C$13, 100%, $E$13) + CHOOSE(CONTROL!$C$28, 0, 0)</f>
        <v>44.8157</v>
      </c>
      <c r="E545" s="4">
        <f>234.834064526286 * CHOOSE(CONTROL!$C$9, $C$13, 100%, $E$13) + CHOOSE(CONTROL!$C$28, 0, 0)</f>
        <v>234.834064526286</v>
      </c>
    </row>
    <row r="546" spans="1:5" ht="15">
      <c r="A546" s="13">
        <v>58499</v>
      </c>
      <c r="B546" s="4">
        <f>42.0538 * CHOOSE(CONTROL!$C$9, $C$13, 100%, $E$13) + CHOOSE(CONTROL!$C$28, 0.0003, 0)</f>
        <v>42.054100000000005</v>
      </c>
      <c r="C546" s="4">
        <f>41.7413 * CHOOSE(CONTROL!$C$9, $C$13, 100%, $E$13) + CHOOSE(CONTROL!$C$28, 0.0003, 0)</f>
        <v>41.741600000000005</v>
      </c>
      <c r="D546" s="4">
        <f>46.3467 * CHOOSE(CONTROL!$C$9, $C$13, 100%, $E$13) + CHOOSE(CONTROL!$C$28, 0, 0)</f>
        <v>46.346699999999998</v>
      </c>
      <c r="E546" s="4">
        <f>240.409950677922 * CHOOSE(CONTROL!$C$9, $C$13, 100%, $E$13) + CHOOSE(CONTROL!$C$28, 0, 0)</f>
        <v>240.40995067792201</v>
      </c>
    </row>
    <row r="547" spans="1:5" ht="15">
      <c r="A547" s="13">
        <v>58531</v>
      </c>
      <c r="B547" s="4">
        <f>44.501 * CHOOSE(CONTROL!$C$9, $C$13, 100%, $E$13) + CHOOSE(CONTROL!$C$28, 0.0003, 0)</f>
        <v>44.501300000000001</v>
      </c>
      <c r="C547" s="4">
        <f>44.1885 * CHOOSE(CONTROL!$C$9, $C$13, 100%, $E$13) + CHOOSE(CONTROL!$C$28, 0.0003, 0)</f>
        <v>44.188800000000001</v>
      </c>
      <c r="D547" s="4">
        <f>48.7433 * CHOOSE(CONTROL!$C$9, $C$13, 100%, $E$13) + CHOOSE(CONTROL!$C$28, 0, 0)</f>
        <v>48.743299999999998</v>
      </c>
      <c r="E547" s="4">
        <f>255.052524032704 * CHOOSE(CONTROL!$C$9, $C$13, 100%, $E$13) + CHOOSE(CONTROL!$C$28, 0, 0)</f>
        <v>255.05252403270401</v>
      </c>
    </row>
    <row r="548" spans="1:5" ht="15">
      <c r="A548" s="13">
        <v>58561</v>
      </c>
      <c r="B548" s="4">
        <f>46.2397 * CHOOSE(CONTROL!$C$9, $C$13, 100%, $E$13) + CHOOSE(CONTROL!$C$28, 0.0003, 0)</f>
        <v>46.24</v>
      </c>
      <c r="C548" s="4">
        <f>45.9272 * CHOOSE(CONTROL!$C$9, $C$13, 100%, $E$13) + CHOOSE(CONTROL!$C$28, 0.0003, 0)</f>
        <v>45.927500000000002</v>
      </c>
      <c r="D548" s="4">
        <f>50.1238 * CHOOSE(CONTROL!$C$9, $C$13, 100%, $E$13) + CHOOSE(CONTROL!$C$28, 0, 0)</f>
        <v>50.123800000000003</v>
      </c>
      <c r="E548" s="4">
        <f>265.456267539224 * CHOOSE(CONTROL!$C$9, $C$13, 100%, $E$13) + CHOOSE(CONTROL!$C$28, 0, 0)</f>
        <v>265.45626753922397</v>
      </c>
    </row>
    <row r="549" spans="1:5" ht="15">
      <c r="A549" s="13">
        <v>58592</v>
      </c>
      <c r="B549" s="4">
        <f>47.3021 * CHOOSE(CONTROL!$C$9, $C$13, 100%, $E$13) + CHOOSE(CONTROL!$C$28, 0.0276, 0)</f>
        <v>47.329700000000003</v>
      </c>
      <c r="C549" s="4">
        <f>46.9896 * CHOOSE(CONTROL!$C$9, $C$13, 100%, $E$13) + CHOOSE(CONTROL!$C$28, 0.0276, 0)</f>
        <v>47.017200000000003</v>
      </c>
      <c r="D549" s="4">
        <f>49.5783 * CHOOSE(CONTROL!$C$9, $C$13, 100%, $E$13) + CHOOSE(CONTROL!$C$28, 0, 0)</f>
        <v>49.578299999999999</v>
      </c>
      <c r="E549" s="4">
        <f>271.812705478775 * CHOOSE(CONTROL!$C$9, $C$13, 100%, $E$13) + CHOOSE(CONTROL!$C$28, 0, 0)</f>
        <v>271.812705478775</v>
      </c>
    </row>
    <row r="550" spans="1:5" ht="15">
      <c r="A550" s="13">
        <v>58622</v>
      </c>
      <c r="B550" s="4">
        <f>47.4458 * CHOOSE(CONTROL!$C$9, $C$13, 100%, $E$13) + CHOOSE(CONTROL!$C$28, 0.0276, 0)</f>
        <v>47.473399999999998</v>
      </c>
      <c r="C550" s="4">
        <f>47.1333 * CHOOSE(CONTROL!$C$9, $C$13, 100%, $E$13) + CHOOSE(CONTROL!$C$28, 0.0276, 0)</f>
        <v>47.160899999999998</v>
      </c>
      <c r="D550" s="4">
        <f>50.0226 * CHOOSE(CONTROL!$C$9, $C$13, 100%, $E$13) + CHOOSE(CONTROL!$C$28, 0, 0)</f>
        <v>50.022599999999997</v>
      </c>
      <c r="E550" s="4">
        <f>272.672757911756 * CHOOSE(CONTROL!$C$9, $C$13, 100%, $E$13) + CHOOSE(CONTROL!$C$28, 0, 0)</f>
        <v>272.67275791175598</v>
      </c>
    </row>
    <row r="551" spans="1:5" ht="15">
      <c r="A551" s="13">
        <v>58653</v>
      </c>
      <c r="B551" s="4">
        <f>47.4313 * CHOOSE(CONTROL!$C$9, $C$13, 100%, $E$13) + CHOOSE(CONTROL!$C$28, 0.0276, 0)</f>
        <v>47.4589</v>
      </c>
      <c r="C551" s="4">
        <f>47.1188 * CHOOSE(CONTROL!$C$9, $C$13, 100%, $E$13) + CHOOSE(CONTROL!$C$28, 0.0276, 0)</f>
        <v>47.1464</v>
      </c>
      <c r="D551" s="4">
        <f>50.8242 * CHOOSE(CONTROL!$C$9, $C$13, 100%, $E$13) + CHOOSE(CONTROL!$C$28, 0, 0)</f>
        <v>50.824199999999998</v>
      </c>
      <c r="E551" s="4">
        <f>272.586029935321 * CHOOSE(CONTROL!$C$9, $C$13, 100%, $E$13) + CHOOSE(CONTROL!$C$28, 0, 0)</f>
        <v>272.58602993532099</v>
      </c>
    </row>
    <row r="552" spans="1:5" ht="15">
      <c r="A552" s="13">
        <v>58684</v>
      </c>
      <c r="B552" s="4">
        <f>48.522 * CHOOSE(CONTROL!$C$9, $C$13, 100%, $E$13) + CHOOSE(CONTROL!$C$28, 0.0276, 0)</f>
        <v>48.549599999999998</v>
      </c>
      <c r="C552" s="4">
        <f>48.2095 * CHOOSE(CONTROL!$C$9, $C$13, 100%, $E$13) + CHOOSE(CONTROL!$C$28, 0.0276, 0)</f>
        <v>48.237099999999998</v>
      </c>
      <c r="D552" s="4">
        <f>50.2948 * CHOOSE(CONTROL!$C$9, $C$13, 100%, $E$13) + CHOOSE(CONTROL!$C$28, 0, 0)</f>
        <v>50.294800000000002</v>
      </c>
      <c r="E552" s="4">
        <f>279.112310162057 * CHOOSE(CONTROL!$C$9, $C$13, 100%, $E$13) + CHOOSE(CONTROL!$C$28, 0, 0)</f>
        <v>279.11231016205699</v>
      </c>
    </row>
    <row r="553" spans="1:5" ht="15">
      <c r="A553" s="13">
        <v>58714</v>
      </c>
      <c r="B553" s="4">
        <f>46.6631 * CHOOSE(CONTROL!$C$9, $C$13, 100%, $E$13) + CHOOSE(CONTROL!$C$28, 0.0276, 0)</f>
        <v>46.6907</v>
      </c>
      <c r="C553" s="4">
        <f>46.3506 * CHOOSE(CONTROL!$C$9, $C$13, 100%, $E$13) + CHOOSE(CONTROL!$C$28, 0.0276, 0)</f>
        <v>46.3782</v>
      </c>
      <c r="D553" s="4">
        <f>50.0447 * CHOOSE(CONTROL!$C$9, $C$13, 100%, $E$13) + CHOOSE(CONTROL!$C$28, 0, 0)</f>
        <v>50.044699999999999</v>
      </c>
      <c r="E553" s="4">
        <f>267.989447184264 * CHOOSE(CONTROL!$C$9, $C$13, 100%, $E$13) + CHOOSE(CONTROL!$C$28, 0, 0)</f>
        <v>267.98944718426401</v>
      </c>
    </row>
    <row r="554" spans="1:5" ht="15">
      <c r="A554" s="13">
        <v>58745</v>
      </c>
      <c r="B554" s="4">
        <f>45.175 * CHOOSE(CONTROL!$C$9, $C$13, 100%, $E$13) + CHOOSE(CONTROL!$C$28, 0.0003, 0)</f>
        <v>45.1753</v>
      </c>
      <c r="C554" s="4">
        <f>44.8625 * CHOOSE(CONTROL!$C$9, $C$13, 100%, $E$13) + CHOOSE(CONTROL!$C$28, 0.0003, 0)</f>
        <v>44.8628</v>
      </c>
      <c r="D554" s="4">
        <f>49.3749 * CHOOSE(CONTROL!$C$9, $C$13, 100%, $E$13) + CHOOSE(CONTROL!$C$28, 0, 0)</f>
        <v>49.374899999999997</v>
      </c>
      <c r="E554" s="4">
        <f>259.085374936933 * CHOOSE(CONTROL!$C$9, $C$13, 100%, $E$13) + CHOOSE(CONTROL!$C$28, 0, 0)</f>
        <v>259.08537493693302</v>
      </c>
    </row>
    <row r="555" spans="1:5" ht="15">
      <c r="A555" s="13">
        <v>58775</v>
      </c>
      <c r="B555" s="4">
        <f>44.2165 * CHOOSE(CONTROL!$C$9, $C$13, 100%, $E$13) + CHOOSE(CONTROL!$C$28, 0.0003, 0)</f>
        <v>44.216800000000006</v>
      </c>
      <c r="C555" s="4">
        <f>43.904 * CHOOSE(CONTROL!$C$9, $C$13, 100%, $E$13) + CHOOSE(CONTROL!$C$28, 0.0003, 0)</f>
        <v>43.904300000000006</v>
      </c>
      <c r="D555" s="4">
        <f>49.1447 * CHOOSE(CONTROL!$C$9, $C$13, 100%, $E$13) + CHOOSE(CONTROL!$C$28, 0, 0)</f>
        <v>49.1447</v>
      </c>
      <c r="E555" s="4">
        <f>253.350487495167 * CHOOSE(CONTROL!$C$9, $C$13, 100%, $E$13) + CHOOSE(CONTROL!$C$28, 0, 0)</f>
        <v>253.35048749516699</v>
      </c>
    </row>
    <row r="556" spans="1:5" ht="15">
      <c r="A556" s="13">
        <v>58806</v>
      </c>
      <c r="B556" s="4">
        <f>43.5534 * CHOOSE(CONTROL!$C$9, $C$13, 100%, $E$13) + CHOOSE(CONTROL!$C$28, 0.0003, 0)</f>
        <v>43.553700000000006</v>
      </c>
      <c r="C556" s="4">
        <f>43.2409 * CHOOSE(CONTROL!$C$9, $C$13, 100%, $E$13) + CHOOSE(CONTROL!$C$28, 0.0003, 0)</f>
        <v>43.241200000000006</v>
      </c>
      <c r="D556" s="4">
        <f>47.4495 * CHOOSE(CONTROL!$C$9, $C$13, 100%, $E$13) + CHOOSE(CONTROL!$C$28, 0, 0)</f>
        <v>47.4495</v>
      </c>
      <c r="E556" s="4">
        <f>249.382682573264 * CHOOSE(CONTROL!$C$9, $C$13, 100%, $E$13) + CHOOSE(CONTROL!$C$28, 0, 0)</f>
        <v>249.38268257326399</v>
      </c>
    </row>
    <row r="557" spans="1:5" ht="15">
      <c r="A557" s="13">
        <v>58837</v>
      </c>
      <c r="B557" s="4">
        <f>42.476 * CHOOSE(CONTROL!$C$9, $C$13, 100%, $E$13) + CHOOSE(CONTROL!$C$28, 0.0003, 0)</f>
        <v>42.476300000000002</v>
      </c>
      <c r="C557" s="4">
        <f>42.1635 * CHOOSE(CONTROL!$C$9, $C$13, 100%, $E$13) + CHOOSE(CONTROL!$C$28, 0.0003, 0)</f>
        <v>42.163800000000002</v>
      </c>
      <c r="D557" s="4">
        <f>45.8915 * CHOOSE(CONTROL!$C$9, $C$13, 100%, $E$13) + CHOOSE(CONTROL!$C$28, 0, 0)</f>
        <v>45.891500000000001</v>
      </c>
      <c r="E557" s="4">
        <f>242.231337558864 * CHOOSE(CONTROL!$C$9, $C$13, 100%, $E$13) + CHOOSE(CONTROL!$C$28, 0, 0)</f>
        <v>242.231337558864</v>
      </c>
    </row>
    <row r="558" spans="1:5" ht="15">
      <c r="A558" s="13">
        <v>58865</v>
      </c>
      <c r="B558" s="4">
        <f>43.44 * CHOOSE(CONTROL!$C$9, $C$13, 100%, $E$13) + CHOOSE(CONTROL!$C$28, 0.0003, 0)</f>
        <v>43.440300000000001</v>
      </c>
      <c r="C558" s="4">
        <f>43.1275 * CHOOSE(CONTROL!$C$9, $C$13, 100%, $E$13) + CHOOSE(CONTROL!$C$28, 0.0003, 0)</f>
        <v>43.127800000000001</v>
      </c>
      <c r="D558" s="4">
        <f>47.4604 * CHOOSE(CONTROL!$C$9, $C$13, 100%, $E$13) + CHOOSE(CONTROL!$C$28, 0, 0)</f>
        <v>47.4604</v>
      </c>
      <c r="E558" s="4">
        <f>247.982864124277 * CHOOSE(CONTROL!$C$9, $C$13, 100%, $E$13) + CHOOSE(CONTROL!$C$28, 0, 0)</f>
        <v>247.982864124277</v>
      </c>
    </row>
    <row r="559" spans="1:5" ht="15">
      <c r="A559" s="13">
        <v>58893</v>
      </c>
      <c r="B559" s="4">
        <f>45.9716 * CHOOSE(CONTROL!$C$9, $C$13, 100%, $E$13) + CHOOSE(CONTROL!$C$28, 0.0003, 0)</f>
        <v>45.971900000000005</v>
      </c>
      <c r="C559" s="4">
        <f>45.6591 * CHOOSE(CONTROL!$C$9, $C$13, 100%, $E$13) + CHOOSE(CONTROL!$C$28, 0.0003, 0)</f>
        <v>45.659400000000005</v>
      </c>
      <c r="D559" s="4">
        <f>49.9165 * CHOOSE(CONTROL!$C$9, $C$13, 100%, $E$13) + CHOOSE(CONTROL!$C$28, 0, 0)</f>
        <v>49.916499999999999</v>
      </c>
      <c r="E559" s="4">
        <f>263.086678539734 * CHOOSE(CONTROL!$C$9, $C$13, 100%, $E$13) + CHOOSE(CONTROL!$C$28, 0, 0)</f>
        <v>263.08667853973401</v>
      </c>
    </row>
    <row r="560" spans="1:5" ht="15">
      <c r="A560" s="13">
        <v>58926</v>
      </c>
      <c r="B560" s="4">
        <f>47.7703 * CHOOSE(CONTROL!$C$9, $C$13, 100%, $E$13) + CHOOSE(CONTROL!$C$28, 0.0003, 0)</f>
        <v>47.770600000000002</v>
      </c>
      <c r="C560" s="4">
        <f>47.4578 * CHOOSE(CONTROL!$C$9, $C$13, 100%, $E$13) + CHOOSE(CONTROL!$C$28, 0.0003, 0)</f>
        <v>47.458100000000002</v>
      </c>
      <c r="D560" s="4">
        <f>51.3313 * CHOOSE(CONTROL!$C$9, $C$13, 100%, $E$13) + CHOOSE(CONTROL!$C$28, 0, 0)</f>
        <v>51.331299999999999</v>
      </c>
      <c r="E560" s="4">
        <f>273.818139966709 * CHOOSE(CONTROL!$C$9, $C$13, 100%, $E$13) + CHOOSE(CONTROL!$C$28, 0, 0)</f>
        <v>273.818139966709</v>
      </c>
    </row>
    <row r="561" spans="1:5" ht="15">
      <c r="A561" s="13">
        <v>58957</v>
      </c>
      <c r="B561" s="4">
        <f>48.8693 * CHOOSE(CONTROL!$C$9, $C$13, 100%, $E$13) + CHOOSE(CONTROL!$C$28, 0.0276, 0)</f>
        <v>48.896900000000002</v>
      </c>
      <c r="C561" s="4">
        <f>48.5568 * CHOOSE(CONTROL!$C$9, $C$13, 100%, $E$13) + CHOOSE(CONTROL!$C$28, 0.0276, 0)</f>
        <v>48.584400000000002</v>
      </c>
      <c r="D561" s="4">
        <f>50.7722 * CHOOSE(CONTROL!$C$9, $C$13, 100%, $E$13) + CHOOSE(CONTROL!$C$28, 0, 0)</f>
        <v>50.772199999999998</v>
      </c>
      <c r="E561" s="4">
        <f>280.374805701357 * CHOOSE(CONTROL!$C$9, $C$13, 100%, $E$13) + CHOOSE(CONTROL!$C$28, 0, 0)</f>
        <v>280.37480570135699</v>
      </c>
    </row>
    <row r="562" spans="1:5" ht="15">
      <c r="A562" s="13">
        <v>58987</v>
      </c>
      <c r="B562" s="4">
        <f>49.018 * CHOOSE(CONTROL!$C$9, $C$13, 100%, $E$13) + CHOOSE(CONTROL!$C$28, 0.0276, 0)</f>
        <v>49.0456</v>
      </c>
      <c r="C562" s="4">
        <f>48.7055 * CHOOSE(CONTROL!$C$9, $C$13, 100%, $E$13) + CHOOSE(CONTROL!$C$28, 0.0276, 0)</f>
        <v>48.7331</v>
      </c>
      <c r="D562" s="4">
        <f>51.2275 * CHOOSE(CONTROL!$C$9, $C$13, 100%, $E$13) + CHOOSE(CONTROL!$C$28, 0, 0)</f>
        <v>51.227499999999999</v>
      </c>
      <c r="E562" s="4">
        <f>281.261949785976 * CHOOSE(CONTROL!$C$9, $C$13, 100%, $E$13) + CHOOSE(CONTROL!$C$28, 0, 0)</f>
        <v>281.26194978597601</v>
      </c>
    </row>
    <row r="563" spans="1:5" ht="15">
      <c r="A563" s="13">
        <v>59018</v>
      </c>
      <c r="B563" s="4">
        <f>49.003 * CHOOSE(CONTROL!$C$9, $C$13, 100%, $E$13) + CHOOSE(CONTROL!$C$28, 0.0276, 0)</f>
        <v>49.0306</v>
      </c>
      <c r="C563" s="4">
        <f>48.6905 * CHOOSE(CONTROL!$C$9, $C$13, 100%, $E$13) + CHOOSE(CONTROL!$C$28, 0.0276, 0)</f>
        <v>48.7181</v>
      </c>
      <c r="D563" s="4">
        <f>52.049 * CHOOSE(CONTROL!$C$9, $C$13, 100%, $E$13) + CHOOSE(CONTROL!$C$28, 0, 0)</f>
        <v>52.048999999999999</v>
      </c>
      <c r="E563" s="4">
        <f>281.172489878283 * CHOOSE(CONTROL!$C$9, $C$13, 100%, $E$13) + CHOOSE(CONTROL!$C$28, 0, 0)</f>
        <v>281.17248987828299</v>
      </c>
    </row>
    <row r="564" spans="1:5" ht="15">
      <c r="A564" s="13">
        <v>59049</v>
      </c>
      <c r="B564" s="4">
        <f>50.1313 * CHOOSE(CONTROL!$C$9, $C$13, 100%, $E$13) + CHOOSE(CONTROL!$C$28, 0.0276, 0)</f>
        <v>50.158900000000003</v>
      </c>
      <c r="C564" s="4">
        <f>49.8188 * CHOOSE(CONTROL!$C$9, $C$13, 100%, $E$13) + CHOOSE(CONTROL!$C$28, 0.0276, 0)</f>
        <v>49.846400000000003</v>
      </c>
      <c r="D564" s="4">
        <f>51.5065 * CHOOSE(CONTROL!$C$9, $C$13, 100%, $E$13) + CHOOSE(CONTROL!$C$28, 0, 0)</f>
        <v>51.506500000000003</v>
      </c>
      <c r="E564" s="4">
        <f>287.904347932162 * CHOOSE(CONTROL!$C$9, $C$13, 100%, $E$13) + CHOOSE(CONTROL!$C$28, 0, 0)</f>
        <v>287.90434793216201</v>
      </c>
    </row>
    <row r="565" spans="1:5" ht="15">
      <c r="A565" s="13">
        <v>59079</v>
      </c>
      <c r="B565" s="4">
        <f>48.2083 * CHOOSE(CONTROL!$C$9, $C$13, 100%, $E$13) + CHOOSE(CONTROL!$C$28, 0.0276, 0)</f>
        <v>48.235900000000001</v>
      </c>
      <c r="C565" s="4">
        <f>47.8958 * CHOOSE(CONTROL!$C$9, $C$13, 100%, $E$13) + CHOOSE(CONTROL!$C$28, 0.0276, 0)</f>
        <v>47.923400000000001</v>
      </c>
      <c r="D565" s="4">
        <f>51.2502 * CHOOSE(CONTROL!$C$9, $C$13, 100%, $E$13) + CHOOSE(CONTROL!$C$28, 0, 0)</f>
        <v>51.2502</v>
      </c>
      <c r="E565" s="4">
        <f>276.431114770568 * CHOOSE(CONTROL!$C$9, $C$13, 100%, $E$13) + CHOOSE(CONTROL!$C$28, 0, 0)</f>
        <v>276.431114770568</v>
      </c>
    </row>
    <row r="566" spans="1:5" ht="15">
      <c r="A566" s="13">
        <v>59110</v>
      </c>
      <c r="B566" s="4">
        <f>46.6688 * CHOOSE(CONTROL!$C$9, $C$13, 100%, $E$13) + CHOOSE(CONTROL!$C$28, 0.0003, 0)</f>
        <v>46.6691</v>
      </c>
      <c r="C566" s="4">
        <f>46.3563 * CHOOSE(CONTROL!$C$9, $C$13, 100%, $E$13) + CHOOSE(CONTROL!$C$28, 0.0003, 0)</f>
        <v>46.3566</v>
      </c>
      <c r="D566" s="4">
        <f>50.5638 * CHOOSE(CONTROL!$C$9, $C$13, 100%, $E$13) + CHOOSE(CONTROL!$C$28, 0, 0)</f>
        <v>50.563800000000001</v>
      </c>
      <c r="E566" s="4">
        <f>267.246564247447 * CHOOSE(CONTROL!$C$9, $C$13, 100%, $E$13) + CHOOSE(CONTROL!$C$28, 0, 0)</f>
        <v>267.246564247447</v>
      </c>
    </row>
    <row r="567" spans="1:5" ht="15">
      <c r="A567" s="13">
        <v>59140</v>
      </c>
      <c r="B567" s="4">
        <f>45.6773 * CHOOSE(CONTROL!$C$9, $C$13, 100%, $E$13) + CHOOSE(CONTROL!$C$28, 0.0003, 0)</f>
        <v>45.677600000000005</v>
      </c>
      <c r="C567" s="4">
        <f>45.3648 * CHOOSE(CONTROL!$C$9, $C$13, 100%, $E$13) + CHOOSE(CONTROL!$C$28, 0.0003, 0)</f>
        <v>45.365100000000005</v>
      </c>
      <c r="D567" s="4">
        <f>50.3278 * CHOOSE(CONTROL!$C$9, $C$13, 100%, $E$13) + CHOOSE(CONTROL!$C$28, 0, 0)</f>
        <v>50.327800000000003</v>
      </c>
      <c r="E567" s="4">
        <f>261.331027851264 * CHOOSE(CONTROL!$C$9, $C$13, 100%, $E$13) + CHOOSE(CONTROL!$C$28, 0, 0)</f>
        <v>261.33102785126403</v>
      </c>
    </row>
    <row r="568" spans="1:5" ht="15">
      <c r="A568" s="13">
        <v>59171</v>
      </c>
      <c r="B568" s="4">
        <f>44.9913 * CHOOSE(CONTROL!$C$9, $C$13, 100%, $E$13) + CHOOSE(CONTROL!$C$28, 0.0003, 0)</f>
        <v>44.991600000000005</v>
      </c>
      <c r="C568" s="4">
        <f>44.6788 * CHOOSE(CONTROL!$C$9, $C$13, 100%, $E$13) + CHOOSE(CONTROL!$C$28, 0.0003, 0)</f>
        <v>44.679100000000005</v>
      </c>
      <c r="D568" s="4">
        <f>48.5906 * CHOOSE(CONTROL!$C$9, $C$13, 100%, $E$13) + CHOOSE(CONTROL!$C$28, 0, 0)</f>
        <v>48.590600000000002</v>
      </c>
      <c r="E568" s="4">
        <f>257.238237074321 * CHOOSE(CONTROL!$C$9, $C$13, 100%, $E$13) + CHOOSE(CONTROL!$C$28, 0, 0)</f>
        <v>257.23823707432098</v>
      </c>
    </row>
    <row r="569" spans="1:5" ht="15">
      <c r="A569" s="13">
        <v>59202</v>
      </c>
      <c r="B569" s="4">
        <f>43.8767 * CHOOSE(CONTROL!$C$9, $C$13, 100%, $E$13) + CHOOSE(CONTROL!$C$28, 0.0003, 0)</f>
        <v>43.877000000000002</v>
      </c>
      <c r="C569" s="4">
        <f>43.5642 * CHOOSE(CONTROL!$C$9, $C$13, 100%, $E$13) + CHOOSE(CONTROL!$C$28, 0.0003, 0)</f>
        <v>43.564500000000002</v>
      </c>
      <c r="D569" s="4">
        <f>46.9939 * CHOOSE(CONTROL!$C$9, $C$13, 100%, $E$13) + CHOOSE(CONTROL!$C$28, 0, 0)</f>
        <v>46.993899999999996</v>
      </c>
      <c r="E569" s="4">
        <f>249.861624691968 * CHOOSE(CONTROL!$C$9, $C$13, 100%, $E$13) + CHOOSE(CONTROL!$C$28, 0, 0)</f>
        <v>249.86162469196799</v>
      </c>
    </row>
    <row r="570" spans="1:5" ht="15">
      <c r="A570" s="13">
        <v>59230</v>
      </c>
      <c r="B570" s="4">
        <f>44.874 * CHOOSE(CONTROL!$C$9, $C$13, 100%, $E$13) + CHOOSE(CONTROL!$C$28, 0.0003, 0)</f>
        <v>44.874300000000005</v>
      </c>
      <c r="C570" s="4">
        <f>44.5615 * CHOOSE(CONTROL!$C$9, $C$13, 100%, $E$13) + CHOOSE(CONTROL!$C$28, 0.0003, 0)</f>
        <v>44.561800000000005</v>
      </c>
      <c r="D570" s="4">
        <f>48.6018 * CHOOSE(CONTROL!$C$9, $C$13, 100%, $E$13) + CHOOSE(CONTROL!$C$28, 0, 0)</f>
        <v>48.601799999999997</v>
      </c>
      <c r="E570" s="4">
        <f>255.794324344191 * CHOOSE(CONTROL!$C$9, $C$13, 100%, $E$13) + CHOOSE(CONTROL!$C$28, 0, 0)</f>
        <v>255.79432434419101</v>
      </c>
    </row>
    <row r="571" spans="1:5" ht="15">
      <c r="A571" s="13">
        <v>59261</v>
      </c>
      <c r="B571" s="4">
        <f>47.4929 * CHOOSE(CONTROL!$C$9, $C$13, 100%, $E$13) + CHOOSE(CONTROL!$C$28, 0.0003, 0)</f>
        <v>47.493200000000002</v>
      </c>
      <c r="C571" s="4">
        <f>47.1804 * CHOOSE(CONTROL!$C$9, $C$13, 100%, $E$13) + CHOOSE(CONTROL!$C$28, 0.0003, 0)</f>
        <v>47.180700000000002</v>
      </c>
      <c r="D571" s="4">
        <f>51.1188 * CHOOSE(CONTROL!$C$9, $C$13, 100%, $E$13) + CHOOSE(CONTROL!$C$28, 0, 0)</f>
        <v>51.1188</v>
      </c>
      <c r="E571" s="4">
        <f>271.373908913736 * CHOOSE(CONTROL!$C$9, $C$13, 100%, $E$13) + CHOOSE(CONTROL!$C$28, 0, 0)</f>
        <v>271.37390891373599</v>
      </c>
    </row>
    <row r="572" spans="1:5" ht="15">
      <c r="A572" s="13">
        <v>59291</v>
      </c>
      <c r="B572" s="4">
        <f>49.3537 * CHOOSE(CONTROL!$C$9, $C$13, 100%, $E$13) + CHOOSE(CONTROL!$C$28, 0.0003, 0)</f>
        <v>49.354000000000006</v>
      </c>
      <c r="C572" s="4">
        <f>49.0412 * CHOOSE(CONTROL!$C$9, $C$13, 100%, $E$13) + CHOOSE(CONTROL!$C$28, 0.0003, 0)</f>
        <v>49.041500000000006</v>
      </c>
      <c r="D572" s="4">
        <f>52.5686 * CHOOSE(CONTROL!$C$9, $C$13, 100%, $E$13) + CHOOSE(CONTROL!$C$28, 0, 0)</f>
        <v>52.568600000000004</v>
      </c>
      <c r="E572" s="4">
        <f>282.443411375661 * CHOOSE(CONTROL!$C$9, $C$13, 100%, $E$13) + CHOOSE(CONTROL!$C$28, 0, 0)</f>
        <v>282.44341137566101</v>
      </c>
    </row>
    <row r="573" spans="1:5" ht="15">
      <c r="A573" s="13">
        <v>59322</v>
      </c>
      <c r="B573" s="4">
        <f>50.4906 * CHOOSE(CONTROL!$C$9, $C$13, 100%, $E$13) + CHOOSE(CONTROL!$C$28, 0.0276, 0)</f>
        <v>50.5182</v>
      </c>
      <c r="C573" s="4">
        <f>50.1781 * CHOOSE(CONTROL!$C$9, $C$13, 100%, $E$13) + CHOOSE(CONTROL!$C$28, 0.0276, 0)</f>
        <v>50.2057</v>
      </c>
      <c r="D573" s="4">
        <f>51.9957 * CHOOSE(CONTROL!$C$9, $C$13, 100%, $E$13) + CHOOSE(CONTROL!$C$28, 0, 0)</f>
        <v>51.995699999999999</v>
      </c>
      <c r="E573" s="4">
        <f>289.206612080949 * CHOOSE(CONTROL!$C$9, $C$13, 100%, $E$13) + CHOOSE(CONTROL!$C$28, 0, 0)</f>
        <v>289.20661208094901</v>
      </c>
    </row>
    <row r="574" spans="1:5" ht="15">
      <c r="A574" s="13">
        <v>59352</v>
      </c>
      <c r="B574" s="4">
        <f>50.6444 * CHOOSE(CONTROL!$C$9, $C$13, 100%, $E$13) + CHOOSE(CONTROL!$C$28, 0.0276, 0)</f>
        <v>50.671999999999997</v>
      </c>
      <c r="C574" s="4">
        <f>50.3319 * CHOOSE(CONTROL!$C$9, $C$13, 100%, $E$13) + CHOOSE(CONTROL!$C$28, 0.0276, 0)</f>
        <v>50.359499999999997</v>
      </c>
      <c r="D574" s="4">
        <f>52.4623 * CHOOSE(CONTROL!$C$9, $C$13, 100%, $E$13) + CHOOSE(CONTROL!$C$28, 0, 0)</f>
        <v>52.462299999999999</v>
      </c>
      <c r="E574" s="4">
        <f>290.121701204234 * CHOOSE(CONTROL!$C$9, $C$13, 100%, $E$13) + CHOOSE(CONTROL!$C$28, 0, 0)</f>
        <v>290.121701204234</v>
      </c>
    </row>
    <row r="575" spans="1:5" ht="15">
      <c r="A575" s="13">
        <v>59383</v>
      </c>
      <c r="B575" s="4">
        <f>50.6289 * CHOOSE(CONTROL!$C$9, $C$13, 100%, $E$13) + CHOOSE(CONTROL!$C$28, 0.0276, 0)</f>
        <v>50.656500000000001</v>
      </c>
      <c r="C575" s="4">
        <f>50.3164 * CHOOSE(CONTROL!$C$9, $C$13, 100%, $E$13) + CHOOSE(CONTROL!$C$28, 0.0276, 0)</f>
        <v>50.344000000000001</v>
      </c>
      <c r="D575" s="4">
        <f>53.3042 * CHOOSE(CONTROL!$C$9, $C$13, 100%, $E$13) + CHOOSE(CONTROL!$C$28, 0, 0)</f>
        <v>53.304200000000002</v>
      </c>
      <c r="E575" s="4">
        <f>290.029423309449 * CHOOSE(CONTROL!$C$9, $C$13, 100%, $E$13) + CHOOSE(CONTROL!$C$28, 0, 0)</f>
        <v>290.02942330944899</v>
      </c>
    </row>
    <row r="576" spans="1:5" ht="15">
      <c r="A576" s="13">
        <v>59414</v>
      </c>
      <c r="B576" s="4">
        <f>51.7962 * CHOOSE(CONTROL!$C$9, $C$13, 100%, $E$13) + CHOOSE(CONTROL!$C$28, 0.0276, 0)</f>
        <v>51.823799999999999</v>
      </c>
      <c r="C576" s="4">
        <f>51.4837 * CHOOSE(CONTROL!$C$9, $C$13, 100%, $E$13) + CHOOSE(CONTROL!$C$28, 0.0276, 0)</f>
        <v>51.511299999999999</v>
      </c>
      <c r="D576" s="4">
        <f>52.7482 * CHOOSE(CONTROL!$C$9, $C$13, 100%, $E$13) + CHOOSE(CONTROL!$C$28, 0, 0)</f>
        <v>52.748199999999997</v>
      </c>
      <c r="E576" s="4">
        <f>296.973334892025 * CHOOSE(CONTROL!$C$9, $C$13, 100%, $E$13) + CHOOSE(CONTROL!$C$28, 0, 0)</f>
        <v>296.97333489202498</v>
      </c>
    </row>
    <row r="577" spans="1:5" ht="15">
      <c r="A577" s="13">
        <v>59444</v>
      </c>
      <c r="B577" s="4">
        <f>49.8068 * CHOOSE(CONTROL!$C$9, $C$13, 100%, $E$13) + CHOOSE(CONTROL!$C$28, 0.0276, 0)</f>
        <v>49.834400000000002</v>
      </c>
      <c r="C577" s="4">
        <f>49.4943 * CHOOSE(CONTROL!$C$9, $C$13, 100%, $E$13) + CHOOSE(CONTROL!$C$28, 0.0276, 0)</f>
        <v>49.521900000000002</v>
      </c>
      <c r="D577" s="4">
        <f>52.4855 * CHOOSE(CONTROL!$C$9, $C$13, 100%, $E$13) + CHOOSE(CONTROL!$C$28, 0, 0)</f>
        <v>52.485500000000002</v>
      </c>
      <c r="E577" s="4">
        <f>285.138694885841 * CHOOSE(CONTROL!$C$9, $C$13, 100%, $E$13) + CHOOSE(CONTROL!$C$28, 0, 0)</f>
        <v>285.13869488584101</v>
      </c>
    </row>
    <row r="578" spans="1:5" ht="15">
      <c r="A578" s="13">
        <v>59475</v>
      </c>
      <c r="B578" s="4">
        <f>48.2142 * CHOOSE(CONTROL!$C$9, $C$13, 100%, $E$13) + CHOOSE(CONTROL!$C$28, 0.0003, 0)</f>
        <v>48.214500000000001</v>
      </c>
      <c r="C578" s="4">
        <f>47.9017 * CHOOSE(CONTROL!$C$9, $C$13, 100%, $E$13) + CHOOSE(CONTROL!$C$28, 0.0003, 0)</f>
        <v>47.902000000000001</v>
      </c>
      <c r="D578" s="4">
        <f>51.7821 * CHOOSE(CONTROL!$C$9, $C$13, 100%, $E$13) + CHOOSE(CONTROL!$C$28, 0, 0)</f>
        <v>51.7821</v>
      </c>
      <c r="E578" s="4">
        <f>275.664831021241 * CHOOSE(CONTROL!$C$9, $C$13, 100%, $E$13) + CHOOSE(CONTROL!$C$28, 0, 0)</f>
        <v>275.66483102124101</v>
      </c>
    </row>
    <row r="579" spans="1:5" ht="15">
      <c r="A579" s="13">
        <v>59505</v>
      </c>
      <c r="B579" s="4">
        <f>47.1885 * CHOOSE(CONTROL!$C$9, $C$13, 100%, $E$13) + CHOOSE(CONTROL!$C$28, 0.0003, 0)</f>
        <v>47.188800000000001</v>
      </c>
      <c r="C579" s="4">
        <f>46.876 * CHOOSE(CONTROL!$C$9, $C$13, 100%, $E$13) + CHOOSE(CONTROL!$C$28, 0.0003, 0)</f>
        <v>46.876300000000001</v>
      </c>
      <c r="D579" s="4">
        <f>51.5403 * CHOOSE(CONTROL!$C$9, $C$13, 100%, $E$13) + CHOOSE(CONTROL!$C$28, 0, 0)</f>
        <v>51.540300000000002</v>
      </c>
      <c r="E579" s="4">
        <f>269.562955228579 * CHOOSE(CONTROL!$C$9, $C$13, 100%, $E$13) + CHOOSE(CONTROL!$C$28, 0, 0)</f>
        <v>269.56295522857903</v>
      </c>
    </row>
    <row r="580" spans="1:5" ht="15">
      <c r="A580" s="13">
        <v>59536</v>
      </c>
      <c r="B580" s="4">
        <f>46.4788 * CHOOSE(CONTROL!$C$9, $C$13, 100%, $E$13) + CHOOSE(CONTROL!$C$28, 0.0003, 0)</f>
        <v>46.479100000000003</v>
      </c>
      <c r="C580" s="4">
        <f>46.1663 * CHOOSE(CONTROL!$C$9, $C$13, 100%, $E$13) + CHOOSE(CONTROL!$C$28, 0.0003, 0)</f>
        <v>46.166600000000003</v>
      </c>
      <c r="D580" s="4">
        <f>49.76 * CHOOSE(CONTROL!$C$9, $C$13, 100%, $E$13) + CHOOSE(CONTROL!$C$28, 0, 0)</f>
        <v>49.76</v>
      </c>
      <c r="E580" s="4">
        <f>265.341241542163 * CHOOSE(CONTROL!$C$9, $C$13, 100%, $E$13) + CHOOSE(CONTROL!$C$28, 0, 0)</f>
        <v>265.341241542163</v>
      </c>
    </row>
    <row r="581" spans="1:5" ht="15">
      <c r="A581" s="13">
        <v>59567</v>
      </c>
      <c r="B581" s="4">
        <f>45.3258 * CHOOSE(CONTROL!$C$9, $C$13, 100%, $E$13) + CHOOSE(CONTROL!$C$28, 0.0003, 0)</f>
        <v>45.326100000000004</v>
      </c>
      <c r="C581" s="4">
        <f>45.0133 * CHOOSE(CONTROL!$C$9, $C$13, 100%, $E$13) + CHOOSE(CONTROL!$C$28, 0.0003, 0)</f>
        <v>45.013600000000004</v>
      </c>
      <c r="D581" s="4">
        <f>48.1237 * CHOOSE(CONTROL!$C$9, $C$13, 100%, $E$13) + CHOOSE(CONTROL!$C$28, 0, 0)</f>
        <v>48.123699999999999</v>
      </c>
      <c r="E581" s="4">
        <f>257.732265869766 * CHOOSE(CONTROL!$C$9, $C$13, 100%, $E$13) + CHOOSE(CONTROL!$C$28, 0, 0)</f>
        <v>257.73226586976602</v>
      </c>
    </row>
    <row r="582" spans="1:5" ht="15">
      <c r="A582" s="13">
        <v>59595</v>
      </c>
      <c r="B582" s="4">
        <f>46.3575 * CHOOSE(CONTROL!$C$9, $C$13, 100%, $E$13) + CHOOSE(CONTROL!$C$28, 0.0003, 0)</f>
        <v>46.357800000000005</v>
      </c>
      <c r="C582" s="4">
        <f>46.045 * CHOOSE(CONTROL!$C$9, $C$13, 100%, $E$13) + CHOOSE(CONTROL!$C$28, 0.0003, 0)</f>
        <v>46.045300000000005</v>
      </c>
      <c r="D582" s="4">
        <f>49.7714 * CHOOSE(CONTROL!$C$9, $C$13, 100%, $E$13) + CHOOSE(CONTROL!$C$28, 0, 0)</f>
        <v>49.7714</v>
      </c>
      <c r="E582" s="4">
        <f>263.851845561034 * CHOOSE(CONTROL!$C$9, $C$13, 100%, $E$13) + CHOOSE(CONTROL!$C$28, 0, 0)</f>
        <v>263.851845561034</v>
      </c>
    </row>
    <row r="583" spans="1:5" ht="15">
      <c r="A583" s="13">
        <v>59626</v>
      </c>
      <c r="B583" s="4">
        <f>49.0667 * CHOOSE(CONTROL!$C$9, $C$13, 100%, $E$13) + CHOOSE(CONTROL!$C$28, 0.0003, 0)</f>
        <v>49.067</v>
      </c>
      <c r="C583" s="4">
        <f>48.7542 * CHOOSE(CONTROL!$C$9, $C$13, 100%, $E$13) + CHOOSE(CONTROL!$C$28, 0.0003, 0)</f>
        <v>48.7545</v>
      </c>
      <c r="D583" s="4">
        <f>52.3508 * CHOOSE(CONTROL!$C$9, $C$13, 100%, $E$13) + CHOOSE(CONTROL!$C$28, 0, 0)</f>
        <v>52.3508</v>
      </c>
      <c r="E583" s="4">
        <f>279.922187044519 * CHOOSE(CONTROL!$C$9, $C$13, 100%, $E$13) + CHOOSE(CONTROL!$C$28, 0, 0)</f>
        <v>279.92218704451898</v>
      </c>
    </row>
    <row r="584" spans="1:5" ht="15">
      <c r="A584" s="13">
        <v>59656</v>
      </c>
      <c r="B584" s="4">
        <f>50.9917 * CHOOSE(CONTROL!$C$9, $C$13, 100%, $E$13) + CHOOSE(CONTROL!$C$28, 0.0003, 0)</f>
        <v>50.992000000000004</v>
      </c>
      <c r="C584" s="4">
        <f>50.6792 * CHOOSE(CONTROL!$C$9, $C$13, 100%, $E$13) + CHOOSE(CONTROL!$C$28, 0.0003, 0)</f>
        <v>50.679500000000004</v>
      </c>
      <c r="D584" s="4">
        <f>53.8367 * CHOOSE(CONTROL!$C$9, $C$13, 100%, $E$13) + CHOOSE(CONTROL!$C$28, 0, 0)</f>
        <v>53.8367</v>
      </c>
      <c r="E584" s="4">
        <f>291.340378833994 * CHOOSE(CONTROL!$C$9, $C$13, 100%, $E$13) + CHOOSE(CONTROL!$C$28, 0, 0)</f>
        <v>291.34037883399401</v>
      </c>
    </row>
    <row r="585" spans="1:5" ht="15">
      <c r="A585" s="13">
        <v>59687</v>
      </c>
      <c r="B585" s="4">
        <f>52.1678 * CHOOSE(CONTROL!$C$9, $C$13, 100%, $E$13) + CHOOSE(CONTROL!$C$28, 0.0276, 0)</f>
        <v>52.195399999999999</v>
      </c>
      <c r="C585" s="4">
        <f>51.8553 * CHOOSE(CONTROL!$C$9, $C$13, 100%, $E$13) + CHOOSE(CONTROL!$C$28, 0.0276, 0)</f>
        <v>51.882899999999999</v>
      </c>
      <c r="D585" s="4">
        <f>53.2495 * CHOOSE(CONTROL!$C$9, $C$13, 100%, $E$13) + CHOOSE(CONTROL!$C$28, 0, 0)</f>
        <v>53.249499999999998</v>
      </c>
      <c r="E585" s="4">
        <f>298.316620361499 * CHOOSE(CONTROL!$C$9, $C$13, 100%, $E$13) + CHOOSE(CONTROL!$C$28, 0, 0)</f>
        <v>298.31662036149902</v>
      </c>
    </row>
    <row r="586" spans="1:5" ht="15">
      <c r="A586" s="13">
        <v>59717</v>
      </c>
      <c r="B586" s="4">
        <f>52.327 * CHOOSE(CONTROL!$C$9, $C$13, 100%, $E$13) + CHOOSE(CONTROL!$C$28, 0.0276, 0)</f>
        <v>52.354599999999998</v>
      </c>
      <c r="C586" s="4">
        <f>52.0145 * CHOOSE(CONTROL!$C$9, $C$13, 100%, $E$13) + CHOOSE(CONTROL!$C$28, 0.0276, 0)</f>
        <v>52.042099999999998</v>
      </c>
      <c r="D586" s="4">
        <f>53.7277 * CHOOSE(CONTROL!$C$9, $C$13, 100%, $E$13) + CHOOSE(CONTROL!$C$28, 0, 0)</f>
        <v>53.727699999999999</v>
      </c>
      <c r="E586" s="4">
        <f>299.260534792168 * CHOOSE(CONTROL!$C$9, $C$13, 100%, $E$13) + CHOOSE(CONTROL!$C$28, 0, 0)</f>
        <v>299.26053479216802</v>
      </c>
    </row>
    <row r="587" spans="1:5" ht="15">
      <c r="A587" s="13">
        <v>59748</v>
      </c>
      <c r="B587" s="4">
        <f>52.3109 * CHOOSE(CONTROL!$C$9, $C$13, 100%, $E$13) + CHOOSE(CONTROL!$C$28, 0.0276, 0)</f>
        <v>52.338499999999996</v>
      </c>
      <c r="C587" s="4">
        <f>51.9984 * CHOOSE(CONTROL!$C$9, $C$13, 100%, $E$13) + CHOOSE(CONTROL!$C$28, 0.0276, 0)</f>
        <v>52.025999999999996</v>
      </c>
      <c r="D587" s="4">
        <f>54.5905 * CHOOSE(CONTROL!$C$9, $C$13, 100%, $E$13) + CHOOSE(CONTROL!$C$28, 0, 0)</f>
        <v>54.590499999999999</v>
      </c>
      <c r="E587" s="4">
        <f>299.165350143697 * CHOOSE(CONTROL!$C$9, $C$13, 100%, $E$13) + CHOOSE(CONTROL!$C$28, 0, 0)</f>
        <v>299.16535014369703</v>
      </c>
    </row>
    <row r="588" spans="1:5" ht="15">
      <c r="A588" s="13">
        <v>59779</v>
      </c>
      <c r="B588" s="4">
        <f>53.5185 * CHOOSE(CONTROL!$C$9, $C$13, 100%, $E$13) + CHOOSE(CONTROL!$C$28, 0.0276, 0)</f>
        <v>53.546100000000003</v>
      </c>
      <c r="C588" s="4">
        <f>53.206 * CHOOSE(CONTROL!$C$9, $C$13, 100%, $E$13) + CHOOSE(CONTROL!$C$28, 0.0276, 0)</f>
        <v>53.233600000000003</v>
      </c>
      <c r="D588" s="4">
        <f>54.0207 * CHOOSE(CONTROL!$C$9, $C$13, 100%, $E$13) + CHOOSE(CONTROL!$C$28, 0, 0)</f>
        <v>54.020699999999998</v>
      </c>
      <c r="E588" s="4">
        <f>306.327994941124 * CHOOSE(CONTROL!$C$9, $C$13, 100%, $E$13) + CHOOSE(CONTROL!$C$28, 0, 0)</f>
        <v>306.32799494112402</v>
      </c>
    </row>
    <row r="589" spans="1:5" ht="15">
      <c r="A589" s="13">
        <v>59809</v>
      </c>
      <c r="B589" s="4">
        <f>51.4604 * CHOOSE(CONTROL!$C$9, $C$13, 100%, $E$13) + CHOOSE(CONTROL!$C$28, 0.0276, 0)</f>
        <v>51.488</v>
      </c>
      <c r="C589" s="4">
        <f>51.1479 * CHOOSE(CONTROL!$C$9, $C$13, 100%, $E$13) + CHOOSE(CONTROL!$C$28, 0.0276, 0)</f>
        <v>51.1755</v>
      </c>
      <c r="D589" s="4">
        <f>53.7515 * CHOOSE(CONTROL!$C$9, $C$13, 100%, $E$13) + CHOOSE(CONTROL!$C$28, 0, 0)</f>
        <v>53.7515</v>
      </c>
      <c r="E589" s="4">
        <f>294.120563774745 * CHOOSE(CONTROL!$C$9, $C$13, 100%, $E$13) + CHOOSE(CONTROL!$C$28, 0, 0)</f>
        <v>294.12056377474499</v>
      </c>
    </row>
    <row r="590" spans="1:5" ht="15">
      <c r="A590" s="13">
        <v>59840</v>
      </c>
      <c r="B590" s="4">
        <f>49.8129 * CHOOSE(CONTROL!$C$9, $C$13, 100%, $E$13) + CHOOSE(CONTROL!$C$28, 0.0003, 0)</f>
        <v>49.813200000000002</v>
      </c>
      <c r="C590" s="4">
        <f>49.5004 * CHOOSE(CONTROL!$C$9, $C$13, 100%, $E$13) + CHOOSE(CONTROL!$C$28, 0.0003, 0)</f>
        <v>49.500700000000002</v>
      </c>
      <c r="D590" s="4">
        <f>53.0307 * CHOOSE(CONTROL!$C$9, $C$13, 100%, $E$13) + CHOOSE(CONTROL!$C$28, 0, 0)</f>
        <v>53.030700000000003</v>
      </c>
      <c r="E590" s="4">
        <f>284.348273198411 * CHOOSE(CONTROL!$C$9, $C$13, 100%, $E$13) + CHOOSE(CONTROL!$C$28, 0, 0)</f>
        <v>284.34827319841099</v>
      </c>
    </row>
    <row r="591" spans="1:5" ht="15">
      <c r="A591" s="13">
        <v>59870</v>
      </c>
      <c r="B591" s="4">
        <f>48.7518 * CHOOSE(CONTROL!$C$9, $C$13, 100%, $E$13) + CHOOSE(CONTROL!$C$28, 0.0003, 0)</f>
        <v>48.752100000000006</v>
      </c>
      <c r="C591" s="4">
        <f>48.4393 * CHOOSE(CONTROL!$C$9, $C$13, 100%, $E$13) + CHOOSE(CONTROL!$C$28, 0.0003, 0)</f>
        <v>48.439600000000006</v>
      </c>
      <c r="D591" s="4">
        <f>52.7828 * CHOOSE(CONTROL!$C$9, $C$13, 100%, $E$13) + CHOOSE(CONTROL!$C$28, 0, 0)</f>
        <v>52.782800000000002</v>
      </c>
      <c r="E591" s="4">
        <f>278.054188318279 * CHOOSE(CONTROL!$C$9, $C$13, 100%, $E$13) + CHOOSE(CONTROL!$C$28, 0, 0)</f>
        <v>278.05418831827899</v>
      </c>
    </row>
    <row r="592" spans="1:5" ht="15">
      <c r="A592" s="13">
        <v>59901</v>
      </c>
      <c r="B592" s="4">
        <f>48.0177 * CHOOSE(CONTROL!$C$9, $C$13, 100%, $E$13) + CHOOSE(CONTROL!$C$28, 0.0003, 0)</f>
        <v>48.018000000000001</v>
      </c>
      <c r="C592" s="4">
        <f>47.7052 * CHOOSE(CONTROL!$C$9, $C$13, 100%, $E$13) + CHOOSE(CONTROL!$C$28, 0.0003, 0)</f>
        <v>47.705500000000001</v>
      </c>
      <c r="D592" s="4">
        <f>50.9584 * CHOOSE(CONTROL!$C$9, $C$13, 100%, $E$13) + CHOOSE(CONTROL!$C$28, 0, 0)</f>
        <v>50.958399999999997</v>
      </c>
      <c r="E592" s="4">
        <f>273.699490650741 * CHOOSE(CONTROL!$C$9, $C$13, 100%, $E$13) + CHOOSE(CONTROL!$C$28, 0, 0)</f>
        <v>273.69949065074098</v>
      </c>
    </row>
    <row r="593" spans="1:5" ht="15">
      <c r="A593" s="13">
        <v>59932</v>
      </c>
      <c r="B593" s="4">
        <f>46.8248 * CHOOSE(CONTROL!$C$9, $C$13, 100%, $E$13) + CHOOSE(CONTROL!$C$28, 0.0003, 0)</f>
        <v>46.825100000000006</v>
      </c>
      <c r="C593" s="4">
        <f>46.5123 * CHOOSE(CONTROL!$C$9, $C$13, 100%, $E$13) + CHOOSE(CONTROL!$C$28, 0.0003, 0)</f>
        <v>46.512600000000006</v>
      </c>
      <c r="D593" s="4">
        <f>49.2815 * CHOOSE(CONTROL!$C$9, $C$13, 100%, $E$13) + CHOOSE(CONTROL!$C$28, 0, 0)</f>
        <v>49.281500000000001</v>
      </c>
      <c r="E593" s="4">
        <f>265.850832244663 * CHOOSE(CONTROL!$C$9, $C$13, 100%, $E$13) + CHOOSE(CONTROL!$C$28, 0, 0)</f>
        <v>265.85083224466302</v>
      </c>
    </row>
    <row r="594" spans="1:5" ht="15">
      <c r="A594" s="13">
        <v>59961</v>
      </c>
      <c r="B594" s="4">
        <f>47.8921 * CHOOSE(CONTROL!$C$9, $C$13, 100%, $E$13) + CHOOSE(CONTROL!$C$28, 0.0003, 0)</f>
        <v>47.892400000000002</v>
      </c>
      <c r="C594" s="4">
        <f>47.5796 * CHOOSE(CONTROL!$C$9, $C$13, 100%, $E$13) + CHOOSE(CONTROL!$C$28, 0.0003, 0)</f>
        <v>47.579900000000002</v>
      </c>
      <c r="D594" s="4">
        <f>50.9701 * CHOOSE(CONTROL!$C$9, $C$13, 100%, $E$13) + CHOOSE(CONTROL!$C$28, 0, 0)</f>
        <v>50.970100000000002</v>
      </c>
      <c r="E594" s="4">
        <f>272.163178696206 * CHOOSE(CONTROL!$C$9, $C$13, 100%, $E$13) + CHOOSE(CONTROL!$C$28, 0, 0)</f>
        <v>272.16317869620599</v>
      </c>
    </row>
    <row r="595" spans="1:5" ht="15">
      <c r="A595" s="13">
        <v>59992</v>
      </c>
      <c r="B595" s="4">
        <f>50.6949 * CHOOSE(CONTROL!$C$9, $C$13, 100%, $E$13) + CHOOSE(CONTROL!$C$28, 0.0003, 0)</f>
        <v>50.6952</v>
      </c>
      <c r="C595" s="4">
        <f>50.3824 * CHOOSE(CONTROL!$C$9, $C$13, 100%, $E$13) + CHOOSE(CONTROL!$C$28, 0.0003, 0)</f>
        <v>50.3827</v>
      </c>
      <c r="D595" s="4">
        <f>53.6135 * CHOOSE(CONTROL!$C$9, $C$13, 100%, $E$13) + CHOOSE(CONTROL!$C$28, 0, 0)</f>
        <v>53.613500000000002</v>
      </c>
      <c r="E595" s="4">
        <f>288.739735936421 * CHOOSE(CONTROL!$C$9, $C$13, 100%, $E$13) + CHOOSE(CONTROL!$C$28, 0, 0)</f>
        <v>288.73973593642103</v>
      </c>
    </row>
    <row r="596" spans="1:5" ht="15">
      <c r="A596" s="13">
        <v>60022</v>
      </c>
      <c r="B596" s="4">
        <f>52.6863 * CHOOSE(CONTROL!$C$9, $C$13, 100%, $E$13) + CHOOSE(CONTROL!$C$28, 0.0003, 0)</f>
        <v>52.686600000000006</v>
      </c>
      <c r="C596" s="4">
        <f>52.3738 * CHOOSE(CONTROL!$C$9, $C$13, 100%, $E$13) + CHOOSE(CONTROL!$C$28, 0.0003, 0)</f>
        <v>52.374100000000006</v>
      </c>
      <c r="D596" s="4">
        <f>55.1362 * CHOOSE(CONTROL!$C$9, $C$13, 100%, $E$13) + CHOOSE(CONTROL!$C$28, 0, 0)</f>
        <v>55.136200000000002</v>
      </c>
      <c r="E596" s="4">
        <f>300.517600767265 * CHOOSE(CONTROL!$C$9, $C$13, 100%, $E$13) + CHOOSE(CONTROL!$C$28, 0, 0)</f>
        <v>300.51760076726498</v>
      </c>
    </row>
    <row r="597" spans="1:5" ht="15">
      <c r="A597" s="13">
        <v>60053</v>
      </c>
      <c r="B597" s="4">
        <f>53.9029 * CHOOSE(CONTROL!$C$9, $C$13, 100%, $E$13) + CHOOSE(CONTROL!$C$28, 0.0276, 0)</f>
        <v>53.930500000000002</v>
      </c>
      <c r="C597" s="4">
        <f>53.5904 * CHOOSE(CONTROL!$C$9, $C$13, 100%, $E$13) + CHOOSE(CONTROL!$C$28, 0.0276, 0)</f>
        <v>53.618000000000002</v>
      </c>
      <c r="D597" s="4">
        <f>54.5345 * CHOOSE(CONTROL!$C$9, $C$13, 100%, $E$13) + CHOOSE(CONTROL!$C$28, 0, 0)</f>
        <v>54.534500000000001</v>
      </c>
      <c r="E597" s="4">
        <f>307.713593902886 * CHOOSE(CONTROL!$C$9, $C$13, 100%, $E$13) + CHOOSE(CONTROL!$C$28, 0, 0)</f>
        <v>307.71359390288598</v>
      </c>
    </row>
    <row r="598" spans="1:5" ht="15">
      <c r="A598" s="13">
        <v>60083</v>
      </c>
      <c r="B598" s="4">
        <f>54.0676 * CHOOSE(CONTROL!$C$9, $C$13, 100%, $E$13) + CHOOSE(CONTROL!$C$28, 0.0276, 0)</f>
        <v>54.095199999999998</v>
      </c>
      <c r="C598" s="4">
        <f>53.7551 * CHOOSE(CONTROL!$C$9, $C$13, 100%, $E$13) + CHOOSE(CONTROL!$C$28, 0.0276, 0)</f>
        <v>53.782699999999998</v>
      </c>
      <c r="D598" s="4">
        <f>55.0245 * CHOOSE(CONTROL!$C$9, $C$13, 100%, $E$13) + CHOOSE(CONTROL!$C$28, 0, 0)</f>
        <v>55.024500000000003</v>
      </c>
      <c r="E598" s="4">
        <f>308.687241638121 * CHOOSE(CONTROL!$C$9, $C$13, 100%, $E$13) + CHOOSE(CONTROL!$C$28, 0, 0)</f>
        <v>308.68724163812101</v>
      </c>
    </row>
    <row r="599" spans="1:5" ht="15">
      <c r="A599" s="13">
        <v>60114</v>
      </c>
      <c r="B599" s="4">
        <f>54.051 * CHOOSE(CONTROL!$C$9, $C$13, 100%, $E$13) + CHOOSE(CONTROL!$C$28, 0.0276, 0)</f>
        <v>54.078600000000002</v>
      </c>
      <c r="C599" s="4">
        <f>53.7385 * CHOOSE(CONTROL!$C$9, $C$13, 100%, $E$13) + CHOOSE(CONTROL!$C$28, 0.0276, 0)</f>
        <v>53.766100000000002</v>
      </c>
      <c r="D599" s="4">
        <f>55.9087 * CHOOSE(CONTROL!$C$9, $C$13, 100%, $E$13) + CHOOSE(CONTROL!$C$28, 0, 0)</f>
        <v>55.908700000000003</v>
      </c>
      <c r="E599" s="4">
        <f>308.589058673224 * CHOOSE(CONTROL!$C$9, $C$13, 100%, $E$13) + CHOOSE(CONTROL!$C$28, 0, 0)</f>
        <v>308.58905867322397</v>
      </c>
    </row>
    <row r="600" spans="1:5" ht="15">
      <c r="A600" s="13">
        <v>60145</v>
      </c>
      <c r="B600" s="4">
        <f>55.3002 * CHOOSE(CONTROL!$C$9, $C$13, 100%, $E$13) + CHOOSE(CONTROL!$C$28, 0.0276, 0)</f>
        <v>55.327799999999996</v>
      </c>
      <c r="C600" s="4">
        <f>54.9877 * CHOOSE(CONTROL!$C$9, $C$13, 100%, $E$13) + CHOOSE(CONTROL!$C$28, 0.0276, 0)</f>
        <v>55.015299999999996</v>
      </c>
      <c r="D600" s="4">
        <f>55.3248 * CHOOSE(CONTROL!$C$9, $C$13, 100%, $E$13) + CHOOSE(CONTROL!$C$28, 0, 0)</f>
        <v>55.324800000000003</v>
      </c>
      <c r="E600" s="4">
        <f>315.97732678177 * CHOOSE(CONTROL!$C$9, $C$13, 100%, $E$13) + CHOOSE(CONTROL!$C$28, 0, 0)</f>
        <v>315.97732678176999</v>
      </c>
    </row>
    <row r="601" spans="1:5" ht="15">
      <c r="A601" s="13">
        <v>60175</v>
      </c>
      <c r="B601" s="4">
        <f>53.1711 * CHOOSE(CONTROL!$C$9, $C$13, 100%, $E$13) + CHOOSE(CONTROL!$C$28, 0.0276, 0)</f>
        <v>53.198700000000002</v>
      </c>
      <c r="C601" s="4">
        <f>52.8586 * CHOOSE(CONTROL!$C$9, $C$13, 100%, $E$13) + CHOOSE(CONTROL!$C$28, 0.0276, 0)</f>
        <v>52.886200000000002</v>
      </c>
      <c r="D601" s="4">
        <f>55.0489 * CHOOSE(CONTROL!$C$9, $C$13, 100%, $E$13) + CHOOSE(CONTROL!$C$28, 0, 0)</f>
        <v>55.048900000000003</v>
      </c>
      <c r="E601" s="4">
        <f>303.38536153365 * CHOOSE(CONTROL!$C$9, $C$13, 100%, $E$13) + CHOOSE(CONTROL!$C$28, 0, 0)</f>
        <v>303.38536153364998</v>
      </c>
    </row>
    <row r="602" spans="1:5" ht="15">
      <c r="A602" s="13">
        <v>60206</v>
      </c>
      <c r="B602" s="4">
        <f>51.4668 * CHOOSE(CONTROL!$C$9, $C$13, 100%, $E$13) + CHOOSE(CONTROL!$C$28, 0.0003, 0)</f>
        <v>51.467100000000002</v>
      </c>
      <c r="C602" s="4">
        <f>51.1543 * CHOOSE(CONTROL!$C$9, $C$13, 100%, $E$13) + CHOOSE(CONTROL!$C$28, 0.0003, 0)</f>
        <v>51.154600000000002</v>
      </c>
      <c r="D602" s="4">
        <f>54.3102 * CHOOSE(CONTROL!$C$9, $C$13, 100%, $E$13) + CHOOSE(CONTROL!$C$28, 0, 0)</f>
        <v>54.310200000000002</v>
      </c>
      <c r="E602" s="4">
        <f>293.305243804161 * CHOOSE(CONTROL!$C$9, $C$13, 100%, $E$13) + CHOOSE(CONTROL!$C$28, 0, 0)</f>
        <v>293.30524380416102</v>
      </c>
    </row>
    <row r="603" spans="1:5" ht="15">
      <c r="A603" s="13">
        <v>60236</v>
      </c>
      <c r="B603" s="4">
        <f>50.3691 * CHOOSE(CONTROL!$C$9, $C$13, 100%, $E$13) + CHOOSE(CONTROL!$C$28, 0.0003, 0)</f>
        <v>50.369400000000006</v>
      </c>
      <c r="C603" s="4">
        <f>50.0566 * CHOOSE(CONTROL!$C$9, $C$13, 100%, $E$13) + CHOOSE(CONTROL!$C$28, 0.0003, 0)</f>
        <v>50.056900000000006</v>
      </c>
      <c r="D603" s="4">
        <f>54.0562 * CHOOSE(CONTROL!$C$9, $C$13, 100%, $E$13) + CHOOSE(CONTROL!$C$28, 0, 0)</f>
        <v>54.056199999999997</v>
      </c>
      <c r="E603" s="4">
        <f>286.812895250305 * CHOOSE(CONTROL!$C$9, $C$13, 100%, $E$13) + CHOOSE(CONTROL!$C$28, 0, 0)</f>
        <v>286.81289525030502</v>
      </c>
    </row>
    <row r="604" spans="1:5" ht="15">
      <c r="A604" s="13">
        <v>60267</v>
      </c>
      <c r="B604" s="4">
        <f>49.6096 * CHOOSE(CONTROL!$C$9, $C$13, 100%, $E$13) + CHOOSE(CONTROL!$C$28, 0.0003, 0)</f>
        <v>49.609900000000003</v>
      </c>
      <c r="C604" s="4">
        <f>49.2971 * CHOOSE(CONTROL!$C$9, $C$13, 100%, $E$13) + CHOOSE(CONTROL!$C$28, 0.0003, 0)</f>
        <v>49.297400000000003</v>
      </c>
      <c r="D604" s="4">
        <f>52.1865 * CHOOSE(CONTROL!$C$9, $C$13, 100%, $E$13) + CHOOSE(CONTROL!$C$28, 0, 0)</f>
        <v>52.186500000000002</v>
      </c>
      <c r="E604" s="4">
        <f>282.321024606239 * CHOOSE(CONTROL!$C$9, $C$13, 100%, $E$13) + CHOOSE(CONTROL!$C$28, 0, 0)</f>
        <v>282.32102460623901</v>
      </c>
    </row>
    <row r="605" spans="1:5" ht="15">
      <c r="A605" s="13">
        <v>60298</v>
      </c>
      <c r="B605" s="4">
        <f>48.3756 * CHOOSE(CONTROL!$C$9, $C$13, 100%, $E$13) + CHOOSE(CONTROL!$C$28, 0.0003, 0)</f>
        <v>48.375900000000001</v>
      </c>
      <c r="C605" s="4">
        <f>48.0631 * CHOOSE(CONTROL!$C$9, $C$13, 100%, $E$13) + CHOOSE(CONTROL!$C$28, 0.0003, 0)</f>
        <v>48.063400000000001</v>
      </c>
      <c r="D605" s="4">
        <f>50.468 * CHOOSE(CONTROL!$C$9, $C$13, 100%, $E$13) + CHOOSE(CONTROL!$C$28, 0, 0)</f>
        <v>50.468000000000004</v>
      </c>
      <c r="E605" s="4">
        <f>274.22513346037 * CHOOSE(CONTROL!$C$9, $C$13, 100%, $E$13) + CHOOSE(CONTROL!$C$28, 0, 0)</f>
        <v>274.22513346036999</v>
      </c>
    </row>
    <row r="606" spans="1:5" ht="15">
      <c r="A606" s="13">
        <v>60326</v>
      </c>
      <c r="B606" s="4">
        <f>49.4797 * CHOOSE(CONTROL!$C$9, $C$13, 100%, $E$13) + CHOOSE(CONTROL!$C$28, 0.0003, 0)</f>
        <v>49.480000000000004</v>
      </c>
      <c r="C606" s="4">
        <f>49.1672 * CHOOSE(CONTROL!$C$9, $C$13, 100%, $E$13) + CHOOSE(CONTROL!$C$28, 0.0003, 0)</f>
        <v>49.167500000000004</v>
      </c>
      <c r="D606" s="4">
        <f>52.1985 * CHOOSE(CONTROL!$C$9, $C$13, 100%, $E$13) + CHOOSE(CONTROL!$C$28, 0, 0)</f>
        <v>52.198500000000003</v>
      </c>
      <c r="E606" s="4">
        <f>280.736318825137 * CHOOSE(CONTROL!$C$9, $C$13, 100%, $E$13) + CHOOSE(CONTROL!$C$28, 0, 0)</f>
        <v>280.736318825137</v>
      </c>
    </row>
    <row r="607" spans="1:5" ht="15">
      <c r="A607" s="13">
        <v>60357</v>
      </c>
      <c r="B607" s="4">
        <f>52.3791 * CHOOSE(CONTROL!$C$9, $C$13, 100%, $E$13) + CHOOSE(CONTROL!$C$28, 0.0003, 0)</f>
        <v>52.379400000000004</v>
      </c>
      <c r="C607" s="4">
        <f>52.0666 * CHOOSE(CONTROL!$C$9, $C$13, 100%, $E$13) + CHOOSE(CONTROL!$C$28, 0.0003, 0)</f>
        <v>52.066900000000004</v>
      </c>
      <c r="D607" s="4">
        <f>54.9074 * CHOOSE(CONTROL!$C$9, $C$13, 100%, $E$13) + CHOOSE(CONTROL!$C$28, 0, 0)</f>
        <v>54.907400000000003</v>
      </c>
      <c r="E607" s="4">
        <f>297.835037618418 * CHOOSE(CONTROL!$C$9, $C$13, 100%, $E$13) + CHOOSE(CONTROL!$C$28, 0, 0)</f>
        <v>297.83503761841803</v>
      </c>
    </row>
    <row r="608" spans="1:5" ht="15">
      <c r="A608" s="13">
        <v>60387</v>
      </c>
      <c r="B608" s="4">
        <f>54.4392 * CHOOSE(CONTROL!$C$9, $C$13, 100%, $E$13) + CHOOSE(CONTROL!$C$28, 0.0003, 0)</f>
        <v>54.439500000000002</v>
      </c>
      <c r="C608" s="4">
        <f>54.1267 * CHOOSE(CONTROL!$C$9, $C$13, 100%, $E$13) + CHOOSE(CONTROL!$C$28, 0.0003, 0)</f>
        <v>54.127000000000002</v>
      </c>
      <c r="D608" s="4">
        <f>56.4679 * CHOOSE(CONTROL!$C$9, $C$13, 100%, $E$13) + CHOOSE(CONTROL!$C$28, 0, 0)</f>
        <v>56.4679</v>
      </c>
      <c r="E608" s="4">
        <f>309.983905191434 * CHOOSE(CONTROL!$C$9, $C$13, 100%, $E$13) + CHOOSE(CONTROL!$C$28, 0, 0)</f>
        <v>309.98390519143402</v>
      </c>
    </row>
    <row r="609" spans="1:5" ht="15">
      <c r="A609" s="13">
        <v>60418</v>
      </c>
      <c r="B609" s="4">
        <f>55.6979 * CHOOSE(CONTROL!$C$9, $C$13, 100%, $E$13) + CHOOSE(CONTROL!$C$28, 0.0276, 0)</f>
        <v>55.725499999999997</v>
      </c>
      <c r="C609" s="4">
        <f>55.3854 * CHOOSE(CONTROL!$C$9, $C$13, 100%, $E$13) + CHOOSE(CONTROL!$C$28, 0.0276, 0)</f>
        <v>55.412999999999997</v>
      </c>
      <c r="D609" s="4">
        <f>55.8513 * CHOOSE(CONTROL!$C$9, $C$13, 100%, $E$13) + CHOOSE(CONTROL!$C$28, 0, 0)</f>
        <v>55.851300000000002</v>
      </c>
      <c r="E609" s="4">
        <f>317.406572110827 * CHOOSE(CONTROL!$C$9, $C$13, 100%, $E$13) + CHOOSE(CONTROL!$C$28, 0, 0)</f>
        <v>317.40657211082703</v>
      </c>
    </row>
    <row r="610" spans="1:5" ht="15">
      <c r="A610" s="13">
        <v>60448</v>
      </c>
      <c r="B610" s="4">
        <f>55.8682 * CHOOSE(CONTROL!$C$9, $C$13, 100%, $E$13) + CHOOSE(CONTROL!$C$28, 0.0276, 0)</f>
        <v>55.895800000000001</v>
      </c>
      <c r="C610" s="4">
        <f>55.5557 * CHOOSE(CONTROL!$C$9, $C$13, 100%, $E$13) + CHOOSE(CONTROL!$C$28, 0.0276, 0)</f>
        <v>55.583300000000001</v>
      </c>
      <c r="D610" s="4">
        <f>56.3534 * CHOOSE(CONTROL!$C$9, $C$13, 100%, $E$13) + CHOOSE(CONTROL!$C$28, 0, 0)</f>
        <v>56.353400000000001</v>
      </c>
      <c r="E610" s="4">
        <f>318.410889749722 * CHOOSE(CONTROL!$C$9, $C$13, 100%, $E$13) + CHOOSE(CONTROL!$C$28, 0, 0)</f>
        <v>318.410889749722</v>
      </c>
    </row>
    <row r="611" spans="1:5" ht="15">
      <c r="A611" s="13">
        <v>60479</v>
      </c>
      <c r="B611" s="4">
        <f>55.851 * CHOOSE(CONTROL!$C$9, $C$13, 100%, $E$13) + CHOOSE(CONTROL!$C$28, 0.0276, 0)</f>
        <v>55.878599999999999</v>
      </c>
      <c r="C611" s="4">
        <f>55.5385 * CHOOSE(CONTROL!$C$9, $C$13, 100%, $E$13) + CHOOSE(CONTROL!$C$28, 0.0276, 0)</f>
        <v>55.566099999999999</v>
      </c>
      <c r="D611" s="4">
        <f>57.2596 * CHOOSE(CONTROL!$C$9, $C$13, 100%, $E$13) + CHOOSE(CONTROL!$C$28, 0, 0)</f>
        <v>57.259599999999999</v>
      </c>
      <c r="E611" s="4">
        <f>318.30961402143 * CHOOSE(CONTROL!$C$9, $C$13, 100%, $E$13) + CHOOSE(CONTROL!$C$28, 0, 0)</f>
        <v>318.30961402142998</v>
      </c>
    </row>
    <row r="612" spans="1:5" ht="15">
      <c r="A612" s="13">
        <v>60510</v>
      </c>
      <c r="B612" s="4">
        <f>57.1433 * CHOOSE(CONTROL!$C$9, $C$13, 100%, $E$13) + CHOOSE(CONTROL!$C$28, 0.0276, 0)</f>
        <v>57.170900000000003</v>
      </c>
      <c r="C612" s="4">
        <f>56.8308 * CHOOSE(CONTROL!$C$9, $C$13, 100%, $E$13) + CHOOSE(CONTROL!$C$28, 0.0276, 0)</f>
        <v>56.858400000000003</v>
      </c>
      <c r="D612" s="4">
        <f>56.6612 * CHOOSE(CONTROL!$C$9, $C$13, 100%, $E$13) + CHOOSE(CONTROL!$C$28, 0, 0)</f>
        <v>56.661200000000001</v>
      </c>
      <c r="E612" s="4">
        <f>325.930612575395 * CHOOSE(CONTROL!$C$9, $C$13, 100%, $E$13) + CHOOSE(CONTROL!$C$28, 0, 0)</f>
        <v>325.930612575395</v>
      </c>
    </row>
    <row r="613" spans="1:5" ht="15">
      <c r="A613" s="13">
        <v>60540</v>
      </c>
      <c r="B613" s="4">
        <f>54.9408 * CHOOSE(CONTROL!$C$9, $C$13, 100%, $E$13) + CHOOSE(CONTROL!$C$28, 0.0276, 0)</f>
        <v>54.968400000000003</v>
      </c>
      <c r="C613" s="4">
        <f>54.6283 * CHOOSE(CONTROL!$C$9, $C$13, 100%, $E$13) + CHOOSE(CONTROL!$C$28, 0.0276, 0)</f>
        <v>54.655900000000003</v>
      </c>
      <c r="D613" s="4">
        <f>56.3784 * CHOOSE(CONTROL!$C$9, $C$13, 100%, $E$13) + CHOOSE(CONTROL!$C$28, 0, 0)</f>
        <v>56.378399999999999</v>
      </c>
      <c r="E613" s="4">
        <f>312.94200042196 * CHOOSE(CONTROL!$C$9, $C$13, 100%, $E$13) + CHOOSE(CONTROL!$C$28, 0, 0)</f>
        <v>312.94200042196002</v>
      </c>
    </row>
    <row r="614" spans="1:5" ht="15">
      <c r="A614" s="13">
        <v>60571</v>
      </c>
      <c r="B614" s="4">
        <f>53.1777 * CHOOSE(CONTROL!$C$9, $C$13, 100%, $E$13) + CHOOSE(CONTROL!$C$28, 0.0003, 0)</f>
        <v>53.178000000000004</v>
      </c>
      <c r="C614" s="4">
        <f>52.8652 * CHOOSE(CONTROL!$C$9, $C$13, 100%, $E$13) + CHOOSE(CONTROL!$C$28, 0.0003, 0)</f>
        <v>52.865500000000004</v>
      </c>
      <c r="D614" s="4">
        <f>55.6214 * CHOOSE(CONTROL!$C$9, $C$13, 100%, $E$13) + CHOOSE(CONTROL!$C$28, 0, 0)</f>
        <v>55.621400000000001</v>
      </c>
      <c r="E614" s="4">
        <f>302.544358983992 * CHOOSE(CONTROL!$C$9, $C$13, 100%, $E$13) + CHOOSE(CONTROL!$C$28, 0, 0)</f>
        <v>302.54435898399203</v>
      </c>
    </row>
    <row r="615" spans="1:5" ht="15">
      <c r="A615" s="13">
        <v>60601</v>
      </c>
      <c r="B615" s="4">
        <f>52.0421 * CHOOSE(CONTROL!$C$9, $C$13, 100%, $E$13) + CHOOSE(CONTROL!$C$28, 0.0003, 0)</f>
        <v>52.042400000000001</v>
      </c>
      <c r="C615" s="4">
        <f>51.7296 * CHOOSE(CONTROL!$C$9, $C$13, 100%, $E$13) + CHOOSE(CONTROL!$C$28, 0.0003, 0)</f>
        <v>51.729900000000001</v>
      </c>
      <c r="D615" s="4">
        <f>55.3611 * CHOOSE(CONTROL!$C$9, $C$13, 100%, $E$13) + CHOOSE(CONTROL!$C$28, 0, 0)</f>
        <v>55.3611</v>
      </c>
      <c r="E615" s="4">
        <f>295.84750145069 * CHOOSE(CONTROL!$C$9, $C$13, 100%, $E$13) + CHOOSE(CONTROL!$C$28, 0, 0)</f>
        <v>295.84750145069</v>
      </c>
    </row>
    <row r="616" spans="1:5" ht="15">
      <c r="A616" s="13">
        <v>60632</v>
      </c>
      <c r="B616" s="4">
        <f>51.2564 * CHOOSE(CONTROL!$C$9, $C$13, 100%, $E$13) + CHOOSE(CONTROL!$C$28, 0.0003, 0)</f>
        <v>51.256700000000002</v>
      </c>
      <c r="C616" s="4">
        <f>50.9439 * CHOOSE(CONTROL!$C$9, $C$13, 100%, $E$13) + CHOOSE(CONTROL!$C$28, 0.0003, 0)</f>
        <v>50.944200000000002</v>
      </c>
      <c r="D616" s="4">
        <f>53.4451 * CHOOSE(CONTROL!$C$9, $C$13, 100%, $E$13) + CHOOSE(CONTROL!$C$28, 0, 0)</f>
        <v>53.445099999999996</v>
      </c>
      <c r="E616" s="4">
        <f>291.214136881336 * CHOOSE(CONTROL!$C$9, $C$13, 100%, $E$13) + CHOOSE(CONTROL!$C$28, 0, 0)</f>
        <v>291.214136881336</v>
      </c>
    </row>
    <row r="617" spans="1:5" ht="15">
      <c r="A617" s="13">
        <v>60663</v>
      </c>
      <c r="B617" s="4">
        <f>49.9799 * CHOOSE(CONTROL!$C$9, $C$13, 100%, $E$13) + CHOOSE(CONTROL!$C$28, 0.0003, 0)</f>
        <v>49.980200000000004</v>
      </c>
      <c r="C617" s="4">
        <f>49.6674 * CHOOSE(CONTROL!$C$9, $C$13, 100%, $E$13) + CHOOSE(CONTROL!$C$28, 0.0003, 0)</f>
        <v>49.667700000000004</v>
      </c>
      <c r="D617" s="4">
        <f>51.684 * CHOOSE(CONTROL!$C$9, $C$13, 100%, $E$13) + CHOOSE(CONTROL!$C$28, 0, 0)</f>
        <v>51.683999999999997</v>
      </c>
      <c r="E617" s="4">
        <f>282.863225164372 * CHOOSE(CONTROL!$C$9, $C$13, 100%, $E$13) + CHOOSE(CONTROL!$C$28, 0, 0)</f>
        <v>282.86322516437201</v>
      </c>
    </row>
    <row r="618" spans="1:5" ht="15">
      <c r="A618" s="13">
        <v>60691</v>
      </c>
      <c r="B618" s="4">
        <f>51.1221 * CHOOSE(CONTROL!$C$9, $C$13, 100%, $E$13) + CHOOSE(CONTROL!$C$28, 0.0003, 0)</f>
        <v>51.122400000000006</v>
      </c>
      <c r="C618" s="4">
        <f>50.8096 * CHOOSE(CONTROL!$C$9, $C$13, 100%, $E$13) + CHOOSE(CONTROL!$C$28, 0.0003, 0)</f>
        <v>50.809900000000006</v>
      </c>
      <c r="D618" s="4">
        <f>53.4574 * CHOOSE(CONTROL!$C$9, $C$13, 100%, $E$13) + CHOOSE(CONTROL!$C$28, 0, 0)</f>
        <v>53.4574</v>
      </c>
      <c r="E618" s="4">
        <f>289.579512868128 * CHOOSE(CONTROL!$C$9, $C$13, 100%, $E$13) + CHOOSE(CONTROL!$C$28, 0, 0)</f>
        <v>289.57951286812801</v>
      </c>
    </row>
    <row r="619" spans="1:5" ht="15">
      <c r="A619" s="13">
        <v>60722</v>
      </c>
      <c r="B619" s="4">
        <f>54.1215 * CHOOSE(CONTROL!$C$9, $C$13, 100%, $E$13) + CHOOSE(CONTROL!$C$28, 0.0003, 0)</f>
        <v>54.1218</v>
      </c>
      <c r="C619" s="4">
        <f>53.809 * CHOOSE(CONTROL!$C$9, $C$13, 100%, $E$13) + CHOOSE(CONTROL!$C$28, 0.0003, 0)</f>
        <v>53.8093</v>
      </c>
      <c r="D619" s="4">
        <f>56.2335 * CHOOSE(CONTROL!$C$9, $C$13, 100%, $E$13) + CHOOSE(CONTROL!$C$28, 0, 0)</f>
        <v>56.233499999999999</v>
      </c>
      <c r="E619" s="4">
        <f>307.216841303399 * CHOOSE(CONTROL!$C$9, $C$13, 100%, $E$13) + CHOOSE(CONTROL!$C$28, 0, 0)</f>
        <v>307.21684130339901</v>
      </c>
    </row>
    <row r="620" spans="1:5" ht="15">
      <c r="A620" s="13">
        <v>60752</v>
      </c>
      <c r="B620" s="4">
        <f>56.2527 * CHOOSE(CONTROL!$C$9, $C$13, 100%, $E$13) + CHOOSE(CONTROL!$C$28, 0.0003, 0)</f>
        <v>56.253</v>
      </c>
      <c r="C620" s="4">
        <f>55.9402 * CHOOSE(CONTROL!$C$9, $C$13, 100%, $E$13) + CHOOSE(CONTROL!$C$28, 0.0003, 0)</f>
        <v>55.9405</v>
      </c>
      <c r="D620" s="4">
        <f>57.8326 * CHOOSE(CONTROL!$C$9, $C$13, 100%, $E$13) + CHOOSE(CONTROL!$C$28, 0, 0)</f>
        <v>57.832599999999999</v>
      </c>
      <c r="E620" s="4">
        <f>319.748398204964 * CHOOSE(CONTROL!$C$9, $C$13, 100%, $E$13) + CHOOSE(CONTROL!$C$28, 0, 0)</f>
        <v>319.74839820496402</v>
      </c>
    </row>
    <row r="621" spans="1:5" ht="15">
      <c r="A621" s="13">
        <v>60783</v>
      </c>
      <c r="B621" s="4">
        <f>57.5548 * CHOOSE(CONTROL!$C$9, $C$13, 100%, $E$13) + CHOOSE(CONTROL!$C$28, 0.0276, 0)</f>
        <v>57.5824</v>
      </c>
      <c r="C621" s="4">
        <f>57.2423 * CHOOSE(CONTROL!$C$9, $C$13, 100%, $E$13) + CHOOSE(CONTROL!$C$28, 0.0276, 0)</f>
        <v>57.2699</v>
      </c>
      <c r="D621" s="4">
        <f>57.2007 * CHOOSE(CONTROL!$C$9, $C$13, 100%, $E$13) + CHOOSE(CONTROL!$C$28, 0, 0)</f>
        <v>57.200699999999998</v>
      </c>
      <c r="E621" s="4">
        <f>327.404879132319 * CHOOSE(CONTROL!$C$9, $C$13, 100%, $E$13) + CHOOSE(CONTROL!$C$28, 0, 0)</f>
        <v>327.40487913231902</v>
      </c>
    </row>
    <row r="622" spans="1:5" ht="15">
      <c r="A622" s="13">
        <v>60813</v>
      </c>
      <c r="B622" s="4">
        <f>57.731 * CHOOSE(CONTROL!$C$9, $C$13, 100%, $E$13) + CHOOSE(CONTROL!$C$28, 0.0276, 0)</f>
        <v>57.758600000000001</v>
      </c>
      <c r="C622" s="4">
        <f>57.4185 * CHOOSE(CONTROL!$C$9, $C$13, 100%, $E$13) + CHOOSE(CONTROL!$C$28, 0.0276, 0)</f>
        <v>57.446100000000001</v>
      </c>
      <c r="D622" s="4">
        <f>57.7154 * CHOOSE(CONTROL!$C$9, $C$13, 100%, $E$13) + CHOOSE(CONTROL!$C$28, 0, 0)</f>
        <v>57.715400000000002</v>
      </c>
      <c r="E622" s="4">
        <f>328.440832776838 * CHOOSE(CONTROL!$C$9, $C$13, 100%, $E$13) + CHOOSE(CONTROL!$C$28, 0, 0)</f>
        <v>328.44083277683802</v>
      </c>
    </row>
    <row r="623" spans="1:5" ht="15">
      <c r="A623" s="13">
        <v>60844</v>
      </c>
      <c r="B623" s="4">
        <f>57.7132 * CHOOSE(CONTROL!$C$9, $C$13, 100%, $E$13) + CHOOSE(CONTROL!$C$28, 0.0276, 0)</f>
        <v>57.7408</v>
      </c>
      <c r="C623" s="4">
        <f>57.4007 * CHOOSE(CONTROL!$C$9, $C$13, 100%, $E$13) + CHOOSE(CONTROL!$C$28, 0.0276, 0)</f>
        <v>57.4283</v>
      </c>
      <c r="D623" s="4">
        <f>58.6439 * CHOOSE(CONTROL!$C$9, $C$13, 100%, $E$13) + CHOOSE(CONTROL!$C$28, 0, 0)</f>
        <v>58.643900000000002</v>
      </c>
      <c r="E623" s="4">
        <f>328.336366863105 * CHOOSE(CONTROL!$C$9, $C$13, 100%, $E$13) + CHOOSE(CONTROL!$C$28, 0, 0)</f>
        <v>328.33636686310501</v>
      </c>
    </row>
    <row r="624" spans="1:5" ht="15">
      <c r="A624" s="13">
        <v>60875</v>
      </c>
      <c r="B624" s="4">
        <f>59.0501 * CHOOSE(CONTROL!$C$9, $C$13, 100%, $E$13) + CHOOSE(CONTROL!$C$28, 0.0276, 0)</f>
        <v>59.0777</v>
      </c>
      <c r="C624" s="4">
        <f>58.7376 * CHOOSE(CONTROL!$C$9, $C$13, 100%, $E$13) + CHOOSE(CONTROL!$C$28, 0.0276, 0)</f>
        <v>58.7652</v>
      </c>
      <c r="D624" s="4">
        <f>58.0307 * CHOOSE(CONTROL!$C$9, $C$13, 100%, $E$13) + CHOOSE(CONTROL!$C$28, 0, 0)</f>
        <v>58.030700000000003</v>
      </c>
      <c r="E624" s="4">
        <f>336.19742687152 * CHOOSE(CONTROL!$C$9, $C$13, 100%, $E$13) + CHOOSE(CONTROL!$C$28, 0, 0)</f>
        <v>336.19742687152001</v>
      </c>
    </row>
    <row r="625" spans="1:5" ht="15">
      <c r="A625" s="13">
        <v>60905</v>
      </c>
      <c r="B625" s="4">
        <f>56.7716 * CHOOSE(CONTROL!$C$9, $C$13, 100%, $E$13) + CHOOSE(CONTROL!$C$28, 0.0276, 0)</f>
        <v>56.799199999999999</v>
      </c>
      <c r="C625" s="4">
        <f>56.4591 * CHOOSE(CONTROL!$C$9, $C$13, 100%, $E$13) + CHOOSE(CONTROL!$C$28, 0.0276, 0)</f>
        <v>56.486699999999999</v>
      </c>
      <c r="D625" s="4">
        <f>57.741 * CHOOSE(CONTROL!$C$9, $C$13, 100%, $E$13) + CHOOSE(CONTROL!$C$28, 0, 0)</f>
        <v>57.741</v>
      </c>
      <c r="E625" s="4">
        <f>322.799673435251 * CHOOSE(CONTROL!$C$9, $C$13, 100%, $E$13) + CHOOSE(CONTROL!$C$28, 0, 0)</f>
        <v>322.79967343525101</v>
      </c>
    </row>
    <row r="626" spans="1:5" ht="15">
      <c r="A626" s="13">
        <v>60936</v>
      </c>
      <c r="B626" s="4">
        <f>54.9477 * CHOOSE(CONTROL!$C$9, $C$13, 100%, $E$13) + CHOOSE(CONTROL!$C$28, 0.0003, 0)</f>
        <v>54.948</v>
      </c>
      <c r="C626" s="4">
        <f>54.6352 * CHOOSE(CONTROL!$C$9, $C$13, 100%, $E$13) + CHOOSE(CONTROL!$C$28, 0.0003, 0)</f>
        <v>54.6355</v>
      </c>
      <c r="D626" s="4">
        <f>56.9652 * CHOOSE(CONTROL!$C$9, $C$13, 100%, $E$13) + CHOOSE(CONTROL!$C$28, 0, 0)</f>
        <v>56.965200000000003</v>
      </c>
      <c r="E626" s="4">
        <f>312.074506291987 * CHOOSE(CONTROL!$C$9, $C$13, 100%, $E$13) + CHOOSE(CONTROL!$C$28, 0, 0)</f>
        <v>312.07450629198701</v>
      </c>
    </row>
    <row r="627" spans="1:5" ht="15">
      <c r="A627" s="13">
        <v>60966</v>
      </c>
      <c r="B627" s="4">
        <f>53.7729 * CHOOSE(CONTROL!$C$9, $C$13, 100%, $E$13) + CHOOSE(CONTROL!$C$28, 0.0003, 0)</f>
        <v>53.773200000000003</v>
      </c>
      <c r="C627" s="4">
        <f>53.4604 * CHOOSE(CONTROL!$C$9, $C$13, 100%, $E$13) + CHOOSE(CONTROL!$C$28, 0.0003, 0)</f>
        <v>53.460700000000003</v>
      </c>
      <c r="D627" s="4">
        <f>56.6984 * CHOOSE(CONTROL!$C$9, $C$13, 100%, $E$13) + CHOOSE(CONTROL!$C$28, 0, 0)</f>
        <v>56.698399999999999</v>
      </c>
      <c r="E627" s="4">
        <f>305.166697746387 * CHOOSE(CONTROL!$C$9, $C$13, 100%, $E$13) + CHOOSE(CONTROL!$C$28, 0, 0)</f>
        <v>305.166697746387</v>
      </c>
    </row>
    <row r="628" spans="1:5" ht="15">
      <c r="A628" s="13">
        <v>60997</v>
      </c>
      <c r="B628" s="4">
        <f>52.9601 * CHOOSE(CONTROL!$C$9, $C$13, 100%, $E$13) + CHOOSE(CONTROL!$C$28, 0.0003, 0)</f>
        <v>52.9604</v>
      </c>
      <c r="C628" s="4">
        <f>52.6476 * CHOOSE(CONTROL!$C$9, $C$13, 100%, $E$13) + CHOOSE(CONTROL!$C$28, 0.0003, 0)</f>
        <v>52.6479</v>
      </c>
      <c r="D628" s="4">
        <f>54.7348 * CHOOSE(CONTROL!$C$9, $C$13, 100%, $E$13) + CHOOSE(CONTROL!$C$28, 0, 0)</f>
        <v>54.7348</v>
      </c>
      <c r="E628" s="4">
        <f>300.387382193098 * CHOOSE(CONTROL!$C$9, $C$13, 100%, $E$13) + CHOOSE(CONTROL!$C$28, 0, 0)</f>
        <v>300.38738219309801</v>
      </c>
    </row>
    <row r="629" spans="1:5" ht="15">
      <c r="A629" s="13">
        <v>61028</v>
      </c>
      <c r="B629" s="4">
        <f>51.6395 * CHOOSE(CONTROL!$C$9, $C$13, 100%, $E$13) + CHOOSE(CONTROL!$C$28, 0.0003, 0)</f>
        <v>51.639800000000001</v>
      </c>
      <c r="C629" s="4">
        <f>51.327 * CHOOSE(CONTROL!$C$9, $C$13, 100%, $E$13) + CHOOSE(CONTROL!$C$28, 0.0003, 0)</f>
        <v>51.327300000000001</v>
      </c>
      <c r="D629" s="4">
        <f>52.9301 * CHOOSE(CONTROL!$C$9, $C$13, 100%, $E$13) + CHOOSE(CONTROL!$C$28, 0, 0)</f>
        <v>52.930100000000003</v>
      </c>
      <c r="E629" s="4">
        <f>291.773416757049 * CHOOSE(CONTROL!$C$9, $C$13, 100%, $E$13) + CHOOSE(CONTROL!$C$28, 0, 0)</f>
        <v>291.77341675704901</v>
      </c>
    </row>
    <row r="630" spans="1:5" ht="15">
      <c r="A630" s="13">
        <v>61056</v>
      </c>
      <c r="B630" s="4">
        <f>52.8211 * CHOOSE(CONTROL!$C$9, $C$13, 100%, $E$13) + CHOOSE(CONTROL!$C$28, 0.0003, 0)</f>
        <v>52.821400000000004</v>
      </c>
      <c r="C630" s="4">
        <f>52.5086 * CHOOSE(CONTROL!$C$9, $C$13, 100%, $E$13) + CHOOSE(CONTROL!$C$28, 0.0003, 0)</f>
        <v>52.508900000000004</v>
      </c>
      <c r="D630" s="4">
        <f>54.7475 * CHOOSE(CONTROL!$C$9, $C$13, 100%, $E$13) + CHOOSE(CONTROL!$C$28, 0, 0)</f>
        <v>54.747500000000002</v>
      </c>
      <c r="E630" s="4">
        <f>298.701267523475 * CHOOSE(CONTROL!$C$9, $C$13, 100%, $E$13) + CHOOSE(CONTROL!$C$28, 0, 0)</f>
        <v>298.701267523475</v>
      </c>
    </row>
    <row r="631" spans="1:5" ht="15">
      <c r="A631" s="13">
        <v>61087</v>
      </c>
      <c r="B631" s="4">
        <f>55.924 * CHOOSE(CONTROL!$C$9, $C$13, 100%, $E$13) + CHOOSE(CONTROL!$C$28, 0.0003, 0)</f>
        <v>55.924300000000002</v>
      </c>
      <c r="C631" s="4">
        <f>55.6115 * CHOOSE(CONTROL!$C$9, $C$13, 100%, $E$13) + CHOOSE(CONTROL!$C$28, 0.0003, 0)</f>
        <v>55.611800000000002</v>
      </c>
      <c r="D631" s="4">
        <f>57.5924 * CHOOSE(CONTROL!$C$9, $C$13, 100%, $E$13) + CHOOSE(CONTROL!$C$28, 0, 0)</f>
        <v>57.592399999999998</v>
      </c>
      <c r="E631" s="4">
        <f>316.894171804456 * CHOOSE(CONTROL!$C$9, $C$13, 100%, $E$13) + CHOOSE(CONTROL!$C$28, 0, 0)</f>
        <v>316.89417180445599</v>
      </c>
    </row>
    <row r="632" spans="1:5" ht="15">
      <c r="A632" s="13">
        <v>61117</v>
      </c>
      <c r="B632" s="4">
        <f>58.1287 * CHOOSE(CONTROL!$C$9, $C$13, 100%, $E$13) + CHOOSE(CONTROL!$C$28, 0.0003, 0)</f>
        <v>58.129000000000005</v>
      </c>
      <c r="C632" s="4">
        <f>57.8162 * CHOOSE(CONTROL!$C$9, $C$13, 100%, $E$13) + CHOOSE(CONTROL!$C$28, 0.0003, 0)</f>
        <v>57.816500000000005</v>
      </c>
      <c r="D632" s="4">
        <f>59.2312 * CHOOSE(CONTROL!$C$9, $C$13, 100%, $E$13) + CHOOSE(CONTROL!$C$28, 0, 0)</f>
        <v>59.231200000000001</v>
      </c>
      <c r="E632" s="4">
        <f>329.82047274842 * CHOOSE(CONTROL!$C$9, $C$13, 100%, $E$13) + CHOOSE(CONTROL!$C$28, 0, 0)</f>
        <v>329.82047274842</v>
      </c>
    </row>
    <row r="633" spans="1:5" ht="15">
      <c r="A633" s="13">
        <v>61148</v>
      </c>
      <c r="B633" s="4">
        <f>59.4758 * CHOOSE(CONTROL!$C$9, $C$13, 100%, $E$13) + CHOOSE(CONTROL!$C$28, 0.0276, 0)</f>
        <v>59.503399999999999</v>
      </c>
      <c r="C633" s="4">
        <f>59.1633 * CHOOSE(CONTROL!$C$9, $C$13, 100%, $E$13) + CHOOSE(CONTROL!$C$28, 0.0276, 0)</f>
        <v>59.190899999999999</v>
      </c>
      <c r="D633" s="4">
        <f>58.5837 * CHOOSE(CONTROL!$C$9, $C$13, 100%, $E$13) + CHOOSE(CONTROL!$C$28, 0, 0)</f>
        <v>58.5837</v>
      </c>
      <c r="E633" s="4">
        <f>337.718132824987 * CHOOSE(CONTROL!$C$9, $C$13, 100%, $E$13) + CHOOSE(CONTROL!$C$28, 0, 0)</f>
        <v>337.71813282498698</v>
      </c>
    </row>
    <row r="634" spans="1:5" ht="15">
      <c r="A634" s="13">
        <v>61178</v>
      </c>
      <c r="B634" s="4">
        <f>59.658 * CHOOSE(CONTROL!$C$9, $C$13, 100%, $E$13) + CHOOSE(CONTROL!$C$28, 0.0276, 0)</f>
        <v>59.685600000000001</v>
      </c>
      <c r="C634" s="4">
        <f>59.3455 * CHOOSE(CONTROL!$C$9, $C$13, 100%, $E$13) + CHOOSE(CONTROL!$C$28, 0.0276, 0)</f>
        <v>59.373100000000001</v>
      </c>
      <c r="D634" s="4">
        <f>59.111 * CHOOSE(CONTROL!$C$9, $C$13, 100%, $E$13) + CHOOSE(CONTROL!$C$28, 0, 0)</f>
        <v>59.110999999999997</v>
      </c>
      <c r="E634" s="4">
        <f>338.786719009309 * CHOOSE(CONTROL!$C$9, $C$13, 100%, $E$13) + CHOOSE(CONTROL!$C$28, 0, 0)</f>
        <v>338.78671900930902</v>
      </c>
    </row>
    <row r="635" spans="1:5" ht="15">
      <c r="A635" s="13">
        <v>61209</v>
      </c>
      <c r="B635" s="4">
        <f>59.6396 * CHOOSE(CONTROL!$C$9, $C$13, 100%, $E$13) + CHOOSE(CONTROL!$C$28, 0.0276, 0)</f>
        <v>59.667200000000001</v>
      </c>
      <c r="C635" s="4">
        <f>59.3271 * CHOOSE(CONTROL!$C$9, $C$13, 100%, $E$13) + CHOOSE(CONTROL!$C$28, 0.0276, 0)</f>
        <v>59.354700000000001</v>
      </c>
      <c r="D635" s="4">
        <f>60.0627 * CHOOSE(CONTROL!$C$9, $C$13, 100%, $E$13) + CHOOSE(CONTROL!$C$28, 0, 0)</f>
        <v>60.0627</v>
      </c>
      <c r="E635" s="4">
        <f>338.678962419293 * CHOOSE(CONTROL!$C$9, $C$13, 100%, $E$13) + CHOOSE(CONTROL!$C$28, 0, 0)</f>
        <v>338.67896241929299</v>
      </c>
    </row>
    <row r="636" spans="1:5" ht="15">
      <c r="A636" s="13">
        <v>61240</v>
      </c>
      <c r="B636" s="4">
        <f>61.0226 * CHOOSE(CONTROL!$C$9, $C$13, 100%, $E$13) + CHOOSE(CONTROL!$C$28, 0.0276, 0)</f>
        <v>61.050199999999997</v>
      </c>
      <c r="C636" s="4">
        <f>60.7101 * CHOOSE(CONTROL!$C$9, $C$13, 100%, $E$13) + CHOOSE(CONTROL!$C$28, 0.0276, 0)</f>
        <v>60.737699999999997</v>
      </c>
      <c r="D636" s="4">
        <f>59.4342 * CHOOSE(CONTROL!$C$9, $C$13, 100%, $E$13) + CHOOSE(CONTROL!$C$28, 0, 0)</f>
        <v>59.434199999999997</v>
      </c>
      <c r="E636" s="4">
        <f>346.787645817973 * CHOOSE(CONTROL!$C$9, $C$13, 100%, $E$13) + CHOOSE(CONTROL!$C$28, 0, 0)</f>
        <v>346.78764581797299</v>
      </c>
    </row>
    <row r="637" spans="1:5" ht="15">
      <c r="A637" s="13">
        <v>61270</v>
      </c>
      <c r="B637" s="4">
        <f>58.6656 * CHOOSE(CONTROL!$C$9, $C$13, 100%, $E$13) + CHOOSE(CONTROL!$C$28, 0.0276, 0)</f>
        <v>58.693199999999997</v>
      </c>
      <c r="C637" s="4">
        <f>58.3531 * CHOOSE(CONTROL!$C$9, $C$13, 100%, $E$13) + CHOOSE(CONTROL!$C$28, 0.0276, 0)</f>
        <v>58.380699999999997</v>
      </c>
      <c r="D637" s="4">
        <f>59.1373 * CHOOSE(CONTROL!$C$9, $C$13, 100%, $E$13) + CHOOSE(CONTROL!$C$28, 0, 0)</f>
        <v>59.137300000000003</v>
      </c>
      <c r="E637" s="4">
        <f>332.967863148462 * CHOOSE(CONTROL!$C$9, $C$13, 100%, $E$13) + CHOOSE(CONTROL!$C$28, 0, 0)</f>
        <v>332.96786314846202</v>
      </c>
    </row>
    <row r="638" spans="1:5" ht="15">
      <c r="A638" s="13">
        <v>61301</v>
      </c>
      <c r="B638" s="4">
        <f>56.7787 * CHOOSE(CONTROL!$C$9, $C$13, 100%, $E$13) + CHOOSE(CONTROL!$C$28, 0.0003, 0)</f>
        <v>56.779000000000003</v>
      </c>
      <c r="C638" s="4">
        <f>56.4662 * CHOOSE(CONTROL!$C$9, $C$13, 100%, $E$13) + CHOOSE(CONTROL!$C$28, 0.0003, 0)</f>
        <v>56.466500000000003</v>
      </c>
      <c r="D638" s="4">
        <f>58.3422 * CHOOSE(CONTROL!$C$9, $C$13, 100%, $E$13) + CHOOSE(CONTROL!$C$28, 0, 0)</f>
        <v>58.342199999999998</v>
      </c>
      <c r="E638" s="4">
        <f>321.904853240185 * CHOOSE(CONTROL!$C$9, $C$13, 100%, $E$13) + CHOOSE(CONTROL!$C$28, 0, 0)</f>
        <v>321.90485324018499</v>
      </c>
    </row>
    <row r="639" spans="1:5" ht="15">
      <c r="A639" s="13">
        <v>61331</v>
      </c>
      <c r="B639" s="4">
        <f>55.5634 * CHOOSE(CONTROL!$C$9, $C$13, 100%, $E$13) + CHOOSE(CONTROL!$C$28, 0.0003, 0)</f>
        <v>55.563700000000004</v>
      </c>
      <c r="C639" s="4">
        <f>55.2509 * CHOOSE(CONTROL!$C$9, $C$13, 100%, $E$13) + CHOOSE(CONTROL!$C$28, 0.0003, 0)</f>
        <v>55.251200000000004</v>
      </c>
      <c r="D639" s="4">
        <f>58.0689 * CHOOSE(CONTROL!$C$9, $C$13, 100%, $E$13) + CHOOSE(CONTROL!$C$28, 0, 0)</f>
        <v>58.068899999999999</v>
      </c>
      <c r="E639" s="4">
        <f>314.779448725398 * CHOOSE(CONTROL!$C$9, $C$13, 100%, $E$13) + CHOOSE(CONTROL!$C$28, 0, 0)</f>
        <v>314.77944872539803</v>
      </c>
    </row>
    <row r="640" spans="1:5" ht="15">
      <c r="A640" s="13">
        <v>61362</v>
      </c>
      <c r="B640" s="4">
        <f>54.7225 * CHOOSE(CONTROL!$C$9, $C$13, 100%, $E$13) + CHOOSE(CONTROL!$C$28, 0.0003, 0)</f>
        <v>54.722799999999999</v>
      </c>
      <c r="C640" s="4">
        <f>54.41 * CHOOSE(CONTROL!$C$9, $C$13, 100%, $E$13) + CHOOSE(CONTROL!$C$28, 0.0003, 0)</f>
        <v>54.410299999999999</v>
      </c>
      <c r="D640" s="4">
        <f>56.0566 * CHOOSE(CONTROL!$C$9, $C$13, 100%, $E$13) + CHOOSE(CONTROL!$C$28, 0, 0)</f>
        <v>56.056600000000003</v>
      </c>
      <c r="E640" s="4">
        <f>309.84958473218 * CHOOSE(CONTROL!$C$9, $C$13, 100%, $E$13) + CHOOSE(CONTROL!$C$28, 0, 0)</f>
        <v>309.84958473218001</v>
      </c>
    </row>
    <row r="641" spans="1:5" ht="15">
      <c r="A641" s="13">
        <v>61393</v>
      </c>
      <c r="B641" s="4">
        <f>53.3564 * CHOOSE(CONTROL!$C$9, $C$13, 100%, $E$13) + CHOOSE(CONTROL!$C$28, 0.0003, 0)</f>
        <v>53.356700000000004</v>
      </c>
      <c r="C641" s="4">
        <f>53.0439 * CHOOSE(CONTROL!$C$9, $C$13, 100%, $E$13) + CHOOSE(CONTROL!$C$28, 0.0003, 0)</f>
        <v>53.044200000000004</v>
      </c>
      <c r="D641" s="4">
        <f>54.2071 * CHOOSE(CONTROL!$C$9, $C$13, 100%, $E$13) + CHOOSE(CONTROL!$C$28, 0, 0)</f>
        <v>54.207099999999997</v>
      </c>
      <c r="E641" s="4">
        <f>300.964279384897 * CHOOSE(CONTROL!$C$9, $C$13, 100%, $E$13) + CHOOSE(CONTROL!$C$28, 0, 0)</f>
        <v>300.964279384897</v>
      </c>
    </row>
    <row r="642" spans="1:5" ht="15">
      <c r="A642" s="13">
        <v>61422</v>
      </c>
      <c r="B642" s="4">
        <f>54.5787 * CHOOSE(CONTROL!$C$9, $C$13, 100%, $E$13) + CHOOSE(CONTROL!$C$28, 0.0003, 0)</f>
        <v>54.579000000000001</v>
      </c>
      <c r="C642" s="4">
        <f>54.2662 * CHOOSE(CONTROL!$C$9, $C$13, 100%, $E$13) + CHOOSE(CONTROL!$C$28, 0.0003, 0)</f>
        <v>54.266500000000001</v>
      </c>
      <c r="D642" s="4">
        <f>56.0696 * CHOOSE(CONTROL!$C$9, $C$13, 100%, $E$13) + CHOOSE(CONTROL!$C$28, 0, 0)</f>
        <v>56.069600000000001</v>
      </c>
      <c r="E642" s="4">
        <f>308.110357450464 * CHOOSE(CONTROL!$C$9, $C$13, 100%, $E$13) + CHOOSE(CONTROL!$C$28, 0, 0)</f>
        <v>308.11035745046399</v>
      </c>
    </row>
    <row r="643" spans="1:5" ht="15">
      <c r="A643" s="13">
        <v>61453</v>
      </c>
      <c r="B643" s="4">
        <f>57.7887 * CHOOSE(CONTROL!$C$9, $C$13, 100%, $E$13) + CHOOSE(CONTROL!$C$28, 0.0003, 0)</f>
        <v>57.789000000000001</v>
      </c>
      <c r="C643" s="4">
        <f>57.4762 * CHOOSE(CONTROL!$C$9, $C$13, 100%, $E$13) + CHOOSE(CONTROL!$C$28, 0.0003, 0)</f>
        <v>57.476500000000001</v>
      </c>
      <c r="D643" s="4">
        <f>58.9851 * CHOOSE(CONTROL!$C$9, $C$13, 100%, $E$13) + CHOOSE(CONTROL!$C$28, 0, 0)</f>
        <v>58.985100000000003</v>
      </c>
      <c r="E643" s="4">
        <f>326.876338216296 * CHOOSE(CONTROL!$C$9, $C$13, 100%, $E$13) + CHOOSE(CONTROL!$C$28, 0, 0)</f>
        <v>326.87633821629601</v>
      </c>
    </row>
    <row r="644" spans="1:5" ht="15">
      <c r="A644" s="13">
        <v>61483</v>
      </c>
      <c r="B644" s="4">
        <f>60.0695 * CHOOSE(CONTROL!$C$9, $C$13, 100%, $E$13) + CHOOSE(CONTROL!$C$28, 0.0003, 0)</f>
        <v>60.069800000000001</v>
      </c>
      <c r="C644" s="4">
        <f>59.757 * CHOOSE(CONTROL!$C$9, $C$13, 100%, $E$13) + CHOOSE(CONTROL!$C$28, 0.0003, 0)</f>
        <v>59.757300000000001</v>
      </c>
      <c r="D644" s="4">
        <f>60.6645 * CHOOSE(CONTROL!$C$9, $C$13, 100%, $E$13) + CHOOSE(CONTROL!$C$28, 0, 0)</f>
        <v>60.664499999999997</v>
      </c>
      <c r="E644" s="4">
        <f>340.209817639996 * CHOOSE(CONTROL!$C$9, $C$13, 100%, $E$13) + CHOOSE(CONTROL!$C$28, 0, 0)</f>
        <v>340.209817639996</v>
      </c>
    </row>
    <row r="645" spans="1:5" ht="15">
      <c r="A645" s="13">
        <v>61514</v>
      </c>
      <c r="B645" s="4">
        <f>61.463 * CHOOSE(CONTROL!$C$9, $C$13, 100%, $E$13) + CHOOSE(CONTROL!$C$28, 0.0276, 0)</f>
        <v>61.490600000000001</v>
      </c>
      <c r="C645" s="4">
        <f>61.1505 * CHOOSE(CONTROL!$C$9, $C$13, 100%, $E$13) + CHOOSE(CONTROL!$C$28, 0.0276, 0)</f>
        <v>61.178100000000001</v>
      </c>
      <c r="D645" s="4">
        <f>60.0009 * CHOOSE(CONTROL!$C$9, $C$13, 100%, $E$13) + CHOOSE(CONTROL!$C$28, 0, 0)</f>
        <v>60.000900000000001</v>
      </c>
      <c r="E645" s="4">
        <f>348.356254008974 * CHOOSE(CONTROL!$C$9, $C$13, 100%, $E$13) + CHOOSE(CONTROL!$C$28, 0, 0)</f>
        <v>348.35625400897402</v>
      </c>
    </row>
    <row r="646" spans="1:5" ht="15">
      <c r="A646" s="13">
        <v>61544</v>
      </c>
      <c r="B646" s="4">
        <f>61.6515 * CHOOSE(CONTROL!$C$9, $C$13, 100%, $E$13) + CHOOSE(CONTROL!$C$28, 0.0276, 0)</f>
        <v>61.679099999999998</v>
      </c>
      <c r="C646" s="4">
        <f>61.339 * CHOOSE(CONTROL!$C$9, $C$13, 100%, $E$13) + CHOOSE(CONTROL!$C$28, 0.0276, 0)</f>
        <v>61.366599999999998</v>
      </c>
      <c r="D646" s="4">
        <f>60.5413 * CHOOSE(CONTROL!$C$9, $C$13, 100%, $E$13) + CHOOSE(CONTROL!$C$28, 0, 0)</f>
        <v>60.5413</v>
      </c>
      <c r="E646" s="4">
        <f>349.458500658102 * CHOOSE(CONTROL!$C$9, $C$13, 100%, $E$13) + CHOOSE(CONTROL!$C$28, 0, 0)</f>
        <v>349.45850065810203</v>
      </c>
    </row>
    <row r="647" spans="1:5" ht="15">
      <c r="A647" s="13">
        <v>61575</v>
      </c>
      <c r="B647" s="4">
        <f>61.6325 * CHOOSE(CONTROL!$C$9, $C$13, 100%, $E$13) + CHOOSE(CONTROL!$C$28, 0.0276, 0)</f>
        <v>61.6601</v>
      </c>
      <c r="C647" s="4">
        <f>61.32 * CHOOSE(CONTROL!$C$9, $C$13, 100%, $E$13) + CHOOSE(CONTROL!$C$28, 0.0276, 0)</f>
        <v>61.3476</v>
      </c>
      <c r="D647" s="4">
        <f>61.5166 * CHOOSE(CONTROL!$C$9, $C$13, 100%, $E$13) + CHOOSE(CONTROL!$C$28, 0, 0)</f>
        <v>61.516599999999997</v>
      </c>
      <c r="E647" s="4">
        <f>349.347349735501 * CHOOSE(CONTROL!$C$9, $C$13, 100%, $E$13) + CHOOSE(CONTROL!$C$28, 0, 0)</f>
        <v>349.34734973550098</v>
      </c>
    </row>
    <row r="648" spans="1:5" ht="15">
      <c r="A648" s="13">
        <v>61606</v>
      </c>
      <c r="B648" s="4">
        <f>63.0632 * CHOOSE(CONTROL!$C$9, $C$13, 100%, $E$13) + CHOOSE(CONTROL!$C$28, 0.0276, 0)</f>
        <v>63.090800000000002</v>
      </c>
      <c r="C648" s="4">
        <f>62.7507 * CHOOSE(CONTROL!$C$9, $C$13, 100%, $E$13) + CHOOSE(CONTROL!$C$28, 0.0276, 0)</f>
        <v>62.778300000000002</v>
      </c>
      <c r="D648" s="4">
        <f>60.8725 * CHOOSE(CONTROL!$C$9, $C$13, 100%, $E$13) + CHOOSE(CONTROL!$C$28, 0, 0)</f>
        <v>60.872500000000002</v>
      </c>
      <c r="E648" s="4">
        <f>357.711456661239 * CHOOSE(CONTROL!$C$9, $C$13, 100%, $E$13) + CHOOSE(CONTROL!$C$28, 0, 0)</f>
        <v>357.71145666123903</v>
      </c>
    </row>
    <row r="649" spans="1:5" ht="15">
      <c r="A649" s="13">
        <v>61636</v>
      </c>
      <c r="B649" s="4">
        <f>60.6248 * CHOOSE(CONTROL!$C$9, $C$13, 100%, $E$13) + CHOOSE(CONTROL!$C$28, 0.0276, 0)</f>
        <v>60.6524</v>
      </c>
      <c r="C649" s="4">
        <f>60.3123 * CHOOSE(CONTROL!$C$9, $C$13, 100%, $E$13) + CHOOSE(CONTROL!$C$28, 0.0276, 0)</f>
        <v>60.3399</v>
      </c>
      <c r="D649" s="4">
        <f>60.5682 * CHOOSE(CONTROL!$C$9, $C$13, 100%, $E$13) + CHOOSE(CONTROL!$C$28, 0, 0)</f>
        <v>60.568199999999997</v>
      </c>
      <c r="E649" s="4">
        <f>343.456350837638 * CHOOSE(CONTROL!$C$9, $C$13, 100%, $E$13) + CHOOSE(CONTROL!$C$28, 0, 0)</f>
        <v>343.45635083763801</v>
      </c>
    </row>
    <row r="650" spans="1:5" ht="15">
      <c r="A650" s="13">
        <v>61667</v>
      </c>
      <c r="B650" s="4">
        <f>58.6728 * CHOOSE(CONTROL!$C$9, $C$13, 100%, $E$13) + CHOOSE(CONTROL!$C$28, 0.0003, 0)</f>
        <v>58.673100000000005</v>
      </c>
      <c r="C650" s="4">
        <f>58.3603 * CHOOSE(CONTROL!$C$9, $C$13, 100%, $E$13) + CHOOSE(CONTROL!$C$28, 0.0003, 0)</f>
        <v>58.360600000000005</v>
      </c>
      <c r="D650" s="4">
        <f>59.7535 * CHOOSE(CONTROL!$C$9, $C$13, 100%, $E$13) + CHOOSE(CONTROL!$C$28, 0, 0)</f>
        <v>59.753500000000003</v>
      </c>
      <c r="E650" s="4">
        <f>332.044856117251 * CHOOSE(CONTROL!$C$9, $C$13, 100%, $E$13) + CHOOSE(CONTROL!$C$28, 0, 0)</f>
        <v>332.04485611725102</v>
      </c>
    </row>
    <row r="651" spans="1:5" ht="15">
      <c r="A651" s="13">
        <v>61697</v>
      </c>
      <c r="B651" s="4">
        <f>57.4156 * CHOOSE(CONTROL!$C$9, $C$13, 100%, $E$13) + CHOOSE(CONTROL!$C$28, 0.0003, 0)</f>
        <v>57.415900000000001</v>
      </c>
      <c r="C651" s="4">
        <f>57.1031 * CHOOSE(CONTROL!$C$9, $C$13, 100%, $E$13) + CHOOSE(CONTROL!$C$28, 0.0003, 0)</f>
        <v>57.103400000000001</v>
      </c>
      <c r="D651" s="4">
        <f>59.4734 * CHOOSE(CONTROL!$C$9, $C$13, 100%, $E$13) + CHOOSE(CONTROL!$C$28, 0, 0)</f>
        <v>59.473399999999998</v>
      </c>
      <c r="E651" s="4">
        <f>324.695001360248 * CHOOSE(CONTROL!$C$9, $C$13, 100%, $E$13) + CHOOSE(CONTROL!$C$28, 0, 0)</f>
        <v>324.695001360248</v>
      </c>
    </row>
    <row r="652" spans="1:5" ht="15">
      <c r="A652" s="13">
        <v>61728</v>
      </c>
      <c r="B652" s="4">
        <f>56.5458 * CHOOSE(CONTROL!$C$9, $C$13, 100%, $E$13) + CHOOSE(CONTROL!$C$28, 0.0003, 0)</f>
        <v>56.546100000000003</v>
      </c>
      <c r="C652" s="4">
        <f>56.2333 * CHOOSE(CONTROL!$C$9, $C$13, 100%, $E$13) + CHOOSE(CONTROL!$C$28, 0.0003, 0)</f>
        <v>56.233600000000003</v>
      </c>
      <c r="D652" s="4">
        <f>57.4112 * CHOOSE(CONTROL!$C$9, $C$13, 100%, $E$13) + CHOOSE(CONTROL!$C$28, 0, 0)</f>
        <v>57.411200000000001</v>
      </c>
      <c r="E652" s="4">
        <f>319.609846651244 * CHOOSE(CONTROL!$C$9, $C$13, 100%, $E$13) + CHOOSE(CONTROL!$C$28, 0, 0)</f>
        <v>319.60984665124403</v>
      </c>
    </row>
    <row r="653" spans="1:5" ht="15">
      <c r="A653" s="13">
        <v>61759</v>
      </c>
      <c r="B653" s="4">
        <f>55.1325 * CHOOSE(CONTROL!$C$9, $C$13, 100%, $E$13) + CHOOSE(CONTROL!$C$28, 0.0003, 0)</f>
        <v>55.132800000000003</v>
      </c>
      <c r="C653" s="4">
        <f>54.82 * CHOOSE(CONTROL!$C$9, $C$13, 100%, $E$13) + CHOOSE(CONTROL!$C$28, 0.0003, 0)</f>
        <v>54.820300000000003</v>
      </c>
      <c r="D653" s="4">
        <f>55.5158 * CHOOSE(CONTROL!$C$9, $C$13, 100%, $E$13) + CHOOSE(CONTROL!$C$28, 0, 0)</f>
        <v>55.515799999999999</v>
      </c>
      <c r="E653" s="4">
        <f>310.444654185521 * CHOOSE(CONTROL!$C$9, $C$13, 100%, $E$13) + CHOOSE(CONTROL!$C$28, 0, 0)</f>
        <v>310.44465418552102</v>
      </c>
    </row>
    <row r="654" spans="1:5" ht="15">
      <c r="A654" s="13">
        <v>61787</v>
      </c>
      <c r="B654" s="4">
        <f>56.397 * CHOOSE(CONTROL!$C$9, $C$13, 100%, $E$13) + CHOOSE(CONTROL!$C$28, 0.0003, 0)</f>
        <v>56.397300000000001</v>
      </c>
      <c r="C654" s="4">
        <f>56.0845 * CHOOSE(CONTROL!$C$9, $C$13, 100%, $E$13) + CHOOSE(CONTROL!$C$28, 0.0003, 0)</f>
        <v>56.084800000000001</v>
      </c>
      <c r="D654" s="4">
        <f>57.4244 * CHOOSE(CONTROL!$C$9, $C$13, 100%, $E$13) + CHOOSE(CONTROL!$C$28, 0, 0)</f>
        <v>57.424399999999999</v>
      </c>
      <c r="E654" s="4">
        <f>317.815833710154 * CHOOSE(CONTROL!$C$9, $C$13, 100%, $E$13) + CHOOSE(CONTROL!$C$28, 0, 0)</f>
        <v>317.81583371015398</v>
      </c>
    </row>
    <row r="655" spans="1:5" ht="15">
      <c r="A655" s="13">
        <v>61818</v>
      </c>
      <c r="B655" s="4">
        <f>59.7178 * CHOOSE(CONTROL!$C$9, $C$13, 100%, $E$13) + CHOOSE(CONTROL!$C$28, 0.0003, 0)</f>
        <v>59.7181</v>
      </c>
      <c r="C655" s="4">
        <f>59.4053 * CHOOSE(CONTROL!$C$9, $C$13, 100%, $E$13) + CHOOSE(CONTROL!$C$28, 0.0003, 0)</f>
        <v>59.4056</v>
      </c>
      <c r="D655" s="4">
        <f>60.4122 * CHOOSE(CONTROL!$C$9, $C$13, 100%, $E$13) + CHOOSE(CONTROL!$C$28, 0, 0)</f>
        <v>60.412199999999999</v>
      </c>
      <c r="E655" s="4">
        <f>337.172942870109 * CHOOSE(CONTROL!$C$9, $C$13, 100%, $E$13) + CHOOSE(CONTROL!$C$28, 0, 0)</f>
        <v>337.17294287010901</v>
      </c>
    </row>
    <row r="656" spans="1:5" ht="15">
      <c r="A656" s="13">
        <v>61848</v>
      </c>
      <c r="B656" s="4">
        <f>62.0772 * CHOOSE(CONTROL!$C$9, $C$13, 100%, $E$13) + CHOOSE(CONTROL!$C$28, 0.0003, 0)</f>
        <v>62.077500000000001</v>
      </c>
      <c r="C656" s="4">
        <f>61.7647 * CHOOSE(CONTROL!$C$9, $C$13, 100%, $E$13) + CHOOSE(CONTROL!$C$28, 0.0003, 0)</f>
        <v>61.765000000000001</v>
      </c>
      <c r="D656" s="4">
        <f>62.1333 * CHOOSE(CONTROL!$C$9, $C$13, 100%, $E$13) + CHOOSE(CONTROL!$C$28, 0, 0)</f>
        <v>62.133299999999998</v>
      </c>
      <c r="E656" s="4">
        <f>350.926426895656 * CHOOSE(CONTROL!$C$9, $C$13, 100%, $E$13) + CHOOSE(CONTROL!$C$28, 0, 0)</f>
        <v>350.92642689565599</v>
      </c>
    </row>
    <row r="657" spans="1:5" ht="15">
      <c r="A657" s="13">
        <v>61879</v>
      </c>
      <c r="B657" s="4">
        <f>63.5188 * CHOOSE(CONTROL!$C$9, $C$13, 100%, $E$13) + CHOOSE(CONTROL!$C$28, 0.0276, 0)</f>
        <v>63.546399999999998</v>
      </c>
      <c r="C657" s="4">
        <f>63.2063 * CHOOSE(CONTROL!$C$9, $C$13, 100%, $E$13) + CHOOSE(CONTROL!$C$28, 0.0276, 0)</f>
        <v>63.233899999999998</v>
      </c>
      <c r="D657" s="4">
        <f>61.4532 * CHOOSE(CONTROL!$C$9, $C$13, 100%, $E$13) + CHOOSE(CONTROL!$C$28, 0, 0)</f>
        <v>61.453200000000002</v>
      </c>
      <c r="E657" s="4">
        <f>359.329476010256 * CHOOSE(CONTROL!$C$9, $C$13, 100%, $E$13) + CHOOSE(CONTROL!$C$28, 0, 0)</f>
        <v>359.32947601025597</v>
      </c>
    </row>
    <row r="658" spans="1:5" ht="15">
      <c r="A658" s="13">
        <v>61909</v>
      </c>
      <c r="B658" s="4">
        <f>63.7138 * CHOOSE(CONTROL!$C$9, $C$13, 100%, $E$13) + CHOOSE(CONTROL!$C$28, 0.0276, 0)</f>
        <v>63.741399999999999</v>
      </c>
      <c r="C658" s="4">
        <f>63.4013 * CHOOSE(CONTROL!$C$9, $C$13, 100%, $E$13) + CHOOSE(CONTROL!$C$28, 0.0276, 0)</f>
        <v>63.428899999999999</v>
      </c>
      <c r="D658" s="4">
        <f>62.0071 * CHOOSE(CONTROL!$C$9, $C$13, 100%, $E$13) + CHOOSE(CONTROL!$C$28, 0, 0)</f>
        <v>62.007100000000001</v>
      </c>
      <c r="E658" s="4">
        <f>360.466443428832 * CHOOSE(CONTROL!$C$9, $C$13, 100%, $E$13) + CHOOSE(CONTROL!$C$28, 0, 0)</f>
        <v>360.46644342883201</v>
      </c>
    </row>
    <row r="659" spans="1:5" ht="15">
      <c r="A659" s="13">
        <v>61940</v>
      </c>
      <c r="B659" s="4">
        <f>63.6941 * CHOOSE(CONTROL!$C$9, $C$13, 100%, $E$13) + CHOOSE(CONTROL!$C$28, 0.0276, 0)</f>
        <v>63.721699999999998</v>
      </c>
      <c r="C659" s="4">
        <f>63.3816 * CHOOSE(CONTROL!$C$9, $C$13, 100%, $E$13) + CHOOSE(CONTROL!$C$28, 0.0276, 0)</f>
        <v>63.409199999999998</v>
      </c>
      <c r="D659" s="4">
        <f>63.0065 * CHOOSE(CONTROL!$C$9, $C$13, 100%, $E$13) + CHOOSE(CONTROL!$C$28, 0, 0)</f>
        <v>63.006500000000003</v>
      </c>
      <c r="E659" s="4">
        <f>360.351791252169 * CHOOSE(CONTROL!$C$9, $C$13, 100%, $E$13) + CHOOSE(CONTROL!$C$28, 0, 0)</f>
        <v>360.35179125216899</v>
      </c>
    </row>
    <row r="660" spans="1:5" ht="15">
      <c r="A660" s="13">
        <v>61971</v>
      </c>
      <c r="B660" s="4">
        <f>65.1742 * CHOOSE(CONTROL!$C$9, $C$13, 100%, $E$13) + CHOOSE(CONTROL!$C$28, 0.0276, 0)</f>
        <v>65.201800000000006</v>
      </c>
      <c r="C660" s="4">
        <f>64.8617 * CHOOSE(CONTROL!$C$9, $C$13, 100%, $E$13) + CHOOSE(CONTROL!$C$28, 0.0276, 0)</f>
        <v>64.889300000000006</v>
      </c>
      <c r="D660" s="4">
        <f>62.3465 * CHOOSE(CONTROL!$C$9, $C$13, 100%, $E$13) + CHOOSE(CONTROL!$C$28, 0, 0)</f>
        <v>62.346499999999999</v>
      </c>
      <c r="E660" s="4">
        <f>368.979367546068 * CHOOSE(CONTROL!$C$9, $C$13, 100%, $E$13) + CHOOSE(CONTROL!$C$28, 0, 0)</f>
        <v>368.97936754606798</v>
      </c>
    </row>
    <row r="661" spans="1:5" ht="15">
      <c r="A661" s="13">
        <v>62001</v>
      </c>
      <c r="B661" s="4">
        <f>62.6517 * CHOOSE(CONTROL!$C$9, $C$13, 100%, $E$13) + CHOOSE(CONTROL!$C$28, 0.0276, 0)</f>
        <v>62.679299999999998</v>
      </c>
      <c r="C661" s="4">
        <f>62.3392 * CHOOSE(CONTROL!$C$9, $C$13, 100%, $E$13) + CHOOSE(CONTROL!$C$28, 0.0276, 0)</f>
        <v>62.366799999999998</v>
      </c>
      <c r="D661" s="4">
        <f>62.0347 * CHOOSE(CONTROL!$C$9, $C$13, 100%, $E$13) + CHOOSE(CONTROL!$C$28, 0, 0)</f>
        <v>62.034700000000001</v>
      </c>
      <c r="E661" s="4">
        <f>354.275225889024 * CHOOSE(CONTROL!$C$9, $C$13, 100%, $E$13) + CHOOSE(CONTROL!$C$28, 0, 0)</f>
        <v>354.275225889024</v>
      </c>
    </row>
    <row r="662" spans="1:5" ht="15">
      <c r="A662" s="13">
        <v>62032</v>
      </c>
      <c r="B662" s="4">
        <f>60.6324 * CHOOSE(CONTROL!$C$9, $C$13, 100%, $E$13) + CHOOSE(CONTROL!$C$28, 0.0003, 0)</f>
        <v>60.6327</v>
      </c>
      <c r="C662" s="4">
        <f>60.3199 * CHOOSE(CONTROL!$C$9, $C$13, 100%, $E$13) + CHOOSE(CONTROL!$C$28, 0.0003, 0)</f>
        <v>60.3202</v>
      </c>
      <c r="D662" s="4">
        <f>61.1997 * CHOOSE(CONTROL!$C$9, $C$13, 100%, $E$13) + CHOOSE(CONTROL!$C$28, 0, 0)</f>
        <v>61.1997</v>
      </c>
      <c r="E662" s="4">
        <f>342.504269084944 * CHOOSE(CONTROL!$C$9, $C$13, 100%, $E$13) + CHOOSE(CONTROL!$C$28, 0, 0)</f>
        <v>342.50426908494399</v>
      </c>
    </row>
    <row r="663" spans="1:5" ht="15">
      <c r="A663" s="13">
        <v>62062</v>
      </c>
      <c r="B663" s="4">
        <f>59.3318 * CHOOSE(CONTROL!$C$9, $C$13, 100%, $E$13) + CHOOSE(CONTROL!$C$28, 0.0003, 0)</f>
        <v>59.332100000000004</v>
      </c>
      <c r="C663" s="4">
        <f>59.0193 * CHOOSE(CONTROL!$C$9, $C$13, 100%, $E$13) + CHOOSE(CONTROL!$C$28, 0.0003, 0)</f>
        <v>59.019600000000004</v>
      </c>
      <c r="D663" s="4">
        <f>60.9127 * CHOOSE(CONTROL!$C$9, $C$13, 100%, $E$13) + CHOOSE(CONTROL!$C$28, 0, 0)</f>
        <v>60.912700000000001</v>
      </c>
      <c r="E663" s="4">
        <f>334.922893903096 * CHOOSE(CONTROL!$C$9, $C$13, 100%, $E$13) + CHOOSE(CONTROL!$C$28, 0, 0)</f>
        <v>334.922893903096</v>
      </c>
    </row>
    <row r="664" spans="1:5" ht="15">
      <c r="A664" s="13">
        <v>62093</v>
      </c>
      <c r="B664" s="4">
        <f>58.4319 * CHOOSE(CONTROL!$C$9, $C$13, 100%, $E$13) + CHOOSE(CONTROL!$C$28, 0.0003, 0)</f>
        <v>58.432200000000002</v>
      </c>
      <c r="C664" s="4">
        <f>58.1194 * CHOOSE(CONTROL!$C$9, $C$13, 100%, $E$13) + CHOOSE(CONTROL!$C$28, 0.0003, 0)</f>
        <v>58.119700000000002</v>
      </c>
      <c r="D664" s="4">
        <f>58.7993 * CHOOSE(CONTROL!$C$9, $C$13, 100%, $E$13) + CHOOSE(CONTROL!$C$28, 0, 0)</f>
        <v>58.799300000000002</v>
      </c>
      <c r="E664" s="4">
        <f>329.677556820758 * CHOOSE(CONTROL!$C$9, $C$13, 100%, $E$13) + CHOOSE(CONTROL!$C$28, 0, 0)</f>
        <v>329.67755682075801</v>
      </c>
    </row>
    <row r="665" spans="1:5" ht="15">
      <c r="A665" s="13">
        <v>62124</v>
      </c>
      <c r="B665" s="4">
        <f>56.9698 * CHOOSE(CONTROL!$C$9, $C$13, 100%, $E$13) + CHOOSE(CONTROL!$C$28, 0.0003, 0)</f>
        <v>56.970100000000002</v>
      </c>
      <c r="C665" s="4">
        <f>56.6573 * CHOOSE(CONTROL!$C$9, $C$13, 100%, $E$13) + CHOOSE(CONTROL!$C$28, 0.0003, 0)</f>
        <v>56.657600000000002</v>
      </c>
      <c r="D665" s="4">
        <f>56.8569 * CHOOSE(CONTROL!$C$9, $C$13, 100%, $E$13) + CHOOSE(CONTROL!$C$28, 0, 0)</f>
        <v>56.856900000000003</v>
      </c>
      <c r="E665" s="4">
        <f>320.223660792365 * CHOOSE(CONTROL!$C$9, $C$13, 100%, $E$13) + CHOOSE(CONTROL!$C$28, 0, 0)</f>
        <v>320.22366079236502</v>
      </c>
    </row>
    <row r="666" spans="1:5" ht="15">
      <c r="A666" s="13">
        <v>62152</v>
      </c>
      <c r="B666" s="4">
        <f>58.278 * CHOOSE(CONTROL!$C$9, $C$13, 100%, $E$13) + CHOOSE(CONTROL!$C$28, 0.0003, 0)</f>
        <v>58.278300000000002</v>
      </c>
      <c r="C666" s="4">
        <f>57.9655 * CHOOSE(CONTROL!$C$9, $C$13, 100%, $E$13) + CHOOSE(CONTROL!$C$28, 0.0003, 0)</f>
        <v>57.965800000000002</v>
      </c>
      <c r="D666" s="4">
        <f>58.8129 * CHOOSE(CONTROL!$C$9, $C$13, 100%, $E$13) + CHOOSE(CONTROL!$C$28, 0, 0)</f>
        <v>58.812899999999999</v>
      </c>
      <c r="E666" s="4">
        <f>327.827032472023 * CHOOSE(CONTROL!$C$9, $C$13, 100%, $E$13) + CHOOSE(CONTROL!$C$28, 0, 0)</f>
        <v>327.82703247202301</v>
      </c>
    </row>
    <row r="667" spans="1:5" ht="15">
      <c r="A667" s="13">
        <v>62183</v>
      </c>
      <c r="B667" s="4">
        <f>61.7133 * CHOOSE(CONTROL!$C$9, $C$13, 100%, $E$13) + CHOOSE(CONTROL!$C$28, 0.0003, 0)</f>
        <v>61.7136</v>
      </c>
      <c r="C667" s="4">
        <f>61.4008 * CHOOSE(CONTROL!$C$9, $C$13, 100%, $E$13) + CHOOSE(CONTROL!$C$28, 0.0003, 0)</f>
        <v>61.4011</v>
      </c>
      <c r="D667" s="4">
        <f>61.8748 * CHOOSE(CONTROL!$C$9, $C$13, 100%, $E$13) + CHOOSE(CONTROL!$C$28, 0, 0)</f>
        <v>61.8748</v>
      </c>
      <c r="E667" s="4">
        <f>347.793890570518 * CHOOSE(CONTROL!$C$9, $C$13, 100%, $E$13) + CHOOSE(CONTROL!$C$28, 0, 0)</f>
        <v>347.79389057051799</v>
      </c>
    </row>
    <row r="668" spans="1:5" ht="15">
      <c r="A668" s="13">
        <v>62213</v>
      </c>
      <c r="B668" s="4">
        <f>64.1542 * CHOOSE(CONTROL!$C$9, $C$13, 100%, $E$13) + CHOOSE(CONTROL!$C$28, 0.0003, 0)</f>
        <v>64.154499999999999</v>
      </c>
      <c r="C668" s="4">
        <f>63.8417 * CHOOSE(CONTROL!$C$9, $C$13, 100%, $E$13) + CHOOSE(CONTROL!$C$28, 0.0003, 0)</f>
        <v>63.842000000000006</v>
      </c>
      <c r="D668" s="4">
        <f>63.6386 * CHOOSE(CONTROL!$C$9, $C$13, 100%, $E$13) + CHOOSE(CONTROL!$C$28, 0, 0)</f>
        <v>63.638599999999997</v>
      </c>
      <c r="E668" s="4">
        <f>361.980609342869 * CHOOSE(CONTROL!$C$9, $C$13, 100%, $E$13) + CHOOSE(CONTROL!$C$28, 0, 0)</f>
        <v>361.980609342869</v>
      </c>
    </row>
    <row r="669" spans="1:5" ht="15">
      <c r="A669" s="13">
        <v>62244</v>
      </c>
      <c r="B669" s="4">
        <f>65.6455 * CHOOSE(CONTROL!$C$9, $C$13, 100%, $E$13) + CHOOSE(CONTROL!$C$28, 0.0276, 0)</f>
        <v>65.673100000000005</v>
      </c>
      <c r="C669" s="4">
        <f>65.333 * CHOOSE(CONTROL!$C$9, $C$13, 100%, $E$13) + CHOOSE(CONTROL!$C$28, 0.0276, 0)</f>
        <v>65.360600000000005</v>
      </c>
      <c r="D669" s="4">
        <f>62.9416 * CHOOSE(CONTROL!$C$9, $C$13, 100%, $E$13) + CHOOSE(CONTROL!$C$28, 0, 0)</f>
        <v>62.941600000000001</v>
      </c>
      <c r="E669" s="4">
        <f>370.648354504579 * CHOOSE(CONTROL!$C$9, $C$13, 100%, $E$13) + CHOOSE(CONTROL!$C$28, 0, 0)</f>
        <v>370.648354504579</v>
      </c>
    </row>
    <row r="670" spans="1:5" ht="15">
      <c r="A670" s="13">
        <v>62274</v>
      </c>
      <c r="B670" s="4">
        <f>65.8473 * CHOOSE(CONTROL!$C$9, $C$13, 100%, $E$13) + CHOOSE(CONTROL!$C$28, 0.0276, 0)</f>
        <v>65.874900000000011</v>
      </c>
      <c r="C670" s="4">
        <f>65.5348 * CHOOSE(CONTROL!$C$9, $C$13, 100%, $E$13) + CHOOSE(CONTROL!$C$28, 0.0276, 0)</f>
        <v>65.562400000000011</v>
      </c>
      <c r="D670" s="4">
        <f>63.5092 * CHOOSE(CONTROL!$C$9, $C$13, 100%, $E$13) + CHOOSE(CONTROL!$C$28, 0, 0)</f>
        <v>63.5092</v>
      </c>
      <c r="E670" s="4">
        <f>371.82113639684 * CHOOSE(CONTROL!$C$9, $C$13, 100%, $E$13) + CHOOSE(CONTROL!$C$28, 0, 0)</f>
        <v>371.82113639684002</v>
      </c>
    </row>
    <row r="671" spans="1:5" ht="15">
      <c r="A671" s="13">
        <v>62305</v>
      </c>
      <c r="B671" s="4">
        <f>65.8269 * CHOOSE(CONTROL!$C$9, $C$13, 100%, $E$13) + CHOOSE(CONTROL!$C$28, 0.0276, 0)</f>
        <v>65.854500000000002</v>
      </c>
      <c r="C671" s="4">
        <f>65.5144 * CHOOSE(CONTROL!$C$9, $C$13, 100%, $E$13) + CHOOSE(CONTROL!$C$28, 0.0276, 0)</f>
        <v>65.542000000000002</v>
      </c>
      <c r="D671" s="4">
        <f>64.5334 * CHOOSE(CONTROL!$C$9, $C$13, 100%, $E$13) + CHOOSE(CONTROL!$C$28, 0, 0)</f>
        <v>64.5334</v>
      </c>
      <c r="E671" s="4">
        <f>371.702872676612 * CHOOSE(CONTROL!$C$9, $C$13, 100%, $E$13) + CHOOSE(CONTROL!$C$28, 0, 0)</f>
        <v>371.702872676612</v>
      </c>
    </row>
    <row r="672" spans="1:5" ht="15">
      <c r="A672" s="13">
        <v>62336</v>
      </c>
      <c r="B672" s="4">
        <f>67.358 * CHOOSE(CONTROL!$C$9, $C$13, 100%, $E$13) + CHOOSE(CONTROL!$C$28, 0.0276, 0)</f>
        <v>67.385600000000011</v>
      </c>
      <c r="C672" s="4">
        <f>67.0455 * CHOOSE(CONTROL!$C$9, $C$13, 100%, $E$13) + CHOOSE(CONTROL!$C$28, 0.0276, 0)</f>
        <v>67.073100000000011</v>
      </c>
      <c r="D672" s="4">
        <f>63.857 * CHOOSE(CONTROL!$C$9, $C$13, 100%, $E$13) + CHOOSE(CONTROL!$C$28, 0, 0)</f>
        <v>63.856999999999999</v>
      </c>
      <c r="E672" s="4">
        <f>380.60221762377 * CHOOSE(CONTROL!$C$9, $C$13, 100%, $E$13) + CHOOSE(CONTROL!$C$28, 0, 0)</f>
        <v>380.60221762377</v>
      </c>
    </row>
    <row r="673" spans="1:5" ht="15">
      <c r="A673" s="13">
        <v>62366</v>
      </c>
      <c r="B673" s="4">
        <f>64.7485 * CHOOSE(CONTROL!$C$9, $C$13, 100%, $E$13) + CHOOSE(CONTROL!$C$28, 0.0276, 0)</f>
        <v>64.776100000000014</v>
      </c>
      <c r="C673" s="4">
        <f>64.436 * CHOOSE(CONTROL!$C$9, $C$13, 100%, $E$13) + CHOOSE(CONTROL!$C$28, 0.0276, 0)</f>
        <v>64.463600000000014</v>
      </c>
      <c r="D673" s="4">
        <f>63.5375 * CHOOSE(CONTROL!$C$9, $C$13, 100%, $E$13) + CHOOSE(CONTROL!$C$28, 0, 0)</f>
        <v>63.537500000000001</v>
      </c>
      <c r="E673" s="4">
        <f>365.434895504528 * CHOOSE(CONTROL!$C$9, $C$13, 100%, $E$13) + CHOOSE(CONTROL!$C$28, 0, 0)</f>
        <v>365.43489550452801</v>
      </c>
    </row>
    <row r="674" spans="1:5" ht="15">
      <c r="A674" s="13">
        <v>62397</v>
      </c>
      <c r="B674" s="4">
        <f>62.6595 * CHOOSE(CONTROL!$C$9, $C$13, 100%, $E$13) + CHOOSE(CONTROL!$C$28, 0.0003, 0)</f>
        <v>62.659800000000004</v>
      </c>
      <c r="C674" s="4">
        <f>62.347 * CHOOSE(CONTROL!$C$9, $C$13, 100%, $E$13) + CHOOSE(CONTROL!$C$28, 0.0003, 0)</f>
        <v>62.347300000000004</v>
      </c>
      <c r="D674" s="4">
        <f>62.6818 * CHOOSE(CONTROL!$C$9, $C$13, 100%, $E$13) + CHOOSE(CONTROL!$C$28, 0, 0)</f>
        <v>62.681800000000003</v>
      </c>
      <c r="E674" s="4">
        <f>353.29315356112 * CHOOSE(CONTROL!$C$9, $C$13, 100%, $E$13) + CHOOSE(CONTROL!$C$28, 0, 0)</f>
        <v>353.29315356111999</v>
      </c>
    </row>
    <row r="675" spans="1:5" ht="15">
      <c r="A675" s="13">
        <v>62427</v>
      </c>
      <c r="B675" s="4">
        <f>61.314 * CHOOSE(CONTROL!$C$9, $C$13, 100%, $E$13) + CHOOSE(CONTROL!$C$28, 0.0003, 0)</f>
        <v>61.314300000000003</v>
      </c>
      <c r="C675" s="4">
        <f>61.0015 * CHOOSE(CONTROL!$C$9, $C$13, 100%, $E$13) + CHOOSE(CONTROL!$C$28, 0.0003, 0)</f>
        <v>61.001800000000003</v>
      </c>
      <c r="D675" s="4">
        <f>62.3876 * CHOOSE(CONTROL!$C$9, $C$13, 100%, $E$13) + CHOOSE(CONTROL!$C$28, 0, 0)</f>
        <v>62.387599999999999</v>
      </c>
      <c r="E675" s="4">
        <f>345.472965061043 * CHOOSE(CONTROL!$C$9, $C$13, 100%, $E$13) + CHOOSE(CONTROL!$C$28, 0, 0)</f>
        <v>345.472965061043</v>
      </c>
    </row>
    <row r="676" spans="1:5" ht="15">
      <c r="A676" s="13">
        <v>62458</v>
      </c>
      <c r="B676" s="4">
        <f>60.3831 * CHOOSE(CONTROL!$C$9, $C$13, 100%, $E$13) + CHOOSE(CONTROL!$C$28, 0.0003, 0)</f>
        <v>60.383400000000002</v>
      </c>
      <c r="C676" s="4">
        <f>60.0706 * CHOOSE(CONTROL!$C$9, $C$13, 100%, $E$13) + CHOOSE(CONTROL!$C$28, 0.0003, 0)</f>
        <v>60.070900000000002</v>
      </c>
      <c r="D676" s="4">
        <f>60.2219 * CHOOSE(CONTROL!$C$9, $C$13, 100%, $E$13) + CHOOSE(CONTROL!$C$28, 0, 0)</f>
        <v>60.221899999999998</v>
      </c>
      <c r="E676" s="4">
        <f>340.062399860612 * CHOOSE(CONTROL!$C$9, $C$13, 100%, $E$13) + CHOOSE(CONTROL!$C$28, 0, 0)</f>
        <v>340.062399860612</v>
      </c>
    </row>
    <row r="677" spans="1:5" ht="15">
      <c r="A677" s="13">
        <v>62489</v>
      </c>
      <c r="B677" s="4">
        <f>58.8706 * CHOOSE(CONTROL!$C$9, $C$13, 100%, $E$13) + CHOOSE(CONTROL!$C$28, 0.0003, 0)</f>
        <v>58.870900000000006</v>
      </c>
      <c r="C677" s="4">
        <f>58.5581 * CHOOSE(CONTROL!$C$9, $C$13, 100%, $E$13) + CHOOSE(CONTROL!$C$28, 0.0003, 0)</f>
        <v>58.558400000000006</v>
      </c>
      <c r="D677" s="4">
        <f>58.2313 * CHOOSE(CONTROL!$C$9, $C$13, 100%, $E$13) + CHOOSE(CONTROL!$C$28, 0, 0)</f>
        <v>58.231299999999997</v>
      </c>
      <c r="E677" s="4">
        <f>330.310706107324 * CHOOSE(CONTROL!$C$9, $C$13, 100%, $E$13) + CHOOSE(CONTROL!$C$28, 0, 0)</f>
        <v>330.31070610732399</v>
      </c>
    </row>
    <row r="678" spans="1:5" ht="15">
      <c r="A678" s="13">
        <v>62517</v>
      </c>
      <c r="B678" s="4">
        <f>60.2239 * CHOOSE(CONTROL!$C$9, $C$13, 100%, $E$13) + CHOOSE(CONTROL!$C$28, 0.0003, 0)</f>
        <v>60.224200000000003</v>
      </c>
      <c r="C678" s="4">
        <f>59.9114 * CHOOSE(CONTROL!$C$9, $C$13, 100%, $E$13) + CHOOSE(CONTROL!$C$28, 0.0003, 0)</f>
        <v>59.911700000000003</v>
      </c>
      <c r="D678" s="4">
        <f>60.2358 * CHOOSE(CONTROL!$C$9, $C$13, 100%, $E$13) + CHOOSE(CONTROL!$C$28, 0, 0)</f>
        <v>60.235799999999998</v>
      </c>
      <c r="E678" s="4">
        <f>338.153583994892 * CHOOSE(CONTROL!$C$9, $C$13, 100%, $E$13) + CHOOSE(CONTROL!$C$28, 0, 0)</f>
        <v>338.15358399489202</v>
      </c>
    </row>
    <row r="679" spans="1:5" ht="15">
      <c r="A679" s="13">
        <v>62548</v>
      </c>
      <c r="B679" s="4">
        <f>63.7778 * CHOOSE(CONTROL!$C$9, $C$13, 100%, $E$13) + CHOOSE(CONTROL!$C$28, 0.0003, 0)</f>
        <v>63.778100000000002</v>
      </c>
      <c r="C679" s="4">
        <f>63.4653 * CHOOSE(CONTROL!$C$9, $C$13, 100%, $E$13) + CHOOSE(CONTROL!$C$28, 0.0003, 0)</f>
        <v>63.465600000000002</v>
      </c>
      <c r="D679" s="4">
        <f>63.3737 * CHOOSE(CONTROL!$C$9, $C$13, 100%, $E$13) + CHOOSE(CONTROL!$C$28, 0, 0)</f>
        <v>63.373699999999999</v>
      </c>
      <c r="E679" s="4">
        <f>358.749398123489 * CHOOSE(CONTROL!$C$9, $C$13, 100%, $E$13) + CHOOSE(CONTROL!$C$28, 0, 0)</f>
        <v>358.74939812348902</v>
      </c>
    </row>
    <row r="680" spans="1:5" ht="15">
      <c r="A680" s="13">
        <v>62578</v>
      </c>
      <c r="B680" s="4">
        <f>66.3028 * CHOOSE(CONTROL!$C$9, $C$13, 100%, $E$13) + CHOOSE(CONTROL!$C$28, 0.0003, 0)</f>
        <v>66.303100000000001</v>
      </c>
      <c r="C680" s="4">
        <f>65.9903 * CHOOSE(CONTROL!$C$9, $C$13, 100%, $E$13) + CHOOSE(CONTROL!$C$28, 0.0003, 0)</f>
        <v>65.990600000000001</v>
      </c>
      <c r="D680" s="4">
        <f>65.1812 * CHOOSE(CONTROL!$C$9, $C$13, 100%, $E$13) + CHOOSE(CONTROL!$C$28, 0, 0)</f>
        <v>65.181200000000004</v>
      </c>
      <c r="E680" s="4">
        <f>373.382998537169 * CHOOSE(CONTROL!$C$9, $C$13, 100%, $E$13) + CHOOSE(CONTROL!$C$28, 0, 0)</f>
        <v>373.38299853716899</v>
      </c>
    </row>
    <row r="681" spans="1:5" ht="15">
      <c r="A681" s="13">
        <v>62609</v>
      </c>
      <c r="B681" s="4">
        <f>67.8456 * CHOOSE(CONTROL!$C$9, $C$13, 100%, $E$13) + CHOOSE(CONTROL!$C$28, 0.0276, 0)</f>
        <v>67.873200000000011</v>
      </c>
      <c r="C681" s="4">
        <f>67.5331 * CHOOSE(CONTROL!$C$9, $C$13, 100%, $E$13) + CHOOSE(CONTROL!$C$28, 0.0276, 0)</f>
        <v>67.560700000000011</v>
      </c>
      <c r="D681" s="4">
        <f>64.4669 * CHOOSE(CONTROL!$C$9, $C$13, 100%, $E$13) + CHOOSE(CONTROL!$C$28, 0, 0)</f>
        <v>64.466899999999995</v>
      </c>
      <c r="E681" s="4">
        <f>382.323777671474 * CHOOSE(CONTROL!$C$9, $C$13, 100%, $E$13) + CHOOSE(CONTROL!$C$28, 0, 0)</f>
        <v>382.32377767147398</v>
      </c>
    </row>
    <row r="682" spans="1:5" ht="15">
      <c r="A682" s="13">
        <v>62639</v>
      </c>
      <c r="B682" s="4">
        <f>68.0543 * CHOOSE(CONTROL!$C$9, $C$13, 100%, $E$13) + CHOOSE(CONTROL!$C$28, 0.0276, 0)</f>
        <v>68.081900000000005</v>
      </c>
      <c r="C682" s="4">
        <f>67.7418 * CHOOSE(CONTROL!$C$9, $C$13, 100%, $E$13) + CHOOSE(CONTROL!$C$28, 0.0276, 0)</f>
        <v>67.769400000000005</v>
      </c>
      <c r="D682" s="4">
        <f>65.0486 * CHOOSE(CONTROL!$C$9, $C$13, 100%, $E$13) + CHOOSE(CONTROL!$C$28, 0, 0)</f>
        <v>65.048599999999993</v>
      </c>
      <c r="E682" s="4">
        <f>383.533502193341 * CHOOSE(CONTROL!$C$9, $C$13, 100%, $E$13) + CHOOSE(CONTROL!$C$28, 0, 0)</f>
        <v>383.53350219334101</v>
      </c>
    </row>
    <row r="683" spans="1:5" ht="15">
      <c r="A683" s="13">
        <v>62670</v>
      </c>
      <c r="B683" s="4">
        <f>68.0332 * CHOOSE(CONTROL!$C$9, $C$13, 100%, $E$13) + CHOOSE(CONTROL!$C$28, 0.0276, 0)</f>
        <v>68.0608</v>
      </c>
      <c r="C683" s="4">
        <f>67.7207 * CHOOSE(CONTROL!$C$9, $C$13, 100%, $E$13) + CHOOSE(CONTROL!$C$28, 0.0276, 0)</f>
        <v>67.7483</v>
      </c>
      <c r="D683" s="4">
        <f>66.0982 * CHOOSE(CONTROL!$C$9, $C$13, 100%, $E$13) + CHOOSE(CONTROL!$C$28, 0, 0)</f>
        <v>66.098200000000006</v>
      </c>
      <c r="E683" s="4">
        <f>383.411513165926 * CHOOSE(CONTROL!$C$9, $C$13, 100%, $E$13) + CHOOSE(CONTROL!$C$28, 0, 0)</f>
        <v>383.41151316592601</v>
      </c>
    </row>
    <row r="684" spans="1:5" ht="15">
      <c r="A684" s="13">
        <v>62701</v>
      </c>
      <c r="B684" s="4">
        <f>69.6172 * CHOOSE(CONTROL!$C$9, $C$13, 100%, $E$13) + CHOOSE(CONTROL!$C$28, 0.0276, 0)</f>
        <v>69.644800000000004</v>
      </c>
      <c r="C684" s="4">
        <f>69.3047 * CHOOSE(CONTROL!$C$9, $C$13, 100%, $E$13) + CHOOSE(CONTROL!$C$28, 0.0276, 0)</f>
        <v>69.332300000000004</v>
      </c>
      <c r="D684" s="4">
        <f>65.405 * CHOOSE(CONTROL!$C$9, $C$13, 100%, $E$13) + CHOOSE(CONTROL!$C$28, 0, 0)</f>
        <v>65.405000000000001</v>
      </c>
      <c r="E684" s="4">
        <f>392.591187478918 * CHOOSE(CONTROL!$C$9, $C$13, 100%, $E$13) + CHOOSE(CONTROL!$C$28, 0, 0)</f>
        <v>392.59118747891802</v>
      </c>
    </row>
    <row r="685" spans="1:5" ht="15">
      <c r="A685" s="13">
        <v>62731</v>
      </c>
      <c r="B685" s="4">
        <f>66.9176 * CHOOSE(CONTROL!$C$9, $C$13, 100%, $E$13) + CHOOSE(CONTROL!$C$28, 0.0276, 0)</f>
        <v>66.9452</v>
      </c>
      <c r="C685" s="4">
        <f>66.6051 * CHOOSE(CONTROL!$C$9, $C$13, 100%, $E$13) + CHOOSE(CONTROL!$C$28, 0.0276, 0)</f>
        <v>66.6327</v>
      </c>
      <c r="D685" s="4">
        <f>65.0775 * CHOOSE(CONTROL!$C$9, $C$13, 100%, $E$13) + CHOOSE(CONTROL!$C$28, 0, 0)</f>
        <v>65.077500000000001</v>
      </c>
      <c r="E685" s="4">
        <f>376.946094712921 * CHOOSE(CONTROL!$C$9, $C$13, 100%, $E$13) + CHOOSE(CONTROL!$C$28, 0, 0)</f>
        <v>376.94609471292102</v>
      </c>
    </row>
    <row r="686" spans="1:5" ht="15">
      <c r="A686" s="13">
        <v>62762</v>
      </c>
      <c r="B686" s="4">
        <f>64.7566 * CHOOSE(CONTROL!$C$9, $C$13, 100%, $E$13) + CHOOSE(CONTROL!$C$28, 0.0003, 0)</f>
        <v>64.756900000000002</v>
      </c>
      <c r="C686" s="4">
        <f>64.4441 * CHOOSE(CONTROL!$C$9, $C$13, 100%, $E$13) + CHOOSE(CONTROL!$C$28, 0.0003, 0)</f>
        <v>64.444400000000002</v>
      </c>
      <c r="D686" s="4">
        <f>64.2007 * CHOOSE(CONTROL!$C$9, $C$13, 100%, $E$13) + CHOOSE(CONTROL!$C$28, 0, 0)</f>
        <v>64.200699999999998</v>
      </c>
      <c r="E686" s="4">
        <f>364.421887898295 * CHOOSE(CONTROL!$C$9, $C$13, 100%, $E$13) + CHOOSE(CONTROL!$C$28, 0, 0)</f>
        <v>364.42188789829498</v>
      </c>
    </row>
    <row r="687" spans="1:5" ht="15">
      <c r="A687" s="13">
        <v>62792</v>
      </c>
      <c r="B687" s="4">
        <f>63.3647 * CHOOSE(CONTROL!$C$9, $C$13, 100%, $E$13) + CHOOSE(CONTROL!$C$28, 0.0003, 0)</f>
        <v>63.365000000000002</v>
      </c>
      <c r="C687" s="4">
        <f>63.0522 * CHOOSE(CONTROL!$C$9, $C$13, 100%, $E$13) + CHOOSE(CONTROL!$C$28, 0.0003, 0)</f>
        <v>63.052500000000002</v>
      </c>
      <c r="D687" s="4">
        <f>63.8992 * CHOOSE(CONTROL!$C$9, $C$13, 100%, $E$13) + CHOOSE(CONTROL!$C$28, 0, 0)</f>
        <v>63.8992</v>
      </c>
      <c r="E687" s="4">
        <f>356.355363460466 * CHOOSE(CONTROL!$C$9, $C$13, 100%, $E$13) + CHOOSE(CONTROL!$C$28, 0, 0)</f>
        <v>356.35536346046598</v>
      </c>
    </row>
    <row r="688" spans="1:5" ht="15">
      <c r="A688" s="13">
        <v>62823</v>
      </c>
      <c r="B688" s="4">
        <f>62.4017 * CHOOSE(CONTROL!$C$9, $C$13, 100%, $E$13) + CHOOSE(CONTROL!$C$28, 0.0003, 0)</f>
        <v>62.402000000000001</v>
      </c>
      <c r="C688" s="4">
        <f>62.0892 * CHOOSE(CONTROL!$C$9, $C$13, 100%, $E$13) + CHOOSE(CONTROL!$C$28, 0.0003, 0)</f>
        <v>62.089500000000001</v>
      </c>
      <c r="D688" s="4">
        <f>61.6797 * CHOOSE(CONTROL!$C$9, $C$13, 100%, $E$13) + CHOOSE(CONTROL!$C$28, 0, 0)</f>
        <v>61.679699999999997</v>
      </c>
      <c r="E688" s="4">
        <f>350.774365456222 * CHOOSE(CONTROL!$C$9, $C$13, 100%, $E$13) + CHOOSE(CONTROL!$C$28, 0, 0)</f>
        <v>350.77436545622197</v>
      </c>
    </row>
    <row r="689" spans="1:5" ht="15">
      <c r="A689" s="13">
        <v>62854</v>
      </c>
      <c r="B689" s="4">
        <f>60.837 * CHOOSE(CONTROL!$C$9, $C$13, 100%, $E$13) + CHOOSE(CONTROL!$C$28, 0.0003, 0)</f>
        <v>60.837300000000006</v>
      </c>
      <c r="C689" s="4">
        <f>60.5245 * CHOOSE(CONTROL!$C$9, $C$13, 100%, $E$13) + CHOOSE(CONTROL!$C$28, 0.0003, 0)</f>
        <v>60.524800000000006</v>
      </c>
      <c r="D689" s="4">
        <f>59.6398 * CHOOSE(CONTROL!$C$9, $C$13, 100%, $E$13) + CHOOSE(CONTROL!$C$28, 0, 0)</f>
        <v>59.639800000000001</v>
      </c>
      <c r="E689" s="4">
        <f>340.715493349705 * CHOOSE(CONTROL!$C$9, $C$13, 100%, $E$13) + CHOOSE(CONTROL!$C$28, 0, 0)</f>
        <v>340.71549334970501</v>
      </c>
    </row>
    <row r="690" spans="1:5" ht="15">
      <c r="A690" s="13">
        <v>62883</v>
      </c>
      <c r="B690" s="4">
        <f>62.237 * CHOOSE(CONTROL!$C$9, $C$13, 100%, $E$13) + CHOOSE(CONTROL!$C$28, 0.0003, 0)</f>
        <v>62.237300000000005</v>
      </c>
      <c r="C690" s="4">
        <f>61.9245 * CHOOSE(CONTROL!$C$9, $C$13, 100%, $E$13) + CHOOSE(CONTROL!$C$28, 0.0003, 0)</f>
        <v>61.924800000000005</v>
      </c>
      <c r="D690" s="4">
        <f>61.694 * CHOOSE(CONTROL!$C$9, $C$13, 100%, $E$13) + CHOOSE(CONTROL!$C$28, 0, 0)</f>
        <v>61.694000000000003</v>
      </c>
      <c r="E690" s="4">
        <f>348.805421890731 * CHOOSE(CONTROL!$C$9, $C$13, 100%, $E$13) + CHOOSE(CONTROL!$C$28, 0, 0)</f>
        <v>348.805421890731</v>
      </c>
    </row>
    <row r="691" spans="1:5" ht="15">
      <c r="A691" s="13">
        <v>62914</v>
      </c>
      <c r="B691" s="4">
        <f>65.9134 * CHOOSE(CONTROL!$C$9, $C$13, 100%, $E$13) + CHOOSE(CONTROL!$C$28, 0.0003, 0)</f>
        <v>65.913699999999992</v>
      </c>
      <c r="C691" s="4">
        <f>65.6009 * CHOOSE(CONTROL!$C$9, $C$13, 100%, $E$13) + CHOOSE(CONTROL!$C$28, 0.0003, 0)</f>
        <v>65.601199999999992</v>
      </c>
      <c r="D691" s="4">
        <f>64.9097 * CHOOSE(CONTROL!$C$9, $C$13, 100%, $E$13) + CHOOSE(CONTROL!$C$28, 0, 0)</f>
        <v>64.909700000000001</v>
      </c>
      <c r="E691" s="4">
        <f>370.050004164379 * CHOOSE(CONTROL!$C$9, $C$13, 100%, $E$13) + CHOOSE(CONTROL!$C$28, 0, 0)</f>
        <v>370.050004164379</v>
      </c>
    </row>
    <row r="692" spans="1:5" ht="15">
      <c r="A692" s="13">
        <v>62944</v>
      </c>
      <c r="B692" s="4">
        <f>68.5256 * CHOOSE(CONTROL!$C$9, $C$13, 100%, $E$13) + CHOOSE(CONTROL!$C$28, 0.0003, 0)</f>
        <v>68.525899999999993</v>
      </c>
      <c r="C692" s="4">
        <f>68.2131 * CHOOSE(CONTROL!$C$9, $C$13, 100%, $E$13) + CHOOSE(CONTROL!$C$28, 0.0003, 0)</f>
        <v>68.213399999999993</v>
      </c>
      <c r="D692" s="4">
        <f>66.762 * CHOOSE(CONTROL!$C$9, $C$13, 100%, $E$13) + CHOOSE(CONTROL!$C$28, 0, 0)</f>
        <v>66.762</v>
      </c>
      <c r="E692" s="4">
        <f>385.14456299109 * CHOOSE(CONTROL!$C$9, $C$13, 100%, $E$13) + CHOOSE(CONTROL!$C$28, 0, 0)</f>
        <v>385.14456299109003</v>
      </c>
    </row>
    <row r="693" spans="1:5" ht="15">
      <c r="A693" s="13">
        <v>62975</v>
      </c>
      <c r="B693" s="4">
        <f>70.1215 * CHOOSE(CONTROL!$C$9, $C$13, 100%, $E$13) + CHOOSE(CONTROL!$C$28, 0.0276, 0)</f>
        <v>70.149100000000004</v>
      </c>
      <c r="C693" s="4">
        <f>69.809 * CHOOSE(CONTROL!$C$9, $C$13, 100%, $E$13) + CHOOSE(CONTROL!$C$28, 0.0276, 0)</f>
        <v>69.836600000000004</v>
      </c>
      <c r="D693" s="4">
        <f>66.03 * CHOOSE(CONTROL!$C$9, $C$13, 100%, $E$13) + CHOOSE(CONTROL!$C$28, 0, 0)</f>
        <v>66.03</v>
      </c>
      <c r="E693" s="4">
        <f>394.366976668125 * CHOOSE(CONTROL!$C$9, $C$13, 100%, $E$13) + CHOOSE(CONTROL!$C$28, 0, 0)</f>
        <v>394.36697666812501</v>
      </c>
    </row>
    <row r="694" spans="1:5" ht="15">
      <c r="A694" s="13">
        <v>63005</v>
      </c>
      <c r="B694" s="4">
        <f>70.3375 * CHOOSE(CONTROL!$C$9, $C$13, 100%, $E$13) + CHOOSE(CONTROL!$C$28, 0.0276, 0)</f>
        <v>70.365100000000012</v>
      </c>
      <c r="C694" s="4">
        <f>70.025 * CHOOSE(CONTROL!$C$9, $C$13, 100%, $E$13) + CHOOSE(CONTROL!$C$28, 0.0276, 0)</f>
        <v>70.052600000000012</v>
      </c>
      <c r="D694" s="4">
        <f>66.6262 * CHOOSE(CONTROL!$C$9, $C$13, 100%, $E$13) + CHOOSE(CONTROL!$C$28, 0, 0)</f>
        <v>66.626199999999997</v>
      </c>
      <c r="E694" s="4">
        <f>395.614807512431 * CHOOSE(CONTROL!$C$9, $C$13, 100%, $E$13) + CHOOSE(CONTROL!$C$28, 0, 0)</f>
        <v>395.61480751243101</v>
      </c>
    </row>
    <row r="695" spans="1:5" ht="15">
      <c r="A695" s="13">
        <v>63036</v>
      </c>
      <c r="B695" s="4">
        <f>70.3157 * CHOOSE(CONTROL!$C$9, $C$13, 100%, $E$13) + CHOOSE(CONTROL!$C$28, 0.0276, 0)</f>
        <v>70.343300000000013</v>
      </c>
      <c r="C695" s="4">
        <f>70.0032 * CHOOSE(CONTROL!$C$9, $C$13, 100%, $E$13) + CHOOSE(CONTROL!$C$28, 0.0276, 0)</f>
        <v>70.030800000000013</v>
      </c>
      <c r="D695" s="4">
        <f>67.7018 * CHOOSE(CONTROL!$C$9, $C$13, 100%, $E$13) + CHOOSE(CONTROL!$C$28, 0, 0)</f>
        <v>67.701800000000006</v>
      </c>
      <c r="E695" s="4">
        <f>395.488975830653 * CHOOSE(CONTROL!$C$9, $C$13, 100%, $E$13) + CHOOSE(CONTROL!$C$28, 0, 0)</f>
        <v>395.48897583065298</v>
      </c>
    </row>
    <row r="696" spans="1:5" ht="15">
      <c r="A696" s="13">
        <v>63067</v>
      </c>
      <c r="B696" s="4">
        <f>71.9543 * CHOOSE(CONTROL!$C$9, $C$13, 100%, $E$13) + CHOOSE(CONTROL!$C$28, 0.0276, 0)</f>
        <v>71.98190000000001</v>
      </c>
      <c r="C696" s="4">
        <f>71.6418 * CHOOSE(CONTROL!$C$9, $C$13, 100%, $E$13) + CHOOSE(CONTROL!$C$28, 0.0276, 0)</f>
        <v>71.66940000000001</v>
      </c>
      <c r="D696" s="4">
        <f>66.9914 * CHOOSE(CONTROL!$C$9, $C$13, 100%, $E$13) + CHOOSE(CONTROL!$C$28, 0, 0)</f>
        <v>66.991399999999999</v>
      </c>
      <c r="E696" s="4">
        <f>404.957809884504 * CHOOSE(CONTROL!$C$9, $C$13, 100%, $E$13) + CHOOSE(CONTROL!$C$28, 0, 0)</f>
        <v>404.957809884504</v>
      </c>
    </row>
    <row r="697" spans="1:5" ht="15">
      <c r="A697" s="13">
        <v>63097</v>
      </c>
      <c r="B697" s="4">
        <f>69.1616 * CHOOSE(CONTROL!$C$9, $C$13, 100%, $E$13) + CHOOSE(CONTROL!$C$28, 0.0276, 0)</f>
        <v>69.189200000000014</v>
      </c>
      <c r="C697" s="4">
        <f>68.8491 * CHOOSE(CONTROL!$C$9, $C$13, 100%, $E$13) + CHOOSE(CONTROL!$C$28, 0.0276, 0)</f>
        <v>68.876700000000014</v>
      </c>
      <c r="D697" s="4">
        <f>66.6558 * CHOOSE(CONTROL!$C$9, $C$13, 100%, $E$13) + CHOOSE(CONTROL!$C$28, 0, 0)</f>
        <v>66.655799999999999</v>
      </c>
      <c r="E697" s="4">
        <f>388.819896696378 * CHOOSE(CONTROL!$C$9, $C$13, 100%, $E$13) + CHOOSE(CONTROL!$C$28, 0, 0)</f>
        <v>388.81989669637801</v>
      </c>
    </row>
    <row r="698" spans="1:5" ht="15">
      <c r="A698" s="13">
        <v>63128</v>
      </c>
      <c r="B698" s="4">
        <f>66.926 * CHOOSE(CONTROL!$C$9, $C$13, 100%, $E$13) + CHOOSE(CONTROL!$C$28, 0.0003, 0)</f>
        <v>66.926299999999998</v>
      </c>
      <c r="C698" s="4">
        <f>66.6135 * CHOOSE(CONTROL!$C$9, $C$13, 100%, $E$13) + CHOOSE(CONTROL!$C$28, 0.0003, 0)</f>
        <v>66.613799999999998</v>
      </c>
      <c r="D698" s="4">
        <f>65.7572 * CHOOSE(CONTROL!$C$9, $C$13, 100%, $E$13) + CHOOSE(CONTROL!$C$28, 0, 0)</f>
        <v>65.757199999999997</v>
      </c>
      <c r="E698" s="4">
        <f>375.901177367092 * CHOOSE(CONTROL!$C$9, $C$13, 100%, $E$13) + CHOOSE(CONTROL!$C$28, 0, 0)</f>
        <v>375.90117736709198</v>
      </c>
    </row>
    <row r="699" spans="1:5" ht="15">
      <c r="A699" s="13">
        <v>63158</v>
      </c>
      <c r="B699" s="4">
        <f>65.4861 * CHOOSE(CONTROL!$C$9, $C$13, 100%, $E$13) + CHOOSE(CONTROL!$C$28, 0.0003, 0)</f>
        <v>65.486399999999989</v>
      </c>
      <c r="C699" s="4">
        <f>65.1736 * CHOOSE(CONTROL!$C$9, $C$13, 100%, $E$13) + CHOOSE(CONTROL!$C$28, 0.0003, 0)</f>
        <v>65.173899999999989</v>
      </c>
      <c r="D699" s="4">
        <f>65.4482 * CHOOSE(CONTROL!$C$9, $C$13, 100%, $E$13) + CHOOSE(CONTROL!$C$28, 0, 0)</f>
        <v>65.4482</v>
      </c>
      <c r="E699" s="4">
        <f>367.580557409471 * CHOOSE(CONTROL!$C$9, $C$13, 100%, $E$13) + CHOOSE(CONTROL!$C$28, 0, 0)</f>
        <v>367.580557409471</v>
      </c>
    </row>
    <row r="700" spans="1:5" ht="15">
      <c r="A700" s="13">
        <v>63189</v>
      </c>
      <c r="B700" s="4">
        <f>64.4898 * CHOOSE(CONTROL!$C$9, $C$13, 100%, $E$13) + CHOOSE(CONTROL!$C$28, 0.0003, 0)</f>
        <v>64.490099999999998</v>
      </c>
      <c r="C700" s="4">
        <f>64.1773 * CHOOSE(CONTROL!$C$9, $C$13, 100%, $E$13) + CHOOSE(CONTROL!$C$28, 0.0003, 0)</f>
        <v>64.177599999999998</v>
      </c>
      <c r="D700" s="4">
        <f>63.1737 * CHOOSE(CONTROL!$C$9, $C$13, 100%, $E$13) + CHOOSE(CONTROL!$C$28, 0, 0)</f>
        <v>63.173699999999997</v>
      </c>
      <c r="E700" s="4">
        <f>361.823757968093 * CHOOSE(CONTROL!$C$9, $C$13, 100%, $E$13) + CHOOSE(CONTROL!$C$28, 0, 0)</f>
        <v>361.82375796809299</v>
      </c>
    </row>
    <row r="701" spans="1:5" ht="15">
      <c r="A701" s="13">
        <v>63220</v>
      </c>
      <c r="B701" s="4">
        <f>62.8712 * CHOOSE(CONTROL!$C$9, $C$13, 100%, $E$13) + CHOOSE(CONTROL!$C$28, 0.0003, 0)</f>
        <v>62.871500000000005</v>
      </c>
      <c r="C701" s="4">
        <f>62.5587 * CHOOSE(CONTROL!$C$9, $C$13, 100%, $E$13) + CHOOSE(CONTROL!$C$28, 0.0003, 0)</f>
        <v>62.559000000000005</v>
      </c>
      <c r="D701" s="4">
        <f>61.0832 * CHOOSE(CONTROL!$C$9, $C$13, 100%, $E$13) + CHOOSE(CONTROL!$C$28, 0, 0)</f>
        <v>61.083199999999998</v>
      </c>
      <c r="E701" s="4">
        <f>351.448031390221 * CHOOSE(CONTROL!$C$9, $C$13, 100%, $E$13) + CHOOSE(CONTROL!$C$28, 0, 0)</f>
        <v>351.44803139022099</v>
      </c>
    </row>
    <row r="702" spans="1:5" ht="15">
      <c r="A702" s="13">
        <v>63248</v>
      </c>
      <c r="B702" s="4">
        <f>64.3194 * CHOOSE(CONTROL!$C$9, $C$13, 100%, $E$13) + CHOOSE(CONTROL!$C$28, 0.0003, 0)</f>
        <v>64.319699999999997</v>
      </c>
      <c r="C702" s="4">
        <f>64.0069 * CHOOSE(CONTROL!$C$9, $C$13, 100%, $E$13) + CHOOSE(CONTROL!$C$28, 0.0003, 0)</f>
        <v>64.007199999999997</v>
      </c>
      <c r="D702" s="4">
        <f>63.1884 * CHOOSE(CONTROL!$C$9, $C$13, 100%, $E$13) + CHOOSE(CONTROL!$C$28, 0, 0)</f>
        <v>63.188400000000001</v>
      </c>
      <c r="E702" s="4">
        <f>359.792792680289 * CHOOSE(CONTROL!$C$9, $C$13, 100%, $E$13) + CHOOSE(CONTROL!$C$28, 0, 0)</f>
        <v>359.79279268028898</v>
      </c>
    </row>
    <row r="703" spans="1:5" ht="15">
      <c r="A703" s="13">
        <v>63279</v>
      </c>
      <c r="B703" s="4">
        <f>68.1227 * CHOOSE(CONTROL!$C$9, $C$13, 100%, $E$13) + CHOOSE(CONTROL!$C$28, 0.0003, 0)</f>
        <v>68.12299999999999</v>
      </c>
      <c r="C703" s="4">
        <f>67.8102 * CHOOSE(CONTROL!$C$9, $C$13, 100%, $E$13) + CHOOSE(CONTROL!$C$28, 0.0003, 0)</f>
        <v>67.81049999999999</v>
      </c>
      <c r="D703" s="4">
        <f>66.4838 * CHOOSE(CONTROL!$C$9, $C$13, 100%, $E$13) + CHOOSE(CONTROL!$C$28, 0, 0)</f>
        <v>66.483800000000002</v>
      </c>
      <c r="E703" s="4">
        <f>381.706579295557 * CHOOSE(CONTROL!$C$9, $C$13, 100%, $E$13) + CHOOSE(CONTROL!$C$28, 0, 0)</f>
        <v>381.70657929555699</v>
      </c>
    </row>
    <row r="704" spans="1:5" ht="15">
      <c r="A704" s="13">
        <v>63309</v>
      </c>
      <c r="B704" s="4">
        <f>70.825 * CHOOSE(CONTROL!$C$9, $C$13, 100%, $E$13) + CHOOSE(CONTROL!$C$28, 0.0003, 0)</f>
        <v>70.825299999999999</v>
      </c>
      <c r="C704" s="4">
        <f>70.5125 * CHOOSE(CONTROL!$C$9, $C$13, 100%, $E$13) + CHOOSE(CONTROL!$C$28, 0.0003, 0)</f>
        <v>70.512799999999999</v>
      </c>
      <c r="D704" s="4">
        <f>68.382 * CHOOSE(CONTROL!$C$9, $C$13, 100%, $E$13) + CHOOSE(CONTROL!$C$28, 0, 0)</f>
        <v>68.382000000000005</v>
      </c>
      <c r="E704" s="4">
        <f>397.276616725309 * CHOOSE(CONTROL!$C$9, $C$13, 100%, $E$13) + CHOOSE(CONTROL!$C$28, 0, 0)</f>
        <v>397.276616725309</v>
      </c>
    </row>
    <row r="705" spans="1:5" ht="15">
      <c r="A705" s="13">
        <v>63340</v>
      </c>
      <c r="B705" s="4">
        <f>72.476 * CHOOSE(CONTROL!$C$9, $C$13, 100%, $E$13) + CHOOSE(CONTROL!$C$28, 0.0276, 0)</f>
        <v>72.503600000000006</v>
      </c>
      <c r="C705" s="4">
        <f>72.1635 * CHOOSE(CONTROL!$C$9, $C$13, 100%, $E$13) + CHOOSE(CONTROL!$C$28, 0.0276, 0)</f>
        <v>72.191100000000006</v>
      </c>
      <c r="D705" s="4">
        <f>67.6319 * CHOOSE(CONTROL!$C$9, $C$13, 100%, $E$13) + CHOOSE(CONTROL!$C$28, 0, 0)</f>
        <v>67.631900000000002</v>
      </c>
      <c r="E705" s="4">
        <f>406.789536433171 * CHOOSE(CONTROL!$C$9, $C$13, 100%, $E$13) + CHOOSE(CONTROL!$C$28, 0, 0)</f>
        <v>406.78953643317101</v>
      </c>
    </row>
    <row r="706" spans="1:5" ht="15">
      <c r="A706" s="13">
        <v>63370</v>
      </c>
      <c r="B706" s="4">
        <f>72.6994 * CHOOSE(CONTROL!$C$9, $C$13, 100%, $E$13) + CHOOSE(CONTROL!$C$28, 0.0276, 0)</f>
        <v>72.727000000000004</v>
      </c>
      <c r="C706" s="4">
        <f>72.3869 * CHOOSE(CONTROL!$C$9, $C$13, 100%, $E$13) + CHOOSE(CONTROL!$C$28, 0.0276, 0)</f>
        <v>72.414500000000004</v>
      </c>
      <c r="D706" s="4">
        <f>68.2428 * CHOOSE(CONTROL!$C$9, $C$13, 100%, $E$13) + CHOOSE(CONTROL!$C$28, 0, 0)</f>
        <v>68.242800000000003</v>
      </c>
      <c r="E706" s="4">
        <f>408.076673949073 * CHOOSE(CONTROL!$C$9, $C$13, 100%, $E$13) + CHOOSE(CONTROL!$C$28, 0, 0)</f>
        <v>408.07667394907298</v>
      </c>
    </row>
    <row r="707" spans="1:5" ht="15">
      <c r="A707" s="13">
        <v>63401</v>
      </c>
      <c r="B707" s="4">
        <f>72.6769 * CHOOSE(CONTROL!$C$9, $C$13, 100%, $E$13) + CHOOSE(CONTROL!$C$28, 0.0276, 0)</f>
        <v>72.70450000000001</v>
      </c>
      <c r="C707" s="4">
        <f>72.3644 * CHOOSE(CONTROL!$C$9, $C$13, 100%, $E$13) + CHOOSE(CONTROL!$C$28, 0.0276, 0)</f>
        <v>72.39200000000001</v>
      </c>
      <c r="D707" s="4">
        <f>69.3451 * CHOOSE(CONTROL!$C$9, $C$13, 100%, $E$13) + CHOOSE(CONTROL!$C$28, 0, 0)</f>
        <v>69.345100000000002</v>
      </c>
      <c r="E707" s="4">
        <f>407.946878569318 * CHOOSE(CONTROL!$C$9, $C$13, 100%, $E$13) + CHOOSE(CONTROL!$C$28, 0, 0)</f>
        <v>407.94687856931802</v>
      </c>
    </row>
    <row r="708" spans="1:5" ht="15">
      <c r="A708" s="13">
        <v>63432</v>
      </c>
      <c r="B708" s="4">
        <f>74.3721 * CHOOSE(CONTROL!$C$9, $C$13, 100%, $E$13) + CHOOSE(CONTROL!$C$28, 0.0276, 0)</f>
        <v>74.39970000000001</v>
      </c>
      <c r="C708" s="4">
        <f>74.0596 * CHOOSE(CONTROL!$C$9, $C$13, 100%, $E$13) + CHOOSE(CONTROL!$C$28, 0.0276, 0)</f>
        <v>74.08720000000001</v>
      </c>
      <c r="D708" s="4">
        <f>68.6172 * CHOOSE(CONTROL!$C$9, $C$13, 100%, $E$13) + CHOOSE(CONTROL!$C$28, 0, 0)</f>
        <v>68.617199999999997</v>
      </c>
      <c r="E708" s="4">
        <f>417.713980895866 * CHOOSE(CONTROL!$C$9, $C$13, 100%, $E$13) + CHOOSE(CONTROL!$C$28, 0, 0)</f>
        <v>417.71398089586597</v>
      </c>
    </row>
    <row r="709" spans="1:5" ht="15">
      <c r="A709" s="13">
        <v>63462</v>
      </c>
      <c r="B709" s="4">
        <f>71.483 * CHOOSE(CONTROL!$C$9, $C$13, 100%, $E$13) + CHOOSE(CONTROL!$C$28, 0.0276, 0)</f>
        <v>71.510600000000011</v>
      </c>
      <c r="C709" s="4">
        <f>71.1705 * CHOOSE(CONTROL!$C$9, $C$13, 100%, $E$13) + CHOOSE(CONTROL!$C$28, 0.0276, 0)</f>
        <v>71.198100000000011</v>
      </c>
      <c r="D709" s="4">
        <f>68.2732 * CHOOSE(CONTROL!$C$9, $C$13, 100%, $E$13) + CHOOSE(CONTROL!$C$28, 0, 0)</f>
        <v>68.273200000000003</v>
      </c>
      <c r="E709" s="4">
        <f>401.067723442314 * CHOOSE(CONTROL!$C$9, $C$13, 100%, $E$13) + CHOOSE(CONTROL!$C$28, 0, 0)</f>
        <v>401.06772344231399</v>
      </c>
    </row>
    <row r="710" spans="1:5" ht="15">
      <c r="A710" s="13">
        <v>63493</v>
      </c>
      <c r="B710" s="4">
        <f>69.1702 * CHOOSE(CONTROL!$C$9, $C$13, 100%, $E$13) + CHOOSE(CONTROL!$C$28, 0.0003, 0)</f>
        <v>69.17049999999999</v>
      </c>
      <c r="C710" s="4">
        <f>68.8577 * CHOOSE(CONTROL!$C$9, $C$13, 100%, $E$13) + CHOOSE(CONTROL!$C$28, 0.0003, 0)</f>
        <v>68.85799999999999</v>
      </c>
      <c r="D710" s="4">
        <f>67.3523 * CHOOSE(CONTROL!$C$9, $C$13, 100%, $E$13) + CHOOSE(CONTROL!$C$28, 0, 0)</f>
        <v>67.3523</v>
      </c>
      <c r="E710" s="4">
        <f>387.742064454155 * CHOOSE(CONTROL!$C$9, $C$13, 100%, $E$13) + CHOOSE(CONTROL!$C$28, 0, 0)</f>
        <v>387.74206445415501</v>
      </c>
    </row>
    <row r="711" spans="1:5" ht="15">
      <c r="A711" s="13">
        <v>63523</v>
      </c>
      <c r="B711" s="4">
        <f>67.6806 * CHOOSE(CONTROL!$C$9, $C$13, 100%, $E$13) + CHOOSE(CONTROL!$C$28, 0.0003, 0)</f>
        <v>67.680899999999994</v>
      </c>
      <c r="C711" s="4">
        <f>67.3681 * CHOOSE(CONTROL!$C$9, $C$13, 100%, $E$13) + CHOOSE(CONTROL!$C$28, 0.0003, 0)</f>
        <v>67.368399999999994</v>
      </c>
      <c r="D711" s="4">
        <f>67.0357 * CHOOSE(CONTROL!$C$9, $C$13, 100%, $E$13) + CHOOSE(CONTROL!$C$28, 0, 0)</f>
        <v>67.035700000000006</v>
      </c>
      <c r="E711" s="4">
        <f>379.159344967869 * CHOOSE(CONTROL!$C$9, $C$13, 100%, $E$13) + CHOOSE(CONTROL!$C$28, 0, 0)</f>
        <v>379.159344967869</v>
      </c>
    </row>
    <row r="712" spans="1:5" ht="15">
      <c r="A712" s="13">
        <v>63554</v>
      </c>
      <c r="B712" s="4">
        <f>66.65 * CHOOSE(CONTROL!$C$9, $C$13, 100%, $E$13) + CHOOSE(CONTROL!$C$28, 0.0003, 0)</f>
        <v>66.650300000000001</v>
      </c>
      <c r="C712" s="4">
        <f>66.3375 * CHOOSE(CONTROL!$C$9, $C$13, 100%, $E$13) + CHOOSE(CONTROL!$C$28, 0.0003, 0)</f>
        <v>66.337800000000001</v>
      </c>
      <c r="D712" s="4">
        <f>64.7048 * CHOOSE(CONTROL!$C$9, $C$13, 100%, $E$13) + CHOOSE(CONTROL!$C$28, 0, 0)</f>
        <v>64.704800000000006</v>
      </c>
      <c r="E712" s="4">
        <f>373.221206344088 * CHOOSE(CONTROL!$C$9, $C$13, 100%, $E$13) + CHOOSE(CONTROL!$C$28, 0, 0)</f>
        <v>373.22120634408799</v>
      </c>
    </row>
    <row r="713" spans="1:5" ht="15">
      <c r="A713" s="13">
        <v>63585</v>
      </c>
      <c r="B713" s="4">
        <f>64.9755 * CHOOSE(CONTROL!$C$9, $C$13, 100%, $E$13) + CHOOSE(CONTROL!$C$28, 0.0003, 0)</f>
        <v>64.975799999999992</v>
      </c>
      <c r="C713" s="4">
        <f>64.663 * CHOOSE(CONTROL!$C$9, $C$13, 100%, $E$13) + CHOOSE(CONTROL!$C$28, 0.0003, 0)</f>
        <v>64.663299999999992</v>
      </c>
      <c r="D713" s="4">
        <f>62.5624 * CHOOSE(CONTROL!$C$9, $C$13, 100%, $E$13) + CHOOSE(CONTROL!$C$28, 0, 0)</f>
        <v>62.562399999999997</v>
      </c>
      <c r="E713" s="4">
        <f>362.518644379013 * CHOOSE(CONTROL!$C$9, $C$13, 100%, $E$13) + CHOOSE(CONTROL!$C$28, 0, 0)</f>
        <v>362.51864437901298</v>
      </c>
    </row>
    <row r="714" spans="1:5" ht="15">
      <c r="A714" s="13">
        <v>63613</v>
      </c>
      <c r="B714" s="4">
        <f>66.4738 * CHOOSE(CONTROL!$C$9, $C$13, 100%, $E$13) + CHOOSE(CONTROL!$C$28, 0.0003, 0)</f>
        <v>66.474099999999993</v>
      </c>
      <c r="C714" s="4">
        <f>66.1613 * CHOOSE(CONTROL!$C$9, $C$13, 100%, $E$13) + CHOOSE(CONTROL!$C$28, 0.0003, 0)</f>
        <v>66.161599999999993</v>
      </c>
      <c r="D714" s="4">
        <f>64.7198 * CHOOSE(CONTROL!$C$9, $C$13, 100%, $E$13) + CHOOSE(CONTROL!$C$28, 0, 0)</f>
        <v>64.719800000000006</v>
      </c>
      <c r="E714" s="4">
        <f>371.126265649719 * CHOOSE(CONTROL!$C$9, $C$13, 100%, $E$13) + CHOOSE(CONTROL!$C$28, 0, 0)</f>
        <v>371.12626564971902</v>
      </c>
    </row>
    <row r="715" spans="1:5" ht="15">
      <c r="A715" s="13">
        <v>63644</v>
      </c>
      <c r="B715" s="4">
        <f>70.4083 * CHOOSE(CONTROL!$C$9, $C$13, 100%, $E$13) + CHOOSE(CONTROL!$C$28, 0.0003, 0)</f>
        <v>70.408599999999993</v>
      </c>
      <c r="C715" s="4">
        <f>70.0958 * CHOOSE(CONTROL!$C$9, $C$13, 100%, $E$13) + CHOOSE(CONTROL!$C$28, 0.0003, 0)</f>
        <v>70.096099999999993</v>
      </c>
      <c r="D715" s="4">
        <f>68.0969 * CHOOSE(CONTROL!$C$9, $C$13, 100%, $E$13) + CHOOSE(CONTROL!$C$28, 0, 0)</f>
        <v>68.096900000000005</v>
      </c>
      <c r="E715" s="4">
        <f>393.730336543367 * CHOOSE(CONTROL!$C$9, $C$13, 100%, $E$13) + CHOOSE(CONTROL!$C$28, 0, 0)</f>
        <v>393.730336543367</v>
      </c>
    </row>
    <row r="716" spans="1:5" ht="15">
      <c r="A716" s="13">
        <v>63674</v>
      </c>
      <c r="B716" s="4">
        <f>73.2038 * CHOOSE(CONTROL!$C$9, $C$13, 100%, $E$13) + CHOOSE(CONTROL!$C$28, 0.0003, 0)</f>
        <v>73.204099999999997</v>
      </c>
      <c r="C716" s="4">
        <f>72.8913 * CHOOSE(CONTROL!$C$9, $C$13, 100%, $E$13) + CHOOSE(CONTROL!$C$28, 0.0003, 0)</f>
        <v>72.891599999999997</v>
      </c>
      <c r="D716" s="4">
        <f>70.0423 * CHOOSE(CONTROL!$C$9, $C$13, 100%, $E$13) + CHOOSE(CONTROL!$C$28, 0, 0)</f>
        <v>70.042299999999997</v>
      </c>
      <c r="E716" s="4">
        <f>409.790830152157 * CHOOSE(CONTROL!$C$9, $C$13, 100%, $E$13) + CHOOSE(CONTROL!$C$28, 0, 0)</f>
        <v>409.79083015215701</v>
      </c>
    </row>
    <row r="717" spans="1:5" ht="15">
      <c r="A717" s="13">
        <v>63705</v>
      </c>
      <c r="B717" s="4">
        <f>74.9118 * CHOOSE(CONTROL!$C$9, $C$13, 100%, $E$13) + CHOOSE(CONTROL!$C$28, 0.0276, 0)</f>
        <v>74.939400000000006</v>
      </c>
      <c r="C717" s="4">
        <f>74.5993 * CHOOSE(CONTROL!$C$9, $C$13, 100%, $E$13) + CHOOSE(CONTROL!$C$28, 0.0276, 0)</f>
        <v>74.626900000000006</v>
      </c>
      <c r="D717" s="4">
        <f>69.2736 * CHOOSE(CONTROL!$C$9, $C$13, 100%, $E$13) + CHOOSE(CONTROL!$C$28, 0, 0)</f>
        <v>69.273600000000002</v>
      </c>
      <c r="E717" s="4">
        <f>419.603406830816 * CHOOSE(CONTROL!$C$9, $C$13, 100%, $E$13) + CHOOSE(CONTROL!$C$28, 0, 0)</f>
        <v>419.60340683081603</v>
      </c>
    </row>
    <row r="718" spans="1:5" ht="15">
      <c r="A718" s="13">
        <v>63735</v>
      </c>
      <c r="B718" s="4">
        <f>75.1429 * CHOOSE(CONTROL!$C$9, $C$13, 100%, $E$13) + CHOOSE(CONTROL!$C$28, 0.0276, 0)</f>
        <v>75.170500000000004</v>
      </c>
      <c r="C718" s="4">
        <f>74.8304 * CHOOSE(CONTROL!$C$9, $C$13, 100%, $E$13) + CHOOSE(CONTROL!$C$28, 0.0276, 0)</f>
        <v>74.858000000000004</v>
      </c>
      <c r="D718" s="4">
        <f>69.8996 * CHOOSE(CONTROL!$C$9, $C$13, 100%, $E$13) + CHOOSE(CONTROL!$C$28, 0, 0)</f>
        <v>69.899600000000007</v>
      </c>
      <c r="E718" s="4">
        <f>420.931089178469 * CHOOSE(CONTROL!$C$9, $C$13, 100%, $E$13) + CHOOSE(CONTROL!$C$28, 0, 0)</f>
        <v>420.93108917846899</v>
      </c>
    </row>
    <row r="719" spans="1:5" ht="15">
      <c r="A719" s="13">
        <v>63766</v>
      </c>
      <c r="B719" s="4">
        <f>75.1196 * CHOOSE(CONTROL!$C$9, $C$13, 100%, $E$13) + CHOOSE(CONTROL!$C$28, 0.0276, 0)</f>
        <v>75.147200000000012</v>
      </c>
      <c r="C719" s="4">
        <f>74.8071 * CHOOSE(CONTROL!$C$9, $C$13, 100%, $E$13) + CHOOSE(CONTROL!$C$28, 0.0276, 0)</f>
        <v>74.834700000000012</v>
      </c>
      <c r="D719" s="4">
        <f>71.0292 * CHOOSE(CONTROL!$C$9, $C$13, 100%, $E$13) + CHOOSE(CONTROL!$C$28, 0, 0)</f>
        <v>71.029200000000003</v>
      </c>
      <c r="E719" s="4">
        <f>420.797205244252 * CHOOSE(CONTROL!$C$9, $C$13, 100%, $E$13) + CHOOSE(CONTROL!$C$28, 0, 0)</f>
        <v>420.79720524425198</v>
      </c>
    </row>
    <row r="720" spans="1:5" ht="15">
      <c r="A720" s="13">
        <v>63797</v>
      </c>
      <c r="B720" s="4">
        <f>76.8732 * CHOOSE(CONTROL!$C$9, $C$13, 100%, $E$13) + CHOOSE(CONTROL!$C$28, 0.0276, 0)</f>
        <v>76.900800000000004</v>
      </c>
      <c r="C720" s="4">
        <f>76.5607 * CHOOSE(CONTROL!$C$9, $C$13, 100%, $E$13) + CHOOSE(CONTROL!$C$28, 0.0276, 0)</f>
        <v>76.588300000000004</v>
      </c>
      <c r="D720" s="4">
        <f>70.2832 * CHOOSE(CONTROL!$C$9, $C$13, 100%, $E$13) + CHOOSE(CONTROL!$C$28, 0, 0)</f>
        <v>70.283199999999994</v>
      </c>
      <c r="E720" s="4">
        <f>430.871971294086 * CHOOSE(CONTROL!$C$9, $C$13, 100%, $E$13) + CHOOSE(CONTROL!$C$28, 0, 0)</f>
        <v>430.87197129408599</v>
      </c>
    </row>
    <row r="721" spans="1:5" ht="15">
      <c r="A721" s="13">
        <v>63827</v>
      </c>
      <c r="B721" s="4">
        <f>73.8845 * CHOOSE(CONTROL!$C$9, $C$13, 100%, $E$13) + CHOOSE(CONTROL!$C$28, 0.0276, 0)</f>
        <v>73.912100000000009</v>
      </c>
      <c r="C721" s="4">
        <f>73.572 * CHOOSE(CONTROL!$C$9, $C$13, 100%, $E$13) + CHOOSE(CONTROL!$C$28, 0.0276, 0)</f>
        <v>73.599600000000009</v>
      </c>
      <c r="D721" s="4">
        <f>69.9307 * CHOOSE(CONTROL!$C$9, $C$13, 100%, $E$13) + CHOOSE(CONTROL!$C$28, 0, 0)</f>
        <v>69.930700000000002</v>
      </c>
      <c r="E721" s="4">
        <f>413.701356730747 * CHOOSE(CONTROL!$C$9, $C$13, 100%, $E$13) + CHOOSE(CONTROL!$C$28, 0, 0)</f>
        <v>413.70135673074702</v>
      </c>
    </row>
    <row r="722" spans="1:5" ht="15">
      <c r="A722" s="13">
        <v>63858</v>
      </c>
      <c r="B722" s="4">
        <f>71.4919 * CHOOSE(CONTROL!$C$9, $C$13, 100%, $E$13) + CHOOSE(CONTROL!$C$28, 0.0003, 0)</f>
        <v>71.492199999999997</v>
      </c>
      <c r="C722" s="4">
        <f>71.1794 * CHOOSE(CONTROL!$C$9, $C$13, 100%, $E$13) + CHOOSE(CONTROL!$C$28, 0.0003, 0)</f>
        <v>71.179699999999997</v>
      </c>
      <c r="D722" s="4">
        <f>68.987 * CHOOSE(CONTROL!$C$9, $C$13, 100%, $E$13) + CHOOSE(CONTROL!$C$28, 0, 0)</f>
        <v>68.986999999999995</v>
      </c>
      <c r="E722" s="4">
        <f>399.955939484461 * CHOOSE(CONTROL!$C$9, $C$13, 100%, $E$13) + CHOOSE(CONTROL!$C$28, 0, 0)</f>
        <v>399.955939484461</v>
      </c>
    </row>
    <row r="723" spans="1:5" ht="15">
      <c r="A723" s="13">
        <v>63888</v>
      </c>
      <c r="B723" s="4">
        <f>69.9509 * CHOOSE(CONTROL!$C$9, $C$13, 100%, $E$13) + CHOOSE(CONTROL!$C$28, 0.0003, 0)</f>
        <v>69.9512</v>
      </c>
      <c r="C723" s="4">
        <f>69.6384 * CHOOSE(CONTROL!$C$9, $C$13, 100%, $E$13) + CHOOSE(CONTROL!$C$28, 0.0003, 0)</f>
        <v>69.6387</v>
      </c>
      <c r="D723" s="4">
        <f>68.6625 * CHOOSE(CONTROL!$C$9, $C$13, 100%, $E$13) + CHOOSE(CONTROL!$C$28, 0, 0)</f>
        <v>68.662499999999994</v>
      </c>
      <c r="E723" s="4">
        <f>391.102864334357 * CHOOSE(CONTROL!$C$9, $C$13, 100%, $E$13) + CHOOSE(CONTROL!$C$28, 0, 0)</f>
        <v>391.10286433435698</v>
      </c>
    </row>
    <row r="724" spans="1:5" ht="15">
      <c r="A724" s="13">
        <v>63919</v>
      </c>
      <c r="B724" s="4">
        <f>68.8848 * CHOOSE(CONTROL!$C$9, $C$13, 100%, $E$13) + CHOOSE(CONTROL!$C$28, 0.0003, 0)</f>
        <v>68.885099999999994</v>
      </c>
      <c r="C724" s="4">
        <f>68.5723 * CHOOSE(CONTROL!$C$9, $C$13, 100%, $E$13) + CHOOSE(CONTROL!$C$28, 0.0003, 0)</f>
        <v>68.572599999999994</v>
      </c>
      <c r="D724" s="4">
        <f>66.2738 * CHOOSE(CONTROL!$C$9, $C$13, 100%, $E$13) + CHOOSE(CONTROL!$C$28, 0, 0)</f>
        <v>66.273799999999994</v>
      </c>
      <c r="E724" s="4">
        <f>384.977674343926 * CHOOSE(CONTROL!$C$9, $C$13, 100%, $E$13) + CHOOSE(CONTROL!$C$28, 0, 0)</f>
        <v>384.97767434392603</v>
      </c>
    </row>
    <row r="725" spans="1:5" ht="15">
      <c r="A725" s="13">
        <v>63950</v>
      </c>
      <c r="B725" s="4">
        <f>67.1525 * CHOOSE(CONTROL!$C$9, $C$13, 100%, $E$13) + CHOOSE(CONTROL!$C$28, 0.0003, 0)</f>
        <v>67.152799999999999</v>
      </c>
      <c r="C725" s="4">
        <f>66.84 * CHOOSE(CONTROL!$C$9, $C$13, 100%, $E$13) + CHOOSE(CONTROL!$C$28, 0.0003, 0)</f>
        <v>66.840299999999999</v>
      </c>
      <c r="D725" s="4">
        <f>64.0783 * CHOOSE(CONTROL!$C$9, $C$13, 100%, $E$13) + CHOOSE(CONTROL!$C$28, 0, 0)</f>
        <v>64.078299999999999</v>
      </c>
      <c r="E725" s="4">
        <f>373.937981676952 * CHOOSE(CONTROL!$C$9, $C$13, 100%, $E$13) + CHOOSE(CONTROL!$C$28, 0, 0)</f>
        <v>373.93798167695201</v>
      </c>
    </row>
    <row r="726" spans="1:5" ht="15">
      <c r="A726" s="13">
        <v>63978</v>
      </c>
      <c r="B726" s="4">
        <f>68.7024 * CHOOSE(CONTROL!$C$9, $C$13, 100%, $E$13) + CHOOSE(CONTROL!$C$28, 0.0003, 0)</f>
        <v>68.702699999999993</v>
      </c>
      <c r="C726" s="4">
        <f>68.3899 * CHOOSE(CONTROL!$C$9, $C$13, 100%, $E$13) + CHOOSE(CONTROL!$C$28, 0.0003, 0)</f>
        <v>68.390199999999993</v>
      </c>
      <c r="D726" s="4">
        <f>66.2892 * CHOOSE(CONTROL!$C$9, $C$13, 100%, $E$13) + CHOOSE(CONTROL!$C$28, 0, 0)</f>
        <v>66.289199999999994</v>
      </c>
      <c r="E726" s="4">
        <f>382.816743017685 * CHOOSE(CONTROL!$C$9, $C$13, 100%, $E$13) + CHOOSE(CONTROL!$C$28, 0, 0)</f>
        <v>382.81674301768498</v>
      </c>
    </row>
    <row r="727" spans="1:5" ht="15">
      <c r="A727" s="13">
        <v>64009</v>
      </c>
      <c r="B727" s="4">
        <f>72.7727 * CHOOSE(CONTROL!$C$9, $C$13, 100%, $E$13) + CHOOSE(CONTROL!$C$28, 0.0003, 0)</f>
        <v>72.772999999999996</v>
      </c>
      <c r="C727" s="4">
        <f>72.4602 * CHOOSE(CONTROL!$C$9, $C$13, 100%, $E$13) + CHOOSE(CONTROL!$C$28, 0.0003, 0)</f>
        <v>72.460499999999996</v>
      </c>
      <c r="D727" s="4">
        <f>69.7501 * CHOOSE(CONTROL!$C$9, $C$13, 100%, $E$13) + CHOOSE(CONTROL!$C$28, 0, 0)</f>
        <v>69.750100000000003</v>
      </c>
      <c r="E727" s="4">
        <f>406.132842144483 * CHOOSE(CONTROL!$C$9, $C$13, 100%, $E$13) + CHOOSE(CONTROL!$C$28, 0, 0)</f>
        <v>406.13284214448299</v>
      </c>
    </row>
    <row r="728" spans="1:5" ht="15">
      <c r="A728" s="13">
        <v>64039</v>
      </c>
      <c r="B728" s="4">
        <f>75.6646 * CHOOSE(CONTROL!$C$9, $C$13, 100%, $E$13) + CHOOSE(CONTROL!$C$28, 0.0003, 0)</f>
        <v>75.664899999999989</v>
      </c>
      <c r="C728" s="4">
        <f>75.3521 * CHOOSE(CONTROL!$C$9, $C$13, 100%, $E$13) + CHOOSE(CONTROL!$C$28, 0.0003, 0)</f>
        <v>75.352399999999989</v>
      </c>
      <c r="D728" s="4">
        <f>71.7437 * CHOOSE(CONTROL!$C$9, $C$13, 100%, $E$13) + CHOOSE(CONTROL!$C$28, 0, 0)</f>
        <v>71.743700000000004</v>
      </c>
      <c r="E728" s="4">
        <f>422.69924130195 * CHOOSE(CONTROL!$C$9, $C$13, 100%, $E$13) + CHOOSE(CONTROL!$C$28, 0, 0)</f>
        <v>422.69924130195</v>
      </c>
    </row>
    <row r="729" spans="1:5" ht="15">
      <c r="A729" s="13">
        <v>64070</v>
      </c>
      <c r="B729" s="4">
        <f>77.4316 * CHOOSE(CONTROL!$C$9, $C$13, 100%, $E$13) + CHOOSE(CONTROL!$C$28, 0.0276, 0)</f>
        <v>77.45920000000001</v>
      </c>
      <c r="C729" s="4">
        <f>77.1191 * CHOOSE(CONTROL!$C$9, $C$13, 100%, $E$13) + CHOOSE(CONTROL!$C$28, 0.0276, 0)</f>
        <v>77.14670000000001</v>
      </c>
      <c r="D729" s="4">
        <f>70.9559 * CHOOSE(CONTROL!$C$9, $C$13, 100%, $E$13) + CHOOSE(CONTROL!$C$28, 0, 0)</f>
        <v>70.9559</v>
      </c>
      <c r="E729" s="4">
        <f>432.820914145987 * CHOOSE(CONTROL!$C$9, $C$13, 100%, $E$13) + CHOOSE(CONTROL!$C$28, 0, 0)</f>
        <v>432.82091414598699</v>
      </c>
    </row>
    <row r="730" spans="1:5" ht="15">
      <c r="A730" s="13">
        <v>64100</v>
      </c>
      <c r="B730" s="4">
        <f>77.6706 * CHOOSE(CONTROL!$C$9, $C$13, 100%, $E$13) + CHOOSE(CONTROL!$C$28, 0.0276, 0)</f>
        <v>77.6982</v>
      </c>
      <c r="C730" s="4">
        <f>77.3581 * CHOOSE(CONTROL!$C$9, $C$13, 100%, $E$13) + CHOOSE(CONTROL!$C$28, 0.0276, 0)</f>
        <v>77.3857</v>
      </c>
      <c r="D730" s="4">
        <f>71.5975 * CHOOSE(CONTROL!$C$9, $C$13, 100%, $E$13) + CHOOSE(CONTROL!$C$28, 0, 0)</f>
        <v>71.597499999999997</v>
      </c>
      <c r="E730" s="4">
        <f>434.19041848759 * CHOOSE(CONTROL!$C$9, $C$13, 100%, $E$13) + CHOOSE(CONTROL!$C$28, 0, 0)</f>
        <v>434.19041848759002</v>
      </c>
    </row>
    <row r="731" spans="1:5" ht="15">
      <c r="A731" s="13">
        <v>64131</v>
      </c>
      <c r="B731" s="4">
        <f>77.6465 * CHOOSE(CONTROL!$C$9, $C$13, 100%, $E$13) + CHOOSE(CONTROL!$C$28, 0.0276, 0)</f>
        <v>77.67410000000001</v>
      </c>
      <c r="C731" s="4">
        <f>77.334 * CHOOSE(CONTROL!$C$9, $C$13, 100%, $E$13) + CHOOSE(CONTROL!$C$28, 0.0276, 0)</f>
        <v>77.36160000000001</v>
      </c>
      <c r="D731" s="4">
        <f>72.7551 * CHOOSE(CONTROL!$C$9, $C$13, 100%, $E$13) + CHOOSE(CONTROL!$C$28, 0, 0)</f>
        <v>72.755099999999999</v>
      </c>
      <c r="E731" s="4">
        <f>434.052317209446 * CHOOSE(CONTROL!$C$9, $C$13, 100%, $E$13) + CHOOSE(CONTROL!$C$28, 0, 0)</f>
        <v>434.05231720944602</v>
      </c>
    </row>
    <row r="732" spans="1:5" ht="15">
      <c r="A732" s="13">
        <v>64162</v>
      </c>
      <c r="B732" s="4">
        <f>79.4606 * CHOOSE(CONTROL!$C$9, $C$13, 100%, $E$13) + CHOOSE(CONTROL!$C$28, 0.0276, 0)</f>
        <v>79.488200000000006</v>
      </c>
      <c r="C732" s="4">
        <f>79.1481 * CHOOSE(CONTROL!$C$9, $C$13, 100%, $E$13) + CHOOSE(CONTROL!$C$28, 0.0276, 0)</f>
        <v>79.175700000000006</v>
      </c>
      <c r="D732" s="4">
        <f>71.9906 * CHOOSE(CONTROL!$C$9, $C$13, 100%, $E$13) + CHOOSE(CONTROL!$C$28, 0, 0)</f>
        <v>71.990600000000001</v>
      </c>
      <c r="E732" s="4">
        <f>444.44443838985 * CHOOSE(CONTROL!$C$9, $C$13, 100%, $E$13) + CHOOSE(CONTROL!$C$28, 0, 0)</f>
        <v>444.44443838985001</v>
      </c>
    </row>
    <row r="733" spans="1:5" ht="15">
      <c r="A733" s="13">
        <v>64192</v>
      </c>
      <c r="B733" s="4">
        <f>76.3688 * CHOOSE(CONTROL!$C$9, $C$13, 100%, $E$13) + CHOOSE(CONTROL!$C$28, 0.0276, 0)</f>
        <v>76.3964</v>
      </c>
      <c r="C733" s="4">
        <f>76.0563 * CHOOSE(CONTROL!$C$9, $C$13, 100%, $E$13) + CHOOSE(CONTROL!$C$28, 0.0276, 0)</f>
        <v>76.0839</v>
      </c>
      <c r="D733" s="4">
        <f>71.6294 * CHOOSE(CONTROL!$C$9, $C$13, 100%, $E$13) + CHOOSE(CONTROL!$C$28, 0, 0)</f>
        <v>71.629400000000004</v>
      </c>
      <c r="E733" s="4">
        <f>426.732949467766 * CHOOSE(CONTROL!$C$9, $C$13, 100%, $E$13) + CHOOSE(CONTROL!$C$28, 0, 0)</f>
        <v>426.73294946776599</v>
      </c>
    </row>
    <row r="734" spans="1:5" ht="15">
      <c r="A734" s="13">
        <v>64223</v>
      </c>
      <c r="B734" s="4">
        <f>73.8937 * CHOOSE(CONTROL!$C$9, $C$13, 100%, $E$13) + CHOOSE(CONTROL!$C$28, 0.0003, 0)</f>
        <v>73.893999999999991</v>
      </c>
      <c r="C734" s="4">
        <f>73.5812 * CHOOSE(CONTROL!$C$9, $C$13, 100%, $E$13) + CHOOSE(CONTROL!$C$28, 0.0003, 0)</f>
        <v>73.581499999999991</v>
      </c>
      <c r="D734" s="4">
        <f>70.6622 * CHOOSE(CONTROL!$C$9, $C$13, 100%, $E$13) + CHOOSE(CONTROL!$C$28, 0, 0)</f>
        <v>70.662199999999999</v>
      </c>
      <c r="E734" s="4">
        <f>412.554551578222 * CHOOSE(CONTROL!$C$9, $C$13, 100%, $E$13) + CHOOSE(CONTROL!$C$28, 0, 0)</f>
        <v>412.554551578222</v>
      </c>
    </row>
    <row r="735" spans="1:5" ht="15">
      <c r="A735" s="13">
        <v>64253</v>
      </c>
      <c r="B735" s="4">
        <f>72.2996 * CHOOSE(CONTROL!$C$9, $C$13, 100%, $E$13) + CHOOSE(CONTROL!$C$28, 0.0003, 0)</f>
        <v>72.299899999999994</v>
      </c>
      <c r="C735" s="4">
        <f>71.9871 * CHOOSE(CONTROL!$C$9, $C$13, 100%, $E$13) + CHOOSE(CONTROL!$C$28, 0.0003, 0)</f>
        <v>71.987399999999994</v>
      </c>
      <c r="D735" s="4">
        <f>70.3297 * CHOOSE(CONTROL!$C$9, $C$13, 100%, $E$13) + CHOOSE(CONTROL!$C$28, 0, 0)</f>
        <v>70.329700000000003</v>
      </c>
      <c r="E735" s="4">
        <f>403.42260456089 * CHOOSE(CONTROL!$C$9, $C$13, 100%, $E$13) + CHOOSE(CONTROL!$C$28, 0, 0)</f>
        <v>403.42260456089002</v>
      </c>
    </row>
    <row r="736" spans="1:5" ht="15">
      <c r="A736" s="13">
        <v>64284</v>
      </c>
      <c r="B736" s="4">
        <f>71.1966 * CHOOSE(CONTROL!$C$9, $C$13, 100%, $E$13) + CHOOSE(CONTROL!$C$28, 0.0003, 0)</f>
        <v>71.196899999999999</v>
      </c>
      <c r="C736" s="4">
        <f>70.8841 * CHOOSE(CONTROL!$C$9, $C$13, 100%, $E$13) + CHOOSE(CONTROL!$C$28, 0.0003, 0)</f>
        <v>70.884399999999999</v>
      </c>
      <c r="D736" s="4">
        <f>67.8817 * CHOOSE(CONTROL!$C$9, $C$13, 100%, $E$13) + CHOOSE(CONTROL!$C$28, 0, 0)</f>
        <v>67.881699999999995</v>
      </c>
      <c r="E736" s="4">
        <f>397.10447108576 * CHOOSE(CONTROL!$C$9, $C$13, 100%, $E$13) + CHOOSE(CONTROL!$C$28, 0, 0)</f>
        <v>397.10447108576</v>
      </c>
    </row>
    <row r="737" spans="1:5" ht="15">
      <c r="A737" s="13">
        <v>64315</v>
      </c>
      <c r="B737" s="4">
        <f>69.4046 * CHOOSE(CONTROL!$C$9, $C$13, 100%, $E$13) + CHOOSE(CONTROL!$C$28, 0.0003, 0)</f>
        <v>69.404899999999998</v>
      </c>
      <c r="C737" s="4">
        <f>69.0921 * CHOOSE(CONTROL!$C$9, $C$13, 100%, $E$13) + CHOOSE(CONTROL!$C$28, 0.0003, 0)</f>
        <v>69.092399999999998</v>
      </c>
      <c r="D737" s="4">
        <f>65.6318 * CHOOSE(CONTROL!$C$9, $C$13, 100%, $E$13) + CHOOSE(CONTROL!$C$28, 0, 0)</f>
        <v>65.631799999999998</v>
      </c>
      <c r="E737" s="4">
        <f>385.717028099776 * CHOOSE(CONTROL!$C$9, $C$13, 100%, $E$13) + CHOOSE(CONTROL!$C$28, 0, 0)</f>
        <v>385.71702809977597</v>
      </c>
    </row>
    <row r="738" spans="1:5" ht="15">
      <c r="A738" s="13">
        <v>64344</v>
      </c>
      <c r="B738" s="4">
        <f>71.008 * CHOOSE(CONTROL!$C$9, $C$13, 100%, $E$13) + CHOOSE(CONTROL!$C$28, 0.0003, 0)</f>
        <v>71.008299999999991</v>
      </c>
      <c r="C738" s="4">
        <f>70.6955 * CHOOSE(CONTROL!$C$9, $C$13, 100%, $E$13) + CHOOSE(CONTROL!$C$28, 0.0003, 0)</f>
        <v>70.695799999999991</v>
      </c>
      <c r="D738" s="4">
        <f>67.8975 * CHOOSE(CONTROL!$C$9, $C$13, 100%, $E$13) + CHOOSE(CONTROL!$C$28, 0, 0)</f>
        <v>67.897499999999994</v>
      </c>
      <c r="E738" s="4">
        <f>394.875470422742 * CHOOSE(CONTROL!$C$9, $C$13, 100%, $E$13) + CHOOSE(CONTROL!$C$28, 0, 0)</f>
        <v>394.87547042274201</v>
      </c>
    </row>
    <row r="739" spans="1:5" ht="15">
      <c r="A739" s="13">
        <v>64375</v>
      </c>
      <c r="B739" s="4">
        <f>75.2186 * CHOOSE(CONTROL!$C$9, $C$13, 100%, $E$13) + CHOOSE(CONTROL!$C$28, 0.0003, 0)</f>
        <v>75.218899999999991</v>
      </c>
      <c r="C739" s="4">
        <f>74.9061 * CHOOSE(CONTROL!$C$9, $C$13, 100%, $E$13) + CHOOSE(CONTROL!$C$28, 0.0003, 0)</f>
        <v>74.906399999999991</v>
      </c>
      <c r="D739" s="4">
        <f>71.4442 * CHOOSE(CONTROL!$C$9, $C$13, 100%, $E$13) + CHOOSE(CONTROL!$C$28, 0, 0)</f>
        <v>71.444199999999995</v>
      </c>
      <c r="E739" s="4">
        <f>418.926026672035 * CHOOSE(CONTROL!$C$9, $C$13, 100%, $E$13) + CHOOSE(CONTROL!$C$28, 0, 0)</f>
        <v>418.92602667203499</v>
      </c>
    </row>
    <row r="740" spans="1:5" ht="15">
      <c r="A740" s="13">
        <v>64405</v>
      </c>
      <c r="B740" s="4">
        <f>78.2104 * CHOOSE(CONTROL!$C$9, $C$13, 100%, $E$13) + CHOOSE(CONTROL!$C$28, 0.0003, 0)</f>
        <v>78.210700000000003</v>
      </c>
      <c r="C740" s="4">
        <f>77.8979 * CHOOSE(CONTROL!$C$9, $C$13, 100%, $E$13) + CHOOSE(CONTROL!$C$28, 0.0003, 0)</f>
        <v>77.898200000000003</v>
      </c>
      <c r="D740" s="4">
        <f>73.4872 * CHOOSE(CONTROL!$C$9, $C$13, 100%, $E$13) + CHOOSE(CONTROL!$C$28, 0, 0)</f>
        <v>73.487200000000001</v>
      </c>
      <c r="E740" s="4">
        <f>436.014267402961 * CHOOSE(CONTROL!$C$9, $C$13, 100%, $E$13) + CHOOSE(CONTROL!$C$28, 0, 0)</f>
        <v>436.01426740296102</v>
      </c>
    </row>
    <row r="741" spans="1:5" ht="15">
      <c r="A741" s="13">
        <v>64436</v>
      </c>
      <c r="B741" s="4">
        <f>80.0383 * CHOOSE(CONTROL!$C$9, $C$13, 100%, $E$13) + CHOOSE(CONTROL!$C$28, 0.0276, 0)</f>
        <v>80.065900000000013</v>
      </c>
      <c r="C741" s="4">
        <f>79.7258 * CHOOSE(CONTROL!$C$9, $C$13, 100%, $E$13) + CHOOSE(CONTROL!$C$28, 0.0276, 0)</f>
        <v>79.753400000000013</v>
      </c>
      <c r="D741" s="4">
        <f>72.6799 * CHOOSE(CONTROL!$C$9, $C$13, 100%, $E$13) + CHOOSE(CONTROL!$C$28, 0, 0)</f>
        <v>72.679900000000004</v>
      </c>
      <c r="E741" s="4">
        <f>446.454772941585 * CHOOSE(CONTROL!$C$9, $C$13, 100%, $E$13) + CHOOSE(CONTROL!$C$28, 0, 0)</f>
        <v>446.45477294158502</v>
      </c>
    </row>
    <row r="742" spans="1:5" ht="15">
      <c r="A742" s="13">
        <v>64466</v>
      </c>
      <c r="B742" s="4">
        <f>80.2856 * CHOOSE(CONTROL!$C$9, $C$13, 100%, $E$13) + CHOOSE(CONTROL!$C$28, 0.0276, 0)</f>
        <v>80.313200000000009</v>
      </c>
      <c r="C742" s="4">
        <f>79.9731 * CHOOSE(CONTROL!$C$9, $C$13, 100%, $E$13) + CHOOSE(CONTROL!$C$28, 0.0276, 0)</f>
        <v>80.000700000000009</v>
      </c>
      <c r="D742" s="4">
        <f>73.3374 * CHOOSE(CONTROL!$C$9, $C$13, 100%, $E$13) + CHOOSE(CONTROL!$C$28, 0, 0)</f>
        <v>73.337400000000002</v>
      </c>
      <c r="E742" s="4">
        <f>447.86741666995 * CHOOSE(CONTROL!$C$9, $C$13, 100%, $E$13) + CHOOSE(CONTROL!$C$28, 0, 0)</f>
        <v>447.86741666994999</v>
      </c>
    </row>
    <row r="743" spans="1:5" ht="15">
      <c r="A743" s="13">
        <v>64497</v>
      </c>
      <c r="B743" s="4">
        <f>80.2606 * CHOOSE(CONTROL!$C$9, $C$13, 100%, $E$13) + CHOOSE(CONTROL!$C$28, 0.0276, 0)</f>
        <v>80.288200000000003</v>
      </c>
      <c r="C743" s="4">
        <f>79.9481 * CHOOSE(CONTROL!$C$9, $C$13, 100%, $E$13) + CHOOSE(CONTROL!$C$28, 0.0276, 0)</f>
        <v>79.975700000000003</v>
      </c>
      <c r="D743" s="4">
        <f>74.5238 * CHOOSE(CONTROL!$C$9, $C$13, 100%, $E$13) + CHOOSE(CONTROL!$C$28, 0, 0)</f>
        <v>74.523799999999994</v>
      </c>
      <c r="E743" s="4">
        <f>447.724965201543 * CHOOSE(CONTROL!$C$9, $C$13, 100%, $E$13) + CHOOSE(CONTROL!$C$28, 0, 0)</f>
        <v>447.724965201543</v>
      </c>
    </row>
    <row r="744" spans="1:5" ht="15">
      <c r="A744" s="13">
        <v>64528</v>
      </c>
      <c r="B744" s="4">
        <f>82.1373 * CHOOSE(CONTROL!$C$9, $C$13, 100%, $E$13) + CHOOSE(CONTROL!$C$28, 0.0276, 0)</f>
        <v>82.164900000000003</v>
      </c>
      <c r="C744" s="4">
        <f>81.8248 * CHOOSE(CONTROL!$C$9, $C$13, 100%, $E$13) + CHOOSE(CONTROL!$C$28, 0.0276, 0)</f>
        <v>81.852400000000003</v>
      </c>
      <c r="D744" s="4">
        <f>73.7403 * CHOOSE(CONTROL!$C$9, $C$13, 100%, $E$13) + CHOOSE(CONTROL!$C$28, 0, 0)</f>
        <v>73.740300000000005</v>
      </c>
      <c r="E744" s="4">
        <f>458.44443819913 * CHOOSE(CONTROL!$C$9, $C$13, 100%, $E$13) + CHOOSE(CONTROL!$C$28, 0, 0)</f>
        <v>458.44443819912999</v>
      </c>
    </row>
    <row r="745" spans="1:5" ht="15">
      <c r="A745" s="13">
        <v>64558</v>
      </c>
      <c r="B745" s="4">
        <f>78.9388 * CHOOSE(CONTROL!$C$9, $C$13, 100%, $E$13) + CHOOSE(CONTROL!$C$28, 0.0276, 0)</f>
        <v>78.966400000000007</v>
      </c>
      <c r="C745" s="4">
        <f>78.6263 * CHOOSE(CONTROL!$C$9, $C$13, 100%, $E$13) + CHOOSE(CONTROL!$C$28, 0.0276, 0)</f>
        <v>78.653900000000007</v>
      </c>
      <c r="D745" s="4">
        <f>73.3701 * CHOOSE(CONTROL!$C$9, $C$13, 100%, $E$13) + CHOOSE(CONTROL!$C$28, 0, 0)</f>
        <v>73.370099999999994</v>
      </c>
      <c r="E745" s="4">
        <f>440.175037376 * CHOOSE(CONTROL!$C$9, $C$13, 100%, $E$13) + CHOOSE(CONTROL!$C$28, 0, 0)</f>
        <v>440.17503737599998</v>
      </c>
    </row>
    <row r="746" spans="1:5" ht="15">
      <c r="A746" s="13">
        <v>64589</v>
      </c>
      <c r="B746" s="4">
        <f>76.3783 * CHOOSE(CONTROL!$C$9, $C$13, 100%, $E$13) + CHOOSE(CONTROL!$C$28, 0.0003, 0)</f>
        <v>76.378599999999992</v>
      </c>
      <c r="C746" s="4">
        <f>76.0658 * CHOOSE(CONTROL!$C$9, $C$13, 100%, $E$13) + CHOOSE(CONTROL!$C$28, 0.0003, 0)</f>
        <v>76.066099999999992</v>
      </c>
      <c r="D746" s="4">
        <f>72.379 * CHOOSE(CONTROL!$C$9, $C$13, 100%, $E$13) + CHOOSE(CONTROL!$C$28, 0, 0)</f>
        <v>72.379000000000005</v>
      </c>
      <c r="E746" s="4">
        <f>425.550019952936 * CHOOSE(CONTROL!$C$9, $C$13, 100%, $E$13) + CHOOSE(CONTROL!$C$28, 0, 0)</f>
        <v>425.550019952936</v>
      </c>
    </row>
    <row r="747" spans="1:5" ht="15">
      <c r="A747" s="13">
        <v>64619</v>
      </c>
      <c r="B747" s="4">
        <f>74.7292 * CHOOSE(CONTROL!$C$9, $C$13, 100%, $E$13) + CHOOSE(CONTROL!$C$28, 0.0003, 0)</f>
        <v>74.729500000000002</v>
      </c>
      <c r="C747" s="4">
        <f>74.4167 * CHOOSE(CONTROL!$C$9, $C$13, 100%, $E$13) + CHOOSE(CONTROL!$C$28, 0.0003, 0)</f>
        <v>74.417000000000002</v>
      </c>
      <c r="D747" s="4">
        <f>72.0382 * CHOOSE(CONTROL!$C$9, $C$13, 100%, $E$13) + CHOOSE(CONTROL!$C$28, 0, 0)</f>
        <v>72.038200000000003</v>
      </c>
      <c r="E747" s="4">
        <f>416.130416604558 * CHOOSE(CONTROL!$C$9, $C$13, 100%, $E$13) + CHOOSE(CONTROL!$C$28, 0, 0)</f>
        <v>416.13041660455798</v>
      </c>
    </row>
    <row r="748" spans="1:5" ht="15">
      <c r="A748" s="13">
        <v>64650</v>
      </c>
      <c r="B748" s="4">
        <f>73.5882 * CHOOSE(CONTROL!$C$9, $C$13, 100%, $E$13) + CHOOSE(CONTROL!$C$28, 0.0003, 0)</f>
        <v>73.588499999999996</v>
      </c>
      <c r="C748" s="4">
        <f>73.2757 * CHOOSE(CONTROL!$C$9, $C$13, 100%, $E$13) + CHOOSE(CONTROL!$C$28, 0.0003, 0)</f>
        <v>73.275999999999996</v>
      </c>
      <c r="D748" s="4">
        <f>69.5295 * CHOOSE(CONTROL!$C$9, $C$13, 100%, $E$13) + CHOOSE(CONTROL!$C$28, 0, 0)</f>
        <v>69.529499999999999</v>
      </c>
      <c r="E748" s="4">
        <f>409.613261924962 * CHOOSE(CONTROL!$C$9, $C$13, 100%, $E$13) + CHOOSE(CONTROL!$C$28, 0, 0)</f>
        <v>409.61326192496199</v>
      </c>
    </row>
    <row r="749" spans="1:5" ht="15">
      <c r="A749" s="13">
        <v>64681</v>
      </c>
      <c r="B749" s="4">
        <f>71.7343 * CHOOSE(CONTROL!$C$9, $C$13, 100%, $E$13) + CHOOSE(CONTROL!$C$28, 0.0003, 0)</f>
        <v>71.7346</v>
      </c>
      <c r="C749" s="4">
        <f>71.4218 * CHOOSE(CONTROL!$C$9, $C$13, 100%, $E$13) + CHOOSE(CONTROL!$C$28, 0.0003, 0)</f>
        <v>71.4221</v>
      </c>
      <c r="D749" s="4">
        <f>67.2238 * CHOOSE(CONTROL!$C$9, $C$13, 100%, $E$13) + CHOOSE(CONTROL!$C$28, 0, 0)</f>
        <v>67.223799999999997</v>
      </c>
      <c r="E749" s="4">
        <f>397.867114484919 * CHOOSE(CONTROL!$C$9, $C$13, 100%, $E$13) + CHOOSE(CONTROL!$C$28, 0, 0)</f>
        <v>397.867114484919</v>
      </c>
    </row>
    <row r="750" spans="1:5" ht="15">
      <c r="A750" s="13">
        <v>64709</v>
      </c>
      <c r="B750" s="4">
        <f>73.3931 * CHOOSE(CONTROL!$C$9, $C$13, 100%, $E$13) + CHOOSE(CONTROL!$C$28, 0.0003, 0)</f>
        <v>73.3934</v>
      </c>
      <c r="C750" s="4">
        <f>73.0806 * CHOOSE(CONTROL!$C$9, $C$13, 100%, $E$13) + CHOOSE(CONTROL!$C$28, 0.0003, 0)</f>
        <v>73.0809</v>
      </c>
      <c r="D750" s="4">
        <f>69.5457 * CHOOSE(CONTROL!$C$9, $C$13, 100%, $E$13) + CHOOSE(CONTROL!$C$28, 0, 0)</f>
        <v>69.545699999999997</v>
      </c>
      <c r="E750" s="4">
        <f>407.314047741058 * CHOOSE(CONTROL!$C$9, $C$13, 100%, $E$13) + CHOOSE(CONTROL!$C$28, 0, 0)</f>
        <v>407.314047741058</v>
      </c>
    </row>
    <row r="751" spans="1:5" ht="15">
      <c r="A751" s="13">
        <v>64740</v>
      </c>
      <c r="B751" s="4">
        <f>77.749 * CHOOSE(CONTROL!$C$9, $C$13, 100%, $E$13) + CHOOSE(CONTROL!$C$28, 0.0003, 0)</f>
        <v>77.749299999999991</v>
      </c>
      <c r="C751" s="4">
        <f>77.4365 * CHOOSE(CONTROL!$C$9, $C$13, 100%, $E$13) + CHOOSE(CONTROL!$C$28, 0.0003, 0)</f>
        <v>77.436799999999991</v>
      </c>
      <c r="D751" s="4">
        <f>73.1804 * CHOOSE(CONTROL!$C$9, $C$13, 100%, $E$13) + CHOOSE(CONTROL!$C$28, 0, 0)</f>
        <v>73.180400000000006</v>
      </c>
      <c r="E751" s="4">
        <f>432.122196512204 * CHOOSE(CONTROL!$C$9, $C$13, 100%, $E$13) + CHOOSE(CONTROL!$C$28, 0, 0)</f>
        <v>432.12219651220403</v>
      </c>
    </row>
    <row r="752" spans="1:5" ht="15">
      <c r="A752" s="13">
        <v>64770</v>
      </c>
      <c r="B752" s="4">
        <f>80.8439 * CHOOSE(CONTROL!$C$9, $C$13, 100%, $E$13) + CHOOSE(CONTROL!$C$28, 0.0003, 0)</f>
        <v>80.844200000000001</v>
      </c>
      <c r="C752" s="4">
        <f>80.5314 * CHOOSE(CONTROL!$C$9, $C$13, 100%, $E$13) + CHOOSE(CONTROL!$C$28, 0.0003, 0)</f>
        <v>80.531700000000001</v>
      </c>
      <c r="D752" s="4">
        <f>75.2741 * CHOOSE(CONTROL!$C$9, $C$13, 100%, $E$13) + CHOOSE(CONTROL!$C$28, 0, 0)</f>
        <v>75.274100000000004</v>
      </c>
      <c r="E752" s="4">
        <f>449.748716826154 * CHOOSE(CONTROL!$C$9, $C$13, 100%, $E$13) + CHOOSE(CONTROL!$C$28, 0, 0)</f>
        <v>449.74871682615401</v>
      </c>
    </row>
    <row r="753" spans="1:5" ht="15">
      <c r="A753" s="13">
        <v>64801</v>
      </c>
      <c r="B753" s="4">
        <f>82.7349 * CHOOSE(CONTROL!$C$9, $C$13, 100%, $E$13) + CHOOSE(CONTROL!$C$28, 0.0276, 0)</f>
        <v>82.762500000000003</v>
      </c>
      <c r="C753" s="4">
        <f>82.4224 * CHOOSE(CONTROL!$C$9, $C$13, 100%, $E$13) + CHOOSE(CONTROL!$C$28, 0.0276, 0)</f>
        <v>82.45</v>
      </c>
      <c r="D753" s="4">
        <f>74.4467 * CHOOSE(CONTROL!$C$9, $C$13, 100%, $E$13) + CHOOSE(CONTROL!$C$28, 0, 0)</f>
        <v>74.446700000000007</v>
      </c>
      <c r="E753" s="4">
        <f>460.518098289245 * CHOOSE(CONTROL!$C$9, $C$13, 100%, $E$13) + CHOOSE(CONTROL!$C$28, 0, 0)</f>
        <v>460.51809828924502</v>
      </c>
    </row>
    <row r="754" spans="1:5" ht="15">
      <c r="A754" s="13">
        <v>64831</v>
      </c>
      <c r="B754" s="4">
        <f>82.9907 * CHOOSE(CONTROL!$C$9, $C$13, 100%, $E$13) + CHOOSE(CONTROL!$C$28, 0.0276, 0)</f>
        <v>83.018300000000011</v>
      </c>
      <c r="C754" s="4">
        <f>82.6782 * CHOOSE(CONTROL!$C$9, $C$13, 100%, $E$13) + CHOOSE(CONTROL!$C$28, 0.0276, 0)</f>
        <v>82.705800000000011</v>
      </c>
      <c r="D754" s="4">
        <f>75.1205 * CHOOSE(CONTROL!$C$9, $C$13, 100%, $E$13) + CHOOSE(CONTROL!$C$28, 0, 0)</f>
        <v>75.120500000000007</v>
      </c>
      <c r="E754" s="4">
        <f>461.975240295053 * CHOOSE(CONTROL!$C$9, $C$13, 100%, $E$13) + CHOOSE(CONTROL!$C$28, 0, 0)</f>
        <v>461.97524029505303</v>
      </c>
    </row>
    <row r="755" spans="1:5" ht="15">
      <c r="A755" s="13">
        <v>64862</v>
      </c>
      <c r="B755" s="4">
        <f>82.9649 * CHOOSE(CONTROL!$C$9, $C$13, 100%, $E$13) + CHOOSE(CONTROL!$C$28, 0.0276, 0)</f>
        <v>82.992500000000007</v>
      </c>
      <c r="C755" s="4">
        <f>82.6524 * CHOOSE(CONTROL!$C$9, $C$13, 100%, $E$13) + CHOOSE(CONTROL!$C$28, 0.0276, 0)</f>
        <v>82.68</v>
      </c>
      <c r="D755" s="4">
        <f>76.3363 * CHOOSE(CONTROL!$C$9, $C$13, 100%, $E$13) + CHOOSE(CONTROL!$C$28, 0, 0)</f>
        <v>76.336299999999994</v>
      </c>
      <c r="E755" s="4">
        <f>461.828301605392 * CHOOSE(CONTROL!$C$9, $C$13, 100%, $E$13) + CHOOSE(CONTROL!$C$28, 0, 0)</f>
        <v>461.82830160539203</v>
      </c>
    </row>
    <row r="756" spans="1:5" ht="15">
      <c r="A756" s="13">
        <v>64893</v>
      </c>
      <c r="B756" s="4">
        <f>84.9064 * CHOOSE(CONTROL!$C$9, $C$13, 100%, $E$13) + CHOOSE(CONTROL!$C$28, 0.0276, 0)</f>
        <v>84.934000000000012</v>
      </c>
      <c r="C756" s="4">
        <f>84.5939 * CHOOSE(CONTROL!$C$9, $C$13, 100%, $E$13) + CHOOSE(CONTROL!$C$28, 0.0276, 0)</f>
        <v>84.621500000000012</v>
      </c>
      <c r="D756" s="4">
        <f>75.5334 * CHOOSE(CONTROL!$C$9, $C$13, 100%, $E$13) + CHOOSE(CONTROL!$C$28, 0, 0)</f>
        <v>75.5334</v>
      </c>
      <c r="E756" s="4">
        <f>472.885438002403 * CHOOSE(CONTROL!$C$9, $C$13, 100%, $E$13) + CHOOSE(CONTROL!$C$28, 0, 0)</f>
        <v>472.88543800240302</v>
      </c>
    </row>
    <row r="757" spans="1:5" ht="15">
      <c r="A757" s="13">
        <v>64923</v>
      </c>
      <c r="B757" s="4">
        <f>81.5975 * CHOOSE(CONTROL!$C$9, $C$13, 100%, $E$13) + CHOOSE(CONTROL!$C$28, 0.0276, 0)</f>
        <v>81.625100000000003</v>
      </c>
      <c r="C757" s="4">
        <f>81.285 * CHOOSE(CONTROL!$C$9, $C$13, 100%, $E$13) + CHOOSE(CONTROL!$C$28, 0.0276, 0)</f>
        <v>81.312600000000003</v>
      </c>
      <c r="D757" s="4">
        <f>75.1541 * CHOOSE(CONTROL!$C$9, $C$13, 100%, $E$13) + CHOOSE(CONTROL!$C$28, 0, 0)</f>
        <v>75.1541</v>
      </c>
      <c r="E757" s="4">
        <f>454.040551053344 * CHOOSE(CONTROL!$C$9, $C$13, 100%, $E$13) + CHOOSE(CONTROL!$C$28, 0, 0)</f>
        <v>454.04055105334402</v>
      </c>
    </row>
    <row r="758" spans="1:5" ht="15">
      <c r="A758" s="13">
        <v>64954</v>
      </c>
      <c r="B758" s="4">
        <f>78.9487 * CHOOSE(CONTROL!$C$9, $C$13, 100%, $E$13) + CHOOSE(CONTROL!$C$28, 0.0003, 0)</f>
        <v>78.948999999999998</v>
      </c>
      <c r="C758" s="4">
        <f>78.6362 * CHOOSE(CONTROL!$C$9, $C$13, 100%, $E$13) + CHOOSE(CONTROL!$C$28, 0.0003, 0)</f>
        <v>78.636499999999998</v>
      </c>
      <c r="D758" s="4">
        <f>74.1383 * CHOOSE(CONTROL!$C$9, $C$13, 100%, $E$13) + CHOOSE(CONTROL!$C$28, 0, 0)</f>
        <v>74.138300000000001</v>
      </c>
      <c r="E758" s="4">
        <f>438.954845581453 * CHOOSE(CONTROL!$C$9, $C$13, 100%, $E$13) + CHOOSE(CONTROL!$C$28, 0, 0)</f>
        <v>438.95484558145301</v>
      </c>
    </row>
    <row r="759" spans="1:5" ht="15">
      <c r="A759" s="13">
        <v>64984</v>
      </c>
      <c r="B759" s="4">
        <f>77.2427 * CHOOSE(CONTROL!$C$9, $C$13, 100%, $E$13) + CHOOSE(CONTROL!$C$28, 0.0003, 0)</f>
        <v>77.242999999999995</v>
      </c>
      <c r="C759" s="4">
        <f>76.9302 * CHOOSE(CONTROL!$C$9, $C$13, 100%, $E$13) + CHOOSE(CONTROL!$C$28, 0.0003, 0)</f>
        <v>76.930499999999995</v>
      </c>
      <c r="D759" s="4">
        <f>73.7891 * CHOOSE(CONTROL!$C$9, $C$13, 100%, $E$13) + CHOOSE(CONTROL!$C$28, 0, 0)</f>
        <v>73.789100000000005</v>
      </c>
      <c r="E759" s="4">
        <f>429.238524727601 * CHOOSE(CONTROL!$C$9, $C$13, 100%, $E$13) + CHOOSE(CONTROL!$C$28, 0, 0)</f>
        <v>429.23852472760097</v>
      </c>
    </row>
    <row r="760" spans="1:5" ht="15">
      <c r="A760" s="13">
        <v>65015</v>
      </c>
      <c r="B760" s="4">
        <f>76.0623 * CHOOSE(CONTROL!$C$9, $C$13, 100%, $E$13) + CHOOSE(CONTROL!$C$28, 0.0003, 0)</f>
        <v>76.062599999999989</v>
      </c>
      <c r="C760" s="4">
        <f>75.7498 * CHOOSE(CONTROL!$C$9, $C$13, 100%, $E$13) + CHOOSE(CONTROL!$C$28, 0.0003, 0)</f>
        <v>75.750099999999989</v>
      </c>
      <c r="D760" s="4">
        <f>71.2182 * CHOOSE(CONTROL!$C$9, $C$13, 100%, $E$13) + CHOOSE(CONTROL!$C$28, 0, 0)</f>
        <v>71.218199999999996</v>
      </c>
      <c r="E760" s="4">
        <f>422.516079675598 * CHOOSE(CONTROL!$C$9, $C$13, 100%, $E$13) + CHOOSE(CONTROL!$C$28, 0, 0)</f>
        <v>422.51607967559801</v>
      </c>
    </row>
    <row r="761" spans="1:5" ht="15">
      <c r="A761" s="13">
        <v>65046</v>
      </c>
      <c r="B761" s="4">
        <f>74.1445 * CHOOSE(CONTROL!$C$9, $C$13, 100%, $E$13) + CHOOSE(CONTROL!$C$28, 0.0003, 0)</f>
        <v>74.144799999999989</v>
      </c>
      <c r="C761" s="4">
        <f>73.832 * CHOOSE(CONTROL!$C$9, $C$13, 100%, $E$13) + CHOOSE(CONTROL!$C$28, 0.0003, 0)</f>
        <v>73.832299999999989</v>
      </c>
      <c r="D761" s="4">
        <f>68.8553 * CHOOSE(CONTROL!$C$9, $C$13, 100%, $E$13) + CHOOSE(CONTROL!$C$28, 0, 0)</f>
        <v>68.8553</v>
      </c>
      <c r="E761" s="4">
        <f>410.399928591194 * CHOOSE(CONTROL!$C$9, $C$13, 100%, $E$13) + CHOOSE(CONTROL!$C$28, 0, 0)</f>
        <v>410.399928591194</v>
      </c>
    </row>
    <row r="762" spans="1:5" ht="15">
      <c r="A762" s="13">
        <v>65074</v>
      </c>
      <c r="B762" s="4">
        <f>75.8604 * CHOOSE(CONTROL!$C$9, $C$13, 100%, $E$13) + CHOOSE(CONTROL!$C$28, 0.0003, 0)</f>
        <v>75.860699999999994</v>
      </c>
      <c r="C762" s="4">
        <f>75.5479 * CHOOSE(CONTROL!$C$9, $C$13, 100%, $E$13) + CHOOSE(CONTROL!$C$28, 0.0003, 0)</f>
        <v>75.548199999999994</v>
      </c>
      <c r="D762" s="4">
        <f>71.2348 * CHOOSE(CONTROL!$C$9, $C$13, 100%, $E$13) + CHOOSE(CONTROL!$C$28, 0, 0)</f>
        <v>71.234800000000007</v>
      </c>
      <c r="E762" s="4">
        <f>420.144440244902 * CHOOSE(CONTROL!$C$9, $C$13, 100%, $E$13) + CHOOSE(CONTROL!$C$28, 0, 0)</f>
        <v>420.144440244902</v>
      </c>
    </row>
    <row r="763" spans="1:5" ht="15">
      <c r="A763" s="13">
        <v>65105</v>
      </c>
      <c r="B763" s="4">
        <f>80.3667 * CHOOSE(CONTROL!$C$9, $C$13, 100%, $E$13) + CHOOSE(CONTROL!$C$28, 0.0003, 0)</f>
        <v>80.36699999999999</v>
      </c>
      <c r="C763" s="4">
        <f>80.0542 * CHOOSE(CONTROL!$C$9, $C$13, 100%, $E$13) + CHOOSE(CONTROL!$C$28, 0.0003, 0)</f>
        <v>80.05449999999999</v>
      </c>
      <c r="D763" s="4">
        <f>74.9596 * CHOOSE(CONTROL!$C$9, $C$13, 100%, $E$13) + CHOOSE(CONTROL!$C$28, 0, 0)</f>
        <v>74.959599999999995</v>
      </c>
      <c r="E763" s="4">
        <f>445.734045702338 * CHOOSE(CONTROL!$C$9, $C$13, 100%, $E$13) + CHOOSE(CONTROL!$C$28, 0, 0)</f>
        <v>445.73404570233799</v>
      </c>
    </row>
    <row r="764" spans="1:5" ht="15">
      <c r="A764" s="13">
        <v>65135</v>
      </c>
      <c r="B764" s="4">
        <f>83.5684 * CHOOSE(CONTROL!$C$9, $C$13, 100%, $E$13) + CHOOSE(CONTROL!$C$28, 0.0003, 0)</f>
        <v>83.568699999999993</v>
      </c>
      <c r="C764" s="4">
        <f>83.2559 * CHOOSE(CONTROL!$C$9, $C$13, 100%, $E$13) + CHOOSE(CONTROL!$C$28, 0.0003, 0)</f>
        <v>83.256199999999993</v>
      </c>
      <c r="D764" s="4">
        <f>77.1052 * CHOOSE(CONTROL!$C$9, $C$13, 100%, $E$13) + CHOOSE(CONTROL!$C$28, 0, 0)</f>
        <v>77.105199999999996</v>
      </c>
      <c r="E764" s="4">
        <f>463.915801406178 * CHOOSE(CONTROL!$C$9, $C$13, 100%, $E$13) + CHOOSE(CONTROL!$C$28, 0, 0)</f>
        <v>463.91580140617799</v>
      </c>
    </row>
    <row r="765" spans="1:5" ht="15">
      <c r="A765" s="13">
        <v>65166</v>
      </c>
      <c r="B765" s="4">
        <f>85.5245 * CHOOSE(CONTROL!$C$9, $C$13, 100%, $E$13) + CHOOSE(CONTROL!$C$28, 0.0276, 0)</f>
        <v>85.55210000000001</v>
      </c>
      <c r="C765" s="4">
        <f>85.212 * CHOOSE(CONTROL!$C$9, $C$13, 100%, $E$13) + CHOOSE(CONTROL!$C$28, 0.0276, 0)</f>
        <v>85.23960000000001</v>
      </c>
      <c r="D765" s="4">
        <f>76.2574 * CHOOSE(CONTROL!$C$9, $C$13, 100%, $E$13) + CHOOSE(CONTROL!$C$28, 0, 0)</f>
        <v>76.257400000000004</v>
      </c>
      <c r="E765" s="4">
        <f>475.024418385357 * CHOOSE(CONTROL!$C$9, $C$13, 100%, $E$13) + CHOOSE(CONTROL!$C$28, 0, 0)</f>
        <v>475.02441838535702</v>
      </c>
    </row>
    <row r="766" spans="1:5" ht="15">
      <c r="A766" s="13">
        <v>65196</v>
      </c>
      <c r="B766" s="4">
        <f>85.7892 * CHOOSE(CONTROL!$C$9, $C$13, 100%, $E$13) + CHOOSE(CONTROL!$C$28, 0.0276, 0)</f>
        <v>85.816800000000001</v>
      </c>
      <c r="C766" s="4">
        <f>85.4767 * CHOOSE(CONTROL!$C$9, $C$13, 100%, $E$13) + CHOOSE(CONTROL!$C$28, 0.0276, 0)</f>
        <v>85.504300000000001</v>
      </c>
      <c r="D766" s="4">
        <f>76.9479 * CHOOSE(CONTROL!$C$9, $C$13, 100%, $E$13) + CHOOSE(CONTROL!$C$28, 0, 0)</f>
        <v>76.947900000000004</v>
      </c>
      <c r="E766" s="4">
        <f>476.527460364347 * CHOOSE(CONTROL!$C$9, $C$13, 100%, $E$13) + CHOOSE(CONTROL!$C$28, 0, 0)</f>
        <v>476.52746036434701</v>
      </c>
    </row>
    <row r="767" spans="1:5" ht="15">
      <c r="A767" s="13">
        <v>65227</v>
      </c>
      <c r="B767" s="4">
        <f>85.7625 * CHOOSE(CONTROL!$C$9, $C$13, 100%, $E$13) + CHOOSE(CONTROL!$C$28, 0.0276, 0)</f>
        <v>85.79010000000001</v>
      </c>
      <c r="C767" s="4">
        <f>85.45 * CHOOSE(CONTROL!$C$9, $C$13, 100%, $E$13) + CHOOSE(CONTROL!$C$28, 0.0276, 0)</f>
        <v>85.47760000000001</v>
      </c>
      <c r="D767" s="4">
        <f>78.1938 * CHOOSE(CONTROL!$C$9, $C$13, 100%, $E$13) + CHOOSE(CONTROL!$C$28, 0, 0)</f>
        <v>78.193799999999996</v>
      </c>
      <c r="E767" s="4">
        <f>476.375893105962 * CHOOSE(CONTROL!$C$9, $C$13, 100%, $E$13) + CHOOSE(CONTROL!$C$28, 0, 0)</f>
        <v>476.37589310596201</v>
      </c>
    </row>
    <row r="768" spans="1:5" ht="15">
      <c r="A768" s="13">
        <v>65258</v>
      </c>
      <c r="B768" s="4">
        <f>87.771 * CHOOSE(CONTROL!$C$9, $C$13, 100%, $E$13) + CHOOSE(CONTROL!$C$28, 0.0276, 0)</f>
        <v>87.798600000000008</v>
      </c>
      <c r="C768" s="4">
        <f>87.4585 * CHOOSE(CONTROL!$C$9, $C$13, 100%, $E$13) + CHOOSE(CONTROL!$C$28, 0.0276, 0)</f>
        <v>87.486100000000008</v>
      </c>
      <c r="D768" s="4">
        <f>77.371 * CHOOSE(CONTROL!$C$9, $C$13, 100%, $E$13) + CHOOSE(CONTROL!$C$28, 0, 0)</f>
        <v>77.370999999999995</v>
      </c>
      <c r="E768" s="4">
        <f>487.781329299479 * CHOOSE(CONTROL!$C$9, $C$13, 100%, $E$13) + CHOOSE(CONTROL!$C$28, 0, 0)</f>
        <v>487.78132929947901</v>
      </c>
    </row>
    <row r="769" spans="1:5" ht="15">
      <c r="A769" s="13">
        <v>65288</v>
      </c>
      <c r="B769" s="4">
        <f>84.348 * CHOOSE(CONTROL!$C$9, $C$13, 100%, $E$13) + CHOOSE(CONTROL!$C$28, 0.0276, 0)</f>
        <v>84.375600000000006</v>
      </c>
      <c r="C769" s="4">
        <f>84.0355 * CHOOSE(CONTROL!$C$9, $C$13, 100%, $E$13) + CHOOSE(CONTROL!$C$28, 0.0276, 0)</f>
        <v>84.063100000000006</v>
      </c>
      <c r="D769" s="4">
        <f>76.9822 * CHOOSE(CONTROL!$C$9, $C$13, 100%, $E$13) + CHOOSE(CONTROL!$C$28, 0, 0)</f>
        <v>76.982200000000006</v>
      </c>
      <c r="E769" s="4">
        <f>468.342828411525 * CHOOSE(CONTROL!$C$9, $C$13, 100%, $E$13) + CHOOSE(CONTROL!$C$28, 0, 0)</f>
        <v>468.34282841152498</v>
      </c>
    </row>
    <row r="770" spans="1:5" ht="15">
      <c r="A770" s="13">
        <v>65319</v>
      </c>
      <c r="B770" s="4">
        <f>81.6078 * CHOOSE(CONTROL!$C$9, $C$13, 100%, $E$13) + CHOOSE(CONTROL!$C$28, 0.0003, 0)</f>
        <v>81.608099999999993</v>
      </c>
      <c r="C770" s="4">
        <f>81.2953 * CHOOSE(CONTROL!$C$9, $C$13, 100%, $E$13) + CHOOSE(CONTROL!$C$28, 0.0003, 0)</f>
        <v>81.295599999999993</v>
      </c>
      <c r="D770" s="4">
        <f>75.9413 * CHOOSE(CONTROL!$C$9, $C$13, 100%, $E$13) + CHOOSE(CONTROL!$C$28, 0, 0)</f>
        <v>75.941299999999998</v>
      </c>
      <c r="E770" s="4">
        <f>452.781923217269 * CHOOSE(CONTROL!$C$9, $C$13, 100%, $E$13) + CHOOSE(CONTROL!$C$28, 0, 0)</f>
        <v>452.78192321726902</v>
      </c>
    </row>
    <row r="771" spans="1:5" ht="15">
      <c r="A771" s="13">
        <v>65349</v>
      </c>
      <c r="B771" s="4">
        <f>79.8429 * CHOOSE(CONTROL!$C$9, $C$13, 100%, $E$13) + CHOOSE(CONTROL!$C$28, 0.0003, 0)</f>
        <v>79.843199999999996</v>
      </c>
      <c r="C771" s="4">
        <f>79.5304 * CHOOSE(CONTROL!$C$9, $C$13, 100%, $E$13) + CHOOSE(CONTROL!$C$28, 0.0003, 0)</f>
        <v>79.530699999999996</v>
      </c>
      <c r="D771" s="4">
        <f>75.5834 * CHOOSE(CONTROL!$C$9, $C$13, 100%, $E$13) + CHOOSE(CONTROL!$C$28, 0, 0)</f>
        <v>75.583399999999997</v>
      </c>
      <c r="E771" s="4">
        <f>442.759538256521 * CHOOSE(CONTROL!$C$9, $C$13, 100%, $E$13) + CHOOSE(CONTROL!$C$28, 0, 0)</f>
        <v>442.75953825652101</v>
      </c>
    </row>
    <row r="772" spans="1:5" ht="15">
      <c r="A772" s="13">
        <v>65380</v>
      </c>
      <c r="B772" s="4">
        <f>78.6218 * CHOOSE(CONTROL!$C$9, $C$13, 100%, $E$13) + CHOOSE(CONTROL!$C$28, 0.0003, 0)</f>
        <v>78.622099999999989</v>
      </c>
      <c r="C772" s="4">
        <f>78.3093 * CHOOSE(CONTROL!$C$9, $C$13, 100%, $E$13) + CHOOSE(CONTROL!$C$28, 0.0003, 0)</f>
        <v>78.309599999999989</v>
      </c>
      <c r="D772" s="4">
        <f>72.9488 * CHOOSE(CONTROL!$C$9, $C$13, 100%, $E$13) + CHOOSE(CONTROL!$C$28, 0, 0)</f>
        <v>72.948800000000006</v>
      </c>
      <c r="E772" s="4">
        <f>435.825336185379 * CHOOSE(CONTROL!$C$9, $C$13, 100%, $E$13) + CHOOSE(CONTROL!$C$28, 0, 0)</f>
        <v>435.825336185379</v>
      </c>
    </row>
    <row r="773" spans="1:5" ht="15">
      <c r="A773" s="13">
        <v>65411</v>
      </c>
      <c r="B773" s="4">
        <f>76.6378 * CHOOSE(CONTROL!$C$9, $C$13, 100%, $E$13) + CHOOSE(CONTROL!$C$28, 0.0003, 0)</f>
        <v>76.638099999999994</v>
      </c>
      <c r="C773" s="4">
        <f>76.3253 * CHOOSE(CONTROL!$C$9, $C$13, 100%, $E$13) + CHOOSE(CONTROL!$C$28, 0.0003, 0)</f>
        <v>76.325599999999994</v>
      </c>
      <c r="D773" s="4">
        <f>70.5273 * CHOOSE(CONTROL!$C$9, $C$13, 100%, $E$13) + CHOOSE(CONTROL!$C$28, 0, 0)</f>
        <v>70.527299999999997</v>
      </c>
      <c r="E773" s="4">
        <f>423.327526341816 * CHOOSE(CONTROL!$C$9, $C$13, 100%, $E$13) + CHOOSE(CONTROL!$C$28, 0, 0)</f>
        <v>423.327526341816</v>
      </c>
    </row>
    <row r="774" spans="1:5" ht="15">
      <c r="A774" s="13">
        <v>65439</v>
      </c>
      <c r="B774" s="4">
        <f>78.4129 * CHOOSE(CONTROL!$C$9, $C$13, 100%, $E$13) + CHOOSE(CONTROL!$C$28, 0.0003, 0)</f>
        <v>78.413199999999989</v>
      </c>
      <c r="C774" s="4">
        <f>78.1004 * CHOOSE(CONTROL!$C$9, $C$13, 100%, $E$13) + CHOOSE(CONTROL!$C$28, 0.0003, 0)</f>
        <v>78.100699999999989</v>
      </c>
      <c r="D774" s="4">
        <f>72.9657 * CHOOSE(CONTROL!$C$9, $C$13, 100%, $E$13) + CHOOSE(CONTROL!$C$28, 0, 0)</f>
        <v>72.965699999999998</v>
      </c>
      <c r="E774" s="4">
        <f>433.378990112616 * CHOOSE(CONTROL!$C$9, $C$13, 100%, $E$13) + CHOOSE(CONTROL!$C$28, 0, 0)</f>
        <v>433.37899011261601</v>
      </c>
    </row>
    <row r="775" spans="1:5" ht="15">
      <c r="A775" s="13">
        <v>65470</v>
      </c>
      <c r="B775" s="4">
        <f>83.0746 * CHOOSE(CONTROL!$C$9, $C$13, 100%, $E$13) + CHOOSE(CONTROL!$C$28, 0.0003, 0)</f>
        <v>83.0749</v>
      </c>
      <c r="C775" s="4">
        <f>82.7621 * CHOOSE(CONTROL!$C$9, $C$13, 100%, $E$13) + CHOOSE(CONTROL!$C$28, 0.0003, 0)</f>
        <v>82.7624</v>
      </c>
      <c r="D775" s="4">
        <f>76.7829 * CHOOSE(CONTROL!$C$9, $C$13, 100%, $E$13) + CHOOSE(CONTROL!$C$28, 0, 0)</f>
        <v>76.782899999999998</v>
      </c>
      <c r="E775" s="4">
        <f>459.774668141962 * CHOOSE(CONTROL!$C$9, $C$13, 100%, $E$13) + CHOOSE(CONTROL!$C$28, 0, 0)</f>
        <v>459.77466814196202</v>
      </c>
    </row>
    <row r="776" spans="1:5" ht="15">
      <c r="A776" s="13">
        <v>65500</v>
      </c>
      <c r="B776" s="4">
        <f>86.3868 * CHOOSE(CONTROL!$C$9, $C$13, 100%, $E$13) + CHOOSE(CONTROL!$C$28, 0.0003, 0)</f>
        <v>86.38709999999999</v>
      </c>
      <c r="C776" s="4">
        <f>86.0743 * CHOOSE(CONTROL!$C$9, $C$13, 100%, $E$13) + CHOOSE(CONTROL!$C$28, 0.0003, 0)</f>
        <v>86.07459999999999</v>
      </c>
      <c r="D776" s="4">
        <f>78.9818 * CHOOSE(CONTROL!$C$9, $C$13, 100%, $E$13) + CHOOSE(CONTROL!$C$28, 0, 0)</f>
        <v>78.981800000000007</v>
      </c>
      <c r="E776" s="4">
        <f>478.529149150473 * CHOOSE(CONTROL!$C$9, $C$13, 100%, $E$13) + CHOOSE(CONTROL!$C$28, 0, 0)</f>
        <v>478.52914915047302</v>
      </c>
    </row>
    <row r="777" spans="1:5" ht="15">
      <c r="A777" s="13">
        <v>65531</v>
      </c>
      <c r="B777" s="4">
        <f>88.4105 * CHOOSE(CONTROL!$C$9, $C$13, 100%, $E$13) + CHOOSE(CONTROL!$C$28, 0.0276, 0)</f>
        <v>88.438100000000006</v>
      </c>
      <c r="C777" s="4">
        <f>88.098 * CHOOSE(CONTROL!$C$9, $C$13, 100%, $E$13) + CHOOSE(CONTROL!$C$28, 0.0276, 0)</f>
        <v>88.125600000000006</v>
      </c>
      <c r="D777" s="4">
        <f>78.1129 * CHOOSE(CONTROL!$C$9, $C$13, 100%, $E$13) + CHOOSE(CONTROL!$C$28, 0, 0)</f>
        <v>78.112899999999996</v>
      </c>
      <c r="E777" s="4">
        <f>489.987687564496 * CHOOSE(CONTROL!$C$9, $C$13, 100%, $E$13) + CHOOSE(CONTROL!$C$28, 0, 0)</f>
        <v>489.98768756449601</v>
      </c>
    </row>
    <row r="778" spans="1:5" ht="15">
      <c r="A778" s="13">
        <v>65561</v>
      </c>
      <c r="B778" s="4">
        <f>88.6843 * CHOOSE(CONTROL!$C$9, $C$13, 100%, $E$13) + CHOOSE(CONTROL!$C$28, 0.0276, 0)</f>
        <v>88.7119</v>
      </c>
      <c r="C778" s="4">
        <f>88.3718 * CHOOSE(CONTROL!$C$9, $C$13, 100%, $E$13) + CHOOSE(CONTROL!$C$28, 0.0276, 0)</f>
        <v>88.3994</v>
      </c>
      <c r="D778" s="4">
        <f>78.8205 * CHOOSE(CONTROL!$C$9, $C$13, 100%, $E$13) + CHOOSE(CONTROL!$C$28, 0, 0)</f>
        <v>78.820499999999996</v>
      </c>
      <c r="E778" s="4">
        <f>491.538075365824 * CHOOSE(CONTROL!$C$9, $C$13, 100%, $E$13) + CHOOSE(CONTROL!$C$28, 0, 0)</f>
        <v>491.538075365824</v>
      </c>
    </row>
    <row r="779" spans="1:5" ht="15">
      <c r="A779" s="13">
        <v>65592</v>
      </c>
      <c r="B779" s="4">
        <f>88.6567 * CHOOSE(CONTROL!$C$9, $C$13, 100%, $E$13) + CHOOSE(CONTROL!$C$28, 0.0276, 0)</f>
        <v>88.684300000000007</v>
      </c>
      <c r="C779" s="4">
        <f>88.3442 * CHOOSE(CONTROL!$C$9, $C$13, 100%, $E$13) + CHOOSE(CONTROL!$C$28, 0.0276, 0)</f>
        <v>88.371800000000007</v>
      </c>
      <c r="D779" s="4">
        <f>80.0973 * CHOOSE(CONTROL!$C$9, $C$13, 100%, $E$13) + CHOOSE(CONTROL!$C$28, 0, 0)</f>
        <v>80.097300000000004</v>
      </c>
      <c r="E779" s="4">
        <f>491.3817337388 * CHOOSE(CONTROL!$C$9, $C$13, 100%, $E$13) + CHOOSE(CONTROL!$C$28, 0, 0)</f>
        <v>491.38173373879999</v>
      </c>
    </row>
    <row r="780" spans="1:5" ht="15">
      <c r="A780" s="13">
        <v>65623</v>
      </c>
      <c r="B780" s="4">
        <f>90.7344 * CHOOSE(CONTROL!$C$9, $C$13, 100%, $E$13) + CHOOSE(CONTROL!$C$28, 0.0276, 0)</f>
        <v>90.762</v>
      </c>
      <c r="C780" s="4">
        <f>90.4219 * CHOOSE(CONTROL!$C$9, $C$13, 100%, $E$13) + CHOOSE(CONTROL!$C$28, 0.0276, 0)</f>
        <v>90.4495</v>
      </c>
      <c r="D780" s="4">
        <f>79.2541 * CHOOSE(CONTROL!$C$9, $C$13, 100%, $E$13) + CHOOSE(CONTROL!$C$28, 0, 0)</f>
        <v>79.254099999999994</v>
      </c>
      <c r="E780" s="4">
        <f>503.146441172412 * CHOOSE(CONTROL!$C$9, $C$13, 100%, $E$13) + CHOOSE(CONTROL!$C$28, 0, 0)</f>
        <v>503.14644117241198</v>
      </c>
    </row>
    <row r="781" spans="1:5" ht="15">
      <c r="A781" s="13">
        <v>65653</v>
      </c>
      <c r="B781" s="4">
        <f>87.1933 * CHOOSE(CONTROL!$C$9, $C$13, 100%, $E$13) + CHOOSE(CONTROL!$C$28, 0.0276, 0)</f>
        <v>87.2209</v>
      </c>
      <c r="C781" s="4">
        <f>86.8808 * CHOOSE(CONTROL!$C$9, $C$13, 100%, $E$13) + CHOOSE(CONTROL!$C$28, 0.0276, 0)</f>
        <v>86.9084</v>
      </c>
      <c r="D781" s="4">
        <f>78.8557 * CHOOSE(CONTROL!$C$9, $C$13, 100%, $E$13) + CHOOSE(CONTROL!$C$28, 0, 0)</f>
        <v>78.855699999999999</v>
      </c>
      <c r="E781" s="4">
        <f>483.095627506488 * CHOOSE(CONTROL!$C$9, $C$13, 100%, $E$13) + CHOOSE(CONTROL!$C$28, 0, 0)</f>
        <v>483.09562750648797</v>
      </c>
    </row>
    <row r="782" spans="1:5" ht="15">
      <c r="A782" s="13">
        <v>65684</v>
      </c>
      <c r="B782" s="4">
        <f>84.3585 * CHOOSE(CONTROL!$C$9, $C$13, 100%, $E$13) + CHOOSE(CONTROL!$C$28, 0.0003, 0)</f>
        <v>84.358800000000002</v>
      </c>
      <c r="C782" s="4">
        <f>84.046 * CHOOSE(CONTROL!$C$9, $C$13, 100%, $E$13) + CHOOSE(CONTROL!$C$28, 0.0003, 0)</f>
        <v>84.046300000000002</v>
      </c>
      <c r="D782" s="4">
        <f>77.789 * CHOOSE(CONTROL!$C$9, $C$13, 100%, $E$13) + CHOOSE(CONTROL!$C$28, 0, 0)</f>
        <v>77.789000000000001</v>
      </c>
      <c r="E782" s="4">
        <f>467.044553798613 * CHOOSE(CONTROL!$C$9, $C$13, 100%, $E$13) + CHOOSE(CONTROL!$C$28, 0, 0)</f>
        <v>467.04455379861298</v>
      </c>
    </row>
    <row r="783" spans="1:5" ht="15">
      <c r="A783" s="13">
        <v>65714</v>
      </c>
      <c r="B783" s="4">
        <f>82.5327 * CHOOSE(CONTROL!$C$9, $C$13, 100%, $E$13) + CHOOSE(CONTROL!$C$28, 0.0003, 0)</f>
        <v>82.533000000000001</v>
      </c>
      <c r="C783" s="4">
        <f>82.2202 * CHOOSE(CONTROL!$C$9, $C$13, 100%, $E$13) + CHOOSE(CONTROL!$C$28, 0.0003, 0)</f>
        <v>82.220500000000001</v>
      </c>
      <c r="D783" s="4">
        <f>77.4223 * CHOOSE(CONTROL!$C$9, $C$13, 100%, $E$13) + CHOOSE(CONTROL!$C$28, 0, 0)</f>
        <v>77.422300000000007</v>
      </c>
      <c r="E783" s="4">
        <f>456.706463711601 * CHOOSE(CONTROL!$C$9, $C$13, 100%, $E$13) + CHOOSE(CONTROL!$C$28, 0, 0)</f>
        <v>456.70646371160097</v>
      </c>
    </row>
    <row r="784" spans="1:5" ht="15">
      <c r="A784" s="13">
        <v>65745</v>
      </c>
      <c r="B784" s="4">
        <f>81.2695 * CHOOSE(CONTROL!$C$9, $C$13, 100%, $E$13) + CHOOSE(CONTROL!$C$28, 0.0003, 0)</f>
        <v>81.269799999999989</v>
      </c>
      <c r="C784" s="4">
        <f>80.957 * CHOOSE(CONTROL!$C$9, $C$13, 100%, $E$13) + CHOOSE(CONTROL!$C$28, 0.0003, 0)</f>
        <v>80.957299999999989</v>
      </c>
      <c r="D784" s="4">
        <f>74.7223 * CHOOSE(CONTROL!$C$9, $C$13, 100%, $E$13) + CHOOSE(CONTROL!$C$28, 0, 0)</f>
        <v>74.722300000000004</v>
      </c>
      <c r="E784" s="4">
        <f>449.553834275219 * CHOOSE(CONTROL!$C$9, $C$13, 100%, $E$13) + CHOOSE(CONTROL!$C$28, 0, 0)</f>
        <v>449.553834275219</v>
      </c>
    </row>
    <row r="785" spans="1:5" ht="15">
      <c r="A785" s="13">
        <v>65776</v>
      </c>
      <c r="B785" s="4">
        <f>79.2171 * CHOOSE(CONTROL!$C$9, $C$13, 100%, $E$13) + CHOOSE(CONTROL!$C$28, 0.0003, 0)</f>
        <v>79.217399999999998</v>
      </c>
      <c r="C785" s="4">
        <f>78.9046 * CHOOSE(CONTROL!$C$9, $C$13, 100%, $E$13) + CHOOSE(CONTROL!$C$28, 0.0003, 0)</f>
        <v>78.904899999999998</v>
      </c>
      <c r="D785" s="4">
        <f>72.2407 * CHOOSE(CONTROL!$C$9, $C$13, 100%, $E$13) + CHOOSE(CONTROL!$C$28, 0, 0)</f>
        <v>72.240700000000004</v>
      </c>
      <c r="E785" s="4">
        <f>436.662343421584 * CHOOSE(CONTROL!$C$9, $C$13, 100%, $E$13) + CHOOSE(CONTROL!$C$28, 0, 0)</f>
        <v>436.66234342158401</v>
      </c>
    </row>
    <row r="786" spans="1:5" ht="15">
      <c r="A786" s="13">
        <v>65805</v>
      </c>
      <c r="B786" s="4">
        <f>81.0535 * CHOOSE(CONTROL!$C$9, $C$13, 100%, $E$13) + CHOOSE(CONTROL!$C$28, 0.0003, 0)</f>
        <v>81.053799999999995</v>
      </c>
      <c r="C786" s="4">
        <f>80.741 * CHOOSE(CONTROL!$C$9, $C$13, 100%, $E$13) + CHOOSE(CONTROL!$C$28, 0.0003, 0)</f>
        <v>80.741299999999995</v>
      </c>
      <c r="D786" s="4">
        <f>74.7396 * CHOOSE(CONTROL!$C$9, $C$13, 100%, $E$13) + CHOOSE(CONTROL!$C$28, 0, 0)</f>
        <v>74.739599999999996</v>
      </c>
      <c r="E786" s="4">
        <f>447.030428301164 * CHOOSE(CONTROL!$C$9, $C$13, 100%, $E$13) + CHOOSE(CONTROL!$C$28, 0, 0)</f>
        <v>447.03042830116402</v>
      </c>
    </row>
    <row r="787" spans="1:5" ht="15">
      <c r="A787" s="13">
        <v>65836</v>
      </c>
      <c r="B787" s="4">
        <f>85.876 * CHOOSE(CONTROL!$C$9, $C$13, 100%, $E$13) + CHOOSE(CONTROL!$C$28, 0.0003, 0)</f>
        <v>85.876300000000001</v>
      </c>
      <c r="C787" s="4">
        <f>85.5635 * CHOOSE(CONTROL!$C$9, $C$13, 100%, $E$13) + CHOOSE(CONTROL!$C$28, 0.0003, 0)</f>
        <v>85.563800000000001</v>
      </c>
      <c r="D787" s="4">
        <f>78.6515 * CHOOSE(CONTROL!$C$9, $C$13, 100%, $E$13) + CHOOSE(CONTROL!$C$28, 0, 0)</f>
        <v>78.651499999999999</v>
      </c>
      <c r="E787" s="4">
        <f>474.257570188434 * CHOOSE(CONTROL!$C$9, $C$13, 100%, $E$13) + CHOOSE(CONTROL!$C$28, 0, 0)</f>
        <v>474.25757018843399</v>
      </c>
    </row>
    <row r="788" spans="1:5" ht="15">
      <c r="A788" s="13">
        <v>65866</v>
      </c>
      <c r="B788" s="4">
        <f>89.3025 * CHOOSE(CONTROL!$C$9, $C$13, 100%, $E$13) + CHOOSE(CONTROL!$C$28, 0.0003, 0)</f>
        <v>89.302799999999991</v>
      </c>
      <c r="C788" s="4">
        <f>88.99 * CHOOSE(CONTROL!$C$9, $C$13, 100%, $E$13) + CHOOSE(CONTROL!$C$28, 0.0003, 0)</f>
        <v>88.990299999999991</v>
      </c>
      <c r="D788" s="4">
        <f>80.9049 * CHOOSE(CONTROL!$C$9, $C$13, 100%, $E$13) + CHOOSE(CONTROL!$C$28, 0, 0)</f>
        <v>80.904899999999998</v>
      </c>
      <c r="E788" s="4">
        <f>493.602817348713 * CHOOSE(CONTROL!$C$9, $C$13, 100%, $E$13) + CHOOSE(CONTROL!$C$28, 0, 0)</f>
        <v>493.60281734871302</v>
      </c>
    </row>
    <row r="789" spans="1:5" ht="15">
      <c r="A789" s="13">
        <v>65897</v>
      </c>
      <c r="B789" s="4">
        <f>91.3959 * CHOOSE(CONTROL!$C$9, $C$13, 100%, $E$13) + CHOOSE(CONTROL!$C$28, 0.0276, 0)</f>
        <v>91.423500000000004</v>
      </c>
      <c r="C789" s="4">
        <f>91.0834 * CHOOSE(CONTROL!$C$9, $C$13, 100%, $E$13) + CHOOSE(CONTROL!$C$28, 0.0276, 0)</f>
        <v>91.111000000000004</v>
      </c>
      <c r="D789" s="4">
        <f>80.0144 * CHOOSE(CONTROL!$C$9, $C$13, 100%, $E$13) + CHOOSE(CONTROL!$C$28, 0, 0)</f>
        <v>80.014399999999995</v>
      </c>
      <c r="E789" s="4">
        <f>505.422299722777 * CHOOSE(CONTROL!$C$9, $C$13, 100%, $E$13) + CHOOSE(CONTROL!$C$28, 0, 0)</f>
        <v>505.42229972277698</v>
      </c>
    </row>
    <row r="790" spans="1:5" ht="15">
      <c r="A790" s="13">
        <v>65927</v>
      </c>
      <c r="B790" s="4">
        <f>91.6792 * CHOOSE(CONTROL!$C$9, $C$13, 100%, $E$13) + CHOOSE(CONTROL!$C$28, 0.0276, 0)</f>
        <v>91.706800000000001</v>
      </c>
      <c r="C790" s="4">
        <f>91.3667 * CHOOSE(CONTROL!$C$9, $C$13, 100%, $E$13) + CHOOSE(CONTROL!$C$28, 0.0276, 0)</f>
        <v>91.394300000000001</v>
      </c>
      <c r="D790" s="4">
        <f>80.7396 * CHOOSE(CONTROL!$C$9, $C$13, 100%, $E$13) + CHOOSE(CONTROL!$C$28, 0, 0)</f>
        <v>80.739599999999996</v>
      </c>
      <c r="E790" s="4">
        <f>507.021524739848 * CHOOSE(CONTROL!$C$9, $C$13, 100%, $E$13) + CHOOSE(CONTROL!$C$28, 0, 0)</f>
        <v>507.02152473984802</v>
      </c>
    </row>
    <row r="791" spans="1:5" ht="15">
      <c r="A791" s="13">
        <v>65958</v>
      </c>
      <c r="B791" s="4">
        <f>91.6506 * CHOOSE(CONTROL!$C$9, $C$13, 100%, $E$13) + CHOOSE(CONTROL!$C$28, 0.0276, 0)</f>
        <v>91.678200000000004</v>
      </c>
      <c r="C791" s="4">
        <f>91.3381 * CHOOSE(CONTROL!$C$9, $C$13, 100%, $E$13) + CHOOSE(CONTROL!$C$28, 0.0276, 0)</f>
        <v>91.365700000000004</v>
      </c>
      <c r="D791" s="4">
        <f>82.0481 * CHOOSE(CONTROL!$C$9, $C$13, 100%, $E$13) + CHOOSE(CONTROL!$C$28, 0, 0)</f>
        <v>82.048100000000005</v>
      </c>
      <c r="E791" s="4">
        <f>506.860258351572 * CHOOSE(CONTROL!$C$9, $C$13, 100%, $E$13) + CHOOSE(CONTROL!$C$28, 0, 0)</f>
        <v>506.86025835157199</v>
      </c>
    </row>
    <row r="792" spans="1:5" ht="15">
      <c r="A792" s="13">
        <v>65989</v>
      </c>
      <c r="B792" s="4">
        <f>93.8 * CHOOSE(CONTROL!$C$9, $C$13, 100%, $E$13) + CHOOSE(CONTROL!$C$28, 0.0276, 0)</f>
        <v>93.827600000000004</v>
      </c>
      <c r="C792" s="4">
        <f>93.4875 * CHOOSE(CONTROL!$C$9, $C$13, 100%, $E$13) + CHOOSE(CONTROL!$C$28, 0.0276, 0)</f>
        <v>93.515100000000004</v>
      </c>
      <c r="D792" s="4">
        <f>81.184 * CHOOSE(CONTROL!$C$9, $C$13, 100%, $E$13) + CHOOSE(CONTROL!$C$28, 0, 0)</f>
        <v>81.183999999999997</v>
      </c>
      <c r="E792" s="4">
        <f>518.995554069343 * CHOOSE(CONTROL!$C$9, $C$13, 100%, $E$13) + CHOOSE(CONTROL!$C$28, 0, 0)</f>
        <v>518.99555406934303</v>
      </c>
    </row>
    <row r="793" spans="1:5" ht="15">
      <c r="A793" s="13">
        <v>66019</v>
      </c>
      <c r="B793" s="4">
        <f>90.1368 * CHOOSE(CONTROL!$C$9, $C$13, 100%, $E$13) + CHOOSE(CONTROL!$C$28, 0.0276, 0)</f>
        <v>90.164400000000001</v>
      </c>
      <c r="C793" s="4">
        <f>89.8243 * CHOOSE(CONTROL!$C$9, $C$13, 100%, $E$13) + CHOOSE(CONTROL!$C$28, 0.0276, 0)</f>
        <v>89.851900000000001</v>
      </c>
      <c r="D793" s="4">
        <f>80.7757 * CHOOSE(CONTROL!$C$9, $C$13, 100%, $E$13) + CHOOSE(CONTROL!$C$28, 0, 0)</f>
        <v>80.775700000000001</v>
      </c>
      <c r="E793" s="4">
        <f>498.313139772942 * CHOOSE(CONTROL!$C$9, $C$13, 100%, $E$13) + CHOOSE(CONTROL!$C$28, 0, 0)</f>
        <v>498.31313977294201</v>
      </c>
    </row>
    <row r="794" spans="1:5" ht="15">
      <c r="A794" s="13">
        <v>66050</v>
      </c>
      <c r="B794" s="4">
        <f>87.2042 * CHOOSE(CONTROL!$C$9, $C$13, 100%, $E$13) + CHOOSE(CONTROL!$C$28, 0.0003, 0)</f>
        <v>87.204499999999996</v>
      </c>
      <c r="C794" s="4">
        <f>86.8917 * CHOOSE(CONTROL!$C$9, $C$13, 100%, $E$13) + CHOOSE(CONTROL!$C$28, 0.0003, 0)</f>
        <v>86.891999999999996</v>
      </c>
      <c r="D794" s="4">
        <f>79.6825 * CHOOSE(CONTROL!$C$9, $C$13, 100%, $E$13) + CHOOSE(CONTROL!$C$28, 0, 0)</f>
        <v>79.682500000000005</v>
      </c>
      <c r="E794" s="4">
        <f>481.756457243269 * CHOOSE(CONTROL!$C$9, $C$13, 100%, $E$13) + CHOOSE(CONTROL!$C$28, 0, 0)</f>
        <v>481.75645724326898</v>
      </c>
    </row>
    <row r="795" spans="1:5" ht="15">
      <c r="A795" s="13">
        <v>66080</v>
      </c>
      <c r="B795" s="4">
        <f>85.3154 * CHOOSE(CONTROL!$C$9, $C$13, 100%, $E$13) + CHOOSE(CONTROL!$C$28, 0.0003, 0)</f>
        <v>85.315699999999993</v>
      </c>
      <c r="C795" s="4">
        <f>85.0029 * CHOOSE(CONTROL!$C$9, $C$13, 100%, $E$13) + CHOOSE(CONTROL!$C$28, 0.0003, 0)</f>
        <v>85.003199999999993</v>
      </c>
      <c r="D795" s="4">
        <f>79.3067 * CHOOSE(CONTROL!$C$9, $C$13, 100%, $E$13) + CHOOSE(CONTROL!$C$28, 0, 0)</f>
        <v>79.306700000000006</v>
      </c>
      <c r="E795" s="4">
        <f>471.092717318517 * CHOOSE(CONTROL!$C$9, $C$13, 100%, $E$13) + CHOOSE(CONTROL!$C$28, 0, 0)</f>
        <v>471.09271731851697</v>
      </c>
    </row>
    <row r="796" spans="1:5" ht="15">
      <c r="A796" s="13">
        <v>66111</v>
      </c>
      <c r="B796" s="4">
        <f>84.0087 * CHOOSE(CONTROL!$C$9, $C$13, 100%, $E$13) + CHOOSE(CONTROL!$C$28, 0.0003, 0)</f>
        <v>84.009</v>
      </c>
      <c r="C796" s="4">
        <f>83.6962 * CHOOSE(CONTROL!$C$9, $C$13, 100%, $E$13) + CHOOSE(CONTROL!$C$28, 0.0003, 0)</f>
        <v>83.6965</v>
      </c>
      <c r="D796" s="4">
        <f>76.5397 * CHOOSE(CONTROL!$C$9, $C$13, 100%, $E$13) + CHOOSE(CONTROL!$C$28, 0, 0)</f>
        <v>76.539699999999996</v>
      </c>
      <c r="E796" s="4">
        <f>463.714780054888 * CHOOSE(CONTROL!$C$9, $C$13, 100%, $E$13) + CHOOSE(CONTROL!$C$28, 0, 0)</f>
        <v>463.71478005488802</v>
      </c>
    </row>
    <row r="797" spans="1:5" ht="15">
      <c r="A797" s="13">
        <v>66142</v>
      </c>
      <c r="B797" s="4">
        <f>81.8854 * CHOOSE(CONTROL!$C$9, $C$13, 100%, $E$13) + CHOOSE(CONTROL!$C$28, 0.0003, 0)</f>
        <v>81.8857</v>
      </c>
      <c r="C797" s="4">
        <f>81.5729 * CHOOSE(CONTROL!$C$9, $C$13, 100%, $E$13) + CHOOSE(CONTROL!$C$28, 0.0003, 0)</f>
        <v>81.5732</v>
      </c>
      <c r="D797" s="4">
        <f>73.9966 * CHOOSE(CONTROL!$C$9, $C$13, 100%, $E$13) + CHOOSE(CONTROL!$C$28, 0, 0)</f>
        <v>73.996600000000001</v>
      </c>
      <c r="E797" s="4">
        <f>450.417207239363 * CHOOSE(CONTROL!$C$9, $C$13, 100%, $E$13) + CHOOSE(CONTROL!$C$28, 0, 0)</f>
        <v>450.41720723936299</v>
      </c>
    </row>
    <row r="798" spans="1:5" ht="15">
      <c r="A798" s="13">
        <v>66170</v>
      </c>
      <c r="B798" s="4">
        <f>83.7852 * CHOOSE(CONTROL!$C$9, $C$13, 100%, $E$13) + CHOOSE(CONTROL!$C$28, 0.0003, 0)</f>
        <v>83.785499999999999</v>
      </c>
      <c r="C798" s="4">
        <f>83.4727 * CHOOSE(CONTROL!$C$9, $C$13, 100%, $E$13) + CHOOSE(CONTROL!$C$28, 0.0003, 0)</f>
        <v>83.472999999999999</v>
      </c>
      <c r="D798" s="4">
        <f>76.5575 * CHOOSE(CONTROL!$C$9, $C$13, 100%, $E$13) + CHOOSE(CONTROL!$C$28, 0, 0)</f>
        <v>76.557500000000005</v>
      </c>
      <c r="E798" s="4">
        <f>461.11188679265 * CHOOSE(CONTROL!$C$9, $C$13, 100%, $E$13) + CHOOSE(CONTROL!$C$28, 0, 0)</f>
        <v>461.11188679265001</v>
      </c>
    </row>
    <row r="799" spans="1:5" ht="15">
      <c r="A799" s="13">
        <v>66201</v>
      </c>
      <c r="B799" s="4">
        <f>88.774 * CHOOSE(CONTROL!$C$9, $C$13, 100%, $E$13) + CHOOSE(CONTROL!$C$28, 0.0003, 0)</f>
        <v>88.774299999999997</v>
      </c>
      <c r="C799" s="4">
        <f>88.4615 * CHOOSE(CONTROL!$C$9, $C$13, 100%, $E$13) + CHOOSE(CONTROL!$C$28, 0.0003, 0)</f>
        <v>88.461799999999997</v>
      </c>
      <c r="D799" s="4">
        <f>80.5664 * CHOOSE(CONTROL!$C$9, $C$13, 100%, $E$13) + CHOOSE(CONTROL!$C$28, 0, 0)</f>
        <v>80.566400000000002</v>
      </c>
      <c r="E799" s="4">
        <f>489.196683649369 * CHOOSE(CONTROL!$C$9, $C$13, 100%, $E$13) + CHOOSE(CONTROL!$C$28, 0, 0)</f>
        <v>489.19668364936899</v>
      </c>
    </row>
    <row r="800" spans="1:5" ht="15">
      <c r="A800" s="13">
        <v>66231</v>
      </c>
      <c r="B800" s="4">
        <f>92.3187 * CHOOSE(CONTROL!$C$9, $C$13, 100%, $E$13) + CHOOSE(CONTROL!$C$28, 0.0003, 0)</f>
        <v>92.319000000000003</v>
      </c>
      <c r="C800" s="4">
        <f>92.0062 * CHOOSE(CONTROL!$C$9, $C$13, 100%, $E$13) + CHOOSE(CONTROL!$C$28, 0.0003, 0)</f>
        <v>92.006500000000003</v>
      </c>
      <c r="D800" s="4">
        <f>82.8757 * CHOOSE(CONTROL!$C$9, $C$13, 100%, $E$13) + CHOOSE(CONTROL!$C$28, 0, 0)</f>
        <v>82.875699999999995</v>
      </c>
      <c r="E800" s="4">
        <f>509.151306095197 * CHOOSE(CONTROL!$C$9, $C$13, 100%, $E$13) + CHOOSE(CONTROL!$C$28, 0, 0)</f>
        <v>509.15130609519701</v>
      </c>
    </row>
    <row r="801" spans="1:5" ht="15">
      <c r="A801" s="13">
        <v>66262</v>
      </c>
      <c r="B801" s="4">
        <f>94.4844 * CHOOSE(CONTROL!$C$9, $C$13, 100%, $E$13) + CHOOSE(CONTROL!$C$28, 0.0276, 0)</f>
        <v>94.512</v>
      </c>
      <c r="C801" s="4">
        <f>94.1719 * CHOOSE(CONTROL!$C$9, $C$13, 100%, $E$13) + CHOOSE(CONTROL!$C$28, 0.0276, 0)</f>
        <v>94.1995</v>
      </c>
      <c r="D801" s="4">
        <f>81.9632 * CHOOSE(CONTROL!$C$9, $C$13, 100%, $E$13) + CHOOSE(CONTROL!$C$28, 0, 0)</f>
        <v>81.963200000000001</v>
      </c>
      <c r="E801" s="4">
        <f>521.343102164045 * CHOOSE(CONTROL!$C$9, $C$13, 100%, $E$13) + CHOOSE(CONTROL!$C$28, 0, 0)</f>
        <v>521.34310216404504</v>
      </c>
    </row>
    <row r="802" spans="1:5" ht="15">
      <c r="A802" s="13">
        <v>66292</v>
      </c>
      <c r="B802" s="4">
        <f>94.7774 * CHOOSE(CONTROL!$C$9, $C$13, 100%, $E$13) + CHOOSE(CONTROL!$C$28, 0.0276, 0)</f>
        <v>94.805000000000007</v>
      </c>
      <c r="C802" s="4">
        <f>94.4649 * CHOOSE(CONTROL!$C$9, $C$13, 100%, $E$13) + CHOOSE(CONTROL!$C$28, 0.0276, 0)</f>
        <v>94.492500000000007</v>
      </c>
      <c r="D802" s="4">
        <f>82.7063 * CHOOSE(CONTROL!$C$9, $C$13, 100%, $E$13) + CHOOSE(CONTROL!$C$28, 0, 0)</f>
        <v>82.706299999999999</v>
      </c>
      <c r="E802" s="4">
        <f>522.992702769153 * CHOOSE(CONTROL!$C$9, $C$13, 100%, $E$13) + CHOOSE(CONTROL!$C$28, 0, 0)</f>
        <v>522.99270276915297</v>
      </c>
    </row>
    <row r="803" spans="1:5" ht="15">
      <c r="A803" s="13">
        <v>66323</v>
      </c>
      <c r="B803" s="4">
        <f>94.7479 * CHOOSE(CONTROL!$C$9, $C$13, 100%, $E$13) + CHOOSE(CONTROL!$C$28, 0.0276, 0)</f>
        <v>94.775500000000008</v>
      </c>
      <c r="C803" s="4">
        <f>94.4354 * CHOOSE(CONTROL!$C$9, $C$13, 100%, $E$13) + CHOOSE(CONTROL!$C$28, 0.0276, 0)</f>
        <v>94.463000000000008</v>
      </c>
      <c r="D803" s="4">
        <f>84.0472 * CHOOSE(CONTROL!$C$9, $C$13, 100%, $E$13) + CHOOSE(CONTROL!$C$28, 0, 0)</f>
        <v>84.047200000000004</v>
      </c>
      <c r="E803" s="4">
        <f>522.826356489646 * CHOOSE(CONTROL!$C$9, $C$13, 100%, $E$13) + CHOOSE(CONTROL!$C$28, 0, 0)</f>
        <v>522.82635648964595</v>
      </c>
    </row>
    <row r="804" spans="1:5" ht="15">
      <c r="A804" s="13">
        <v>66354</v>
      </c>
      <c r="B804" s="4">
        <f>96.9715 * CHOOSE(CONTROL!$C$9, $C$13, 100%, $E$13) + CHOOSE(CONTROL!$C$28, 0.0276, 0)</f>
        <v>96.999100000000013</v>
      </c>
      <c r="C804" s="4">
        <f>96.659 * CHOOSE(CONTROL!$C$9, $C$13, 100%, $E$13) + CHOOSE(CONTROL!$C$28, 0.0276, 0)</f>
        <v>96.686600000000013</v>
      </c>
      <c r="D804" s="4">
        <f>83.1617 * CHOOSE(CONTROL!$C$9, $C$13, 100%, $E$13) + CHOOSE(CONTROL!$C$28, 0, 0)</f>
        <v>83.161699999999996</v>
      </c>
      <c r="E804" s="4">
        <f>535.343914022528 * CHOOSE(CONTROL!$C$9, $C$13, 100%, $E$13) + CHOOSE(CONTROL!$C$28, 0, 0)</f>
        <v>535.343914022528</v>
      </c>
    </row>
    <row r="805" spans="1:5" ht="15">
      <c r="A805" s="13">
        <v>66384</v>
      </c>
      <c r="B805" s="4">
        <f>93.1818 * CHOOSE(CONTROL!$C$9, $C$13, 100%, $E$13) + CHOOSE(CONTROL!$C$28, 0.0276, 0)</f>
        <v>93.209400000000002</v>
      </c>
      <c r="C805" s="4">
        <f>92.8693 * CHOOSE(CONTROL!$C$9, $C$13, 100%, $E$13) + CHOOSE(CONTROL!$C$28, 0.0276, 0)</f>
        <v>92.896900000000002</v>
      </c>
      <c r="D805" s="4">
        <f>82.7433 * CHOOSE(CONTROL!$C$9, $C$13, 100%, $E$13) + CHOOSE(CONTROL!$C$28, 0, 0)</f>
        <v>82.743300000000005</v>
      </c>
      <c r="E805" s="4">
        <f>514.01000367579 * CHOOSE(CONTROL!$C$9, $C$13, 100%, $E$13) + CHOOSE(CONTROL!$C$28, 0, 0)</f>
        <v>514.01000367579002</v>
      </c>
    </row>
    <row r="806" spans="1:5" ht="15">
      <c r="A806" s="13">
        <v>66415</v>
      </c>
      <c r="B806" s="4">
        <f>90.1481 * CHOOSE(CONTROL!$C$9, $C$13, 100%, $E$13) + CHOOSE(CONTROL!$C$28, 0.0003, 0)</f>
        <v>90.148399999999995</v>
      </c>
      <c r="C806" s="4">
        <f>89.8356 * CHOOSE(CONTROL!$C$9, $C$13, 100%, $E$13) + CHOOSE(CONTROL!$C$28, 0.0003, 0)</f>
        <v>89.835899999999995</v>
      </c>
      <c r="D806" s="4">
        <f>81.623 * CHOOSE(CONTROL!$C$9, $C$13, 100%, $E$13) + CHOOSE(CONTROL!$C$28, 0, 0)</f>
        <v>81.623000000000005</v>
      </c>
      <c r="E806" s="4">
        <f>496.931785646432 * CHOOSE(CONTROL!$C$9, $C$13, 100%, $E$13) + CHOOSE(CONTROL!$C$28, 0, 0)</f>
        <v>496.93178564643199</v>
      </c>
    </row>
    <row r="807" spans="1:5" ht="15">
      <c r="A807" s="13">
        <v>66445</v>
      </c>
      <c r="B807" s="4">
        <f>88.1941 * CHOOSE(CONTROL!$C$9, $C$13, 100%, $E$13) + CHOOSE(CONTROL!$C$28, 0.0003, 0)</f>
        <v>88.194400000000002</v>
      </c>
      <c r="C807" s="4">
        <f>87.8816 * CHOOSE(CONTROL!$C$9, $C$13, 100%, $E$13) + CHOOSE(CONTROL!$C$28, 0.0003, 0)</f>
        <v>87.881900000000002</v>
      </c>
      <c r="D807" s="4">
        <f>81.2378 * CHOOSE(CONTROL!$C$9, $C$13, 100%, $E$13) + CHOOSE(CONTROL!$C$28, 0, 0)</f>
        <v>81.237799999999993</v>
      </c>
      <c r="E807" s="4">
        <f>485.93213791405 * CHOOSE(CONTROL!$C$9, $C$13, 100%, $E$13) + CHOOSE(CONTROL!$C$28, 0, 0)</f>
        <v>485.93213791404997</v>
      </c>
    </row>
    <row r="808" spans="1:5" ht="15">
      <c r="A808" s="13">
        <v>66476</v>
      </c>
      <c r="B808" s="4">
        <f>86.8423 * CHOOSE(CONTROL!$C$9, $C$13, 100%, $E$13) + CHOOSE(CONTROL!$C$28, 0.0003, 0)</f>
        <v>86.84259999999999</v>
      </c>
      <c r="C808" s="4">
        <f>86.5298 * CHOOSE(CONTROL!$C$9, $C$13, 100%, $E$13) + CHOOSE(CONTROL!$C$28, 0.0003, 0)</f>
        <v>86.53009999999999</v>
      </c>
      <c r="D808" s="4">
        <f>78.4022 * CHOOSE(CONTROL!$C$9, $C$13, 100%, $E$13) + CHOOSE(CONTROL!$C$28, 0, 0)</f>
        <v>78.402199999999993</v>
      </c>
      <c r="E808" s="4">
        <f>478.321795626617 * CHOOSE(CONTROL!$C$9, $C$13, 100%, $E$13) + CHOOSE(CONTROL!$C$28, 0, 0)</f>
        <v>478.32179562661702</v>
      </c>
    </row>
    <row r="809" spans="1:5" ht="15">
      <c r="A809" s="13">
        <v>66507</v>
      </c>
      <c r="B809" s="4">
        <f>84.6458 * CHOOSE(CONTROL!$C$9, $C$13, 100%, $E$13) + CHOOSE(CONTROL!$C$28, 0.0003, 0)</f>
        <v>84.64609999999999</v>
      </c>
      <c r="C809" s="4">
        <f>84.3333 * CHOOSE(CONTROL!$C$9, $C$13, 100%, $E$13) + CHOOSE(CONTROL!$C$28, 0.0003, 0)</f>
        <v>84.33359999999999</v>
      </c>
      <c r="D809" s="4">
        <f>75.7961 * CHOOSE(CONTROL!$C$9, $C$13, 100%, $E$13) + CHOOSE(CONTROL!$C$28, 0, 0)</f>
        <v>75.796099999999996</v>
      </c>
      <c r="E809" s="4">
        <f>464.605349267403 * CHOOSE(CONTROL!$C$9, $C$13, 100%, $E$13) + CHOOSE(CONTROL!$C$28, 0, 0)</f>
        <v>464.60534926740303</v>
      </c>
    </row>
    <row r="810" spans="1:5" ht="15">
      <c r="A810" s="13">
        <v>66535</v>
      </c>
      <c r="B810" s="4">
        <f>86.6111 * CHOOSE(CONTROL!$C$9, $C$13, 100%, $E$13) + CHOOSE(CONTROL!$C$28, 0.0003, 0)</f>
        <v>86.611399999999989</v>
      </c>
      <c r="C810" s="4">
        <f>86.2986 * CHOOSE(CONTROL!$C$9, $C$13, 100%, $E$13) + CHOOSE(CONTROL!$C$28, 0.0003, 0)</f>
        <v>86.298899999999989</v>
      </c>
      <c r="D810" s="4">
        <f>78.4205 * CHOOSE(CONTROL!$C$9, $C$13, 100%, $E$13) + CHOOSE(CONTROL!$C$28, 0, 0)</f>
        <v>78.420500000000004</v>
      </c>
      <c r="E810" s="4">
        <f>475.636911226619 * CHOOSE(CONTROL!$C$9, $C$13, 100%, $E$13) + CHOOSE(CONTROL!$C$28, 0, 0)</f>
        <v>475.63691122661902</v>
      </c>
    </row>
    <row r="811" spans="1:5" ht="15">
      <c r="A811" s="13">
        <v>66566</v>
      </c>
      <c r="B811" s="4">
        <f>91.7721 * CHOOSE(CONTROL!$C$9, $C$13, 100%, $E$13) + CHOOSE(CONTROL!$C$28, 0.0003, 0)</f>
        <v>91.77239999999999</v>
      </c>
      <c r="C811" s="4">
        <f>91.4596 * CHOOSE(CONTROL!$C$9, $C$13, 100%, $E$13) + CHOOSE(CONTROL!$C$28, 0.0003, 0)</f>
        <v>91.45989999999999</v>
      </c>
      <c r="D811" s="4">
        <f>82.5288 * CHOOSE(CONTROL!$C$9, $C$13, 100%, $E$13) + CHOOSE(CONTROL!$C$28, 0, 0)</f>
        <v>82.528800000000004</v>
      </c>
      <c r="E811" s="4">
        <f>504.606379184325 * CHOOSE(CONTROL!$C$9, $C$13, 100%, $E$13) + CHOOSE(CONTROL!$C$28, 0, 0)</f>
        <v>504.60637918432502</v>
      </c>
    </row>
    <row r="812" spans="1:5" ht="15">
      <c r="A812" s="13">
        <v>66596</v>
      </c>
      <c r="B812" s="4">
        <f>95.439 * CHOOSE(CONTROL!$C$9, $C$13, 100%, $E$13) + CHOOSE(CONTROL!$C$28, 0.0003, 0)</f>
        <v>95.439299999999989</v>
      </c>
      <c r="C812" s="4">
        <f>95.1265 * CHOOSE(CONTROL!$C$9, $C$13, 100%, $E$13) + CHOOSE(CONTROL!$C$28, 0.0003, 0)</f>
        <v>95.126799999999989</v>
      </c>
      <c r="D812" s="4">
        <f>84.8953 * CHOOSE(CONTROL!$C$9, $C$13, 100%, $E$13) + CHOOSE(CONTROL!$C$28, 0, 0)</f>
        <v>84.895300000000006</v>
      </c>
      <c r="E812" s="4">
        <f>525.189572237196 * CHOOSE(CONTROL!$C$9, $C$13, 100%, $E$13) + CHOOSE(CONTROL!$C$28, 0, 0)</f>
        <v>525.18957223719599</v>
      </c>
    </row>
    <row r="813" spans="1:5" ht="15">
      <c r="A813" s="13">
        <v>66627</v>
      </c>
      <c r="B813" s="4">
        <f>97.6794 * CHOOSE(CONTROL!$C$9, $C$13, 100%, $E$13) + CHOOSE(CONTROL!$C$28, 0.0276, 0)</f>
        <v>97.707000000000008</v>
      </c>
      <c r="C813" s="4">
        <f>97.3669 * CHOOSE(CONTROL!$C$9, $C$13, 100%, $E$13) + CHOOSE(CONTROL!$C$28, 0.0276, 0)</f>
        <v>97.394500000000008</v>
      </c>
      <c r="D813" s="4">
        <f>83.9602 * CHOOSE(CONTROL!$C$9, $C$13, 100%, $E$13) + CHOOSE(CONTROL!$C$28, 0, 0)</f>
        <v>83.9602</v>
      </c>
      <c r="E813" s="4">
        <f>537.765409882212 * CHOOSE(CONTROL!$C$9, $C$13, 100%, $E$13) + CHOOSE(CONTROL!$C$28, 0, 0)</f>
        <v>537.765409882212</v>
      </c>
    </row>
    <row r="814" spans="1:5" ht="15">
      <c r="A814" s="13">
        <v>66657</v>
      </c>
      <c r="B814" s="4">
        <f>97.9826 * CHOOSE(CONTROL!$C$9, $C$13, 100%, $E$13) + CHOOSE(CONTROL!$C$28, 0.0276, 0)</f>
        <v>98.010200000000012</v>
      </c>
      <c r="C814" s="4">
        <f>97.6701 * CHOOSE(CONTROL!$C$9, $C$13, 100%, $E$13) + CHOOSE(CONTROL!$C$28, 0.0276, 0)</f>
        <v>97.697700000000012</v>
      </c>
      <c r="D814" s="4">
        <f>84.7218 * CHOOSE(CONTROL!$C$9, $C$13, 100%, $E$13) + CHOOSE(CONTROL!$C$28, 0, 0)</f>
        <v>84.721800000000002</v>
      </c>
      <c r="E814" s="4">
        <f>539.466972906381 * CHOOSE(CONTROL!$C$9, $C$13, 100%, $E$13) + CHOOSE(CONTROL!$C$28, 0, 0)</f>
        <v>539.46697290638099</v>
      </c>
    </row>
    <row r="815" spans="1:5" ht="15">
      <c r="A815" s="13">
        <v>66688</v>
      </c>
      <c r="B815" s="4">
        <f>97.952 * CHOOSE(CONTROL!$C$9, $C$13, 100%, $E$13) + CHOOSE(CONTROL!$C$28, 0.0276, 0)</f>
        <v>97.979600000000005</v>
      </c>
      <c r="C815" s="4">
        <f>97.6395 * CHOOSE(CONTROL!$C$9, $C$13, 100%, $E$13) + CHOOSE(CONTROL!$C$28, 0.0276, 0)</f>
        <v>97.667100000000005</v>
      </c>
      <c r="D815" s="4">
        <f>86.096 * CHOOSE(CONTROL!$C$9, $C$13, 100%, $E$13) + CHOOSE(CONTROL!$C$28, 0, 0)</f>
        <v>86.096000000000004</v>
      </c>
      <c r="E815" s="4">
        <f>539.29538671907 * CHOOSE(CONTROL!$C$9, $C$13, 100%, $E$13) + CHOOSE(CONTROL!$C$28, 0, 0)</f>
        <v>539.29538671907005</v>
      </c>
    </row>
    <row r="816" spans="1:5" ht="15">
      <c r="A816" s="13">
        <v>66719</v>
      </c>
      <c r="B816" s="4">
        <f>100.2523 * CHOOSE(CONTROL!$C$9, $C$13, 100%, $E$13) + CHOOSE(CONTROL!$C$28, 0.0276, 0)</f>
        <v>100.27990000000001</v>
      </c>
      <c r="C816" s="4">
        <f>99.9398 * CHOOSE(CONTROL!$C$9, $C$13, 100%, $E$13) + CHOOSE(CONTROL!$C$28, 0.0276, 0)</f>
        <v>99.967400000000012</v>
      </c>
      <c r="D816" s="4">
        <f>85.1884 * CHOOSE(CONTROL!$C$9, $C$13, 100%, $E$13) + CHOOSE(CONTROL!$C$28, 0, 0)</f>
        <v>85.188400000000001</v>
      </c>
      <c r="E816" s="4">
        <f>552.207247314237 * CHOOSE(CONTROL!$C$9, $C$13, 100%, $E$13) + CHOOSE(CONTROL!$C$28, 0, 0)</f>
        <v>552.20724731423695</v>
      </c>
    </row>
    <row r="817" spans="1:5" ht="15">
      <c r="A817" s="13">
        <v>66749</v>
      </c>
      <c r="B817" s="4">
        <f>96.3319 * CHOOSE(CONTROL!$C$9, $C$13, 100%, $E$13) + CHOOSE(CONTROL!$C$28, 0.0276, 0)</f>
        <v>96.359500000000011</v>
      </c>
      <c r="C817" s="4">
        <f>96.0194 * CHOOSE(CONTROL!$C$9, $C$13, 100%, $E$13) + CHOOSE(CONTROL!$C$28, 0.0276, 0)</f>
        <v>96.047000000000011</v>
      </c>
      <c r="D817" s="4">
        <f>84.7597 * CHOOSE(CONTROL!$C$9, $C$13, 100%, $E$13) + CHOOSE(CONTROL!$C$28, 0, 0)</f>
        <v>84.759699999999995</v>
      </c>
      <c r="E817" s="4">
        <f>530.201318791577 * CHOOSE(CONTROL!$C$9, $C$13, 100%, $E$13) + CHOOSE(CONTROL!$C$28, 0, 0)</f>
        <v>530.20131879157702</v>
      </c>
    </row>
    <row r="818" spans="1:5" ht="15">
      <c r="A818" s="13">
        <v>66780</v>
      </c>
      <c r="B818" s="4">
        <f>93.1935 * CHOOSE(CONTROL!$C$9, $C$13, 100%, $E$13) + CHOOSE(CONTROL!$C$28, 0.0003, 0)</f>
        <v>93.193799999999996</v>
      </c>
      <c r="C818" s="4">
        <f>92.881 * CHOOSE(CONTROL!$C$9, $C$13, 100%, $E$13) + CHOOSE(CONTROL!$C$28, 0.0003, 0)</f>
        <v>92.881299999999996</v>
      </c>
      <c r="D818" s="4">
        <f>83.6116 * CHOOSE(CONTROL!$C$9, $C$13, 100%, $E$13) + CHOOSE(CONTROL!$C$28, 0, 0)</f>
        <v>83.611599999999996</v>
      </c>
      <c r="E818" s="4">
        <f>512.585136894295 * CHOOSE(CONTROL!$C$9, $C$13, 100%, $E$13) + CHOOSE(CONTROL!$C$28, 0, 0)</f>
        <v>512.58513689429503</v>
      </c>
    </row>
    <row r="819" spans="1:5" ht="15">
      <c r="A819" s="13">
        <v>66810</v>
      </c>
      <c r="B819" s="4">
        <f>91.1721 * CHOOSE(CONTROL!$C$9, $C$13, 100%, $E$13) + CHOOSE(CONTROL!$C$28, 0.0003, 0)</f>
        <v>91.172399999999996</v>
      </c>
      <c r="C819" s="4">
        <f>90.8596 * CHOOSE(CONTROL!$C$9, $C$13, 100%, $E$13) + CHOOSE(CONTROL!$C$28, 0.0003, 0)</f>
        <v>90.859899999999996</v>
      </c>
      <c r="D819" s="4">
        <f>83.2169 * CHOOSE(CONTROL!$C$9, $C$13, 100%, $E$13) + CHOOSE(CONTROL!$C$28, 0, 0)</f>
        <v>83.216899999999995</v>
      </c>
      <c r="E819" s="4">
        <f>501.239000258342 * CHOOSE(CONTROL!$C$9, $C$13, 100%, $E$13) + CHOOSE(CONTROL!$C$28, 0, 0)</f>
        <v>501.239000258342</v>
      </c>
    </row>
    <row r="820" spans="1:5" ht="15">
      <c r="A820" s="13">
        <v>66841</v>
      </c>
      <c r="B820" s="4">
        <f>89.7736 * CHOOSE(CONTROL!$C$9, $C$13, 100%, $E$13) + CHOOSE(CONTROL!$C$28, 0.0003, 0)</f>
        <v>89.773899999999998</v>
      </c>
      <c r="C820" s="4">
        <f>89.4611 * CHOOSE(CONTROL!$C$9, $C$13, 100%, $E$13) + CHOOSE(CONTROL!$C$28, 0.0003, 0)</f>
        <v>89.461399999999998</v>
      </c>
      <c r="D820" s="4">
        <f>80.311 * CHOOSE(CONTROL!$C$9, $C$13, 100%, $E$13) + CHOOSE(CONTROL!$C$28, 0, 0)</f>
        <v>80.311000000000007</v>
      </c>
      <c r="E820" s="4">
        <f>493.388932188856 * CHOOSE(CONTROL!$C$9, $C$13, 100%, $E$13) + CHOOSE(CONTROL!$C$28, 0, 0)</f>
        <v>493.38893218885602</v>
      </c>
    </row>
    <row r="821" spans="1:5" ht="15">
      <c r="A821" s="13">
        <v>66872</v>
      </c>
      <c r="B821" s="4">
        <f>87.5013 * CHOOSE(CONTROL!$C$9, $C$13, 100%, $E$13) + CHOOSE(CONTROL!$C$28, 0.0003, 0)</f>
        <v>87.501599999999996</v>
      </c>
      <c r="C821" s="4">
        <f>87.1888 * CHOOSE(CONTROL!$C$9, $C$13, 100%, $E$13) + CHOOSE(CONTROL!$C$28, 0.0003, 0)</f>
        <v>87.189099999999996</v>
      </c>
      <c r="D821" s="4">
        <f>77.6402 * CHOOSE(CONTROL!$C$9, $C$13, 100%, $E$13) + CHOOSE(CONTROL!$C$28, 0, 0)</f>
        <v>77.640199999999993</v>
      </c>
      <c r="E821" s="4">
        <f>479.240417769327 * CHOOSE(CONTROL!$C$9, $C$13, 100%, $E$13) + CHOOSE(CONTROL!$C$28, 0, 0)</f>
        <v>479.240417769327</v>
      </c>
    </row>
    <row r="822" spans="1:5" ht="15">
      <c r="A822" s="13">
        <v>66900</v>
      </c>
      <c r="B822" s="4">
        <f>89.5345 * CHOOSE(CONTROL!$C$9, $C$13, 100%, $E$13) + CHOOSE(CONTROL!$C$28, 0.0003, 0)</f>
        <v>89.53479999999999</v>
      </c>
      <c r="C822" s="4">
        <f>89.222 * CHOOSE(CONTROL!$C$9, $C$13, 100%, $E$13) + CHOOSE(CONTROL!$C$28, 0.0003, 0)</f>
        <v>89.22229999999999</v>
      </c>
      <c r="D822" s="4">
        <f>80.3297 * CHOOSE(CONTROL!$C$9, $C$13, 100%, $E$13) + CHOOSE(CONTROL!$C$28, 0, 0)</f>
        <v>80.329700000000003</v>
      </c>
      <c r="E822" s="4">
        <f>490.619473930257 * CHOOSE(CONTROL!$C$9, $C$13, 100%, $E$13) + CHOOSE(CONTROL!$C$28, 0, 0)</f>
        <v>490.61947393025702</v>
      </c>
    </row>
    <row r="823" spans="1:5" ht="15">
      <c r="A823" s="13">
        <v>66931</v>
      </c>
      <c r="B823" s="4">
        <f>94.8735 * CHOOSE(CONTROL!$C$9, $C$13, 100%, $E$13) + CHOOSE(CONTROL!$C$28, 0.0003, 0)</f>
        <v>94.873800000000003</v>
      </c>
      <c r="C823" s="4">
        <f>94.561 * CHOOSE(CONTROL!$C$9, $C$13, 100%, $E$13) + CHOOSE(CONTROL!$C$28, 0.0003, 0)</f>
        <v>94.561300000000003</v>
      </c>
      <c r="D823" s="4">
        <f>84.5399 * CHOOSE(CONTROL!$C$9, $C$13, 100%, $E$13) + CHOOSE(CONTROL!$C$28, 0, 0)</f>
        <v>84.539900000000003</v>
      </c>
      <c r="E823" s="4">
        <f>520.501480128631 * CHOOSE(CONTROL!$C$9, $C$13, 100%, $E$13) + CHOOSE(CONTROL!$C$28, 0, 0)</f>
        <v>520.50148012863099</v>
      </c>
    </row>
    <row r="824" spans="1:5" ht="15">
      <c r="A824" s="13">
        <v>66961</v>
      </c>
      <c r="B824" s="4">
        <f>98.667 * CHOOSE(CONTROL!$C$9, $C$13, 100%, $E$13) + CHOOSE(CONTROL!$C$28, 0.0003, 0)</f>
        <v>98.667299999999997</v>
      </c>
      <c r="C824" s="4">
        <f>98.3545 * CHOOSE(CONTROL!$C$9, $C$13, 100%, $E$13) + CHOOSE(CONTROL!$C$28, 0.0003, 0)</f>
        <v>98.354799999999997</v>
      </c>
      <c r="D824" s="4">
        <f>86.9651 * CHOOSE(CONTROL!$C$9, $C$13, 100%, $E$13) + CHOOSE(CONTROL!$C$28, 0, 0)</f>
        <v>86.965100000000007</v>
      </c>
      <c r="E824" s="4">
        <f>541.733043762668 * CHOOSE(CONTROL!$C$9, $C$13, 100%, $E$13) + CHOOSE(CONTROL!$C$28, 0, 0)</f>
        <v>541.73304376266799</v>
      </c>
    </row>
    <row r="825" spans="1:5" ht="15">
      <c r="A825" s="13">
        <v>66992</v>
      </c>
      <c r="B825" s="4">
        <f>100.9847 * CHOOSE(CONTROL!$C$9, $C$13, 100%, $E$13) + CHOOSE(CONTROL!$C$28, 0.0276, 0)</f>
        <v>101.01230000000001</v>
      </c>
      <c r="C825" s="4">
        <f>100.6722 * CHOOSE(CONTROL!$C$9, $C$13, 100%, $E$13) + CHOOSE(CONTROL!$C$28, 0.0276, 0)</f>
        <v>100.69980000000001</v>
      </c>
      <c r="D825" s="4">
        <f>86.0067 * CHOOSE(CONTROL!$C$9, $C$13, 100%, $E$13) + CHOOSE(CONTROL!$C$28, 0, 0)</f>
        <v>86.006699999999995</v>
      </c>
      <c r="E825" s="4">
        <f>554.705020293502 * CHOOSE(CONTROL!$C$9, $C$13, 100%, $E$13) + CHOOSE(CONTROL!$C$28, 0, 0)</f>
        <v>554.705020293502</v>
      </c>
    </row>
    <row r="826" spans="1:5" ht="15">
      <c r="A826" s="13">
        <v>67022</v>
      </c>
      <c r="B826" s="4">
        <f>101.2983 * CHOOSE(CONTROL!$C$9, $C$13, 100%, $E$13) + CHOOSE(CONTROL!$C$28, 0.0276, 0)</f>
        <v>101.3259</v>
      </c>
      <c r="C826" s="4">
        <f>100.9858 * CHOOSE(CONTROL!$C$9, $C$13, 100%, $E$13) + CHOOSE(CONTROL!$C$28, 0.0276, 0)</f>
        <v>101.0134</v>
      </c>
      <c r="D826" s="4">
        <f>86.7872 * CHOOSE(CONTROL!$C$9, $C$13, 100%, $E$13) + CHOOSE(CONTROL!$C$28, 0, 0)</f>
        <v>86.787199999999999</v>
      </c>
      <c r="E826" s="4">
        <f>556.460182552932 * CHOOSE(CONTROL!$C$9, $C$13, 100%, $E$13) + CHOOSE(CONTROL!$C$28, 0, 0)</f>
        <v>556.460182552932</v>
      </c>
    </row>
    <row r="827" spans="1:5" ht="15">
      <c r="A827" s="13">
        <v>67053</v>
      </c>
      <c r="B827" s="4">
        <f>101.2667 * CHOOSE(CONTROL!$C$9, $C$13, 100%, $E$13) + CHOOSE(CONTROL!$C$28, 0.0276, 0)</f>
        <v>101.29430000000001</v>
      </c>
      <c r="C827" s="4">
        <f>100.9542 * CHOOSE(CONTROL!$C$9, $C$13, 100%, $E$13) + CHOOSE(CONTROL!$C$28, 0.0276, 0)</f>
        <v>100.98180000000001</v>
      </c>
      <c r="D827" s="4">
        <f>88.1955 * CHOOSE(CONTROL!$C$9, $C$13, 100%, $E$13) + CHOOSE(CONTROL!$C$28, 0, 0)</f>
        <v>88.195499999999996</v>
      </c>
      <c r="E827" s="4">
        <f>556.283191400721 * CHOOSE(CONTROL!$C$9, $C$13, 100%, $E$13) + CHOOSE(CONTROL!$C$28, 0, 0)</f>
        <v>556.28319140072097</v>
      </c>
    </row>
    <row r="828" spans="1:5" ht="15">
      <c r="A828" s="13">
        <v>67084</v>
      </c>
      <c r="B828" s="4">
        <f>103.6463 * CHOOSE(CONTROL!$C$9, $C$13, 100%, $E$13) + CHOOSE(CONTROL!$C$28, 0.0276, 0)</f>
        <v>103.6739</v>
      </c>
      <c r="C828" s="4">
        <f>103.3338 * CHOOSE(CONTROL!$C$9, $C$13, 100%, $E$13) + CHOOSE(CONTROL!$C$28, 0.0276, 0)</f>
        <v>103.3614</v>
      </c>
      <c r="D828" s="4">
        <f>87.2655 * CHOOSE(CONTROL!$C$9, $C$13, 100%, $E$13) + CHOOSE(CONTROL!$C$28, 0, 0)</f>
        <v>87.265500000000003</v>
      </c>
      <c r="E828" s="4">
        <f>569.601775604636 * CHOOSE(CONTROL!$C$9, $C$13, 100%, $E$13) + CHOOSE(CONTROL!$C$28, 0, 0)</f>
        <v>569.60177560463603</v>
      </c>
    </row>
    <row r="829" spans="1:5" ht="15">
      <c r="A829" s="13">
        <v>67114</v>
      </c>
      <c r="B829" s="4">
        <f>99.5906 * CHOOSE(CONTROL!$C$9, $C$13, 100%, $E$13) + CHOOSE(CONTROL!$C$28, 0.0276, 0)</f>
        <v>99.618200000000002</v>
      </c>
      <c r="C829" s="4">
        <f>99.2781 * CHOOSE(CONTROL!$C$9, $C$13, 100%, $E$13) + CHOOSE(CONTROL!$C$28, 0.0276, 0)</f>
        <v>99.305700000000002</v>
      </c>
      <c r="D829" s="4">
        <f>86.826 * CHOOSE(CONTROL!$C$9, $C$13, 100%, $E$13) + CHOOSE(CONTROL!$C$28, 0, 0)</f>
        <v>86.825999999999993</v>
      </c>
      <c r="E829" s="4">
        <f>546.902660333512 * CHOOSE(CONTROL!$C$9, $C$13, 100%, $E$13) + CHOOSE(CONTROL!$C$28, 0, 0)</f>
        <v>546.90266033351202</v>
      </c>
    </row>
    <row r="830" spans="1:5" ht="15">
      <c r="A830" s="13">
        <v>67145</v>
      </c>
      <c r="B830" s="4">
        <f>96.344 * CHOOSE(CONTROL!$C$9, $C$13, 100%, $E$13) + CHOOSE(CONTROL!$C$28, 0.0003, 0)</f>
        <v>96.34429999999999</v>
      </c>
      <c r="C830" s="4">
        <f>96.0315 * CHOOSE(CONTROL!$C$9, $C$13, 100%, $E$13) + CHOOSE(CONTROL!$C$28, 0.0003, 0)</f>
        <v>96.03179999999999</v>
      </c>
      <c r="D830" s="4">
        <f>85.6495 * CHOOSE(CONTROL!$C$9, $C$13, 100%, $E$13) + CHOOSE(CONTROL!$C$28, 0, 0)</f>
        <v>85.649500000000003</v>
      </c>
      <c r="E830" s="4">
        <f>528.731568706465 * CHOOSE(CONTROL!$C$9, $C$13, 100%, $E$13) + CHOOSE(CONTROL!$C$28, 0, 0)</f>
        <v>528.73156870646505</v>
      </c>
    </row>
    <row r="831" spans="1:5" ht="15">
      <c r="A831" s="13">
        <v>67175</v>
      </c>
      <c r="B831" s="4">
        <f>94.2529 * CHOOSE(CONTROL!$C$9, $C$13, 100%, $E$13) + CHOOSE(CONTROL!$C$28, 0.0003, 0)</f>
        <v>94.253199999999993</v>
      </c>
      <c r="C831" s="4">
        <f>93.9404 * CHOOSE(CONTROL!$C$9, $C$13, 100%, $E$13) + CHOOSE(CONTROL!$C$28, 0.0003, 0)</f>
        <v>93.940699999999993</v>
      </c>
      <c r="D831" s="4">
        <f>85.245 * CHOOSE(CONTROL!$C$9, $C$13, 100%, $E$13) + CHOOSE(CONTROL!$C$28, 0, 0)</f>
        <v>85.245000000000005</v>
      </c>
      <c r="E831" s="4">
        <f>517.02802876648 * CHOOSE(CONTROL!$C$9, $C$13, 100%, $E$13) + CHOOSE(CONTROL!$C$28, 0, 0)</f>
        <v>517.02802876648002</v>
      </c>
    </row>
    <row r="832" spans="1:5" ht="15">
      <c r="A832" s="13">
        <v>67206</v>
      </c>
      <c r="B832" s="4">
        <f>92.8061 * CHOOSE(CONTROL!$C$9, $C$13, 100%, $E$13) + CHOOSE(CONTROL!$C$28, 0.0003, 0)</f>
        <v>92.806399999999996</v>
      </c>
      <c r="C832" s="4">
        <f>92.4936 * CHOOSE(CONTROL!$C$9, $C$13, 100%, $E$13) + CHOOSE(CONTROL!$C$28, 0.0003, 0)</f>
        <v>92.493899999999996</v>
      </c>
      <c r="D832" s="4">
        <f>82.267 * CHOOSE(CONTROL!$C$9, $C$13, 100%, $E$13) + CHOOSE(CONTROL!$C$28, 0, 0)</f>
        <v>82.266999999999996</v>
      </c>
      <c r="E832" s="4">
        <f>508.930683552805 * CHOOSE(CONTROL!$C$9, $C$13, 100%, $E$13) + CHOOSE(CONTROL!$C$28, 0, 0)</f>
        <v>508.93068355280502</v>
      </c>
    </row>
    <row r="833" spans="1:5" ht="15">
      <c r="A833" s="13">
        <v>67237</v>
      </c>
      <c r="B833" s="4">
        <f>90.4555 * CHOOSE(CONTROL!$C$9, $C$13, 100%, $E$13) + CHOOSE(CONTROL!$C$28, 0.0003, 0)</f>
        <v>90.455799999999996</v>
      </c>
      <c r="C833" s="4">
        <f>90.143 * CHOOSE(CONTROL!$C$9, $C$13, 100%, $E$13) + CHOOSE(CONTROL!$C$28, 0.0003, 0)</f>
        <v>90.143299999999996</v>
      </c>
      <c r="D833" s="4">
        <f>79.53 * CHOOSE(CONTROL!$C$9, $C$13, 100%, $E$13) + CHOOSE(CONTROL!$C$28, 0, 0)</f>
        <v>79.53</v>
      </c>
      <c r="E833" s="4">
        <f>494.33649092906 * CHOOSE(CONTROL!$C$9, $C$13, 100%, $E$13) + CHOOSE(CONTROL!$C$28, 0, 0)</f>
        <v>494.33649092906001</v>
      </c>
    </row>
    <row r="834" spans="1:5" ht="15">
      <c r="A834" s="13">
        <v>67266</v>
      </c>
      <c r="B834" s="4">
        <f>92.5587 * CHOOSE(CONTROL!$C$9, $C$13, 100%, $E$13) + CHOOSE(CONTROL!$C$28, 0.0003, 0)</f>
        <v>92.558999999999997</v>
      </c>
      <c r="C834" s="4">
        <f>92.2462 * CHOOSE(CONTROL!$C$9, $C$13, 100%, $E$13) + CHOOSE(CONTROL!$C$28, 0.0003, 0)</f>
        <v>92.246499999999997</v>
      </c>
      <c r="D834" s="4">
        <f>82.2862 * CHOOSE(CONTROL!$C$9, $C$13, 100%, $E$13) + CHOOSE(CONTROL!$C$28, 0, 0)</f>
        <v>82.286199999999994</v>
      </c>
      <c r="E834" s="4">
        <f>506.07398735906 * CHOOSE(CONTROL!$C$9, $C$13, 100%, $E$13) + CHOOSE(CONTROL!$C$28, 0, 0)</f>
        <v>506.07398735906003</v>
      </c>
    </row>
    <row r="835" spans="1:5" ht="15">
      <c r="A835" s="13">
        <v>67297</v>
      </c>
      <c r="B835" s="4">
        <f>98.082 * CHOOSE(CONTROL!$C$9, $C$13, 100%, $E$13) + CHOOSE(CONTROL!$C$28, 0.0003, 0)</f>
        <v>98.082299999999989</v>
      </c>
      <c r="C835" s="4">
        <f>97.7695 * CHOOSE(CONTROL!$C$9, $C$13, 100%, $E$13) + CHOOSE(CONTROL!$C$28, 0.0003, 0)</f>
        <v>97.769799999999989</v>
      </c>
      <c r="D835" s="4">
        <f>86.6008 * CHOOSE(CONTROL!$C$9, $C$13, 100%, $E$13) + CHOOSE(CONTROL!$C$28, 0, 0)</f>
        <v>86.600800000000007</v>
      </c>
      <c r="E835" s="4">
        <f>536.897276752683 * CHOOSE(CONTROL!$C$9, $C$13, 100%, $E$13) + CHOOSE(CONTROL!$C$28, 0, 0)</f>
        <v>536.89727675268296</v>
      </c>
    </row>
    <row r="836" spans="1:5" ht="15">
      <c r="A836" s="13">
        <v>67327</v>
      </c>
      <c r="B836" s="4">
        <f>102.0063 * CHOOSE(CONTROL!$C$9, $C$13, 100%, $E$13) + CHOOSE(CONTROL!$C$28, 0.0003, 0)</f>
        <v>102.00659999999999</v>
      </c>
      <c r="C836" s="4">
        <f>101.6938 * CHOOSE(CONTROL!$C$9, $C$13, 100%, $E$13) + CHOOSE(CONTROL!$C$28, 0.0003, 0)</f>
        <v>101.69409999999999</v>
      </c>
      <c r="D836" s="4">
        <f>89.0861 * CHOOSE(CONTROL!$C$9, $C$13, 100%, $E$13) + CHOOSE(CONTROL!$C$28, 0, 0)</f>
        <v>89.086100000000002</v>
      </c>
      <c r="E836" s="4">
        <f>558.797634641192 * CHOOSE(CONTROL!$C$9, $C$13, 100%, $E$13) + CHOOSE(CONTROL!$C$28, 0, 0)</f>
        <v>558.79763464119196</v>
      </c>
    </row>
    <row r="837" spans="1:5" ht="15">
      <c r="A837" s="13">
        <v>67358</v>
      </c>
      <c r="B837" s="4">
        <f>104.404 * CHOOSE(CONTROL!$C$9, $C$13, 100%, $E$13) + CHOOSE(CONTROL!$C$28, 0.0276, 0)</f>
        <v>104.4316</v>
      </c>
      <c r="C837" s="4">
        <f>104.0915 * CHOOSE(CONTROL!$C$9, $C$13, 100%, $E$13) + CHOOSE(CONTROL!$C$28, 0.0276, 0)</f>
        <v>104.1191</v>
      </c>
      <c r="D837" s="4">
        <f>88.1041 * CHOOSE(CONTROL!$C$9, $C$13, 100%, $E$13) + CHOOSE(CONTROL!$C$28, 0, 0)</f>
        <v>88.104100000000003</v>
      </c>
      <c r="E837" s="4">
        <f>572.178228432747 * CHOOSE(CONTROL!$C$9, $C$13, 100%, $E$13) + CHOOSE(CONTROL!$C$28, 0, 0)</f>
        <v>572.17822843274701</v>
      </c>
    </row>
    <row r="838" spans="1:5" ht="15">
      <c r="A838" s="13">
        <v>67388</v>
      </c>
      <c r="B838" s="4">
        <f>104.7284 * CHOOSE(CONTROL!$C$9, $C$13, 100%, $E$13) + CHOOSE(CONTROL!$C$28, 0.0276, 0)</f>
        <v>104.756</v>
      </c>
      <c r="C838" s="4">
        <f>104.4159 * CHOOSE(CONTROL!$C$9, $C$13, 100%, $E$13) + CHOOSE(CONTROL!$C$28, 0.0276, 0)</f>
        <v>104.4435</v>
      </c>
      <c r="D838" s="4">
        <f>88.9039 * CHOOSE(CONTROL!$C$9, $C$13, 100%, $E$13) + CHOOSE(CONTROL!$C$28, 0, 0)</f>
        <v>88.903899999999993</v>
      </c>
      <c r="E838" s="4">
        <f>573.98867830335 * CHOOSE(CONTROL!$C$9, $C$13, 100%, $E$13) + CHOOSE(CONTROL!$C$28, 0, 0)</f>
        <v>573.98867830334996</v>
      </c>
    </row>
    <row r="839" spans="1:5" ht="15">
      <c r="A839" s="13">
        <v>67419</v>
      </c>
      <c r="B839" s="4">
        <f>104.6957 * CHOOSE(CONTROL!$C$9, $C$13, 100%, $E$13) + CHOOSE(CONTROL!$C$28, 0.0276, 0)</f>
        <v>104.72330000000001</v>
      </c>
      <c r="C839" s="4">
        <f>104.3832 * CHOOSE(CONTROL!$C$9, $C$13, 100%, $E$13) + CHOOSE(CONTROL!$C$28, 0.0276, 0)</f>
        <v>104.41080000000001</v>
      </c>
      <c r="D839" s="4">
        <f>90.3471 * CHOOSE(CONTROL!$C$9, $C$13, 100%, $E$13) + CHOOSE(CONTROL!$C$28, 0, 0)</f>
        <v>90.347099999999998</v>
      </c>
      <c r="E839" s="4">
        <f>573.806111929844 * CHOOSE(CONTROL!$C$9, $C$13, 100%, $E$13) + CHOOSE(CONTROL!$C$28, 0, 0)</f>
        <v>573.80611192984395</v>
      </c>
    </row>
    <row r="840" spans="1:5" ht="15">
      <c r="A840" s="13">
        <v>67450</v>
      </c>
      <c r="B840" s="4">
        <f>107.1574 * CHOOSE(CONTROL!$C$9, $C$13, 100%, $E$13) + CHOOSE(CONTROL!$C$28, 0.0276, 0)</f>
        <v>107.185</v>
      </c>
      <c r="C840" s="4">
        <f>106.8449 * CHOOSE(CONTROL!$C$9, $C$13, 100%, $E$13) + CHOOSE(CONTROL!$C$28, 0.0276, 0)</f>
        <v>106.8725</v>
      </c>
      <c r="D840" s="4">
        <f>89.394 * CHOOSE(CONTROL!$C$9, $C$13, 100%, $E$13) + CHOOSE(CONTROL!$C$28, 0, 0)</f>
        <v>89.394000000000005</v>
      </c>
      <c r="E840" s="4">
        <f>587.544231536182 * CHOOSE(CONTROL!$C$9, $C$13, 100%, $E$13) + CHOOSE(CONTROL!$C$28, 0, 0)</f>
        <v>587.544231536182</v>
      </c>
    </row>
    <row r="841" spans="1:5" ht="15">
      <c r="A841" s="13">
        <v>67480</v>
      </c>
      <c r="B841" s="4">
        <f>102.9618 * CHOOSE(CONTROL!$C$9, $C$13, 100%, $E$13) + CHOOSE(CONTROL!$C$28, 0.0276, 0)</f>
        <v>102.9894</v>
      </c>
      <c r="C841" s="4">
        <f>102.6493 * CHOOSE(CONTROL!$C$9, $C$13, 100%, $E$13) + CHOOSE(CONTROL!$C$28, 0.0276, 0)</f>
        <v>102.6769</v>
      </c>
      <c r="D841" s="4">
        <f>88.9437 * CHOOSE(CONTROL!$C$9, $C$13, 100%, $E$13) + CHOOSE(CONTROL!$C$28, 0, 0)</f>
        <v>88.943700000000007</v>
      </c>
      <c r="E841" s="4">
        <f>564.130094134018 * CHOOSE(CONTROL!$C$9, $C$13, 100%, $E$13) + CHOOSE(CONTROL!$C$28, 0, 0)</f>
        <v>564.13009413401801</v>
      </c>
    </row>
    <row r="842" spans="1:5" ht="15">
      <c r="A842" s="13">
        <v>67511</v>
      </c>
      <c r="B842" s="4">
        <f>99.6032 * CHOOSE(CONTROL!$C$9, $C$13, 100%, $E$13) + CHOOSE(CONTROL!$C$28, 0.0003, 0)</f>
        <v>99.603499999999997</v>
      </c>
      <c r="C842" s="4">
        <f>99.2907 * CHOOSE(CONTROL!$C$9, $C$13, 100%, $E$13) + CHOOSE(CONTROL!$C$28, 0.0003, 0)</f>
        <v>99.290999999999997</v>
      </c>
      <c r="D842" s="4">
        <f>87.7379 * CHOOSE(CONTROL!$C$9, $C$13, 100%, $E$13) + CHOOSE(CONTROL!$C$28, 0, 0)</f>
        <v>87.737899999999996</v>
      </c>
      <c r="E842" s="4">
        <f>545.386613120719 * CHOOSE(CONTROL!$C$9, $C$13, 100%, $E$13) + CHOOSE(CONTROL!$C$28, 0, 0)</f>
        <v>545.38661312071895</v>
      </c>
    </row>
    <row r="843" spans="1:5" ht="15">
      <c r="A843" s="13">
        <v>67541</v>
      </c>
      <c r="B843" s="4">
        <f>97.4399 * CHOOSE(CONTROL!$C$9, $C$13, 100%, $E$13) + CHOOSE(CONTROL!$C$28, 0.0003, 0)</f>
        <v>97.44019999999999</v>
      </c>
      <c r="C843" s="4">
        <f>97.1274 * CHOOSE(CONTROL!$C$9, $C$13, 100%, $E$13) + CHOOSE(CONTROL!$C$28, 0.0003, 0)</f>
        <v>97.12769999999999</v>
      </c>
      <c r="D843" s="4">
        <f>87.3234 * CHOOSE(CONTROL!$C$9, $C$13, 100%, $E$13) + CHOOSE(CONTROL!$C$28, 0, 0)</f>
        <v>87.323400000000007</v>
      </c>
      <c r="E843" s="4">
        <f>533.314411672624 * CHOOSE(CONTROL!$C$9, $C$13, 100%, $E$13) + CHOOSE(CONTROL!$C$28, 0, 0)</f>
        <v>533.31441167262403</v>
      </c>
    </row>
    <row r="844" spans="1:5" ht="15">
      <c r="A844" s="13">
        <v>67572</v>
      </c>
      <c r="B844" s="4">
        <f>95.9433 * CHOOSE(CONTROL!$C$9, $C$13, 100%, $E$13) + CHOOSE(CONTROL!$C$28, 0.0003, 0)</f>
        <v>95.943599999999989</v>
      </c>
      <c r="C844" s="4">
        <f>95.6308 * CHOOSE(CONTROL!$C$9, $C$13, 100%, $E$13) + CHOOSE(CONTROL!$C$28, 0.0003, 0)</f>
        <v>95.631099999999989</v>
      </c>
      <c r="D844" s="4">
        <f>84.2716 * CHOOSE(CONTROL!$C$9, $C$13, 100%, $E$13) + CHOOSE(CONTROL!$C$28, 0, 0)</f>
        <v>84.271600000000007</v>
      </c>
      <c r="E844" s="4">
        <f>524.962000084718 * CHOOSE(CONTROL!$C$9, $C$13, 100%, $E$13) + CHOOSE(CONTROL!$C$28, 0, 0)</f>
        <v>524.96200008471806</v>
      </c>
    </row>
    <row r="845" spans="1:5" ht="15">
      <c r="A845" s="13">
        <v>67603</v>
      </c>
      <c r="B845" s="4">
        <f>93.5115 * CHOOSE(CONTROL!$C$9, $C$13, 100%, $E$13) + CHOOSE(CONTROL!$C$28, 0.0003, 0)</f>
        <v>93.511799999999994</v>
      </c>
      <c r="C845" s="4">
        <f>93.199 * CHOOSE(CONTROL!$C$9, $C$13, 100%, $E$13) + CHOOSE(CONTROL!$C$28, 0.0003, 0)</f>
        <v>93.199299999999994</v>
      </c>
      <c r="D845" s="4">
        <f>81.4667 * CHOOSE(CONTROL!$C$9, $C$13, 100%, $E$13) + CHOOSE(CONTROL!$C$28, 0, 0)</f>
        <v>81.466700000000003</v>
      </c>
      <c r="E845" s="4">
        <f>509.908090393326 * CHOOSE(CONTROL!$C$9, $C$13, 100%, $E$13) + CHOOSE(CONTROL!$C$28, 0, 0)</f>
        <v>509.90809039332601</v>
      </c>
    </row>
    <row r="846" spans="1:5" ht="15">
      <c r="A846" s="13">
        <v>67631</v>
      </c>
      <c r="B846" s="4">
        <f>95.6873 * CHOOSE(CONTROL!$C$9, $C$13, 100%, $E$13) + CHOOSE(CONTROL!$C$28, 0.0003, 0)</f>
        <v>95.687599999999989</v>
      </c>
      <c r="C846" s="4">
        <f>95.3748 * CHOOSE(CONTROL!$C$9, $C$13, 100%, $E$13) + CHOOSE(CONTROL!$C$28, 0.0003, 0)</f>
        <v>95.375099999999989</v>
      </c>
      <c r="D846" s="4">
        <f>84.2912 * CHOOSE(CONTROL!$C$9, $C$13, 100%, $E$13) + CHOOSE(CONTROL!$C$28, 0, 0)</f>
        <v>84.291200000000003</v>
      </c>
      <c r="E846" s="4">
        <f>522.015317960871 * CHOOSE(CONTROL!$C$9, $C$13, 100%, $E$13) + CHOOSE(CONTROL!$C$28, 0, 0)</f>
        <v>522.01531796087102</v>
      </c>
    </row>
    <row r="847" spans="1:5" ht="15">
      <c r="A847" s="13">
        <v>67662</v>
      </c>
      <c r="B847" s="4">
        <f>101.4011 * CHOOSE(CONTROL!$C$9, $C$13, 100%, $E$13) + CHOOSE(CONTROL!$C$28, 0.0003, 0)</f>
        <v>101.4014</v>
      </c>
      <c r="C847" s="4">
        <f>101.0886 * CHOOSE(CONTROL!$C$9, $C$13, 100%, $E$13) + CHOOSE(CONTROL!$C$28, 0.0003, 0)</f>
        <v>101.0889</v>
      </c>
      <c r="D847" s="4">
        <f>88.7128 * CHOOSE(CONTROL!$C$9, $C$13, 100%, $E$13) + CHOOSE(CONTROL!$C$28, 0, 0)</f>
        <v>88.712800000000001</v>
      </c>
      <c r="E847" s="4">
        <f>553.809540970392 * CHOOSE(CONTROL!$C$9, $C$13, 100%, $E$13) + CHOOSE(CONTROL!$C$28, 0, 0)</f>
        <v>553.80954097039205</v>
      </c>
    </row>
    <row r="848" spans="1:5" ht="15">
      <c r="A848" s="13">
        <v>67692</v>
      </c>
      <c r="B848" s="4">
        <f>105.4608 * CHOOSE(CONTROL!$C$9, $C$13, 100%, $E$13) + CHOOSE(CONTROL!$C$28, 0.0003, 0)</f>
        <v>105.4611</v>
      </c>
      <c r="C848" s="4">
        <f>105.1483 * CHOOSE(CONTROL!$C$9, $C$13, 100%, $E$13) + CHOOSE(CONTROL!$C$28, 0.0003, 0)</f>
        <v>105.1486</v>
      </c>
      <c r="D848" s="4">
        <f>91.2598 * CHOOSE(CONTROL!$C$9, $C$13, 100%, $E$13) + CHOOSE(CONTROL!$C$28, 0, 0)</f>
        <v>91.259799999999998</v>
      </c>
      <c r="E848" s="4">
        <f>576.39976013239 * CHOOSE(CONTROL!$C$9, $C$13, 100%, $E$13) + CHOOSE(CONTROL!$C$28, 0, 0)</f>
        <v>576.39976013239004</v>
      </c>
    </row>
    <row r="849" spans="1:5" ht="15">
      <c r="A849" s="13">
        <v>67723</v>
      </c>
      <c r="B849" s="4">
        <f>107.9412 * CHOOSE(CONTROL!$C$9, $C$13, 100%, $E$13) + CHOOSE(CONTROL!$C$28, 0.0276, 0)</f>
        <v>107.9688</v>
      </c>
      <c r="C849" s="4">
        <f>107.6287 * CHOOSE(CONTROL!$C$9, $C$13, 100%, $E$13) + CHOOSE(CONTROL!$C$28, 0.0276, 0)</f>
        <v>107.6563</v>
      </c>
      <c r="D849" s="4">
        <f>90.2534 * CHOOSE(CONTROL!$C$9, $C$13, 100%, $E$13) + CHOOSE(CONTROL!$C$28, 0, 0)</f>
        <v>90.253399999999999</v>
      </c>
      <c r="E849" s="4">
        <f>590.201842628379 * CHOOSE(CONTROL!$C$9, $C$13, 100%, $E$13) + CHOOSE(CONTROL!$C$28, 0, 0)</f>
        <v>590.20184262837904</v>
      </c>
    </row>
    <row r="850" spans="1:5" ht="15">
      <c r="A850" s="13">
        <v>67753</v>
      </c>
      <c r="B850" s="4">
        <f>108.2768 * CHOOSE(CONTROL!$C$9, $C$13, 100%, $E$13) + CHOOSE(CONTROL!$C$28, 0.0276, 0)</f>
        <v>108.3044</v>
      </c>
      <c r="C850" s="4">
        <f>107.9643 * CHOOSE(CONTROL!$C$9, $C$13, 100%, $E$13) + CHOOSE(CONTROL!$C$28, 0.0276, 0)</f>
        <v>107.9919</v>
      </c>
      <c r="D850" s="4">
        <f>91.073 * CHOOSE(CONTROL!$C$9, $C$13, 100%, $E$13) + CHOOSE(CONTROL!$C$28, 0, 0)</f>
        <v>91.072999999999993</v>
      </c>
      <c r="E850" s="4">
        <f>592.069321669905 * CHOOSE(CONTROL!$C$9, $C$13, 100%, $E$13) + CHOOSE(CONTROL!$C$28, 0, 0)</f>
        <v>592.06932166990498</v>
      </c>
    </row>
    <row r="851" spans="1:5" ht="15">
      <c r="A851" s="13">
        <v>67784</v>
      </c>
      <c r="B851" s="4">
        <f>108.243 * CHOOSE(CONTROL!$C$9, $C$13, 100%, $E$13) + CHOOSE(CONTROL!$C$28, 0.0276, 0)</f>
        <v>108.2706</v>
      </c>
      <c r="C851" s="4">
        <f>107.9305 * CHOOSE(CONTROL!$C$9, $C$13, 100%, $E$13) + CHOOSE(CONTROL!$C$28, 0.0276, 0)</f>
        <v>107.9581</v>
      </c>
      <c r="D851" s="4">
        <f>92.552 * CHOOSE(CONTROL!$C$9, $C$13, 100%, $E$13) + CHOOSE(CONTROL!$C$28, 0, 0)</f>
        <v>92.552000000000007</v>
      </c>
      <c r="E851" s="4">
        <f>591.881004455634 * CHOOSE(CONTROL!$C$9, $C$13, 100%, $E$13) + CHOOSE(CONTROL!$C$28, 0, 0)</f>
        <v>591.88100445563396</v>
      </c>
    </row>
    <row r="852" spans="1:5" ht="15">
      <c r="A852" s="13">
        <v>67815</v>
      </c>
      <c r="B852" s="4">
        <f>110.7897 * CHOOSE(CONTROL!$C$9, $C$13, 100%, $E$13) + CHOOSE(CONTROL!$C$28, 0.0276, 0)</f>
        <v>110.8173</v>
      </c>
      <c r="C852" s="4">
        <f>110.4772 * CHOOSE(CONTROL!$C$9, $C$13, 100%, $E$13) + CHOOSE(CONTROL!$C$28, 0.0276, 0)</f>
        <v>110.5048</v>
      </c>
      <c r="D852" s="4">
        <f>91.5753 * CHOOSE(CONTROL!$C$9, $C$13, 100%, $E$13) + CHOOSE(CONTROL!$C$28, 0, 0)</f>
        <v>91.575299999999999</v>
      </c>
      <c r="E852" s="4">
        <f>606.051874829572 * CHOOSE(CONTROL!$C$9, $C$13, 100%, $E$13) + CHOOSE(CONTROL!$C$28, 0, 0)</f>
        <v>606.05187482957194</v>
      </c>
    </row>
    <row r="853" spans="1:5" ht="15">
      <c r="A853" s="13">
        <v>67845</v>
      </c>
      <c r="B853" s="4">
        <f>106.4493 * CHOOSE(CONTROL!$C$9, $C$13, 100%, $E$13) + CHOOSE(CONTROL!$C$28, 0.0276, 0)</f>
        <v>106.4769</v>
      </c>
      <c r="C853" s="4">
        <f>106.1368 * CHOOSE(CONTROL!$C$9, $C$13, 100%, $E$13) + CHOOSE(CONTROL!$C$28, 0.0276, 0)</f>
        <v>106.1644</v>
      </c>
      <c r="D853" s="4">
        <f>91.1138 * CHOOSE(CONTROL!$C$9, $C$13, 100%, $E$13) + CHOOSE(CONTROL!$C$28, 0, 0)</f>
        <v>91.113799999999998</v>
      </c>
      <c r="E853" s="4">
        <f>581.900192099239 * CHOOSE(CONTROL!$C$9, $C$13, 100%, $E$13) + CHOOSE(CONTROL!$C$28, 0, 0)</f>
        <v>581.90019209923901</v>
      </c>
    </row>
    <row r="854" spans="1:5" ht="15">
      <c r="A854" s="13">
        <v>67876</v>
      </c>
      <c r="B854" s="4">
        <f>102.9748 * CHOOSE(CONTROL!$C$9, $C$13, 100%, $E$13) + CHOOSE(CONTROL!$C$28, 0.0003, 0)</f>
        <v>102.9751</v>
      </c>
      <c r="C854" s="4">
        <f>102.6623 * CHOOSE(CONTROL!$C$9, $C$13, 100%, $E$13) + CHOOSE(CONTROL!$C$28, 0.0003, 0)</f>
        <v>102.6626</v>
      </c>
      <c r="D854" s="4">
        <f>89.8782 * CHOOSE(CONTROL!$C$9, $C$13, 100%, $E$13) + CHOOSE(CONTROL!$C$28, 0, 0)</f>
        <v>89.878200000000007</v>
      </c>
      <c r="E854" s="4">
        <f>562.566291434022 * CHOOSE(CONTROL!$C$9, $C$13, 100%, $E$13) + CHOOSE(CONTROL!$C$28, 0, 0)</f>
        <v>562.56629143402199</v>
      </c>
    </row>
    <row r="855" spans="1:5" ht="15">
      <c r="A855" s="13">
        <v>67906</v>
      </c>
      <c r="B855" s="4">
        <f>100.7369 * CHOOSE(CONTROL!$C$9, $C$13, 100%, $E$13) + CHOOSE(CONTROL!$C$28, 0.0003, 0)</f>
        <v>100.7372</v>
      </c>
      <c r="C855" s="4">
        <f>100.4244 * CHOOSE(CONTROL!$C$9, $C$13, 100%, $E$13) + CHOOSE(CONTROL!$C$28, 0.0003, 0)</f>
        <v>100.4247</v>
      </c>
      <c r="D855" s="4">
        <f>89.4534 * CHOOSE(CONTROL!$C$9, $C$13, 100%, $E$13) + CHOOSE(CONTROL!$C$28, 0, 0)</f>
        <v>89.453400000000002</v>
      </c>
      <c r="E855" s="4">
        <f>550.113815640312 * CHOOSE(CONTROL!$C$9, $C$13, 100%, $E$13) + CHOOSE(CONTROL!$C$28, 0, 0)</f>
        <v>550.11381564031205</v>
      </c>
    </row>
    <row r="856" spans="1:5" ht="15">
      <c r="A856" s="13">
        <v>67937</v>
      </c>
      <c r="B856" s="4">
        <f>99.1886 * CHOOSE(CONTROL!$C$9, $C$13, 100%, $E$13) + CHOOSE(CONTROL!$C$28, 0.0003, 0)</f>
        <v>99.18889999999999</v>
      </c>
      <c r="C856" s="4">
        <f>98.8761 * CHOOSE(CONTROL!$C$9, $C$13, 100%, $E$13) + CHOOSE(CONTROL!$C$28, 0.0003, 0)</f>
        <v>98.87639999999999</v>
      </c>
      <c r="D856" s="4">
        <f>86.3259 * CHOOSE(CONTROL!$C$9, $C$13, 100%, $E$13) + CHOOSE(CONTROL!$C$28, 0, 0)</f>
        <v>86.325900000000004</v>
      </c>
      <c r="E856" s="4">
        <f>541.498303087387 * CHOOSE(CONTROL!$C$9, $C$13, 100%, $E$13) + CHOOSE(CONTROL!$C$28, 0, 0)</f>
        <v>541.49830308738694</v>
      </c>
    </row>
    <row r="857" spans="1:5" ht="15">
      <c r="A857" s="13">
        <v>67968</v>
      </c>
      <c r="B857" s="4">
        <f>96.6729 * CHOOSE(CONTROL!$C$9, $C$13, 100%, $E$13) + CHOOSE(CONTROL!$C$28, 0.0003, 0)</f>
        <v>96.673199999999994</v>
      </c>
      <c r="C857" s="4">
        <f>96.3604 * CHOOSE(CONTROL!$C$9, $C$13, 100%, $E$13) + CHOOSE(CONTROL!$C$28, 0.0003, 0)</f>
        <v>96.360699999999994</v>
      </c>
      <c r="D857" s="4">
        <f>83.4514 * CHOOSE(CONTROL!$C$9, $C$13, 100%, $E$13) + CHOOSE(CONTROL!$C$28, 0, 0)</f>
        <v>83.451400000000007</v>
      </c>
      <c r="E857" s="4">
        <f>525.970195240716 * CHOOSE(CONTROL!$C$9, $C$13, 100%, $E$13) + CHOOSE(CONTROL!$C$28, 0, 0)</f>
        <v>525.97019524071595</v>
      </c>
    </row>
    <row r="858" spans="1:5" ht="15">
      <c r="A858" s="13">
        <v>67996</v>
      </c>
      <c r="B858" s="4">
        <f>98.9238 * CHOOSE(CONTROL!$C$9, $C$13, 100%, $E$13) + CHOOSE(CONTROL!$C$28, 0.0003, 0)</f>
        <v>98.924099999999996</v>
      </c>
      <c r="C858" s="4">
        <f>98.6113 * CHOOSE(CONTROL!$C$9, $C$13, 100%, $E$13) + CHOOSE(CONTROL!$C$28, 0.0003, 0)</f>
        <v>98.611599999999996</v>
      </c>
      <c r="D858" s="4">
        <f>86.346 * CHOOSE(CONTROL!$C$9, $C$13, 100%, $E$13) + CHOOSE(CONTROL!$C$28, 0, 0)</f>
        <v>86.346000000000004</v>
      </c>
      <c r="E858" s="4">
        <f>538.458800476638 * CHOOSE(CONTROL!$C$9, $C$13, 100%, $E$13) + CHOOSE(CONTROL!$C$28, 0, 0)</f>
        <v>538.45880047663798</v>
      </c>
    </row>
    <row r="859" spans="1:5" ht="15">
      <c r="A859" s="13">
        <v>68027</v>
      </c>
      <c r="B859" s="4">
        <f>104.8347 * CHOOSE(CONTROL!$C$9, $C$13, 100%, $E$13) + CHOOSE(CONTROL!$C$28, 0.0003, 0)</f>
        <v>104.83499999999999</v>
      </c>
      <c r="C859" s="4">
        <f>104.5222 * CHOOSE(CONTROL!$C$9, $C$13, 100%, $E$13) + CHOOSE(CONTROL!$C$28, 0.0003, 0)</f>
        <v>104.52249999999999</v>
      </c>
      <c r="D859" s="4">
        <f>90.8773 * CHOOSE(CONTROL!$C$9, $C$13, 100%, $E$13) + CHOOSE(CONTROL!$C$28, 0, 0)</f>
        <v>90.877300000000005</v>
      </c>
      <c r="E859" s="4">
        <f>571.25454151096 * CHOOSE(CONTROL!$C$9, $C$13, 100%, $E$13) + CHOOSE(CONTROL!$C$28, 0, 0)</f>
        <v>571.25454151096005</v>
      </c>
    </row>
    <row r="860" spans="1:5" ht="15">
      <c r="A860" s="13">
        <v>68057</v>
      </c>
      <c r="B860" s="4">
        <f>109.0345 * CHOOSE(CONTROL!$C$9, $C$13, 100%, $E$13) + CHOOSE(CONTROL!$C$28, 0.0003, 0)</f>
        <v>109.03479999999999</v>
      </c>
      <c r="C860" s="4">
        <f>108.722 * CHOOSE(CONTROL!$C$9, $C$13, 100%, $E$13) + CHOOSE(CONTROL!$C$28, 0.0003, 0)</f>
        <v>108.72229999999999</v>
      </c>
      <c r="D860" s="4">
        <f>93.4874 * CHOOSE(CONTROL!$C$9, $C$13, 100%, $E$13) + CHOOSE(CONTROL!$C$28, 0, 0)</f>
        <v>93.487399999999994</v>
      </c>
      <c r="E860" s="4">
        <f>594.55635257656 * CHOOSE(CONTROL!$C$9, $C$13, 100%, $E$13) + CHOOSE(CONTROL!$C$28, 0, 0)</f>
        <v>594.55635257656002</v>
      </c>
    </row>
    <row r="861" spans="1:5" ht="15">
      <c r="A861" s="13">
        <v>68088</v>
      </c>
      <c r="B861" s="4">
        <f>111.6005 * CHOOSE(CONTROL!$C$9, $C$13, 100%, $E$13) + CHOOSE(CONTROL!$C$28, 0.0276, 0)</f>
        <v>111.6281</v>
      </c>
      <c r="C861" s="4">
        <f>111.288 * CHOOSE(CONTROL!$C$9, $C$13, 100%, $E$13) + CHOOSE(CONTROL!$C$28, 0.0276, 0)</f>
        <v>111.3156</v>
      </c>
      <c r="D861" s="4">
        <f>92.456 * CHOOSE(CONTROL!$C$9, $C$13, 100%, $E$13) + CHOOSE(CONTROL!$C$28, 0, 0)</f>
        <v>92.456000000000003</v>
      </c>
      <c r="E861" s="4">
        <f>608.793200671173 * CHOOSE(CONTROL!$C$9, $C$13, 100%, $E$13) + CHOOSE(CONTROL!$C$28, 0, 0)</f>
        <v>608.79320067117305</v>
      </c>
    </row>
    <row r="862" spans="1:5" ht="15">
      <c r="A862" s="13">
        <v>68118</v>
      </c>
      <c r="B862" s="4">
        <f>111.9477 * CHOOSE(CONTROL!$C$9, $C$13, 100%, $E$13) + CHOOSE(CONTROL!$C$28, 0.0276, 0)</f>
        <v>111.9753</v>
      </c>
      <c r="C862" s="4">
        <f>111.6352 * CHOOSE(CONTROL!$C$9, $C$13, 100%, $E$13) + CHOOSE(CONTROL!$C$28, 0.0276, 0)</f>
        <v>111.6628</v>
      </c>
      <c r="D862" s="4">
        <f>93.296 * CHOOSE(CONTROL!$C$9, $C$13, 100%, $E$13) + CHOOSE(CONTROL!$C$28, 0, 0)</f>
        <v>93.296000000000006</v>
      </c>
      <c r="E862" s="4">
        <f>610.719505302508 * CHOOSE(CONTROL!$C$9, $C$13, 100%, $E$13) + CHOOSE(CONTROL!$C$28, 0, 0)</f>
        <v>610.71950530250797</v>
      </c>
    </row>
    <row r="863" spans="1:5" ht="15">
      <c r="A863" s="13">
        <v>68149</v>
      </c>
      <c r="B863" s="4">
        <f>111.9127 * CHOOSE(CONTROL!$C$9, $C$13, 100%, $E$13) + CHOOSE(CONTROL!$C$28, 0.0276, 0)</f>
        <v>111.94030000000001</v>
      </c>
      <c r="C863" s="4">
        <f>111.6002 * CHOOSE(CONTROL!$C$9, $C$13, 100%, $E$13) + CHOOSE(CONTROL!$C$28, 0.0276, 0)</f>
        <v>111.62780000000001</v>
      </c>
      <c r="D863" s="4">
        <f>94.8117 * CHOOSE(CONTROL!$C$9, $C$13, 100%, $E$13) + CHOOSE(CONTROL!$C$28, 0, 0)</f>
        <v>94.811700000000002</v>
      </c>
      <c r="E863" s="4">
        <f>610.525256095986 * CHOOSE(CONTROL!$C$9, $C$13, 100%, $E$13) + CHOOSE(CONTROL!$C$28, 0, 0)</f>
        <v>610.52525609598604</v>
      </c>
    </row>
    <row r="864" spans="1:5" ht="15">
      <c r="A864" s="13">
        <v>68180</v>
      </c>
      <c r="B864" s="4">
        <f>114.5472 * CHOOSE(CONTROL!$C$9, $C$13, 100%, $E$13) + CHOOSE(CONTROL!$C$28, 0.0276, 0)</f>
        <v>114.57480000000001</v>
      </c>
      <c r="C864" s="4">
        <f>114.2347 * CHOOSE(CONTROL!$C$9, $C$13, 100%, $E$13) + CHOOSE(CONTROL!$C$28, 0.0276, 0)</f>
        <v>114.26230000000001</v>
      </c>
      <c r="D864" s="4">
        <f>93.8107 * CHOOSE(CONTROL!$C$9, $C$13, 100%, $E$13) + CHOOSE(CONTROL!$C$28, 0, 0)</f>
        <v>93.810699999999997</v>
      </c>
      <c r="E864" s="4">
        <f>625.142508886703 * CHOOSE(CONTROL!$C$9, $C$13, 100%, $E$13) + CHOOSE(CONTROL!$C$28, 0, 0)</f>
        <v>625.14250888670301</v>
      </c>
    </row>
    <row r="865" spans="1:5" ht="15">
      <c r="A865" s="13">
        <v>68210</v>
      </c>
      <c r="B865" s="4">
        <f>110.0571 * CHOOSE(CONTROL!$C$9, $C$13, 100%, $E$13) + CHOOSE(CONTROL!$C$28, 0.0276, 0)</f>
        <v>110.08470000000001</v>
      </c>
      <c r="C865" s="4">
        <f>109.7446 * CHOOSE(CONTROL!$C$9, $C$13, 100%, $E$13) + CHOOSE(CONTROL!$C$28, 0.0276, 0)</f>
        <v>109.77220000000001</v>
      </c>
      <c r="D865" s="4">
        <f>93.3378 * CHOOSE(CONTROL!$C$9, $C$13, 100%, $E$13) + CHOOSE(CONTROL!$C$28, 0, 0)</f>
        <v>93.337800000000001</v>
      </c>
      <c r="E865" s="4">
        <f>600.230048150365 * CHOOSE(CONTROL!$C$9, $C$13, 100%, $E$13) + CHOOSE(CONTROL!$C$28, 0, 0)</f>
        <v>600.23004815036495</v>
      </c>
    </row>
    <row r="866" spans="1:5" ht="15">
      <c r="A866" s="13">
        <v>68241</v>
      </c>
      <c r="B866" s="4">
        <f>106.4627 * CHOOSE(CONTROL!$C$9, $C$13, 100%, $E$13) + CHOOSE(CONTROL!$C$28, 0.0003, 0)</f>
        <v>106.46299999999999</v>
      </c>
      <c r="C866" s="4">
        <f>106.1502 * CHOOSE(CONTROL!$C$9, $C$13, 100%, $E$13) + CHOOSE(CONTROL!$C$28, 0.0003, 0)</f>
        <v>106.15049999999999</v>
      </c>
      <c r="D866" s="4">
        <f>92.0715 * CHOOSE(CONTROL!$C$9, $C$13, 100%, $E$13) + CHOOSE(CONTROL!$C$28, 0, 0)</f>
        <v>92.0715</v>
      </c>
      <c r="E866" s="4">
        <f>580.287129614193 * CHOOSE(CONTROL!$C$9, $C$13, 100%, $E$13) + CHOOSE(CONTROL!$C$28, 0, 0)</f>
        <v>580.28712961419296</v>
      </c>
    </row>
    <row r="867" spans="1:5" ht="15">
      <c r="A867" s="13">
        <v>68271</v>
      </c>
      <c r="B867" s="4">
        <f>104.1477 * CHOOSE(CONTROL!$C$9, $C$13, 100%, $E$13) + CHOOSE(CONTROL!$C$28, 0.0003, 0)</f>
        <v>104.148</v>
      </c>
      <c r="C867" s="4">
        <f>103.8352 * CHOOSE(CONTROL!$C$9, $C$13, 100%, $E$13) + CHOOSE(CONTROL!$C$28, 0.0003, 0)</f>
        <v>103.8355</v>
      </c>
      <c r="D867" s="4">
        <f>91.6362 * CHOOSE(CONTROL!$C$9, $C$13, 100%, $E$13) + CHOOSE(CONTROL!$C$28, 0, 0)</f>
        <v>91.636200000000002</v>
      </c>
      <c r="E867" s="4">
        <f>567.442400832982 * CHOOSE(CONTROL!$C$9, $C$13, 100%, $E$13) + CHOOSE(CONTROL!$C$28, 0, 0)</f>
        <v>567.442400832982</v>
      </c>
    </row>
    <row r="868" spans="1:5" ht="15">
      <c r="A868" s="13">
        <v>68302</v>
      </c>
      <c r="B868" s="4">
        <f>102.5459 * CHOOSE(CONTROL!$C$9, $C$13, 100%, $E$13) + CHOOSE(CONTROL!$C$28, 0.0003, 0)</f>
        <v>102.5462</v>
      </c>
      <c r="C868" s="4">
        <f>102.2334 * CHOOSE(CONTROL!$C$9, $C$13, 100%, $E$13) + CHOOSE(CONTROL!$C$28, 0.0003, 0)</f>
        <v>102.2337</v>
      </c>
      <c r="D868" s="4">
        <f>88.4311 * CHOOSE(CONTROL!$C$9, $C$13, 100%, $E$13) + CHOOSE(CONTROL!$C$28, 0, 0)</f>
        <v>88.431100000000001</v>
      </c>
      <c r="E868" s="4">
        <f>558.555499634639 * CHOOSE(CONTROL!$C$9, $C$13, 100%, $E$13) + CHOOSE(CONTROL!$C$28, 0, 0)</f>
        <v>558.55549963463898</v>
      </c>
    </row>
    <row r="869" spans="1:5" ht="15">
      <c r="A869" s="13">
        <v>68333</v>
      </c>
      <c r="B869" s="4">
        <f>99.9435 * CHOOSE(CONTROL!$C$9, $C$13, 100%, $E$13) + CHOOSE(CONTROL!$C$28, 0.0003, 0)</f>
        <v>99.943799999999996</v>
      </c>
      <c r="C869" s="4">
        <f>99.631 * CHOOSE(CONTROL!$C$9, $C$13, 100%, $E$13) + CHOOSE(CONTROL!$C$28, 0.0003, 0)</f>
        <v>99.631299999999996</v>
      </c>
      <c r="D869" s="4">
        <f>85.4854 * CHOOSE(CONTROL!$C$9, $C$13, 100%, $E$13) + CHOOSE(CONTROL!$C$28, 0, 0)</f>
        <v>85.485399999999998</v>
      </c>
      <c r="E869" s="4">
        <f>542.538256390798 * CHOOSE(CONTROL!$C$9, $C$13, 100%, $E$13) + CHOOSE(CONTROL!$C$28, 0, 0)</f>
        <v>542.53825639079798</v>
      </c>
    </row>
    <row r="870" spans="1:5" ht="15">
      <c r="A870" s="13">
        <v>68361</v>
      </c>
      <c r="B870" s="4">
        <f>102.272 * CHOOSE(CONTROL!$C$9, $C$13, 100%, $E$13) + CHOOSE(CONTROL!$C$28, 0.0003, 0)</f>
        <v>102.2723</v>
      </c>
      <c r="C870" s="4">
        <f>101.9595 * CHOOSE(CONTROL!$C$9, $C$13, 100%, $E$13) + CHOOSE(CONTROL!$C$28, 0.0003, 0)</f>
        <v>101.9598</v>
      </c>
      <c r="D870" s="4">
        <f>88.4517 * CHOOSE(CONTROL!$C$9, $C$13, 100%, $E$13) + CHOOSE(CONTROL!$C$28, 0, 0)</f>
        <v>88.451700000000002</v>
      </c>
      <c r="E870" s="4">
        <f>555.420252691653 * CHOOSE(CONTROL!$C$9, $C$13, 100%, $E$13) + CHOOSE(CONTROL!$C$28, 0, 0)</f>
        <v>555.42025269165299</v>
      </c>
    </row>
    <row r="871" spans="1:5" ht="15">
      <c r="A871" s="13">
        <v>68392</v>
      </c>
      <c r="B871" s="4">
        <f>108.3869 * CHOOSE(CONTROL!$C$9, $C$13, 100%, $E$13) + CHOOSE(CONTROL!$C$28, 0.0003, 0)</f>
        <v>108.38719999999999</v>
      </c>
      <c r="C871" s="4">
        <f>108.0744 * CHOOSE(CONTROL!$C$9, $C$13, 100%, $E$13) + CHOOSE(CONTROL!$C$28, 0.0003, 0)</f>
        <v>108.07469999999999</v>
      </c>
      <c r="D871" s="4">
        <f>93.0954 * CHOOSE(CONTROL!$C$9, $C$13, 100%, $E$13) + CHOOSE(CONTROL!$C$28, 0, 0)</f>
        <v>93.095399999999998</v>
      </c>
      <c r="E871" s="4">
        <f>589.249059568555 * CHOOSE(CONTROL!$C$9, $C$13, 100%, $E$13) + CHOOSE(CONTROL!$C$28, 0, 0)</f>
        <v>589.24905956855503</v>
      </c>
    </row>
    <row r="872" spans="1:5" ht="15">
      <c r="A872" s="13">
        <v>68422</v>
      </c>
      <c r="B872" s="4">
        <f>112.7315 * CHOOSE(CONTROL!$C$9, $C$13, 100%, $E$13) + CHOOSE(CONTROL!$C$28, 0.0003, 0)</f>
        <v>112.73179999999999</v>
      </c>
      <c r="C872" s="4">
        <f>112.419 * CHOOSE(CONTROL!$C$9, $C$13, 100%, $E$13) + CHOOSE(CONTROL!$C$28, 0.0003, 0)</f>
        <v>112.41929999999999</v>
      </c>
      <c r="D872" s="4">
        <f>95.7702 * CHOOSE(CONTROL!$C$9, $C$13, 100%, $E$13) + CHOOSE(CONTROL!$C$28, 0, 0)</f>
        <v>95.770200000000003</v>
      </c>
      <c r="E872" s="4">
        <f>613.284877682722 * CHOOSE(CONTROL!$C$9, $C$13, 100%, $E$13) + CHOOSE(CONTROL!$C$28, 0, 0)</f>
        <v>613.28487768272203</v>
      </c>
    </row>
    <row r="873" spans="1:5" ht="15">
      <c r="A873" s="13">
        <v>68453</v>
      </c>
      <c r="B873" s="4">
        <f>115.386 * CHOOSE(CONTROL!$C$9, $C$13, 100%, $E$13) + CHOOSE(CONTROL!$C$28, 0.0276, 0)</f>
        <v>115.4136</v>
      </c>
      <c r="C873" s="4">
        <f>115.0735 * CHOOSE(CONTROL!$C$9, $C$13, 100%, $E$13) + CHOOSE(CONTROL!$C$28, 0.0276, 0)</f>
        <v>115.1011</v>
      </c>
      <c r="D873" s="4">
        <f>94.7133 * CHOOSE(CONTROL!$C$9, $C$13, 100%, $E$13) + CHOOSE(CONTROL!$C$28, 0, 0)</f>
        <v>94.713300000000004</v>
      </c>
      <c r="E873" s="4">
        <f>627.970186492315 * CHOOSE(CONTROL!$C$9, $C$13, 100%, $E$13) + CHOOSE(CONTROL!$C$28, 0, 0)</f>
        <v>627.97018649231495</v>
      </c>
    </row>
    <row r="874" spans="1:5" ht="15">
      <c r="A874" s="13">
        <v>68483</v>
      </c>
      <c r="B874" s="4">
        <f>115.7452 * CHOOSE(CONTROL!$C$9, $C$13, 100%, $E$13) + CHOOSE(CONTROL!$C$28, 0.0276, 0)</f>
        <v>115.7728</v>
      </c>
      <c r="C874" s="4">
        <f>115.4327 * CHOOSE(CONTROL!$C$9, $C$13, 100%, $E$13) + CHOOSE(CONTROL!$C$28, 0.0276, 0)</f>
        <v>115.4603</v>
      </c>
      <c r="D874" s="4">
        <f>95.5741 * CHOOSE(CONTROL!$C$9, $C$13, 100%, $E$13) + CHOOSE(CONTROL!$C$28, 0, 0)</f>
        <v>95.574100000000001</v>
      </c>
      <c r="E874" s="4">
        <f>629.957169719537 * CHOOSE(CONTROL!$C$9, $C$13, 100%, $E$13) + CHOOSE(CONTROL!$C$28, 0, 0)</f>
        <v>629.95716971953698</v>
      </c>
    </row>
    <row r="875" spans="1:5" ht="15">
      <c r="A875" s="13">
        <v>68514</v>
      </c>
      <c r="B875" s="4">
        <f>115.709 * CHOOSE(CONTROL!$C$9, $C$13, 100%, $E$13) + CHOOSE(CONTROL!$C$28, 0.0276, 0)</f>
        <v>115.73660000000001</v>
      </c>
      <c r="C875" s="4">
        <f>115.3965 * CHOOSE(CONTROL!$C$9, $C$13, 100%, $E$13) + CHOOSE(CONTROL!$C$28, 0.0276, 0)</f>
        <v>115.42410000000001</v>
      </c>
      <c r="D875" s="4">
        <f>97.1273 * CHOOSE(CONTROL!$C$9, $C$13, 100%, $E$13) + CHOOSE(CONTROL!$C$28, 0, 0)</f>
        <v>97.127300000000005</v>
      </c>
      <c r="E875" s="4">
        <f>629.75680166301 * CHOOSE(CONTROL!$C$9, $C$13, 100%, $E$13) + CHOOSE(CONTROL!$C$28, 0, 0)</f>
        <v>629.75680166301004</v>
      </c>
    </row>
    <row r="876" spans="1:5" ht="15">
      <c r="A876" s="13">
        <v>68545</v>
      </c>
      <c r="B876" s="4">
        <f>118.4344 * CHOOSE(CONTROL!$C$9, $C$13, 100%, $E$13) + CHOOSE(CONTROL!$C$28, 0.0276, 0)</f>
        <v>118.462</v>
      </c>
      <c r="C876" s="4">
        <f>118.1219 * CHOOSE(CONTROL!$C$9, $C$13, 100%, $E$13) + CHOOSE(CONTROL!$C$28, 0.0276, 0)</f>
        <v>118.1495</v>
      </c>
      <c r="D876" s="4">
        <f>96.1016 * CHOOSE(CONTROL!$C$9, $C$13, 100%, $E$13) + CHOOSE(CONTROL!$C$28, 0, 0)</f>
        <v>96.101600000000005</v>
      </c>
      <c r="E876" s="4">
        <f>644.834497916634 * CHOOSE(CONTROL!$C$9, $C$13, 100%, $E$13) + CHOOSE(CONTROL!$C$28, 0, 0)</f>
        <v>644.83449791663395</v>
      </c>
    </row>
    <row r="877" spans="1:5" ht="15">
      <c r="A877" s="13">
        <v>68575</v>
      </c>
      <c r="B877" s="4">
        <f>113.7894 * CHOOSE(CONTROL!$C$9, $C$13, 100%, $E$13) + CHOOSE(CONTROL!$C$28, 0.0276, 0)</f>
        <v>113.81700000000001</v>
      </c>
      <c r="C877" s="4">
        <f>113.4769 * CHOOSE(CONTROL!$C$9, $C$13, 100%, $E$13) + CHOOSE(CONTROL!$C$28, 0.0276, 0)</f>
        <v>113.50450000000001</v>
      </c>
      <c r="D877" s="4">
        <f>95.6169 * CHOOSE(CONTROL!$C$9, $C$13, 100%, $E$13) + CHOOSE(CONTROL!$C$28, 0, 0)</f>
        <v>95.616900000000001</v>
      </c>
      <c r="E877" s="4">
        <f>619.137294667102 * CHOOSE(CONTROL!$C$9, $C$13, 100%, $E$13) + CHOOSE(CONTROL!$C$28, 0, 0)</f>
        <v>619.13729466710197</v>
      </c>
    </row>
    <row r="878" spans="1:5" ht="15">
      <c r="A878" s="13">
        <v>68606</v>
      </c>
      <c r="B878" s="4">
        <f>110.071 * CHOOSE(CONTROL!$C$9, $C$13, 100%, $E$13) + CHOOSE(CONTROL!$C$28, 0.0003, 0)</f>
        <v>110.07129999999999</v>
      </c>
      <c r="C878" s="4">
        <f>109.7585 * CHOOSE(CONTROL!$C$9, $C$13, 100%, $E$13) + CHOOSE(CONTROL!$C$28, 0.0003, 0)</f>
        <v>109.75879999999999</v>
      </c>
      <c r="D878" s="4">
        <f>94.3192 * CHOOSE(CONTROL!$C$9, $C$13, 100%, $E$13) + CHOOSE(CONTROL!$C$28, 0, 0)</f>
        <v>94.319199999999995</v>
      </c>
      <c r="E878" s="4">
        <f>598.566174197041 * CHOOSE(CONTROL!$C$9, $C$13, 100%, $E$13) + CHOOSE(CONTROL!$C$28, 0, 0)</f>
        <v>598.56617419704105</v>
      </c>
    </row>
    <row r="879" spans="1:5" ht="15">
      <c r="A879" s="13">
        <v>68636</v>
      </c>
      <c r="B879" s="4">
        <f>107.6761 * CHOOSE(CONTROL!$C$9, $C$13, 100%, $E$13) + CHOOSE(CONTROL!$C$28, 0.0003, 0)</f>
        <v>107.6764</v>
      </c>
      <c r="C879" s="4">
        <f>107.3636 * CHOOSE(CONTROL!$C$9, $C$13, 100%, $E$13) + CHOOSE(CONTROL!$C$28, 0.0003, 0)</f>
        <v>107.3639</v>
      </c>
      <c r="D879" s="4">
        <f>93.8731 * CHOOSE(CONTROL!$C$9, $C$13, 100%, $E$13) + CHOOSE(CONTROL!$C$28, 0, 0)</f>
        <v>93.873099999999994</v>
      </c>
      <c r="E879" s="4">
        <f>585.316836459221 * CHOOSE(CONTROL!$C$9, $C$13, 100%, $E$13) + CHOOSE(CONTROL!$C$28, 0, 0)</f>
        <v>585.31683645922101</v>
      </c>
    </row>
    <row r="880" spans="1:5" ht="15">
      <c r="A880" s="13">
        <v>68667</v>
      </c>
      <c r="B880" s="4">
        <f>106.0191 * CHOOSE(CONTROL!$C$9, $C$13, 100%, $E$13) + CHOOSE(CONTROL!$C$28, 0.0003, 0)</f>
        <v>106.01939999999999</v>
      </c>
      <c r="C880" s="4">
        <f>105.7066 * CHOOSE(CONTROL!$C$9, $C$13, 100%, $E$13) + CHOOSE(CONTROL!$C$28, 0.0003, 0)</f>
        <v>105.70689999999999</v>
      </c>
      <c r="D880" s="4">
        <f>90.5885 * CHOOSE(CONTROL!$C$9, $C$13, 100%, $E$13) + CHOOSE(CONTROL!$C$28, 0, 0)</f>
        <v>90.588499999999996</v>
      </c>
      <c r="E880" s="4">
        <f>576.149997873131 * CHOOSE(CONTROL!$C$9, $C$13, 100%, $E$13) + CHOOSE(CONTROL!$C$28, 0, 0)</f>
        <v>576.14999787313104</v>
      </c>
    </row>
    <row r="881" spans="1:5" ht="15">
      <c r="A881" s="13">
        <v>68698</v>
      </c>
      <c r="B881" s="4">
        <f>103.3268 * CHOOSE(CONTROL!$C$9, $C$13, 100%, $E$13) + CHOOSE(CONTROL!$C$28, 0.0003, 0)</f>
        <v>103.3271</v>
      </c>
      <c r="C881" s="4">
        <f>103.0143 * CHOOSE(CONTROL!$C$9, $C$13, 100%, $E$13) + CHOOSE(CONTROL!$C$28, 0.0003, 0)</f>
        <v>103.0146</v>
      </c>
      <c r="D881" s="4">
        <f>87.5697 * CHOOSE(CONTROL!$C$9, $C$13, 100%, $E$13) + CHOOSE(CONTROL!$C$28, 0, 0)</f>
        <v>87.569699999999997</v>
      </c>
      <c r="E881" s="4">
        <f>559.628211467109 * CHOOSE(CONTROL!$C$9, $C$13, 100%, $E$13) + CHOOSE(CONTROL!$C$28, 0, 0)</f>
        <v>559.62821146710905</v>
      </c>
    </row>
    <row r="882" spans="1:5" ht="15">
      <c r="A882" s="13">
        <v>68727</v>
      </c>
      <c r="B882" s="4">
        <f>105.7357 * CHOOSE(CONTROL!$C$9, $C$13, 100%, $E$13) + CHOOSE(CONTROL!$C$28, 0.0003, 0)</f>
        <v>105.73599999999999</v>
      </c>
      <c r="C882" s="4">
        <f>105.4232 * CHOOSE(CONTROL!$C$9, $C$13, 100%, $E$13) + CHOOSE(CONTROL!$C$28, 0.0003, 0)</f>
        <v>105.42349999999999</v>
      </c>
      <c r="D882" s="4">
        <f>90.6097 * CHOOSE(CONTROL!$C$9, $C$13, 100%, $E$13) + CHOOSE(CONTROL!$C$28, 0, 0)</f>
        <v>90.609700000000004</v>
      </c>
      <c r="E882" s="4">
        <f>572.91599065144 * CHOOSE(CONTROL!$C$9, $C$13, 100%, $E$13) + CHOOSE(CONTROL!$C$28, 0, 0)</f>
        <v>572.91599065143998</v>
      </c>
    </row>
    <row r="883" spans="1:5" ht="15">
      <c r="A883" s="13">
        <v>68758</v>
      </c>
      <c r="B883" s="4">
        <f>112.0615 * CHOOSE(CONTROL!$C$9, $C$13, 100%, $E$13) + CHOOSE(CONTROL!$C$28, 0.0003, 0)</f>
        <v>112.06179999999999</v>
      </c>
      <c r="C883" s="4">
        <f>111.749 * CHOOSE(CONTROL!$C$9, $C$13, 100%, $E$13) + CHOOSE(CONTROL!$C$28, 0.0003, 0)</f>
        <v>111.74929999999999</v>
      </c>
      <c r="D883" s="4">
        <f>95.3685 * CHOOSE(CONTROL!$C$9, $C$13, 100%, $E$13) + CHOOSE(CONTROL!$C$28, 0, 0)</f>
        <v>95.368499999999997</v>
      </c>
      <c r="E883" s="4">
        <f>607.810404944965 * CHOOSE(CONTROL!$C$9, $C$13, 100%, $E$13) + CHOOSE(CONTROL!$C$28, 0, 0)</f>
        <v>607.81040494496494</v>
      </c>
    </row>
    <row r="884" spans="1:5" ht="15">
      <c r="A884" s="13">
        <v>68788</v>
      </c>
      <c r="B884" s="4">
        <f>116.5561 * CHOOSE(CONTROL!$C$9, $C$13, 100%, $E$13) + CHOOSE(CONTROL!$C$28, 0.0003, 0)</f>
        <v>116.5564</v>
      </c>
      <c r="C884" s="4">
        <f>116.2436 * CHOOSE(CONTROL!$C$9, $C$13, 100%, $E$13) + CHOOSE(CONTROL!$C$28, 0.0003, 0)</f>
        <v>116.2439</v>
      </c>
      <c r="D884" s="4">
        <f>98.1097 * CHOOSE(CONTROL!$C$9, $C$13, 100%, $E$13) + CHOOSE(CONTROL!$C$28, 0, 0)</f>
        <v>98.109700000000004</v>
      </c>
      <c r="E884" s="4">
        <f>632.603351329727 * CHOOSE(CONTROL!$C$9, $C$13, 100%, $E$13) + CHOOSE(CONTROL!$C$28, 0, 0)</f>
        <v>632.60335132972705</v>
      </c>
    </row>
    <row r="885" spans="1:5" ht="15">
      <c r="A885" s="13">
        <v>68819</v>
      </c>
      <c r="B885" s="4">
        <f>119.3022 * CHOOSE(CONTROL!$C$9, $C$13, 100%, $E$13) + CHOOSE(CONTROL!$C$28, 0.0276, 0)</f>
        <v>119.32980000000001</v>
      </c>
      <c r="C885" s="4">
        <f>118.9897 * CHOOSE(CONTROL!$C$9, $C$13, 100%, $E$13) + CHOOSE(CONTROL!$C$28, 0.0276, 0)</f>
        <v>119.01730000000001</v>
      </c>
      <c r="D885" s="4">
        <f>97.0265 * CHOOSE(CONTROL!$C$9, $C$13, 100%, $E$13) + CHOOSE(CONTROL!$C$28, 0, 0)</f>
        <v>97.026499999999999</v>
      </c>
      <c r="E885" s="4">
        <f>647.751247366823 * CHOOSE(CONTROL!$C$9, $C$13, 100%, $E$13) + CHOOSE(CONTROL!$C$28, 0, 0)</f>
        <v>647.75124736682301</v>
      </c>
    </row>
    <row r="886" spans="1:5" ht="15">
      <c r="A886" s="13">
        <v>68849</v>
      </c>
      <c r="B886" s="4">
        <f>119.6737 * CHOOSE(CONTROL!$C$9, $C$13, 100%, $E$13) + CHOOSE(CONTROL!$C$28, 0.0276, 0)</f>
        <v>119.7013</v>
      </c>
      <c r="C886" s="4">
        <f>119.3612 * CHOOSE(CONTROL!$C$9, $C$13, 100%, $E$13) + CHOOSE(CONTROL!$C$28, 0.0276, 0)</f>
        <v>119.3888</v>
      </c>
      <c r="D886" s="4">
        <f>97.9087 * CHOOSE(CONTROL!$C$9, $C$13, 100%, $E$13) + CHOOSE(CONTROL!$C$28, 0, 0)</f>
        <v>97.908699999999996</v>
      </c>
      <c r="E886" s="4">
        <f>649.800820565702 * CHOOSE(CONTROL!$C$9, $C$13, 100%, $E$13) + CHOOSE(CONTROL!$C$28, 0, 0)</f>
        <v>649.800820565702</v>
      </c>
    </row>
    <row r="887" spans="1:5" ht="15">
      <c r="A887" s="13">
        <v>68880</v>
      </c>
      <c r="B887" s="4">
        <f>119.6362 * CHOOSE(CONTROL!$C$9, $C$13, 100%, $E$13) + CHOOSE(CONTROL!$C$28, 0.0276, 0)</f>
        <v>119.66380000000001</v>
      </c>
      <c r="C887" s="4">
        <f>119.3237 * CHOOSE(CONTROL!$C$9, $C$13, 100%, $E$13) + CHOOSE(CONTROL!$C$28, 0.0276, 0)</f>
        <v>119.35130000000001</v>
      </c>
      <c r="D887" s="4">
        <f>99.5005 * CHOOSE(CONTROL!$C$9, $C$13, 100%, $E$13) + CHOOSE(CONTROL!$C$28, 0, 0)</f>
        <v>99.500500000000002</v>
      </c>
      <c r="E887" s="4">
        <f>649.594140915395 * CHOOSE(CONTROL!$C$9, $C$13, 100%, $E$13) + CHOOSE(CONTROL!$C$28, 0, 0)</f>
        <v>649.59414091539497</v>
      </c>
    </row>
    <row r="888" spans="1:5" ht="15">
      <c r="A888" s="13">
        <v>68911</v>
      </c>
      <c r="B888" s="4">
        <f>122.4557 * CHOOSE(CONTROL!$C$9, $C$13, 100%, $E$13) + CHOOSE(CONTROL!$C$28, 0.0276, 0)</f>
        <v>122.4833</v>
      </c>
      <c r="C888" s="4">
        <f>122.1432 * CHOOSE(CONTROL!$C$9, $C$13, 100%, $E$13) + CHOOSE(CONTROL!$C$28, 0.0276, 0)</f>
        <v>122.1708</v>
      </c>
      <c r="D888" s="4">
        <f>98.4492 * CHOOSE(CONTROL!$C$9, $C$13, 100%, $E$13) + CHOOSE(CONTROL!$C$28, 0, 0)</f>
        <v>98.449200000000005</v>
      </c>
      <c r="E888" s="4">
        <f>665.146784601008 * CHOOSE(CONTROL!$C$9, $C$13, 100%, $E$13) + CHOOSE(CONTROL!$C$28, 0, 0)</f>
        <v>665.14678460100799</v>
      </c>
    </row>
    <row r="889" spans="1:5" ht="15">
      <c r="A889" s="13">
        <v>68941</v>
      </c>
      <c r="B889" s="4">
        <f>117.6505 * CHOOSE(CONTROL!$C$9, $C$13, 100%, $E$13) + CHOOSE(CONTROL!$C$28, 0.0276, 0)</f>
        <v>117.6781</v>
      </c>
      <c r="C889" s="4">
        <f>117.338 * CHOOSE(CONTROL!$C$9, $C$13, 100%, $E$13) + CHOOSE(CONTROL!$C$28, 0.0276, 0)</f>
        <v>117.3656</v>
      </c>
      <c r="D889" s="4">
        <f>97.9526 * CHOOSE(CONTROL!$C$9, $C$13, 100%, $E$13) + CHOOSE(CONTROL!$C$28, 0, 0)</f>
        <v>97.952600000000004</v>
      </c>
      <c r="E889" s="4">
        <f>638.640119449116 * CHOOSE(CONTROL!$C$9, $C$13, 100%, $E$13) + CHOOSE(CONTROL!$C$28, 0, 0)</f>
        <v>638.64011944911601</v>
      </c>
    </row>
    <row r="890" spans="1:5" ht="15">
      <c r="A890" s="13">
        <v>68972</v>
      </c>
      <c r="B890" s="4">
        <f>113.8038 * CHOOSE(CONTROL!$C$9, $C$13, 100%, $E$13) + CHOOSE(CONTROL!$C$28, 0.0003, 0)</f>
        <v>113.80409999999999</v>
      </c>
      <c r="C890" s="4">
        <f>113.4913 * CHOOSE(CONTROL!$C$9, $C$13, 100%, $E$13) + CHOOSE(CONTROL!$C$28, 0.0003, 0)</f>
        <v>113.49159999999999</v>
      </c>
      <c r="D890" s="4">
        <f>96.6227 * CHOOSE(CONTROL!$C$9, $C$13, 100%, $E$13) + CHOOSE(CONTROL!$C$28, 0, 0)</f>
        <v>96.622699999999995</v>
      </c>
      <c r="E890" s="4">
        <f>617.421008684247 * CHOOSE(CONTROL!$C$9, $C$13, 100%, $E$13) + CHOOSE(CONTROL!$C$28, 0, 0)</f>
        <v>617.421008684247</v>
      </c>
    </row>
    <row r="891" spans="1:5" ht="15">
      <c r="A891" s="13">
        <v>69002</v>
      </c>
      <c r="B891" s="4">
        <f>111.3262 * CHOOSE(CONTROL!$C$9, $C$13, 100%, $E$13) + CHOOSE(CONTROL!$C$28, 0.0003, 0)</f>
        <v>111.3265</v>
      </c>
      <c r="C891" s="4">
        <f>111.0137 * CHOOSE(CONTROL!$C$9, $C$13, 100%, $E$13) + CHOOSE(CONTROL!$C$28, 0.0003, 0)</f>
        <v>111.014</v>
      </c>
      <c r="D891" s="4">
        <f>96.1655 * CHOOSE(CONTROL!$C$9, $C$13, 100%, $E$13) + CHOOSE(CONTROL!$C$28, 0, 0)</f>
        <v>96.165499999999994</v>
      </c>
      <c r="E891" s="4">
        <f>603.754316807687 * CHOOSE(CONTROL!$C$9, $C$13, 100%, $E$13) + CHOOSE(CONTROL!$C$28, 0, 0)</f>
        <v>603.75431680768702</v>
      </c>
    </row>
    <row r="892" spans="1:5" ht="15">
      <c r="A892" s="13">
        <v>69033</v>
      </c>
      <c r="B892" s="4">
        <f>109.6121 * CHOOSE(CONTROL!$C$9, $C$13, 100%, $E$13) + CHOOSE(CONTROL!$C$28, 0.0003, 0)</f>
        <v>109.61239999999999</v>
      </c>
      <c r="C892" s="4">
        <f>109.2996 * CHOOSE(CONTROL!$C$9, $C$13, 100%, $E$13) + CHOOSE(CONTROL!$C$28, 0.0003, 0)</f>
        <v>109.29989999999999</v>
      </c>
      <c r="D892" s="4">
        <f>92.7995 * CHOOSE(CONTROL!$C$9, $C$13, 100%, $E$13) + CHOOSE(CONTROL!$C$28, 0, 0)</f>
        <v>92.799499999999995</v>
      </c>
      <c r="E892" s="4">
        <f>594.298722806134 * CHOOSE(CONTROL!$C$9, $C$13, 100%, $E$13) + CHOOSE(CONTROL!$C$28, 0, 0)</f>
        <v>594.29872280613404</v>
      </c>
    </row>
    <row r="893" spans="1:5" ht="15">
      <c r="A893" s="13">
        <v>69064</v>
      </c>
      <c r="B893" s="4">
        <f>106.8269 * CHOOSE(CONTROL!$C$9, $C$13, 100%, $E$13) + CHOOSE(CONTROL!$C$28, 0.0003, 0)</f>
        <v>106.82719999999999</v>
      </c>
      <c r="C893" s="4">
        <f>106.5144 * CHOOSE(CONTROL!$C$9, $C$13, 100%, $E$13) + CHOOSE(CONTROL!$C$28, 0.0003, 0)</f>
        <v>106.51469999999999</v>
      </c>
      <c r="D893" s="4">
        <f>89.7058 * CHOOSE(CONTROL!$C$9, $C$13, 100%, $E$13) + CHOOSE(CONTROL!$C$28, 0, 0)</f>
        <v>89.705799999999996</v>
      </c>
      <c r="E893" s="4">
        <f>577.256500128323 * CHOOSE(CONTROL!$C$9, $C$13, 100%, $E$13) + CHOOSE(CONTROL!$C$28, 0, 0)</f>
        <v>577.25650012832295</v>
      </c>
    </row>
    <row r="894" spans="1:5" ht="15">
      <c r="A894" s="13">
        <v>69092</v>
      </c>
      <c r="B894" s="4">
        <f>109.3189 * CHOOSE(CONTROL!$C$9, $C$13, 100%, $E$13) + CHOOSE(CONTROL!$C$28, 0.0003, 0)</f>
        <v>109.3192</v>
      </c>
      <c r="C894" s="4">
        <f>109.0064 * CHOOSE(CONTROL!$C$9, $C$13, 100%, $E$13) + CHOOSE(CONTROL!$C$28, 0.0003, 0)</f>
        <v>109.0067</v>
      </c>
      <c r="D894" s="4">
        <f>92.8212 * CHOOSE(CONTROL!$C$9, $C$13, 100%, $E$13) + CHOOSE(CONTROL!$C$28, 0, 0)</f>
        <v>92.821200000000005</v>
      </c>
      <c r="E894" s="4">
        <f>590.96284435696 * CHOOSE(CONTROL!$C$9, $C$13, 100%, $E$13) + CHOOSE(CONTROL!$C$28, 0, 0)</f>
        <v>590.96284435695998</v>
      </c>
    </row>
    <row r="895" spans="1:5" ht="15">
      <c r="A895" s="13">
        <v>69123</v>
      </c>
      <c r="B895" s="4">
        <f>115.8629 * CHOOSE(CONTROL!$C$9, $C$13, 100%, $E$13) + CHOOSE(CONTROL!$C$28, 0.0003, 0)</f>
        <v>115.86319999999999</v>
      </c>
      <c r="C895" s="4">
        <f>115.5504 * CHOOSE(CONTROL!$C$9, $C$13, 100%, $E$13) + CHOOSE(CONTROL!$C$28, 0.0003, 0)</f>
        <v>115.55069999999999</v>
      </c>
      <c r="D895" s="4">
        <f>97.698 * CHOOSE(CONTROL!$C$9, $C$13, 100%, $E$13) + CHOOSE(CONTROL!$C$28, 0, 0)</f>
        <v>97.697999999999993</v>
      </c>
      <c r="E895" s="4">
        <f>626.956432700731 * CHOOSE(CONTROL!$C$9, $C$13, 100%, $E$13) + CHOOSE(CONTROL!$C$28, 0, 0)</f>
        <v>626.95643270073106</v>
      </c>
    </row>
    <row r="896" spans="1:5" ht="15">
      <c r="A896" s="13">
        <v>69153</v>
      </c>
      <c r="B896" s="4">
        <f>120.5126 * CHOOSE(CONTROL!$C$9, $C$13, 100%, $E$13) + CHOOSE(CONTROL!$C$28, 0.0003, 0)</f>
        <v>120.5129</v>
      </c>
      <c r="C896" s="4">
        <f>120.2001 * CHOOSE(CONTROL!$C$9, $C$13, 100%, $E$13) + CHOOSE(CONTROL!$C$28, 0.0003, 0)</f>
        <v>120.2004</v>
      </c>
      <c r="D896" s="4">
        <f>100.5072 * CHOOSE(CONTROL!$C$9, $C$13, 100%, $E$13) + CHOOSE(CONTROL!$C$28, 0, 0)</f>
        <v>100.5072</v>
      </c>
      <c r="E896" s="4">
        <f>652.530356896614 * CHOOSE(CONTROL!$C$9, $C$13, 100%, $E$13) + CHOOSE(CONTROL!$C$28, 0, 0)</f>
        <v>652.53035689661397</v>
      </c>
    </row>
    <row r="897" spans="1:5" ht="15">
      <c r="A897" s="13">
        <v>69184</v>
      </c>
      <c r="B897" s="4">
        <f>123.3534 * CHOOSE(CONTROL!$C$9, $C$13, 100%, $E$13) + CHOOSE(CONTROL!$C$28, 0.0276, 0)</f>
        <v>123.381</v>
      </c>
      <c r="C897" s="4">
        <f>123.0409 * CHOOSE(CONTROL!$C$9, $C$13, 100%, $E$13) + CHOOSE(CONTROL!$C$28, 0.0276, 0)</f>
        <v>123.0685</v>
      </c>
      <c r="D897" s="4">
        <f>99.3971 * CHOOSE(CONTROL!$C$9, $C$13, 100%, $E$13) + CHOOSE(CONTROL!$C$28, 0, 0)</f>
        <v>99.397099999999995</v>
      </c>
      <c r="E897" s="4">
        <f>668.155411658878 * CHOOSE(CONTROL!$C$9, $C$13, 100%, $E$13) + CHOOSE(CONTROL!$C$28, 0, 0)</f>
        <v>668.15541165887805</v>
      </c>
    </row>
    <row r="898" spans="1:5" ht="15">
      <c r="A898" s="13">
        <v>69214</v>
      </c>
      <c r="B898" s="4">
        <f>123.7378 * CHOOSE(CONTROL!$C$9, $C$13, 100%, $E$13) + CHOOSE(CONTROL!$C$28, 0.0276, 0)</f>
        <v>123.7654</v>
      </c>
      <c r="C898" s="4">
        <f>123.4253 * CHOOSE(CONTROL!$C$9, $C$13, 100%, $E$13) + CHOOSE(CONTROL!$C$28, 0.0276, 0)</f>
        <v>123.4529</v>
      </c>
      <c r="D898" s="4">
        <f>100.3012 * CHOOSE(CONTROL!$C$9, $C$13, 100%, $E$13) + CHOOSE(CONTROL!$C$28, 0, 0)</f>
        <v>100.30119999999999</v>
      </c>
      <c r="E898" s="4">
        <f>670.269546413522 * CHOOSE(CONTROL!$C$9, $C$13, 100%, $E$13) + CHOOSE(CONTROL!$C$28, 0, 0)</f>
        <v>670.26954641352199</v>
      </c>
    </row>
    <row r="899" spans="1:5" ht="15">
      <c r="A899" s="13">
        <v>69245</v>
      </c>
      <c r="B899" s="4">
        <f>123.699 * CHOOSE(CONTROL!$C$9, $C$13, 100%, $E$13) + CHOOSE(CONTROL!$C$28, 0.0276, 0)</f>
        <v>123.7266</v>
      </c>
      <c r="C899" s="4">
        <f>123.3865 * CHOOSE(CONTROL!$C$9, $C$13, 100%, $E$13) + CHOOSE(CONTROL!$C$28, 0.0276, 0)</f>
        <v>123.4141</v>
      </c>
      <c r="D899" s="4">
        <f>101.9324 * CHOOSE(CONTROL!$C$9, $C$13, 100%, $E$13) + CHOOSE(CONTROL!$C$28, 0, 0)</f>
        <v>101.9324</v>
      </c>
      <c r="E899" s="4">
        <f>670.05635635423 * CHOOSE(CONTROL!$C$9, $C$13, 100%, $E$13) + CHOOSE(CONTROL!$C$28, 0, 0)</f>
        <v>670.05635635423005</v>
      </c>
    </row>
    <row r="900" spans="1:5" ht="15">
      <c r="A900" s="13">
        <v>69276</v>
      </c>
      <c r="B900" s="4">
        <f>126.6157 * CHOOSE(CONTROL!$C$9, $C$13, 100%, $E$13) + CHOOSE(CONTROL!$C$28, 0.0276, 0)</f>
        <v>126.64330000000001</v>
      </c>
      <c r="C900" s="4">
        <f>126.3032 * CHOOSE(CONTROL!$C$9, $C$13, 100%, $E$13) + CHOOSE(CONTROL!$C$28, 0.0276, 0)</f>
        <v>126.33080000000001</v>
      </c>
      <c r="D900" s="4">
        <f>100.8551 * CHOOSE(CONTROL!$C$9, $C$13, 100%, $E$13) + CHOOSE(CONTROL!$C$28, 0, 0)</f>
        <v>100.85509999999999</v>
      </c>
      <c r="E900" s="4">
        <f>686.09890831594 * CHOOSE(CONTROL!$C$9, $C$13, 100%, $E$13) + CHOOSE(CONTROL!$C$28, 0, 0)</f>
        <v>686.09890831593998</v>
      </c>
    </row>
    <row r="901" spans="1:5" ht="15">
      <c r="A901" s="13">
        <v>69306</v>
      </c>
      <c r="B901" s="4">
        <f>121.6447 * CHOOSE(CONTROL!$C$9, $C$13, 100%, $E$13) + CHOOSE(CONTROL!$C$28, 0.0276, 0)</f>
        <v>121.67230000000001</v>
      </c>
      <c r="C901" s="4">
        <f>121.3322 * CHOOSE(CONTROL!$C$9, $C$13, 100%, $E$13) + CHOOSE(CONTROL!$C$28, 0.0276, 0)</f>
        <v>121.35980000000001</v>
      </c>
      <c r="D901" s="4">
        <f>100.3461 * CHOOSE(CONTROL!$C$9, $C$13, 100%, $E$13) + CHOOSE(CONTROL!$C$28, 0, 0)</f>
        <v>100.34610000000001</v>
      </c>
      <c r="E901" s="4">
        <f>658.757283211763 * CHOOSE(CONTROL!$C$9, $C$13, 100%, $E$13) + CHOOSE(CONTROL!$C$28, 0, 0)</f>
        <v>658.75728321176302</v>
      </c>
    </row>
    <row r="902" spans="1:5" ht="15">
      <c r="A902" s="13">
        <v>69337</v>
      </c>
      <c r="B902" s="4">
        <f>117.6653 * CHOOSE(CONTROL!$C$9, $C$13, 100%, $E$13) + CHOOSE(CONTROL!$C$28, 0.0003, 0)</f>
        <v>117.6656</v>
      </c>
      <c r="C902" s="4">
        <f>117.3528 * CHOOSE(CONTROL!$C$9, $C$13, 100%, $E$13) + CHOOSE(CONTROL!$C$28, 0.0003, 0)</f>
        <v>117.3531</v>
      </c>
      <c r="D902" s="4">
        <f>98.9833 * CHOOSE(CONTROL!$C$9, $C$13, 100%, $E$13) + CHOOSE(CONTROL!$C$28, 0, 0)</f>
        <v>98.9833</v>
      </c>
      <c r="E902" s="4">
        <f>636.869770457801 * CHOOSE(CONTROL!$C$9, $C$13, 100%, $E$13) + CHOOSE(CONTROL!$C$28, 0, 0)</f>
        <v>636.869770457801</v>
      </c>
    </row>
    <row r="903" spans="1:5" ht="15">
      <c r="A903" s="13">
        <v>69367</v>
      </c>
      <c r="B903" s="4">
        <f>115.1023 * CHOOSE(CONTROL!$C$9, $C$13, 100%, $E$13) + CHOOSE(CONTROL!$C$28, 0.0003, 0)</f>
        <v>115.1026</v>
      </c>
      <c r="C903" s="4">
        <f>114.7898 * CHOOSE(CONTROL!$C$9, $C$13, 100%, $E$13) + CHOOSE(CONTROL!$C$28, 0.0003, 0)</f>
        <v>114.7901</v>
      </c>
      <c r="D903" s="4">
        <f>98.5147 * CHOOSE(CONTROL!$C$9, $C$13, 100%, $E$13) + CHOOSE(CONTROL!$C$28, 0, 0)</f>
        <v>98.514700000000005</v>
      </c>
      <c r="E903" s="4">
        <f>622.772577787129 * CHOOSE(CONTROL!$C$9, $C$13, 100%, $E$13) + CHOOSE(CONTROL!$C$28, 0, 0)</f>
        <v>622.77257778712897</v>
      </c>
    </row>
    <row r="904" spans="1:5" ht="15">
      <c r="A904" s="13">
        <v>69398</v>
      </c>
      <c r="B904" s="4">
        <f>113.329 * CHOOSE(CONTROL!$C$9, $C$13, 100%, $E$13) + CHOOSE(CONTROL!$C$28, 0.0003, 0)</f>
        <v>113.32929999999999</v>
      </c>
      <c r="C904" s="4">
        <f>113.0165 * CHOOSE(CONTROL!$C$9, $C$13, 100%, $E$13) + CHOOSE(CONTROL!$C$28, 0.0003, 0)</f>
        <v>113.01679999999999</v>
      </c>
      <c r="D904" s="4">
        <f>95.0652 * CHOOSE(CONTROL!$C$9, $C$13, 100%, $E$13) + CHOOSE(CONTROL!$C$28, 0, 0)</f>
        <v>95.065200000000004</v>
      </c>
      <c r="E904" s="4">
        <f>613.019132574528 * CHOOSE(CONTROL!$C$9, $C$13, 100%, $E$13) + CHOOSE(CONTROL!$C$28, 0, 0)</f>
        <v>613.01913257452804</v>
      </c>
    </row>
    <row r="905" spans="1:5" ht="15">
      <c r="A905" s="13">
        <v>69429</v>
      </c>
      <c r="B905" s="4">
        <f>110.4478 * CHOOSE(CONTROL!$C$9, $C$13, 100%, $E$13) + CHOOSE(CONTROL!$C$28, 0.0003, 0)</f>
        <v>110.4481</v>
      </c>
      <c r="C905" s="4">
        <f>110.1353 * CHOOSE(CONTROL!$C$9, $C$13, 100%, $E$13) + CHOOSE(CONTROL!$C$28, 0.0003, 0)</f>
        <v>110.1356</v>
      </c>
      <c r="D905" s="4">
        <f>91.8949 * CHOOSE(CONTROL!$C$9, $C$13, 100%, $E$13) + CHOOSE(CONTROL!$C$28, 0, 0)</f>
        <v>91.894900000000007</v>
      </c>
      <c r="E905" s="4">
        <f>595.440079882365 * CHOOSE(CONTROL!$C$9, $C$13, 100%, $E$13) + CHOOSE(CONTROL!$C$28, 0, 0)</f>
        <v>595.44007988236501</v>
      </c>
    </row>
    <row r="906" spans="1:5" ht="15">
      <c r="A906" s="13">
        <v>69457</v>
      </c>
      <c r="B906" s="4">
        <f>113.0257 * CHOOSE(CONTROL!$C$9, $C$13, 100%, $E$13) + CHOOSE(CONTROL!$C$28, 0.0003, 0)</f>
        <v>113.026</v>
      </c>
      <c r="C906" s="4">
        <f>112.7132 * CHOOSE(CONTROL!$C$9, $C$13, 100%, $E$13) + CHOOSE(CONTROL!$C$28, 0.0003, 0)</f>
        <v>112.7135</v>
      </c>
      <c r="D906" s="4">
        <f>95.0875 * CHOOSE(CONTROL!$C$9, $C$13, 100%, $E$13) + CHOOSE(CONTROL!$C$28, 0, 0)</f>
        <v>95.087500000000006</v>
      </c>
      <c r="E906" s="4">
        <f>609.578173954204 * CHOOSE(CONTROL!$C$9, $C$13, 100%, $E$13) + CHOOSE(CONTROL!$C$28, 0, 0)</f>
        <v>609.57817395420398</v>
      </c>
    </row>
    <row r="907" spans="1:5" ht="15">
      <c r="A907" s="13">
        <v>69488</v>
      </c>
      <c r="B907" s="4">
        <f>119.7955 * CHOOSE(CONTROL!$C$9, $C$13, 100%, $E$13) + CHOOSE(CONTROL!$C$28, 0.0003, 0)</f>
        <v>119.7958</v>
      </c>
      <c r="C907" s="4">
        <f>119.483 * CHOOSE(CONTROL!$C$9, $C$13, 100%, $E$13) + CHOOSE(CONTROL!$C$28, 0.0003, 0)</f>
        <v>119.4833</v>
      </c>
      <c r="D907" s="4">
        <f>100.0852 * CHOOSE(CONTROL!$C$9, $C$13, 100%, $E$13) + CHOOSE(CONTROL!$C$28, 0, 0)</f>
        <v>100.0852</v>
      </c>
      <c r="E907" s="4">
        <f>646.705560330804 * CHOOSE(CONTROL!$C$9, $C$13, 100%, $E$13) + CHOOSE(CONTROL!$C$28, 0, 0)</f>
        <v>646.70556033080402</v>
      </c>
    </row>
    <row r="908" spans="1:5" ht="15">
      <c r="A908" s="13">
        <v>69518</v>
      </c>
      <c r="B908" s="4">
        <f>124.6056 * CHOOSE(CONTROL!$C$9, $C$13, 100%, $E$13) + CHOOSE(CONTROL!$C$28, 0.0003, 0)</f>
        <v>124.60589999999999</v>
      </c>
      <c r="C908" s="4">
        <f>124.2931 * CHOOSE(CONTROL!$C$9, $C$13, 100%, $E$13) + CHOOSE(CONTROL!$C$28, 0.0003, 0)</f>
        <v>124.29339999999999</v>
      </c>
      <c r="D908" s="4">
        <f>102.9641 * CHOOSE(CONTROL!$C$9, $C$13, 100%, $E$13) + CHOOSE(CONTROL!$C$28, 0, 0)</f>
        <v>102.9641</v>
      </c>
      <c r="E908" s="4">
        <f>673.085063138857 * CHOOSE(CONTROL!$C$9, $C$13, 100%, $E$13) + CHOOSE(CONTROL!$C$28, 0, 0)</f>
        <v>673.08506313885698</v>
      </c>
    </row>
    <row r="909" spans="1:5" ht="15">
      <c r="A909" s="13">
        <v>69549</v>
      </c>
      <c r="B909" s="4">
        <f>127.5444 * CHOOSE(CONTROL!$C$9, $C$13, 100%, $E$13) + CHOOSE(CONTROL!$C$28, 0.0276, 0)</f>
        <v>127.572</v>
      </c>
      <c r="C909" s="4">
        <f>127.2319 * CHOOSE(CONTROL!$C$9, $C$13, 100%, $E$13) + CHOOSE(CONTROL!$C$28, 0.0276, 0)</f>
        <v>127.2595</v>
      </c>
      <c r="D909" s="4">
        <f>101.8265 * CHOOSE(CONTROL!$C$9, $C$13, 100%, $E$13) + CHOOSE(CONTROL!$C$28, 0, 0)</f>
        <v>101.8265</v>
      </c>
      <c r="E909" s="4">
        <f>689.202307126133 * CHOOSE(CONTROL!$C$9, $C$13, 100%, $E$13) + CHOOSE(CONTROL!$C$28, 0, 0)</f>
        <v>689.20230712613295</v>
      </c>
    </row>
    <row r="910" spans="1:5" ht="15">
      <c r="A910" s="13">
        <v>69579</v>
      </c>
      <c r="B910" s="4">
        <f>127.942 * CHOOSE(CONTROL!$C$9, $C$13, 100%, $E$13) + CHOOSE(CONTROL!$C$28, 0.0276, 0)</f>
        <v>127.9696</v>
      </c>
      <c r="C910" s="4">
        <f>127.6295 * CHOOSE(CONTROL!$C$9, $C$13, 100%, $E$13) + CHOOSE(CONTROL!$C$28, 0.0276, 0)</f>
        <v>127.6571</v>
      </c>
      <c r="D910" s="4">
        <f>102.753 * CHOOSE(CONTROL!$C$9, $C$13, 100%, $E$13) + CHOOSE(CONTROL!$C$28, 0, 0)</f>
        <v>102.753</v>
      </c>
      <c r="E910" s="4">
        <f>691.383037125548 * CHOOSE(CONTROL!$C$9, $C$13, 100%, $E$13) + CHOOSE(CONTROL!$C$28, 0, 0)</f>
        <v>691.38303712554796</v>
      </c>
    </row>
    <row r="911" spans="1:5" ht="15">
      <c r="A911" s="13">
        <v>69610</v>
      </c>
      <c r="B911" s="4">
        <f>127.9019 * CHOOSE(CONTROL!$C$9, $C$13, 100%, $E$13) + CHOOSE(CONTROL!$C$28, 0.0276, 0)</f>
        <v>127.9295</v>
      </c>
      <c r="C911" s="4">
        <f>127.5894 * CHOOSE(CONTROL!$C$9, $C$13, 100%, $E$13) + CHOOSE(CONTROL!$C$28, 0.0276, 0)</f>
        <v>127.617</v>
      </c>
      <c r="D911" s="4">
        <f>104.4247 * CHOOSE(CONTROL!$C$9, $C$13, 100%, $E$13) + CHOOSE(CONTROL!$C$28, 0, 0)</f>
        <v>104.4247</v>
      </c>
      <c r="E911" s="4">
        <f>691.163131579388 * CHOOSE(CONTROL!$C$9, $C$13, 100%, $E$13) + CHOOSE(CONTROL!$C$28, 0, 0)</f>
        <v>691.16313157938805</v>
      </c>
    </row>
    <row r="912" spans="1:5" ht="15">
      <c r="A912" s="13">
        <v>69641</v>
      </c>
      <c r="B912" s="4">
        <f>130.9193 * CHOOSE(CONTROL!$C$9, $C$13, 100%, $E$13) + CHOOSE(CONTROL!$C$28, 0.0276, 0)</f>
        <v>130.9469</v>
      </c>
      <c r="C912" s="4">
        <f>130.6068 * CHOOSE(CONTROL!$C$9, $C$13, 100%, $E$13) + CHOOSE(CONTROL!$C$28, 0.0276, 0)</f>
        <v>130.6344</v>
      </c>
      <c r="D912" s="4">
        <f>103.3207 * CHOOSE(CONTROL!$C$9, $C$13, 100%, $E$13) + CHOOSE(CONTROL!$C$28, 0, 0)</f>
        <v>103.3207</v>
      </c>
      <c r="E912" s="4">
        <f>707.711023927892 * CHOOSE(CONTROL!$C$9, $C$13, 100%, $E$13) + CHOOSE(CONTROL!$C$28, 0, 0)</f>
        <v>707.71102392789203</v>
      </c>
    </row>
    <row r="913" spans="1:5" ht="15">
      <c r="A913" s="13">
        <v>69671</v>
      </c>
      <c r="B913" s="4">
        <f>125.7768 * CHOOSE(CONTROL!$C$9, $C$13, 100%, $E$13) + CHOOSE(CONTROL!$C$28, 0.0276, 0)</f>
        <v>125.8044</v>
      </c>
      <c r="C913" s="4">
        <f>125.4643 * CHOOSE(CONTROL!$C$9, $C$13, 100%, $E$13) + CHOOSE(CONTROL!$C$28, 0.0276, 0)</f>
        <v>125.4919</v>
      </c>
      <c r="D913" s="4">
        <f>102.7991 * CHOOSE(CONTROL!$C$9, $C$13, 100%, $E$13) + CHOOSE(CONTROL!$C$28, 0, 0)</f>
        <v>102.7991</v>
      </c>
      <c r="E913" s="4">
        <f>679.508137632934 * CHOOSE(CONTROL!$C$9, $C$13, 100%, $E$13) + CHOOSE(CONTROL!$C$28, 0, 0)</f>
        <v>679.50813763293399</v>
      </c>
    </row>
    <row r="914" spans="1:5" ht="15">
      <c r="A914" s="13">
        <v>69702</v>
      </c>
      <c r="B914" s="4">
        <f>121.6601 * CHOOSE(CONTROL!$C$9, $C$13, 100%, $E$13) + CHOOSE(CONTROL!$C$28, 0.0003, 0)</f>
        <v>121.6604</v>
      </c>
      <c r="C914" s="4">
        <f>121.3476 * CHOOSE(CONTROL!$C$9, $C$13, 100%, $E$13) + CHOOSE(CONTROL!$C$28, 0.0003, 0)</f>
        <v>121.3479</v>
      </c>
      <c r="D914" s="4">
        <f>101.4024 * CHOOSE(CONTROL!$C$9, $C$13, 100%, $E$13) + CHOOSE(CONTROL!$C$28, 0, 0)</f>
        <v>101.4024</v>
      </c>
      <c r="E914" s="4">
        <f>656.931168227222 * CHOOSE(CONTROL!$C$9, $C$13, 100%, $E$13) + CHOOSE(CONTROL!$C$28, 0, 0)</f>
        <v>656.93116822722197</v>
      </c>
    </row>
    <row r="915" spans="1:5" ht="15">
      <c r="A915" s="13">
        <v>69732</v>
      </c>
      <c r="B915" s="4">
        <f>119.0086 * CHOOSE(CONTROL!$C$9, $C$13, 100%, $E$13) + CHOOSE(CONTROL!$C$28, 0.0003, 0)</f>
        <v>119.0089</v>
      </c>
      <c r="C915" s="4">
        <f>118.6961 * CHOOSE(CONTROL!$C$9, $C$13, 100%, $E$13) + CHOOSE(CONTROL!$C$28, 0.0003, 0)</f>
        <v>118.6964</v>
      </c>
      <c r="D915" s="4">
        <f>100.9222 * CHOOSE(CONTROL!$C$9, $C$13, 100%, $E$13) + CHOOSE(CONTROL!$C$28, 0, 0)</f>
        <v>100.9222</v>
      </c>
      <c r="E915" s="4">
        <f>642.389913987423 * CHOOSE(CONTROL!$C$9, $C$13, 100%, $E$13) + CHOOSE(CONTROL!$C$28, 0, 0)</f>
        <v>642.38991398742303</v>
      </c>
    </row>
    <row r="916" spans="1:5" ht="15">
      <c r="A916" s="13">
        <v>69763</v>
      </c>
      <c r="B916" s="4">
        <f>117.1741 * CHOOSE(CONTROL!$C$9, $C$13, 100%, $E$13) + CHOOSE(CONTROL!$C$28, 0.0003, 0)</f>
        <v>117.17439999999999</v>
      </c>
      <c r="C916" s="4">
        <f>116.8616 * CHOOSE(CONTROL!$C$9, $C$13, 100%, $E$13) + CHOOSE(CONTROL!$C$28, 0.0003, 0)</f>
        <v>116.86189999999999</v>
      </c>
      <c r="D916" s="4">
        <f>97.3872 * CHOOSE(CONTROL!$C$9, $C$13, 100%, $E$13) + CHOOSE(CONTROL!$C$28, 0, 0)</f>
        <v>97.387200000000007</v>
      </c>
      <c r="E916" s="4">
        <f>632.329235250625 * CHOOSE(CONTROL!$C$9, $C$13, 100%, $E$13) + CHOOSE(CONTROL!$C$28, 0, 0)</f>
        <v>632.32923525062495</v>
      </c>
    </row>
    <row r="917" spans="1:5" ht="15">
      <c r="A917" s="13">
        <v>69794</v>
      </c>
      <c r="B917" s="4">
        <f>114.1935 * CHOOSE(CONTROL!$C$9, $C$13, 100%, $E$13) + CHOOSE(CONTROL!$C$28, 0.0003, 0)</f>
        <v>114.1938</v>
      </c>
      <c r="C917" s="4">
        <f>113.881 * CHOOSE(CONTROL!$C$9, $C$13, 100%, $E$13) + CHOOSE(CONTROL!$C$28, 0.0003, 0)</f>
        <v>113.8813</v>
      </c>
      <c r="D917" s="4">
        <f>94.1382 * CHOOSE(CONTROL!$C$9, $C$13, 100%, $E$13) + CHOOSE(CONTROL!$C$28, 0, 0)</f>
        <v>94.138199999999998</v>
      </c>
      <c r="E917" s="4">
        <f>614.196442398659 * CHOOSE(CONTROL!$C$9, $C$13, 100%, $E$13) + CHOOSE(CONTROL!$C$28, 0, 0)</f>
        <v>614.19644239865897</v>
      </c>
    </row>
    <row r="918" spans="1:5" ht="15">
      <c r="A918" s="13">
        <v>69822</v>
      </c>
      <c r="B918" s="4">
        <f>116.8604 * CHOOSE(CONTROL!$C$9, $C$13, 100%, $E$13) + CHOOSE(CONTROL!$C$28, 0.0003, 0)</f>
        <v>116.86069999999999</v>
      </c>
      <c r="C918" s="4">
        <f>116.5479 * CHOOSE(CONTROL!$C$9, $C$13, 100%, $E$13) + CHOOSE(CONTROL!$C$28, 0.0003, 0)</f>
        <v>116.54819999999999</v>
      </c>
      <c r="D918" s="4">
        <f>97.41 * CHOOSE(CONTROL!$C$9, $C$13, 100%, $E$13) + CHOOSE(CONTROL!$C$28, 0, 0)</f>
        <v>97.41</v>
      </c>
      <c r="E918" s="4">
        <f>628.779886433762 * CHOOSE(CONTROL!$C$9, $C$13, 100%, $E$13) + CHOOSE(CONTROL!$C$28, 0, 0)</f>
        <v>628.77988643376204</v>
      </c>
    </row>
    <row r="919" spans="1:5" ht="15">
      <c r="A919" s="13">
        <v>69853</v>
      </c>
      <c r="B919" s="4">
        <f>123.8638 * CHOOSE(CONTROL!$C$9, $C$13, 100%, $E$13) + CHOOSE(CONTROL!$C$28, 0.0003, 0)</f>
        <v>123.86409999999999</v>
      </c>
      <c r="C919" s="4">
        <f>123.5513 * CHOOSE(CONTROL!$C$9, $C$13, 100%, $E$13) + CHOOSE(CONTROL!$C$28, 0.0003, 0)</f>
        <v>123.55159999999999</v>
      </c>
      <c r="D919" s="4">
        <f>102.5317 * CHOOSE(CONTROL!$C$9, $C$13, 100%, $E$13) + CHOOSE(CONTROL!$C$28, 0, 0)</f>
        <v>102.5317</v>
      </c>
      <c r="E919" s="4">
        <f>667.076785481225 * CHOOSE(CONTROL!$C$9, $C$13, 100%, $E$13) + CHOOSE(CONTROL!$C$28, 0, 0)</f>
        <v>667.07678548122499</v>
      </c>
    </row>
    <row r="920" spans="1:5" ht="15">
      <c r="A920" s="13">
        <v>69883</v>
      </c>
      <c r="B920" s="4">
        <f>128.8398 * CHOOSE(CONTROL!$C$9, $C$13, 100%, $E$13) + CHOOSE(CONTROL!$C$28, 0.0003, 0)</f>
        <v>128.84010000000001</v>
      </c>
      <c r="C920" s="4">
        <f>128.5273 * CHOOSE(CONTROL!$C$9, $C$13, 100%, $E$13) + CHOOSE(CONTROL!$C$28, 0.0003, 0)</f>
        <v>128.52760000000001</v>
      </c>
      <c r="D920" s="4">
        <f>105.4819 * CHOOSE(CONTROL!$C$9, $C$13, 100%, $E$13) + CHOOSE(CONTROL!$C$28, 0, 0)</f>
        <v>105.4819</v>
      </c>
      <c r="E920" s="4">
        <f>694.287242627731 * CHOOSE(CONTROL!$C$9, $C$13, 100%, $E$13) + CHOOSE(CONTROL!$C$28, 0, 0)</f>
        <v>694.28724262773096</v>
      </c>
    </row>
    <row r="921" spans="1:5" ht="15">
      <c r="A921" s="13">
        <v>69914</v>
      </c>
      <c r="B921" s="4">
        <f>131.88 * CHOOSE(CONTROL!$C$9, $C$13, 100%, $E$13) + CHOOSE(CONTROL!$C$28, 0.0276, 0)</f>
        <v>131.9076</v>
      </c>
      <c r="C921" s="4">
        <f>131.5675 * CHOOSE(CONTROL!$C$9, $C$13, 100%, $E$13) + CHOOSE(CONTROL!$C$28, 0.0276, 0)</f>
        <v>131.5951</v>
      </c>
      <c r="D921" s="4">
        <f>104.3161 * CHOOSE(CONTROL!$C$9, $C$13, 100%, $E$13) + CHOOSE(CONTROL!$C$28, 0, 0)</f>
        <v>104.31610000000001</v>
      </c>
      <c r="E921" s="4">
        <f>710.912179800606 * CHOOSE(CONTROL!$C$9, $C$13, 100%, $E$13) + CHOOSE(CONTROL!$C$28, 0, 0)</f>
        <v>710.91217980060605</v>
      </c>
    </row>
    <row r="922" spans="1:5" ht="15">
      <c r="A922" s="13">
        <v>69944</v>
      </c>
      <c r="B922" s="4">
        <f>132.2913 * CHOOSE(CONTROL!$C$9, $C$13, 100%, $E$13) + CHOOSE(CONTROL!$C$28, 0.0276, 0)</f>
        <v>132.31890000000001</v>
      </c>
      <c r="C922" s="4">
        <f>131.9788 * CHOOSE(CONTROL!$C$9, $C$13, 100%, $E$13) + CHOOSE(CONTROL!$C$28, 0.0276, 0)</f>
        <v>132.00640000000001</v>
      </c>
      <c r="D922" s="4">
        <f>105.2656 * CHOOSE(CONTROL!$C$9, $C$13, 100%, $E$13) + CHOOSE(CONTROL!$C$28, 0, 0)</f>
        <v>105.26560000000001</v>
      </c>
      <c r="E922" s="4">
        <f>713.161602795002 * CHOOSE(CONTROL!$C$9, $C$13, 100%, $E$13) + CHOOSE(CONTROL!$C$28, 0, 0)</f>
        <v>713.16160279500195</v>
      </c>
    </row>
    <row r="923" spans="1:5" ht="15">
      <c r="A923" s="13">
        <v>69975</v>
      </c>
      <c r="B923" s="4">
        <f>132.2499 * CHOOSE(CONTROL!$C$9, $C$13, 100%, $E$13) + CHOOSE(CONTROL!$C$28, 0.0276, 0)</f>
        <v>132.2775</v>
      </c>
      <c r="C923" s="4">
        <f>131.9374 * CHOOSE(CONTROL!$C$9, $C$13, 100%, $E$13) + CHOOSE(CONTROL!$C$28, 0.0276, 0)</f>
        <v>131.965</v>
      </c>
      <c r="D923" s="4">
        <f>106.9788 * CHOOSE(CONTROL!$C$9, $C$13, 100%, $E$13) + CHOOSE(CONTROL!$C$28, 0, 0)</f>
        <v>106.97880000000001</v>
      </c>
      <c r="E923" s="4">
        <f>712.934770224139 * CHOOSE(CONTROL!$C$9, $C$13, 100%, $E$13) + CHOOSE(CONTROL!$C$28, 0, 0)</f>
        <v>712.93477022413902</v>
      </c>
    </row>
    <row r="924" spans="1:5" ht="15">
      <c r="A924" s="13">
        <v>70006</v>
      </c>
      <c r="B924" s="4">
        <f>135.3713 * CHOOSE(CONTROL!$C$9, $C$13, 100%, $E$13) + CHOOSE(CONTROL!$C$28, 0.0276, 0)</f>
        <v>135.3989</v>
      </c>
      <c r="C924" s="4">
        <f>135.0588 * CHOOSE(CONTROL!$C$9, $C$13, 100%, $E$13) + CHOOSE(CONTROL!$C$28, 0.0276, 0)</f>
        <v>135.0864</v>
      </c>
      <c r="D924" s="4">
        <f>105.8474 * CHOOSE(CONTROL!$C$9, $C$13, 100%, $E$13) + CHOOSE(CONTROL!$C$28, 0, 0)</f>
        <v>105.84739999999999</v>
      </c>
      <c r="E924" s="4">
        <f>730.003921181621 * CHOOSE(CONTROL!$C$9, $C$13, 100%, $E$13) + CHOOSE(CONTROL!$C$28, 0, 0)</f>
        <v>730.00392118162097</v>
      </c>
    </row>
    <row r="925" spans="1:5" ht="15">
      <c r="A925" s="13">
        <v>70036</v>
      </c>
      <c r="B925" s="4">
        <f>130.0514 * CHOOSE(CONTROL!$C$9, $C$13, 100%, $E$13) + CHOOSE(CONTROL!$C$28, 0.0276, 0)</f>
        <v>130.07900000000001</v>
      </c>
      <c r="C925" s="4">
        <f>129.7389 * CHOOSE(CONTROL!$C$9, $C$13, 100%, $E$13) + CHOOSE(CONTROL!$C$28, 0.0276, 0)</f>
        <v>129.76650000000001</v>
      </c>
      <c r="D925" s="4">
        <f>105.3128 * CHOOSE(CONTROL!$C$9, $C$13, 100%, $E$13) + CHOOSE(CONTROL!$C$28, 0, 0)</f>
        <v>105.3128</v>
      </c>
      <c r="E925" s="4">
        <f>700.912643968371 * CHOOSE(CONTROL!$C$9, $C$13, 100%, $E$13) + CHOOSE(CONTROL!$C$28, 0, 0)</f>
        <v>700.91264396837096</v>
      </c>
    </row>
    <row r="926" spans="1:5" ht="15">
      <c r="A926" s="13">
        <v>70067</v>
      </c>
      <c r="B926" s="4">
        <f>125.7927 * CHOOSE(CONTROL!$C$9, $C$13, 100%, $E$13) + CHOOSE(CONTROL!$C$28, 0.0003, 0)</f>
        <v>125.79299999999999</v>
      </c>
      <c r="C926" s="4">
        <f>125.4802 * CHOOSE(CONTROL!$C$9, $C$13, 100%, $E$13) + CHOOSE(CONTROL!$C$28, 0.0003, 0)</f>
        <v>125.48049999999999</v>
      </c>
      <c r="D926" s="4">
        <f>103.8815 * CHOOSE(CONTROL!$C$9, $C$13, 100%, $E$13) + CHOOSE(CONTROL!$C$28, 0, 0)</f>
        <v>103.8815</v>
      </c>
      <c r="E926" s="4">
        <f>677.62450002638 * CHOOSE(CONTROL!$C$9, $C$13, 100%, $E$13) + CHOOSE(CONTROL!$C$28, 0, 0)</f>
        <v>677.62450002638002</v>
      </c>
    </row>
    <row r="927" spans="1:5" ht="15">
      <c r="A927" s="13">
        <v>70097</v>
      </c>
      <c r="B927" s="4">
        <f>123.0497 * CHOOSE(CONTROL!$C$9, $C$13, 100%, $E$13) + CHOOSE(CONTROL!$C$28, 0.0003, 0)</f>
        <v>123.05</v>
      </c>
      <c r="C927" s="4">
        <f>122.7372 * CHOOSE(CONTROL!$C$9, $C$13, 100%, $E$13) + CHOOSE(CONTROL!$C$28, 0.0003, 0)</f>
        <v>122.7375</v>
      </c>
      <c r="D927" s="4">
        <f>103.3895 * CHOOSE(CONTROL!$C$9, $C$13, 100%, $E$13) + CHOOSE(CONTROL!$C$28, 0, 0)</f>
        <v>103.3895</v>
      </c>
      <c r="E927" s="4">
        <f>662.625196278027 * CHOOSE(CONTROL!$C$9, $C$13, 100%, $E$13) + CHOOSE(CONTROL!$C$28, 0, 0)</f>
        <v>662.62519627802703</v>
      </c>
    </row>
    <row r="928" spans="1:5" ht="15">
      <c r="A928" s="13">
        <v>70128</v>
      </c>
      <c r="B928" s="4">
        <f>121.152 * CHOOSE(CONTROL!$C$9, $C$13, 100%, $E$13) + CHOOSE(CONTROL!$C$28, 0.0003, 0)</f>
        <v>121.1523</v>
      </c>
      <c r="C928" s="4">
        <f>120.8395 * CHOOSE(CONTROL!$C$9, $C$13, 100%, $E$13) + CHOOSE(CONTROL!$C$28, 0.0003, 0)</f>
        <v>120.8398</v>
      </c>
      <c r="D928" s="4">
        <f>99.7668 * CHOOSE(CONTROL!$C$9, $C$13, 100%, $E$13) + CHOOSE(CONTROL!$C$28, 0, 0)</f>
        <v>99.766800000000003</v>
      </c>
      <c r="E928" s="4">
        <f>652.24760616102 * CHOOSE(CONTROL!$C$9, $C$13, 100%, $E$13) + CHOOSE(CONTROL!$C$28, 0, 0)</f>
        <v>652.24760616102003</v>
      </c>
    </row>
    <row r="929" spans="1:5" ht="15">
      <c r="A929" s="13">
        <v>70159</v>
      </c>
      <c r="B929" s="4">
        <f>118.0685 * CHOOSE(CONTROL!$C$9, $C$13, 100%, $E$13) + CHOOSE(CONTROL!$C$28, 0.0003, 0)</f>
        <v>118.0688</v>
      </c>
      <c r="C929" s="4">
        <f>117.756 * CHOOSE(CONTROL!$C$9, $C$13, 100%, $E$13) + CHOOSE(CONTROL!$C$28, 0.0003, 0)</f>
        <v>117.7563</v>
      </c>
      <c r="D929" s="4">
        <f>96.4372 * CHOOSE(CONTROL!$C$9, $C$13, 100%, $E$13) + CHOOSE(CONTROL!$C$28, 0, 0)</f>
        <v>96.437200000000004</v>
      </c>
      <c r="E929" s="4">
        <f>633.543630334217 * CHOOSE(CONTROL!$C$9, $C$13, 100%, $E$13) + CHOOSE(CONTROL!$C$28, 0, 0)</f>
        <v>633.54363033421703</v>
      </c>
    </row>
    <row r="930" spans="1:5" ht="15">
      <c r="A930" s="13">
        <v>70188</v>
      </c>
      <c r="B930" s="4">
        <f>120.8274 * CHOOSE(CONTROL!$C$9, $C$13, 100%, $E$13) + CHOOSE(CONTROL!$C$28, 0.0003, 0)</f>
        <v>120.82769999999999</v>
      </c>
      <c r="C930" s="4">
        <f>120.5149 * CHOOSE(CONTROL!$C$9, $C$13, 100%, $E$13) + CHOOSE(CONTROL!$C$28, 0.0003, 0)</f>
        <v>120.51519999999999</v>
      </c>
      <c r="D930" s="4">
        <f>99.7901 * CHOOSE(CONTROL!$C$9, $C$13, 100%, $E$13) + CHOOSE(CONTROL!$C$28, 0, 0)</f>
        <v>99.790099999999995</v>
      </c>
      <c r="E930" s="4">
        <f>648.586452856425 * CHOOSE(CONTROL!$C$9, $C$13, 100%, $E$13) + CHOOSE(CONTROL!$C$28, 0, 0)</f>
        <v>648.58645285642501</v>
      </c>
    </row>
    <row r="931" spans="1:5" ht="15">
      <c r="A931" s="13">
        <v>70219</v>
      </c>
      <c r="B931" s="4">
        <f>128.0724 * CHOOSE(CONTROL!$C$9, $C$13, 100%, $E$13) + CHOOSE(CONTROL!$C$28, 0.0003, 0)</f>
        <v>128.0727</v>
      </c>
      <c r="C931" s="4">
        <f>127.7599 * CHOOSE(CONTROL!$C$9, $C$13, 100%, $E$13) + CHOOSE(CONTROL!$C$28, 0.0003, 0)</f>
        <v>127.7602</v>
      </c>
      <c r="D931" s="4">
        <f>105.0388 * CHOOSE(CONTROL!$C$9, $C$13, 100%, $E$13) + CHOOSE(CONTROL!$C$28, 0, 0)</f>
        <v>105.03879999999999</v>
      </c>
      <c r="E931" s="4">
        <f>688.089704223883 * CHOOSE(CONTROL!$C$9, $C$13, 100%, $E$13) + CHOOSE(CONTROL!$C$28, 0, 0)</f>
        <v>688.08970422388302</v>
      </c>
    </row>
    <row r="932" spans="1:5" ht="15">
      <c r="A932" s="13">
        <v>70249</v>
      </c>
      <c r="B932" s="4">
        <f>133.2201 * CHOOSE(CONTROL!$C$9, $C$13, 100%, $E$13) + CHOOSE(CONTROL!$C$28, 0.0003, 0)</f>
        <v>133.22040000000001</v>
      </c>
      <c r="C932" s="4">
        <f>132.9076 * CHOOSE(CONTROL!$C$9, $C$13, 100%, $E$13) + CHOOSE(CONTROL!$C$28, 0.0003, 0)</f>
        <v>132.90790000000001</v>
      </c>
      <c r="D932" s="4">
        <f>108.0622 * CHOOSE(CONTROL!$C$9, $C$13, 100%, $E$13) + CHOOSE(CONTROL!$C$28, 0, 0)</f>
        <v>108.0622</v>
      </c>
      <c r="E932" s="4">
        <f>716.157290770505 * CHOOSE(CONTROL!$C$9, $C$13, 100%, $E$13) + CHOOSE(CONTROL!$C$28, 0, 0)</f>
        <v>716.15729077050503</v>
      </c>
    </row>
    <row r="933" spans="1:5" ht="15">
      <c r="A933" s="13">
        <v>70280</v>
      </c>
      <c r="B933" s="4">
        <f>136.3652 * CHOOSE(CONTROL!$C$9, $C$13, 100%, $E$13) + CHOOSE(CONTROL!$C$28, 0.0276, 0)</f>
        <v>136.39279999999999</v>
      </c>
      <c r="C933" s="4">
        <f>136.0527 * CHOOSE(CONTROL!$C$9, $C$13, 100%, $E$13) + CHOOSE(CONTROL!$C$28, 0.0276, 0)</f>
        <v>136.08029999999999</v>
      </c>
      <c r="D933" s="4">
        <f>106.8675 * CHOOSE(CONTROL!$C$9, $C$13, 100%, $E$13) + CHOOSE(CONTROL!$C$28, 0, 0)</f>
        <v>106.86750000000001</v>
      </c>
      <c r="E933" s="4">
        <f>733.305913464325 * CHOOSE(CONTROL!$C$9, $C$13, 100%, $E$13) + CHOOSE(CONTROL!$C$28, 0, 0)</f>
        <v>733.30591346432504</v>
      </c>
    </row>
    <row r="934" spans="1:5" ht="15">
      <c r="A934" s="13">
        <v>70310</v>
      </c>
      <c r="B934" s="4">
        <f>136.7907 * CHOOSE(CONTROL!$C$9, $C$13, 100%, $E$13) + CHOOSE(CONTROL!$C$28, 0.0276, 0)</f>
        <v>136.81829999999999</v>
      </c>
      <c r="C934" s="4">
        <f>136.4782 * CHOOSE(CONTROL!$C$9, $C$13, 100%, $E$13) + CHOOSE(CONTROL!$C$28, 0.0276, 0)</f>
        <v>136.50579999999999</v>
      </c>
      <c r="D934" s="4">
        <f>107.8405 * CHOOSE(CONTROL!$C$9, $C$13, 100%, $E$13) + CHOOSE(CONTROL!$C$28, 0, 0)</f>
        <v>107.84050000000001</v>
      </c>
      <c r="E934" s="4">
        <f>735.626193283045 * CHOOSE(CONTROL!$C$9, $C$13, 100%, $E$13) + CHOOSE(CONTROL!$C$28, 0, 0)</f>
        <v>735.62619328304504</v>
      </c>
    </row>
    <row r="935" spans="1:5" ht="15">
      <c r="A935" s="13">
        <v>70341</v>
      </c>
      <c r="B935" s="4">
        <f>136.7478 * CHOOSE(CONTROL!$C$9, $C$13, 100%, $E$13) + CHOOSE(CONTROL!$C$28, 0.0276, 0)</f>
        <v>136.77540000000002</v>
      </c>
      <c r="C935" s="4">
        <f>136.4353 * CHOOSE(CONTROL!$C$9, $C$13, 100%, $E$13) + CHOOSE(CONTROL!$C$28, 0.0276, 0)</f>
        <v>136.46290000000002</v>
      </c>
      <c r="D935" s="4">
        <f>109.5962 * CHOOSE(CONTROL!$C$9, $C$13, 100%, $E$13) + CHOOSE(CONTROL!$C$28, 0, 0)</f>
        <v>109.5962</v>
      </c>
      <c r="E935" s="4">
        <f>735.392215486199 * CHOOSE(CONTROL!$C$9, $C$13, 100%, $E$13) + CHOOSE(CONTROL!$C$28, 0, 0)</f>
        <v>735.39221548619901</v>
      </c>
    </row>
    <row r="936" spans="1:5" ht="15">
      <c r="A936" s="13">
        <v>70372</v>
      </c>
      <c r="B936" s="4">
        <f>139.9769 * CHOOSE(CONTROL!$C$9, $C$13, 100%, $E$13) + CHOOSE(CONTROL!$C$28, 0.0276, 0)</f>
        <v>140.00450000000001</v>
      </c>
      <c r="C936" s="4">
        <f>139.6644 * CHOOSE(CONTROL!$C$9, $C$13, 100%, $E$13) + CHOOSE(CONTROL!$C$28, 0.0276, 0)</f>
        <v>139.69200000000001</v>
      </c>
      <c r="D936" s="4">
        <f>108.4367 * CHOOSE(CONTROL!$C$9, $C$13, 100%, $E$13) + CHOOSE(CONTROL!$C$28, 0, 0)</f>
        <v>108.4367</v>
      </c>
      <c r="E936" s="4">
        <f>752.999044698842 * CHOOSE(CONTROL!$C$9, $C$13, 100%, $E$13) + CHOOSE(CONTROL!$C$28, 0, 0)</f>
        <v>752.999044698842</v>
      </c>
    </row>
    <row r="937" spans="1:5" ht="15">
      <c r="A937" s="13">
        <v>70402</v>
      </c>
      <c r="B937" s="4">
        <f>134.4735 * CHOOSE(CONTROL!$C$9, $C$13, 100%, $E$13) + CHOOSE(CONTROL!$C$28, 0.0276, 0)</f>
        <v>134.50110000000001</v>
      </c>
      <c r="C937" s="4">
        <f>134.161 * CHOOSE(CONTROL!$C$9, $C$13, 100%, $E$13) + CHOOSE(CONTROL!$C$28, 0.0276, 0)</f>
        <v>134.18860000000001</v>
      </c>
      <c r="D937" s="4">
        <f>107.8889 * CHOOSE(CONTROL!$C$9, $C$13, 100%, $E$13) + CHOOSE(CONTROL!$C$28, 0, 0)</f>
        <v>107.88890000000001</v>
      </c>
      <c r="E937" s="4">
        <f>722.991392253375 * CHOOSE(CONTROL!$C$9, $C$13, 100%, $E$13) + CHOOSE(CONTROL!$C$28, 0, 0)</f>
        <v>722.99139225337501</v>
      </c>
    </row>
    <row r="938" spans="1:5" ht="15">
      <c r="A938" s="13">
        <v>70433</v>
      </c>
      <c r="B938" s="4">
        <f>130.0678 * CHOOSE(CONTROL!$C$9, $C$13, 100%, $E$13) + CHOOSE(CONTROL!$C$28, 0.0003, 0)</f>
        <v>130.06810000000002</v>
      </c>
      <c r="C938" s="4">
        <f>129.7553 * CHOOSE(CONTROL!$C$9, $C$13, 100%, $E$13) + CHOOSE(CONTROL!$C$28, 0.0003, 0)</f>
        <v>129.75560000000002</v>
      </c>
      <c r="D938" s="4">
        <f>106.4221 * CHOOSE(CONTROL!$C$9, $C$13, 100%, $E$13) + CHOOSE(CONTROL!$C$28, 0, 0)</f>
        <v>106.4221</v>
      </c>
      <c r="E938" s="4">
        <f>698.969671777211 * CHOOSE(CONTROL!$C$9, $C$13, 100%, $E$13) + CHOOSE(CONTROL!$C$28, 0, 0)</f>
        <v>698.96967177721103</v>
      </c>
    </row>
    <row r="939" spans="1:5" ht="15">
      <c r="A939" s="13">
        <v>70463</v>
      </c>
      <c r="B939" s="4">
        <f>127.2303 * CHOOSE(CONTROL!$C$9, $C$13, 100%, $E$13) + CHOOSE(CONTROL!$C$28, 0.0003, 0)</f>
        <v>127.2306</v>
      </c>
      <c r="C939" s="4">
        <f>126.9178 * CHOOSE(CONTROL!$C$9, $C$13, 100%, $E$13) + CHOOSE(CONTROL!$C$28, 0.0003, 0)</f>
        <v>126.9181</v>
      </c>
      <c r="D939" s="4">
        <f>105.9179 * CHOOSE(CONTROL!$C$9, $C$13, 100%, $E$13) + CHOOSE(CONTROL!$C$28, 0, 0)</f>
        <v>105.9179</v>
      </c>
      <c r="E939" s="4">
        <f>683.497889960785 * CHOOSE(CONTROL!$C$9, $C$13, 100%, $E$13) + CHOOSE(CONTROL!$C$28, 0, 0)</f>
        <v>683.49788996078496</v>
      </c>
    </row>
    <row r="940" spans="1:5" ht="15">
      <c r="A940" s="13">
        <v>70494</v>
      </c>
      <c r="B940" s="4">
        <f>125.267 * CHOOSE(CONTROL!$C$9, $C$13, 100%, $E$13) + CHOOSE(CONTROL!$C$28, 0.0003, 0)</f>
        <v>125.26729999999999</v>
      </c>
      <c r="C940" s="4">
        <f>124.9545 * CHOOSE(CONTROL!$C$9, $C$13, 100%, $E$13) + CHOOSE(CONTROL!$C$28, 0.0003, 0)</f>
        <v>124.95479999999999</v>
      </c>
      <c r="D940" s="4">
        <f>102.2053 * CHOOSE(CONTROL!$C$9, $C$13, 100%, $E$13) + CHOOSE(CONTROL!$C$28, 0, 0)</f>
        <v>102.20529999999999</v>
      </c>
      <c r="E940" s="4">
        <f>672.793405755092 * CHOOSE(CONTROL!$C$9, $C$13, 100%, $E$13) + CHOOSE(CONTROL!$C$28, 0, 0)</f>
        <v>672.79340575509195</v>
      </c>
    </row>
    <row r="941" spans="1:5" ht="15">
      <c r="A941" s="13">
        <v>70525</v>
      </c>
      <c r="B941" s="4">
        <f>122.0772 * CHOOSE(CONTROL!$C$9, $C$13, 100%, $E$13) + CHOOSE(CONTROL!$C$28, 0.0003, 0)</f>
        <v>122.0775</v>
      </c>
      <c r="C941" s="4">
        <f>121.7647 * CHOOSE(CONTROL!$C$9, $C$13, 100%, $E$13) + CHOOSE(CONTROL!$C$28, 0.0003, 0)</f>
        <v>121.765</v>
      </c>
      <c r="D941" s="4">
        <f>98.7932 * CHOOSE(CONTROL!$C$9, $C$13, 100%, $E$13) + CHOOSE(CONTROL!$C$28, 0, 0)</f>
        <v>98.793199999999999</v>
      </c>
      <c r="E941" s="4">
        <f>653.500254689745 * CHOOSE(CONTROL!$C$9, $C$13, 100%, $E$13) + CHOOSE(CONTROL!$C$28, 0, 0)</f>
        <v>653.50025468974502</v>
      </c>
    </row>
    <row r="942" spans="1:5" ht="15">
      <c r="A942" s="13">
        <v>70553</v>
      </c>
      <c r="B942" s="4">
        <f>124.9313 * CHOOSE(CONTROL!$C$9, $C$13, 100%, $E$13) + CHOOSE(CONTROL!$C$28, 0.0003, 0)</f>
        <v>124.93159999999999</v>
      </c>
      <c r="C942" s="4">
        <f>124.6188 * CHOOSE(CONTROL!$C$9, $C$13, 100%, $E$13) + CHOOSE(CONTROL!$C$28, 0.0003, 0)</f>
        <v>124.61909999999999</v>
      </c>
      <c r="D942" s="4">
        <f>102.2292 * CHOOSE(CONTROL!$C$9, $C$13, 100%, $E$13) + CHOOSE(CONTROL!$C$28, 0, 0)</f>
        <v>102.22920000000001</v>
      </c>
      <c r="E942" s="4">
        <f>669.016926121403 * CHOOSE(CONTROL!$C$9, $C$13, 100%, $E$13) + CHOOSE(CONTROL!$C$28, 0, 0)</f>
        <v>669.016926121403</v>
      </c>
    </row>
    <row r="943" spans="1:5" ht="15">
      <c r="A943" s="13">
        <v>70584</v>
      </c>
      <c r="B943" s="4">
        <f>132.4262 * CHOOSE(CONTROL!$C$9, $C$13, 100%, $E$13) + CHOOSE(CONTROL!$C$28, 0.0003, 0)</f>
        <v>132.4265</v>
      </c>
      <c r="C943" s="4">
        <f>132.1137 * CHOOSE(CONTROL!$C$9, $C$13, 100%, $E$13) + CHOOSE(CONTROL!$C$28, 0.0003, 0)</f>
        <v>132.114</v>
      </c>
      <c r="D943" s="4">
        <f>107.6081 * CHOOSE(CONTROL!$C$9, $C$13, 100%, $E$13) + CHOOSE(CONTROL!$C$28, 0, 0)</f>
        <v>107.60809999999999</v>
      </c>
      <c r="E943" s="4">
        <f>709.764529906935 * CHOOSE(CONTROL!$C$9, $C$13, 100%, $E$13) + CHOOSE(CONTROL!$C$28, 0, 0)</f>
        <v>709.76452990693497</v>
      </c>
    </row>
    <row r="944" spans="1:5" ht="15">
      <c r="A944" s="13">
        <v>70614</v>
      </c>
      <c r="B944" s="4">
        <f>137.7515 * CHOOSE(CONTROL!$C$9, $C$13, 100%, $E$13) + CHOOSE(CONTROL!$C$28, 0.0003, 0)</f>
        <v>137.7518</v>
      </c>
      <c r="C944" s="4">
        <f>137.439 * CHOOSE(CONTROL!$C$9, $C$13, 100%, $E$13) + CHOOSE(CONTROL!$C$28, 0.0003, 0)</f>
        <v>137.4393</v>
      </c>
      <c r="D944" s="4">
        <f>110.7065 * CHOOSE(CONTROL!$C$9, $C$13, 100%, $E$13) + CHOOSE(CONTROL!$C$28, 0, 0)</f>
        <v>110.70650000000001</v>
      </c>
      <c r="E944" s="4">
        <f>738.716245429776 * CHOOSE(CONTROL!$C$9, $C$13, 100%, $E$13) + CHOOSE(CONTROL!$C$28, 0, 0)</f>
        <v>738.716245429776</v>
      </c>
    </row>
    <row r="945" spans="1:5" ht="15">
      <c r="A945" s="13">
        <v>70645</v>
      </c>
      <c r="B945" s="4">
        <f>141.0051 * CHOOSE(CONTROL!$C$9, $C$13, 100%, $E$13) + CHOOSE(CONTROL!$C$28, 0.0276, 0)</f>
        <v>141.03270000000001</v>
      </c>
      <c r="C945" s="4">
        <f>140.6926 * CHOOSE(CONTROL!$C$9, $C$13, 100%, $E$13) + CHOOSE(CONTROL!$C$28, 0.0276, 0)</f>
        <v>140.72020000000001</v>
      </c>
      <c r="D945" s="4">
        <f>109.4822 * CHOOSE(CONTROL!$C$9, $C$13, 100%, $E$13) + CHOOSE(CONTROL!$C$28, 0, 0)</f>
        <v>109.48220000000001</v>
      </c>
      <c r="E945" s="4">
        <f>756.405049738451 * CHOOSE(CONTROL!$C$9, $C$13, 100%, $E$13) + CHOOSE(CONTROL!$C$28, 0, 0)</f>
        <v>756.405049738451</v>
      </c>
    </row>
    <row r="946" spans="1:5" ht="15">
      <c r="A946" s="13">
        <v>70675</v>
      </c>
      <c r="B946" s="4">
        <f>141.4453 * CHOOSE(CONTROL!$C$9, $C$13, 100%, $E$13) + CHOOSE(CONTROL!$C$28, 0.0276, 0)</f>
        <v>141.47290000000001</v>
      </c>
      <c r="C946" s="4">
        <f>141.1328 * CHOOSE(CONTROL!$C$9, $C$13, 100%, $E$13) + CHOOSE(CONTROL!$C$28, 0.0276, 0)</f>
        <v>141.16040000000001</v>
      </c>
      <c r="D946" s="4">
        <f>110.4793 * CHOOSE(CONTROL!$C$9, $C$13, 100%, $E$13) + CHOOSE(CONTROL!$C$28, 0, 0)</f>
        <v>110.47929999999999</v>
      </c>
      <c r="E946" s="4">
        <f>758.798418371461 * CHOOSE(CONTROL!$C$9, $C$13, 100%, $E$13) + CHOOSE(CONTROL!$C$28, 0, 0)</f>
        <v>758.79841837146103</v>
      </c>
    </row>
    <row r="947" spans="1:5" ht="15">
      <c r="A947" s="13">
        <v>70706</v>
      </c>
      <c r="B947" s="4">
        <f>141.4009 * CHOOSE(CONTROL!$C$9, $C$13, 100%, $E$13) + CHOOSE(CONTROL!$C$28, 0.0276, 0)</f>
        <v>141.42850000000001</v>
      </c>
      <c r="C947" s="4">
        <f>141.0884 * CHOOSE(CONTROL!$C$9, $C$13, 100%, $E$13) + CHOOSE(CONTROL!$C$28, 0.0276, 0)</f>
        <v>141.11600000000001</v>
      </c>
      <c r="D947" s="4">
        <f>112.2785 * CHOOSE(CONTROL!$C$9, $C$13, 100%, $E$13) + CHOOSE(CONTROL!$C$28, 0, 0)</f>
        <v>112.27849999999999</v>
      </c>
      <c r="E947" s="4">
        <f>758.557070274015 * CHOOSE(CONTROL!$C$9, $C$13, 100%, $E$13) + CHOOSE(CONTROL!$C$28, 0, 0)</f>
        <v>758.55707027401502</v>
      </c>
    </row>
    <row r="948" spans="1:5" ht="15">
      <c r="A948" s="13">
        <v>70737</v>
      </c>
      <c r="B948" s="4">
        <f>144.7415 * CHOOSE(CONTROL!$C$9, $C$13, 100%, $E$13) + CHOOSE(CONTROL!$C$28, 0.0276, 0)</f>
        <v>144.76910000000001</v>
      </c>
      <c r="C948" s="4">
        <f>144.429 * CHOOSE(CONTROL!$C$9, $C$13, 100%, $E$13) + CHOOSE(CONTROL!$C$28, 0.0276, 0)</f>
        <v>144.45660000000001</v>
      </c>
      <c r="D948" s="4">
        <f>111.0903 * CHOOSE(CONTROL!$C$9, $C$13, 100%, $E$13) + CHOOSE(CONTROL!$C$28, 0, 0)</f>
        <v>111.0903</v>
      </c>
      <c r="E948" s="4">
        <f>776.718514606856 * CHOOSE(CONTROL!$C$9, $C$13, 100%, $E$13) + CHOOSE(CONTROL!$C$28, 0, 0)</f>
        <v>776.71851460685605</v>
      </c>
    </row>
    <row r="949" spans="1:5" ht="15">
      <c r="A949" s="13">
        <v>70767</v>
      </c>
      <c r="B949" s="4">
        <f>139.0481 * CHOOSE(CONTROL!$C$9, $C$13, 100%, $E$13) + CHOOSE(CONTROL!$C$28, 0.0276, 0)</f>
        <v>139.07570000000001</v>
      </c>
      <c r="C949" s="4">
        <f>138.7356 * CHOOSE(CONTROL!$C$9, $C$13, 100%, $E$13) + CHOOSE(CONTROL!$C$28, 0.0276, 0)</f>
        <v>138.76320000000001</v>
      </c>
      <c r="D949" s="4">
        <f>110.5289 * CHOOSE(CONTROL!$C$9, $C$13, 100%, $E$13) + CHOOSE(CONTROL!$C$28, 0, 0)</f>
        <v>110.52889999999999</v>
      </c>
      <c r="E949" s="4">
        <f>745.765621109356 * CHOOSE(CONTROL!$C$9, $C$13, 100%, $E$13) + CHOOSE(CONTROL!$C$28, 0, 0)</f>
        <v>745.76562110935595</v>
      </c>
    </row>
    <row r="950" spans="1:5" ht="15">
      <c r="A950" s="13">
        <v>70798</v>
      </c>
      <c r="B950" s="4">
        <f>134.4905 * CHOOSE(CONTROL!$C$9, $C$13, 100%, $E$13) + CHOOSE(CONTROL!$C$28, 0.0003, 0)</f>
        <v>134.49080000000001</v>
      </c>
      <c r="C950" s="4">
        <f>134.178 * CHOOSE(CONTROL!$C$9, $C$13, 100%, $E$13) + CHOOSE(CONTROL!$C$28, 0.0003, 0)</f>
        <v>134.17830000000001</v>
      </c>
      <c r="D950" s="4">
        <f>109.0258 * CHOOSE(CONTROL!$C$9, $C$13, 100%, $E$13) + CHOOSE(CONTROL!$C$28, 0, 0)</f>
        <v>109.0258</v>
      </c>
      <c r="E950" s="4">
        <f>720.987216438193 * CHOOSE(CONTROL!$C$9, $C$13, 100%, $E$13) + CHOOSE(CONTROL!$C$28, 0, 0)</f>
        <v>720.98721643819295</v>
      </c>
    </row>
    <row r="951" spans="1:5" ht="15">
      <c r="A951" s="13">
        <v>70828</v>
      </c>
      <c r="B951" s="4">
        <f>131.555 * CHOOSE(CONTROL!$C$9, $C$13, 100%, $E$13) + CHOOSE(CONTROL!$C$28, 0.0003, 0)</f>
        <v>131.55530000000002</v>
      </c>
      <c r="C951" s="4">
        <f>131.2425 * CHOOSE(CONTROL!$C$9, $C$13, 100%, $E$13) + CHOOSE(CONTROL!$C$28, 0.0003, 0)</f>
        <v>131.24280000000002</v>
      </c>
      <c r="D951" s="4">
        <f>108.509 * CHOOSE(CONTROL!$C$9, $C$13, 100%, $E$13) + CHOOSE(CONTROL!$C$28, 0, 0)</f>
        <v>108.509</v>
      </c>
      <c r="E951" s="4">
        <f>705.02807349455 * CHOOSE(CONTROL!$C$9, $C$13, 100%, $E$13) + CHOOSE(CONTROL!$C$28, 0, 0)</f>
        <v>705.02807349454997</v>
      </c>
    </row>
    <row r="952" spans="1:5" ht="15">
      <c r="A952" s="13">
        <v>70859</v>
      </c>
      <c r="B952" s="4">
        <f>129.524 * CHOOSE(CONTROL!$C$9, $C$13, 100%, $E$13) + CHOOSE(CONTROL!$C$28, 0.0003, 0)</f>
        <v>129.52430000000001</v>
      </c>
      <c r="C952" s="4">
        <f>129.2115 * CHOOSE(CONTROL!$C$9, $C$13, 100%, $E$13) + CHOOSE(CONTROL!$C$28, 0.0003, 0)</f>
        <v>129.21180000000001</v>
      </c>
      <c r="D952" s="4">
        <f>104.7044 * CHOOSE(CONTROL!$C$9, $C$13, 100%, $E$13) + CHOOSE(CONTROL!$C$28, 0, 0)</f>
        <v>104.70440000000001</v>
      </c>
      <c r="E952" s="4">
        <f>693.986398036378 * CHOOSE(CONTROL!$C$9, $C$13, 100%, $E$13) + CHOOSE(CONTROL!$C$28, 0, 0)</f>
        <v>693.98639803637798</v>
      </c>
    </row>
    <row r="953" spans="1:5" ht="15">
      <c r="A953" s="13">
        <v>70890</v>
      </c>
      <c r="B953" s="4">
        <f>126.2242 * CHOOSE(CONTROL!$C$9, $C$13, 100%, $E$13) + CHOOSE(CONTROL!$C$28, 0.0003, 0)</f>
        <v>126.22449999999999</v>
      </c>
      <c r="C953" s="4">
        <f>125.9117 * CHOOSE(CONTROL!$C$9, $C$13, 100%, $E$13) + CHOOSE(CONTROL!$C$28, 0.0003, 0)</f>
        <v>125.91199999999999</v>
      </c>
      <c r="D953" s="4">
        <f>101.2076 * CHOOSE(CONTROL!$C$9, $C$13, 100%, $E$13) + CHOOSE(CONTROL!$C$28, 0, 0)</f>
        <v>101.2076</v>
      </c>
      <c r="E953" s="4">
        <f>674.085512712472 * CHOOSE(CONTROL!$C$9, $C$13, 100%, $E$13) + CHOOSE(CONTROL!$C$28, 0, 0)</f>
        <v>674.085512712472</v>
      </c>
    </row>
    <row r="954" spans="1:5" ht="15">
      <c r="A954" s="13">
        <v>70918</v>
      </c>
      <c r="B954" s="4">
        <f>129.1767 * CHOOSE(CONTROL!$C$9, $C$13, 100%, $E$13) + CHOOSE(CONTROL!$C$28, 0.0003, 0)</f>
        <v>129.17700000000002</v>
      </c>
      <c r="C954" s="4">
        <f>128.8642 * CHOOSE(CONTROL!$C$9, $C$13, 100%, $E$13) + CHOOSE(CONTROL!$C$28, 0.0003, 0)</f>
        <v>128.86450000000002</v>
      </c>
      <c r="D954" s="4">
        <f>104.7289 * CHOOSE(CONTROL!$C$9, $C$13, 100%, $E$13) + CHOOSE(CONTROL!$C$28, 0, 0)</f>
        <v>104.7289</v>
      </c>
      <c r="E954" s="4">
        <f>690.090959294227 * CHOOSE(CONTROL!$C$9, $C$13, 100%, $E$13) + CHOOSE(CONTROL!$C$28, 0, 0)</f>
        <v>690.09095929422699</v>
      </c>
    </row>
    <row r="955" spans="1:5" ht="15">
      <c r="A955" s="13">
        <v>70949</v>
      </c>
      <c r="B955" s="4">
        <f>136.9302 * CHOOSE(CONTROL!$C$9, $C$13, 100%, $E$13) + CHOOSE(CONTROL!$C$28, 0.0003, 0)</f>
        <v>136.93050000000002</v>
      </c>
      <c r="C955" s="4">
        <f>136.6177 * CHOOSE(CONTROL!$C$9, $C$13, 100%, $E$13) + CHOOSE(CONTROL!$C$28, 0.0003, 0)</f>
        <v>136.61800000000002</v>
      </c>
      <c r="D955" s="4">
        <f>110.2411 * CHOOSE(CONTROL!$C$9, $C$13, 100%, $E$13) + CHOOSE(CONTROL!$C$28, 0, 0)</f>
        <v>110.2411</v>
      </c>
      <c r="E955" s="4">
        <f>732.122112599004 * CHOOSE(CONTROL!$C$9, $C$13, 100%, $E$13) + CHOOSE(CONTROL!$C$28, 0, 0)</f>
        <v>732.12211259900403</v>
      </c>
    </row>
    <row r="956" spans="1:5" ht="15">
      <c r="A956" s="13">
        <v>70979</v>
      </c>
      <c r="B956" s="4">
        <f>142.4392 * CHOOSE(CONTROL!$C$9, $C$13, 100%, $E$13) + CHOOSE(CONTROL!$C$28, 0.0003, 0)</f>
        <v>142.43950000000001</v>
      </c>
      <c r="C956" s="4">
        <f>142.1267 * CHOOSE(CONTROL!$C$9, $C$13, 100%, $E$13) + CHOOSE(CONTROL!$C$28, 0.0003, 0)</f>
        <v>142.12700000000001</v>
      </c>
      <c r="D956" s="4">
        <f>113.4164 * CHOOSE(CONTROL!$C$9, $C$13, 100%, $E$13) + CHOOSE(CONTROL!$C$28, 0, 0)</f>
        <v>113.4164</v>
      </c>
      <c r="E956" s="4">
        <f>761.985807160814 * CHOOSE(CONTROL!$C$9, $C$13, 100%, $E$13) + CHOOSE(CONTROL!$C$28, 0, 0)</f>
        <v>761.98580716081403</v>
      </c>
    </row>
    <row r="957" spans="1:5" ht="15">
      <c r="A957" s="13">
        <v>71010</v>
      </c>
      <c r="B957" s="4">
        <f>145.8051 * CHOOSE(CONTROL!$C$9, $C$13, 100%, $E$13) + CHOOSE(CONTROL!$C$28, 0.0276, 0)</f>
        <v>145.83270000000002</v>
      </c>
      <c r="C957" s="4">
        <f>145.4926 * CHOOSE(CONTROL!$C$9, $C$13, 100%, $E$13) + CHOOSE(CONTROL!$C$28, 0.0276, 0)</f>
        <v>145.52020000000002</v>
      </c>
      <c r="D957" s="4">
        <f>112.1617 * CHOOSE(CONTROL!$C$9, $C$13, 100%, $E$13) + CHOOSE(CONTROL!$C$28, 0, 0)</f>
        <v>112.1617</v>
      </c>
      <c r="E957" s="4">
        <f>780.231808805212 * CHOOSE(CONTROL!$C$9, $C$13, 100%, $E$13) + CHOOSE(CONTROL!$C$28, 0, 0)</f>
        <v>780.23180880521204</v>
      </c>
    </row>
    <row r="958" spans="1:5" ht="15">
      <c r="A958" s="13">
        <v>71040</v>
      </c>
      <c r="B958" s="4">
        <f>146.2605 * CHOOSE(CONTROL!$C$9, $C$13, 100%, $E$13) + CHOOSE(CONTROL!$C$28, 0.0276, 0)</f>
        <v>146.28810000000001</v>
      </c>
      <c r="C958" s="4">
        <f>145.948 * CHOOSE(CONTROL!$C$9, $C$13, 100%, $E$13) + CHOOSE(CONTROL!$C$28, 0.0276, 0)</f>
        <v>145.97560000000001</v>
      </c>
      <c r="D958" s="4">
        <f>113.1835 * CHOOSE(CONTROL!$C$9, $C$13, 100%, $E$13) + CHOOSE(CONTROL!$C$28, 0, 0)</f>
        <v>113.1835</v>
      </c>
      <c r="E958" s="4">
        <f>782.700568550162 * CHOOSE(CONTROL!$C$9, $C$13, 100%, $E$13) + CHOOSE(CONTROL!$C$28, 0, 0)</f>
        <v>782.70056855016196</v>
      </c>
    </row>
    <row r="959" spans="1:5" ht="15">
      <c r="A959" s="13">
        <v>71071</v>
      </c>
      <c r="B959" s="4">
        <f>146.2146 * CHOOSE(CONTROL!$C$9, $C$13, 100%, $E$13) + CHOOSE(CONTROL!$C$28, 0.0276, 0)</f>
        <v>146.2422</v>
      </c>
      <c r="C959" s="4">
        <f>145.9021 * CHOOSE(CONTROL!$C$9, $C$13, 100%, $E$13) + CHOOSE(CONTROL!$C$28, 0.0276, 0)</f>
        <v>145.9297</v>
      </c>
      <c r="D959" s="4">
        <f>115.0274 * CHOOSE(CONTROL!$C$9, $C$13, 100%, $E$13) + CHOOSE(CONTROL!$C$28, 0, 0)</f>
        <v>115.0274</v>
      </c>
      <c r="E959" s="4">
        <f>782.451617987646 * CHOOSE(CONTROL!$C$9, $C$13, 100%, $E$13) + CHOOSE(CONTROL!$C$28, 0, 0)</f>
        <v>782.45161798764605</v>
      </c>
    </row>
    <row r="960" spans="1:5" ht="15">
      <c r="A960" s="13">
        <v>71102</v>
      </c>
      <c r="B960" s="4">
        <f>149.6703 * CHOOSE(CONTROL!$C$9, $C$13, 100%, $E$13) + CHOOSE(CONTROL!$C$28, 0.0276, 0)</f>
        <v>149.6979</v>
      </c>
      <c r="C960" s="4">
        <f>149.3578 * CHOOSE(CONTROL!$C$9, $C$13, 100%, $E$13) + CHOOSE(CONTROL!$C$28, 0.0276, 0)</f>
        <v>149.3854</v>
      </c>
      <c r="D960" s="4">
        <f>113.8097 * CHOOSE(CONTROL!$C$9, $C$13, 100%, $E$13) + CHOOSE(CONTROL!$C$28, 0, 0)</f>
        <v>113.80970000000001</v>
      </c>
      <c r="E960" s="4">
        <f>801.185147816972 * CHOOSE(CONTROL!$C$9, $C$13, 100%, $E$13) + CHOOSE(CONTROL!$C$28, 0, 0)</f>
        <v>801.18514781697195</v>
      </c>
    </row>
    <row r="961" spans="1:5" ht="15">
      <c r="A961" s="13">
        <v>71132</v>
      </c>
      <c r="B961" s="4">
        <f>143.7806 * CHOOSE(CONTROL!$C$9, $C$13, 100%, $E$13) + CHOOSE(CONTROL!$C$28, 0.0276, 0)</f>
        <v>143.8082</v>
      </c>
      <c r="C961" s="4">
        <f>143.4681 * CHOOSE(CONTROL!$C$9, $C$13, 100%, $E$13) + CHOOSE(CONTROL!$C$28, 0.0276, 0)</f>
        <v>143.4957</v>
      </c>
      <c r="D961" s="4">
        <f>113.2344 * CHOOSE(CONTROL!$C$9, $C$13, 100%, $E$13) + CHOOSE(CONTROL!$C$28, 0, 0)</f>
        <v>113.23439999999999</v>
      </c>
      <c r="E961" s="4">
        <f>769.257238174301 * CHOOSE(CONTROL!$C$9, $C$13, 100%, $E$13) + CHOOSE(CONTROL!$C$28, 0, 0)</f>
        <v>769.25723817430105</v>
      </c>
    </row>
    <row r="962" spans="1:5" ht="15">
      <c r="A962" s="13">
        <v>71163</v>
      </c>
      <c r="B962" s="4">
        <f>139.0657 * CHOOSE(CONTROL!$C$9, $C$13, 100%, $E$13) + CHOOSE(CONTROL!$C$28, 0.0003, 0)</f>
        <v>139.066</v>
      </c>
      <c r="C962" s="4">
        <f>138.7532 * CHOOSE(CONTROL!$C$9, $C$13, 100%, $E$13) + CHOOSE(CONTROL!$C$28, 0.0003, 0)</f>
        <v>138.7535</v>
      </c>
      <c r="D962" s="4">
        <f>111.6939 * CHOOSE(CONTROL!$C$9, $C$13, 100%, $E$13) + CHOOSE(CONTROL!$C$28, 0, 0)</f>
        <v>111.6939</v>
      </c>
      <c r="E962" s="4">
        <f>743.698313755996 * CHOOSE(CONTROL!$C$9, $C$13, 100%, $E$13) + CHOOSE(CONTROL!$C$28, 0, 0)</f>
        <v>743.69831375599597</v>
      </c>
    </row>
    <row r="963" spans="1:5" ht="15">
      <c r="A963" s="13">
        <v>71193</v>
      </c>
      <c r="B963" s="4">
        <f>136.029 * CHOOSE(CONTROL!$C$9, $C$13, 100%, $E$13) + CHOOSE(CONTROL!$C$28, 0.0003, 0)</f>
        <v>136.02930000000001</v>
      </c>
      <c r="C963" s="4">
        <f>135.7165 * CHOOSE(CONTROL!$C$9, $C$13, 100%, $E$13) + CHOOSE(CONTROL!$C$28, 0.0003, 0)</f>
        <v>135.71680000000001</v>
      </c>
      <c r="D963" s="4">
        <f>111.1643 * CHOOSE(CONTROL!$C$9, $C$13, 100%, $E$13) + CHOOSE(CONTROL!$C$28, 0, 0)</f>
        <v>111.1643</v>
      </c>
      <c r="E963" s="4">
        <f>727.236457809628 * CHOOSE(CONTROL!$C$9, $C$13, 100%, $E$13) + CHOOSE(CONTROL!$C$28, 0, 0)</f>
        <v>727.23645780962795</v>
      </c>
    </row>
    <row r="964" spans="1:5" ht="15">
      <c r="A964" s="13">
        <v>71224</v>
      </c>
      <c r="B964" s="4">
        <f>133.9279 * CHOOSE(CONTROL!$C$9, $C$13, 100%, $E$13) + CHOOSE(CONTROL!$C$28, 0.0003, 0)</f>
        <v>133.9282</v>
      </c>
      <c r="C964" s="4">
        <f>133.6154 * CHOOSE(CONTROL!$C$9, $C$13, 100%, $E$13) + CHOOSE(CONTROL!$C$28, 0.0003, 0)</f>
        <v>133.6157</v>
      </c>
      <c r="D964" s="4">
        <f>107.2654 * CHOOSE(CONTROL!$C$9, $C$13, 100%, $E$13) + CHOOSE(CONTROL!$C$28, 0, 0)</f>
        <v>107.2654</v>
      </c>
      <c r="E964" s="4">
        <f>715.846969574523 * CHOOSE(CONTROL!$C$9, $C$13, 100%, $E$13) + CHOOSE(CONTROL!$C$28, 0, 0)</f>
        <v>715.84696957452297</v>
      </c>
    </row>
    <row r="965" spans="1:5" ht="15">
      <c r="A965" s="13">
        <v>71255</v>
      </c>
      <c r="B965" s="4">
        <f>130.5142 * CHOOSE(CONTROL!$C$9, $C$13, 100%, $E$13) + CHOOSE(CONTROL!$C$28, 0.0003, 0)</f>
        <v>130.5145</v>
      </c>
      <c r="C965" s="4">
        <f>130.2017 * CHOOSE(CONTROL!$C$9, $C$13, 100%, $E$13) + CHOOSE(CONTROL!$C$28, 0.0003, 0)</f>
        <v>130.202</v>
      </c>
      <c r="D965" s="4">
        <f>103.6819 * CHOOSE(CONTROL!$C$9, $C$13, 100%, $E$13) + CHOOSE(CONTROL!$C$28, 0, 0)</f>
        <v>103.6819</v>
      </c>
      <c r="E965" s="4">
        <f>695.319206362915 * CHOOSE(CONTROL!$C$9, $C$13, 100%, $E$13) + CHOOSE(CONTROL!$C$28, 0, 0)</f>
        <v>695.319206362915</v>
      </c>
    </row>
    <row r="966" spans="1:5" ht="15">
      <c r="A966" s="13">
        <v>71283</v>
      </c>
      <c r="B966" s="4">
        <f>133.5686 * CHOOSE(CONTROL!$C$9, $C$13, 100%, $E$13) + CHOOSE(CONTROL!$C$28, 0.0003, 0)</f>
        <v>133.56890000000001</v>
      </c>
      <c r="C966" s="4">
        <f>133.2561 * CHOOSE(CONTROL!$C$9, $C$13, 100%, $E$13) + CHOOSE(CONTROL!$C$28, 0.0003, 0)</f>
        <v>133.25640000000001</v>
      </c>
      <c r="D966" s="4">
        <f>107.2905 * CHOOSE(CONTROL!$C$9, $C$13, 100%, $E$13) + CHOOSE(CONTROL!$C$28, 0, 0)</f>
        <v>107.29049999999999</v>
      </c>
      <c r="E966" s="4">
        <f>711.828824511995 * CHOOSE(CONTROL!$C$9, $C$13, 100%, $E$13) + CHOOSE(CONTROL!$C$28, 0, 0)</f>
        <v>711.82882451199498</v>
      </c>
    </row>
    <row r="967" spans="1:5" ht="15">
      <c r="A967" s="13">
        <v>71314</v>
      </c>
      <c r="B967" s="4">
        <f>141.5896 * CHOOSE(CONTROL!$C$9, $C$13, 100%, $E$13) + CHOOSE(CONTROL!$C$28, 0.0003, 0)</f>
        <v>141.5899</v>
      </c>
      <c r="C967" s="4">
        <f>141.2771 * CHOOSE(CONTROL!$C$9, $C$13, 100%, $E$13) + CHOOSE(CONTROL!$C$28, 0.0003, 0)</f>
        <v>141.2774</v>
      </c>
      <c r="D967" s="4">
        <f>112.9395 * CHOOSE(CONTROL!$C$9, $C$13, 100%, $E$13) + CHOOSE(CONTROL!$C$28, 0, 0)</f>
        <v>112.9395</v>
      </c>
      <c r="E967" s="4">
        <f>755.183959145873 * CHOOSE(CONTROL!$C$9, $C$13, 100%, $E$13) + CHOOSE(CONTROL!$C$28, 0, 0)</f>
        <v>755.18395914587302</v>
      </c>
    </row>
    <row r="968" spans="1:5" ht="15">
      <c r="A968" s="13">
        <v>71344</v>
      </c>
      <c r="B968" s="4">
        <f>147.2887 * CHOOSE(CONTROL!$C$9, $C$13, 100%, $E$13) + CHOOSE(CONTROL!$C$28, 0.0003, 0)</f>
        <v>147.28900000000002</v>
      </c>
      <c r="C968" s="4">
        <f>146.9762 * CHOOSE(CONTROL!$C$9, $C$13, 100%, $E$13) + CHOOSE(CONTROL!$C$28, 0.0003, 0)</f>
        <v>146.97650000000002</v>
      </c>
      <c r="D968" s="4">
        <f>116.1935 * CHOOSE(CONTROL!$C$9, $C$13, 100%, $E$13) + CHOOSE(CONTROL!$C$28, 0, 0)</f>
        <v>116.1935</v>
      </c>
      <c r="E968" s="4">
        <f>785.98836008638 * CHOOSE(CONTROL!$C$9, $C$13, 100%, $E$13) + CHOOSE(CONTROL!$C$28, 0, 0)</f>
        <v>785.98836008638</v>
      </c>
    </row>
    <row r="969" spans="1:5" ht="15">
      <c r="A969" s="13">
        <v>71375</v>
      </c>
      <c r="B969" s="4">
        <f>150.7707 * CHOOSE(CONTROL!$C$9, $C$13, 100%, $E$13) + CHOOSE(CONTROL!$C$28, 0.0276, 0)</f>
        <v>150.79830000000001</v>
      </c>
      <c r="C969" s="4">
        <f>150.4582 * CHOOSE(CONTROL!$C$9, $C$13, 100%, $E$13) + CHOOSE(CONTROL!$C$28, 0.0276, 0)</f>
        <v>150.48580000000001</v>
      </c>
      <c r="D969" s="4">
        <f>114.9076 * CHOOSE(CONTROL!$C$9, $C$13, 100%, $E$13) + CHOOSE(CONTROL!$C$28, 0, 0)</f>
        <v>114.9076</v>
      </c>
      <c r="E969" s="4">
        <f>804.809110782576 * CHOOSE(CONTROL!$C$9, $C$13, 100%, $E$13) + CHOOSE(CONTROL!$C$28, 0, 0)</f>
        <v>804.809110782576</v>
      </c>
    </row>
    <row r="970" spans="1:5" ht="15">
      <c r="A970" s="13">
        <v>71405</v>
      </c>
      <c r="B970" s="4">
        <f>151.2418 * CHOOSE(CONTROL!$C$9, $C$13, 100%, $E$13) + CHOOSE(CONTROL!$C$28, 0.0276, 0)</f>
        <v>151.26940000000002</v>
      </c>
      <c r="C970" s="4">
        <f>150.9293 * CHOOSE(CONTROL!$C$9, $C$13, 100%, $E$13) + CHOOSE(CONTROL!$C$28, 0.0276, 0)</f>
        <v>150.95690000000002</v>
      </c>
      <c r="D970" s="4">
        <f>115.9548 * CHOOSE(CONTROL!$C$9, $C$13, 100%, $E$13) + CHOOSE(CONTROL!$C$28, 0, 0)</f>
        <v>115.95480000000001</v>
      </c>
      <c r="E970" s="4">
        <f>807.355636459492 * CHOOSE(CONTROL!$C$9, $C$13, 100%, $E$13) + CHOOSE(CONTROL!$C$28, 0, 0)</f>
        <v>807.35563645949196</v>
      </c>
    </row>
    <row r="971" spans="1:5" ht="15">
      <c r="A971" s="13">
        <v>71436</v>
      </c>
      <c r="B971" s="4">
        <f>151.1943 * CHOOSE(CONTROL!$C$9, $C$13, 100%, $E$13) + CHOOSE(CONTROL!$C$28, 0.0276, 0)</f>
        <v>151.22190000000001</v>
      </c>
      <c r="C971" s="4">
        <f>150.8818 * CHOOSE(CONTROL!$C$9, $C$13, 100%, $E$13) + CHOOSE(CONTROL!$C$28, 0.0276, 0)</f>
        <v>150.90940000000001</v>
      </c>
      <c r="D971" s="4">
        <f>117.8444 * CHOOSE(CONTROL!$C$9, $C$13, 100%, $E$13) + CHOOSE(CONTROL!$C$28, 0, 0)</f>
        <v>117.84439999999999</v>
      </c>
      <c r="E971" s="4">
        <f>807.098843954257 * CHOOSE(CONTROL!$C$9, $C$13, 100%, $E$13) + CHOOSE(CONTROL!$C$28, 0, 0)</f>
        <v>807.09884395425695</v>
      </c>
    </row>
    <row r="972" spans="1:5" ht="15">
      <c r="A972" s="13">
        <v>71467</v>
      </c>
      <c r="B972" s="4">
        <f>154.7693 * CHOOSE(CONTROL!$C$9, $C$13, 100%, $E$13) + CHOOSE(CONTROL!$C$28, 0.0276, 0)</f>
        <v>154.79689999999999</v>
      </c>
      <c r="C972" s="4">
        <f>154.4568 * CHOOSE(CONTROL!$C$9, $C$13, 100%, $E$13) + CHOOSE(CONTROL!$C$28, 0.0276, 0)</f>
        <v>154.48439999999999</v>
      </c>
      <c r="D972" s="4">
        <f>116.5965 * CHOOSE(CONTROL!$C$9, $C$13, 100%, $E$13) + CHOOSE(CONTROL!$C$28, 0, 0)</f>
        <v>116.59650000000001</v>
      </c>
      <c r="E972" s="4">
        <f>826.422479973206 * CHOOSE(CONTROL!$C$9, $C$13, 100%, $E$13) + CHOOSE(CONTROL!$C$28, 0, 0)</f>
        <v>826.42247997320601</v>
      </c>
    </row>
    <row r="973" spans="1:5" ht="15">
      <c r="A973" s="13">
        <v>71497</v>
      </c>
      <c r="B973" s="4">
        <f>148.6763 * CHOOSE(CONTROL!$C$9, $C$13, 100%, $E$13) + CHOOSE(CONTROL!$C$28, 0.0276, 0)</f>
        <v>148.7039</v>
      </c>
      <c r="C973" s="4">
        <f>148.3638 * CHOOSE(CONTROL!$C$9, $C$13, 100%, $E$13) + CHOOSE(CONTROL!$C$28, 0.0276, 0)</f>
        <v>148.3914</v>
      </c>
      <c r="D973" s="4">
        <f>116.0069 * CHOOSE(CONTROL!$C$9, $C$13, 100%, $E$13) + CHOOSE(CONTROL!$C$28, 0, 0)</f>
        <v>116.0069</v>
      </c>
      <c r="E973" s="4">
        <f>793.488841176791 * CHOOSE(CONTROL!$C$9, $C$13, 100%, $E$13) + CHOOSE(CONTROL!$C$28, 0, 0)</f>
        <v>793.48884117679097</v>
      </c>
    </row>
    <row r="974" spans="1:5" ht="15">
      <c r="A974" s="13">
        <v>71528</v>
      </c>
      <c r="B974" s="4">
        <f>143.7988 * CHOOSE(CONTROL!$C$9, $C$13, 100%, $E$13) + CHOOSE(CONTROL!$C$28, 0.0003, 0)</f>
        <v>143.79910000000001</v>
      </c>
      <c r="C974" s="4">
        <f>143.4863 * CHOOSE(CONTROL!$C$9, $C$13, 100%, $E$13) + CHOOSE(CONTROL!$C$28, 0.0003, 0)</f>
        <v>143.48660000000001</v>
      </c>
      <c r="D974" s="4">
        <f>114.4283 * CHOOSE(CONTROL!$C$9, $C$13, 100%, $E$13) + CHOOSE(CONTROL!$C$28, 0, 0)</f>
        <v>114.42829999999999</v>
      </c>
      <c r="E974" s="4">
        <f>767.12481063931 * CHOOSE(CONTROL!$C$9, $C$13, 100%, $E$13) + CHOOSE(CONTROL!$C$28, 0, 0)</f>
        <v>767.12481063931</v>
      </c>
    </row>
    <row r="975" spans="1:5" ht="15">
      <c r="A975" s="13">
        <v>71558</v>
      </c>
      <c r="B975" s="4">
        <f>140.6573 * CHOOSE(CONTROL!$C$9, $C$13, 100%, $E$13) + CHOOSE(CONTROL!$C$28, 0.0003, 0)</f>
        <v>140.6576</v>
      </c>
      <c r="C975" s="4">
        <f>140.3448 * CHOOSE(CONTROL!$C$9, $C$13, 100%, $E$13) + CHOOSE(CONTROL!$C$28, 0.0003, 0)</f>
        <v>140.3451</v>
      </c>
      <c r="D975" s="4">
        <f>113.8856 * CHOOSE(CONTROL!$C$9, $C$13, 100%, $E$13) + CHOOSE(CONTROL!$C$28, 0, 0)</f>
        <v>113.8856</v>
      </c>
      <c r="E975" s="4">
        <f>750.144406230632 * CHOOSE(CONTROL!$C$9, $C$13, 100%, $E$13) + CHOOSE(CONTROL!$C$28, 0, 0)</f>
        <v>750.14440623063194</v>
      </c>
    </row>
    <row r="976" spans="1:5" ht="15">
      <c r="A976" s="13">
        <v>71589</v>
      </c>
      <c r="B976" s="4">
        <f>138.4838 * CHOOSE(CONTROL!$C$9, $C$13, 100%, $E$13) + CHOOSE(CONTROL!$C$28, 0.0003, 0)</f>
        <v>138.48410000000001</v>
      </c>
      <c r="C976" s="4">
        <f>138.1713 * CHOOSE(CONTROL!$C$9, $C$13, 100%, $E$13) + CHOOSE(CONTROL!$C$28, 0.0003, 0)</f>
        <v>138.17160000000001</v>
      </c>
      <c r="D976" s="4">
        <f>109.8899 * CHOOSE(CONTROL!$C$9, $C$13, 100%, $E$13) + CHOOSE(CONTROL!$C$28, 0, 0)</f>
        <v>109.8899</v>
      </c>
      <c r="E976" s="4">
        <f>738.396149116121 * CHOOSE(CONTROL!$C$9, $C$13, 100%, $E$13) + CHOOSE(CONTROL!$C$28, 0, 0)</f>
        <v>738.39614911612102</v>
      </c>
    </row>
    <row r="977" spans="1:5" ht="15">
      <c r="A977" s="13">
        <v>71620</v>
      </c>
      <c r="B977" s="4">
        <f>134.9523 * CHOOSE(CONTROL!$C$9, $C$13, 100%, $E$13) + CHOOSE(CONTROL!$C$28, 0.0003, 0)</f>
        <v>134.95260000000002</v>
      </c>
      <c r="C977" s="4">
        <f>134.6398 * CHOOSE(CONTROL!$C$9, $C$13, 100%, $E$13) + CHOOSE(CONTROL!$C$28, 0.0003, 0)</f>
        <v>134.64010000000002</v>
      </c>
      <c r="D977" s="4">
        <f>106.2175 * CHOOSE(CONTROL!$C$9, $C$13, 100%, $E$13) + CHOOSE(CONTROL!$C$28, 0, 0)</f>
        <v>106.2175</v>
      </c>
      <c r="E977" s="4">
        <f>717.221761363347 * CHOOSE(CONTROL!$C$9, $C$13, 100%, $E$13) + CHOOSE(CONTROL!$C$28, 0, 0)</f>
        <v>717.22176136334701</v>
      </c>
    </row>
    <row r="978" spans="1:5" ht="15">
      <c r="A978" s="13">
        <v>71649</v>
      </c>
      <c r="B978" s="4">
        <f>138.112 * CHOOSE(CONTROL!$C$9, $C$13, 100%, $E$13) + CHOOSE(CONTROL!$C$28, 0.0003, 0)</f>
        <v>138.1123</v>
      </c>
      <c r="C978" s="4">
        <f>137.7995 * CHOOSE(CONTROL!$C$9, $C$13, 100%, $E$13) + CHOOSE(CONTROL!$C$28, 0.0003, 0)</f>
        <v>137.7998</v>
      </c>
      <c r="D978" s="4">
        <f>109.9156 * CHOOSE(CONTROL!$C$9, $C$13, 100%, $E$13) + CHOOSE(CONTROL!$C$28, 0, 0)</f>
        <v>109.9156</v>
      </c>
      <c r="E978" s="4">
        <f>734.251432484123 * CHOOSE(CONTROL!$C$9, $C$13, 100%, $E$13) + CHOOSE(CONTROL!$C$28, 0, 0)</f>
        <v>734.25143248412303</v>
      </c>
    </row>
    <row r="979" spans="1:5" ht="15">
      <c r="A979" s="13">
        <v>71680</v>
      </c>
      <c r="B979" s="4">
        <f>146.4098 * CHOOSE(CONTROL!$C$9, $C$13, 100%, $E$13) + CHOOSE(CONTROL!$C$28, 0.0003, 0)</f>
        <v>146.4101</v>
      </c>
      <c r="C979" s="4">
        <f>146.0973 * CHOOSE(CONTROL!$C$9, $C$13, 100%, $E$13) + CHOOSE(CONTROL!$C$28, 0.0003, 0)</f>
        <v>146.0976</v>
      </c>
      <c r="D979" s="4">
        <f>115.7047 * CHOOSE(CONTROL!$C$9, $C$13, 100%, $E$13) + CHOOSE(CONTROL!$C$28, 0, 0)</f>
        <v>115.7047</v>
      </c>
      <c r="E979" s="4">
        <f>778.972253858968 * CHOOSE(CONTROL!$C$9, $C$13, 100%, $E$13) + CHOOSE(CONTROL!$C$28, 0, 0)</f>
        <v>778.97225385896797</v>
      </c>
    </row>
    <row r="980" spans="1:5" ht="15">
      <c r="A980" s="13">
        <v>71710</v>
      </c>
      <c r="B980" s="4">
        <f>152.3054 * CHOOSE(CONTROL!$C$9, $C$13, 100%, $E$13) + CHOOSE(CONTROL!$C$28, 0.0003, 0)</f>
        <v>152.3057</v>
      </c>
      <c r="C980" s="4">
        <f>151.9929 * CHOOSE(CONTROL!$C$9, $C$13, 100%, $E$13) + CHOOSE(CONTROL!$C$28, 0.0003, 0)</f>
        <v>151.9932</v>
      </c>
      <c r="D980" s="4">
        <f>119.0394 * CHOOSE(CONTROL!$C$9, $C$13, 100%, $E$13) + CHOOSE(CONTROL!$C$28, 0, 0)</f>
        <v>119.0394</v>
      </c>
      <c r="E980" s="4">
        <f>810.7469934291 * CHOOSE(CONTROL!$C$9, $C$13, 100%, $E$13) + CHOOSE(CONTROL!$C$28, 0, 0)</f>
        <v>810.74699342910003</v>
      </c>
    </row>
    <row r="981" spans="1:5" ht="15">
      <c r="A981" s="13">
        <v>71741</v>
      </c>
      <c r="B981" s="4">
        <f>155.9076 * CHOOSE(CONTROL!$C$9, $C$13, 100%, $E$13) + CHOOSE(CONTROL!$C$28, 0.0276, 0)</f>
        <v>155.93520000000001</v>
      </c>
      <c r="C981" s="4">
        <f>155.5951 * CHOOSE(CONTROL!$C$9, $C$13, 100%, $E$13) + CHOOSE(CONTROL!$C$28, 0.0276, 0)</f>
        <v>155.62270000000001</v>
      </c>
      <c r="D981" s="4">
        <f>117.7217 * CHOOSE(CONTROL!$C$9, $C$13, 100%, $E$13) + CHOOSE(CONTROL!$C$28, 0, 0)</f>
        <v>117.7217</v>
      </c>
      <c r="E981" s="4">
        <f>830.160597772228 * CHOOSE(CONTROL!$C$9, $C$13, 100%, $E$13) + CHOOSE(CONTROL!$C$28, 0, 0)</f>
        <v>830.16059777222802</v>
      </c>
    </row>
    <row r="982" spans="1:5" ht="15">
      <c r="A982" s="13">
        <v>71771</v>
      </c>
      <c r="B982" s="4">
        <f>156.3949 * CHOOSE(CONTROL!$C$9, $C$13, 100%, $E$13) + CHOOSE(CONTROL!$C$28, 0.0276, 0)</f>
        <v>156.42250000000001</v>
      </c>
      <c r="C982" s="4">
        <f>156.0824 * CHOOSE(CONTROL!$C$9, $C$13, 100%, $E$13) + CHOOSE(CONTROL!$C$28, 0.0276, 0)</f>
        <v>156.11000000000001</v>
      </c>
      <c r="D982" s="4">
        <f>118.7949 * CHOOSE(CONTROL!$C$9, $C$13, 100%, $E$13) + CHOOSE(CONTROL!$C$28, 0, 0)</f>
        <v>118.7949</v>
      </c>
      <c r="E982" s="4">
        <f>832.787339007966 * CHOOSE(CONTROL!$C$9, $C$13, 100%, $E$13) + CHOOSE(CONTROL!$C$28, 0, 0)</f>
        <v>832.78733900796601</v>
      </c>
    </row>
    <row r="983" spans="1:5" ht="15">
      <c r="A983" s="13">
        <v>71802</v>
      </c>
      <c r="B983" s="4">
        <f>156.3458 * CHOOSE(CONTROL!$C$9, $C$13, 100%, $E$13) + CHOOSE(CONTROL!$C$28, 0.0276, 0)</f>
        <v>156.3734</v>
      </c>
      <c r="C983" s="4">
        <f>156.0333 * CHOOSE(CONTROL!$C$9, $C$13, 100%, $E$13) + CHOOSE(CONTROL!$C$28, 0.0276, 0)</f>
        <v>156.0609</v>
      </c>
      <c r="D983" s="4">
        <f>120.7313 * CHOOSE(CONTROL!$C$9, $C$13, 100%, $E$13) + CHOOSE(CONTROL!$C$28, 0, 0)</f>
        <v>120.7313</v>
      </c>
      <c r="E983" s="4">
        <f>832.522457538816 * CHOOSE(CONTROL!$C$9, $C$13, 100%, $E$13) + CHOOSE(CONTROL!$C$28, 0, 0)</f>
        <v>832.52245753881596</v>
      </c>
    </row>
    <row r="984" spans="1:5" ht="15">
      <c r="A984" s="13">
        <v>71833</v>
      </c>
      <c r="B984" s="4">
        <f>160.0441 * CHOOSE(CONTROL!$C$9, $C$13, 100%, $E$13) + CHOOSE(CONTROL!$C$28, 0.0276, 0)</f>
        <v>160.07169999999999</v>
      </c>
      <c r="C984" s="4">
        <f>159.7316 * CHOOSE(CONTROL!$C$9, $C$13, 100%, $E$13) + CHOOSE(CONTROL!$C$28, 0.0276, 0)</f>
        <v>159.75919999999999</v>
      </c>
      <c r="D984" s="4">
        <f>119.4525 * CHOOSE(CONTROL!$C$9, $C$13, 100%, $E$13) + CHOOSE(CONTROL!$C$28, 0, 0)</f>
        <v>119.4525</v>
      </c>
      <c r="E984" s="4">
        <f>852.454788092362 * CHOOSE(CONTROL!$C$9, $C$13, 100%, $E$13) + CHOOSE(CONTROL!$C$28, 0, 0)</f>
        <v>852.45478809236204</v>
      </c>
    </row>
    <row r="985" spans="1:5" ht="15">
      <c r="A985" s="13">
        <v>71863</v>
      </c>
      <c r="B985" s="4">
        <f>153.741 * CHOOSE(CONTROL!$C$9, $C$13, 100%, $E$13) + CHOOSE(CONTROL!$C$28, 0.0276, 0)</f>
        <v>153.76860000000002</v>
      </c>
      <c r="C985" s="4">
        <f>153.4285 * CHOOSE(CONTROL!$C$9, $C$13, 100%, $E$13) + CHOOSE(CONTROL!$C$28, 0.0276, 0)</f>
        <v>153.45610000000002</v>
      </c>
      <c r="D985" s="4">
        <f>118.8483 * CHOOSE(CONTROL!$C$9, $C$13, 100%, $E$13) + CHOOSE(CONTROL!$C$28, 0, 0)</f>
        <v>118.84829999999999</v>
      </c>
      <c r="E985" s="4">
        <f>818.48373967386 * CHOOSE(CONTROL!$C$9, $C$13, 100%, $E$13) + CHOOSE(CONTROL!$C$28, 0, 0)</f>
        <v>818.48373967385999</v>
      </c>
    </row>
    <row r="986" spans="1:5" ht="15">
      <c r="A986" s="13">
        <v>71894</v>
      </c>
      <c r="B986" s="4">
        <f>148.6951 * CHOOSE(CONTROL!$C$9, $C$13, 100%, $E$13) + CHOOSE(CONTROL!$C$28, 0.0003, 0)</f>
        <v>148.69540000000001</v>
      </c>
      <c r="C986" s="4">
        <f>148.3826 * CHOOSE(CONTROL!$C$9, $C$13, 100%, $E$13) + CHOOSE(CONTROL!$C$28, 0.0003, 0)</f>
        <v>148.38290000000001</v>
      </c>
      <c r="D986" s="4">
        <f>117.2305 * CHOOSE(CONTROL!$C$9, $C$13, 100%, $E$13) + CHOOSE(CONTROL!$C$28, 0, 0)</f>
        <v>117.23050000000001</v>
      </c>
      <c r="E986" s="4">
        <f>791.289242174448 * CHOOSE(CONTROL!$C$9, $C$13, 100%, $E$13) + CHOOSE(CONTROL!$C$28, 0, 0)</f>
        <v>791.28924217444796</v>
      </c>
    </row>
    <row r="987" spans="1:5" ht="15">
      <c r="A987" s="13">
        <v>71924</v>
      </c>
      <c r="B987" s="4">
        <f>145.4453 * CHOOSE(CONTROL!$C$9, $C$13, 100%, $E$13) + CHOOSE(CONTROL!$C$28, 0.0003, 0)</f>
        <v>145.44560000000001</v>
      </c>
      <c r="C987" s="4">
        <f>145.1328 * CHOOSE(CONTROL!$C$9, $C$13, 100%, $E$13) + CHOOSE(CONTROL!$C$28, 0.0003, 0)</f>
        <v>145.13310000000001</v>
      </c>
      <c r="D987" s="4">
        <f>116.6743 * CHOOSE(CONTROL!$C$9, $C$13, 100%, $E$13) + CHOOSE(CONTROL!$C$28, 0, 0)</f>
        <v>116.6743</v>
      </c>
      <c r="E987" s="4">
        <f>773.773955026896 * CHOOSE(CONTROL!$C$9, $C$13, 100%, $E$13) + CHOOSE(CONTROL!$C$28, 0, 0)</f>
        <v>773.77395502689603</v>
      </c>
    </row>
    <row r="988" spans="1:5" ht="15">
      <c r="A988" s="13">
        <v>71955</v>
      </c>
      <c r="B988" s="4">
        <f>143.1968 * CHOOSE(CONTROL!$C$9, $C$13, 100%, $E$13) + CHOOSE(CONTROL!$C$28, 0.0003, 0)</f>
        <v>143.19710000000001</v>
      </c>
      <c r="C988" s="4">
        <f>142.8843 * CHOOSE(CONTROL!$C$9, $C$13, 100%, $E$13) + CHOOSE(CONTROL!$C$28, 0.0003, 0)</f>
        <v>142.88460000000001</v>
      </c>
      <c r="D988" s="4">
        <f>112.5795 * CHOOSE(CONTROL!$C$9, $C$13, 100%, $E$13) + CHOOSE(CONTROL!$C$28, 0, 0)</f>
        <v>112.5795</v>
      </c>
      <c r="E988" s="4">
        <f>761.655627813279 * CHOOSE(CONTROL!$C$9, $C$13, 100%, $E$13) + CHOOSE(CONTROL!$C$28, 0, 0)</f>
        <v>761.65562781327901</v>
      </c>
    </row>
    <row r="989" spans="1:5" ht="15">
      <c r="A989" s="13">
        <v>71986</v>
      </c>
      <c r="B989" s="4">
        <f>139.5434 * CHOOSE(CONTROL!$C$9, $C$13, 100%, $E$13) + CHOOSE(CONTROL!$C$28, 0.0003, 0)</f>
        <v>139.5437</v>
      </c>
      <c r="C989" s="4">
        <f>139.2309 * CHOOSE(CONTROL!$C$9, $C$13, 100%, $E$13) + CHOOSE(CONTROL!$C$28, 0.0003, 0)</f>
        <v>139.2312</v>
      </c>
      <c r="D989" s="4">
        <f>108.8161 * CHOOSE(CONTROL!$C$9, $C$13, 100%, $E$13) + CHOOSE(CONTROL!$C$28, 0, 0)</f>
        <v>108.81610000000001</v>
      </c>
      <c r="E989" s="4">
        <f>739.814246846292 * CHOOSE(CONTROL!$C$9, $C$13, 100%, $E$13) + CHOOSE(CONTROL!$C$28, 0, 0)</f>
        <v>739.81424684629201</v>
      </c>
    </row>
    <row r="990" spans="1:5" ht="15">
      <c r="A990" s="13">
        <v>72014</v>
      </c>
      <c r="B990" s="4">
        <f>142.8122 * CHOOSE(CONTROL!$C$9, $C$13, 100%, $E$13) + CHOOSE(CONTROL!$C$28, 0.0003, 0)</f>
        <v>142.8125</v>
      </c>
      <c r="C990" s="4">
        <f>142.4997 * CHOOSE(CONTROL!$C$9, $C$13, 100%, $E$13) + CHOOSE(CONTROL!$C$28, 0.0003, 0)</f>
        <v>142.5</v>
      </c>
      <c r="D990" s="4">
        <f>112.6059 * CHOOSE(CONTROL!$C$9, $C$13, 100%, $E$13) + CHOOSE(CONTROL!$C$28, 0, 0)</f>
        <v>112.60590000000001</v>
      </c>
      <c r="E990" s="4">
        <f>757.380352607373 * CHOOSE(CONTROL!$C$9, $C$13, 100%, $E$13) + CHOOSE(CONTROL!$C$28, 0, 0)</f>
        <v>757.38035260737297</v>
      </c>
    </row>
    <row r="991" spans="1:5" ht="15">
      <c r="A991" s="13">
        <v>72045</v>
      </c>
      <c r="B991" s="4">
        <f>151.3962 * CHOOSE(CONTROL!$C$9, $C$13, 100%, $E$13) + CHOOSE(CONTROL!$C$28, 0.0003, 0)</f>
        <v>151.3965</v>
      </c>
      <c r="C991" s="4">
        <f>151.0837 * CHOOSE(CONTROL!$C$9, $C$13, 100%, $E$13) + CHOOSE(CONTROL!$C$28, 0.0003, 0)</f>
        <v>151.084</v>
      </c>
      <c r="D991" s="4">
        <f>118.5385 * CHOOSE(CONTROL!$C$9, $C$13, 100%, $E$13) + CHOOSE(CONTROL!$C$28, 0, 0)</f>
        <v>118.5385</v>
      </c>
      <c r="E991" s="4">
        <f>803.509879855525 * CHOOSE(CONTROL!$C$9, $C$13, 100%, $E$13) + CHOOSE(CONTROL!$C$28, 0, 0)</f>
        <v>803.50987985552501</v>
      </c>
    </row>
    <row r="992" spans="1:5" ht="15">
      <c r="A992" s="13">
        <v>72075</v>
      </c>
      <c r="B992" s="4">
        <f>157.4953 * CHOOSE(CONTROL!$C$9, $C$13, 100%, $E$13) + CHOOSE(CONTROL!$C$28, 0.0003, 0)</f>
        <v>157.4956</v>
      </c>
      <c r="C992" s="4">
        <f>157.1828 * CHOOSE(CONTROL!$C$9, $C$13, 100%, $E$13) + CHOOSE(CONTROL!$C$28, 0.0003, 0)</f>
        <v>157.1831</v>
      </c>
      <c r="D992" s="4">
        <f>121.9559 * CHOOSE(CONTROL!$C$9, $C$13, 100%, $E$13) + CHOOSE(CONTROL!$C$28, 0, 0)</f>
        <v>121.9559</v>
      </c>
      <c r="E992" s="4">
        <f>836.285523722117 * CHOOSE(CONTROL!$C$9, $C$13, 100%, $E$13) + CHOOSE(CONTROL!$C$28, 0, 0)</f>
        <v>836.28552372211698</v>
      </c>
    </row>
    <row r="993" spans="1:5" ht="15">
      <c r="A993" s="13">
        <v>72106</v>
      </c>
      <c r="B993" s="4">
        <f>161.2217 * CHOOSE(CONTROL!$C$9, $C$13, 100%, $E$13) + CHOOSE(CONTROL!$C$28, 0.0276, 0)</f>
        <v>161.24930000000001</v>
      </c>
      <c r="C993" s="4">
        <f>160.9092 * CHOOSE(CONTROL!$C$9, $C$13, 100%, $E$13) + CHOOSE(CONTROL!$C$28, 0.0276, 0)</f>
        <v>160.93680000000001</v>
      </c>
      <c r="D993" s="4">
        <f>120.6055 * CHOOSE(CONTROL!$C$9, $C$13, 100%, $E$13) + CHOOSE(CONTROL!$C$28, 0, 0)</f>
        <v>120.60550000000001</v>
      </c>
      <c r="E993" s="4">
        <f>856.310656602053 * CHOOSE(CONTROL!$C$9, $C$13, 100%, $E$13) + CHOOSE(CONTROL!$C$28, 0, 0)</f>
        <v>856.31065660205297</v>
      </c>
    </row>
    <row r="994" spans="1:5" ht="15">
      <c r="A994" s="13">
        <v>72136</v>
      </c>
      <c r="B994" s="4">
        <f>161.7259 * CHOOSE(CONTROL!$C$9, $C$13, 100%, $E$13) + CHOOSE(CONTROL!$C$28, 0.0276, 0)</f>
        <v>161.7535</v>
      </c>
      <c r="C994" s="4">
        <f>161.4134 * CHOOSE(CONTROL!$C$9, $C$13, 100%, $E$13) + CHOOSE(CONTROL!$C$28, 0.0276, 0)</f>
        <v>161.441</v>
      </c>
      <c r="D994" s="4">
        <f>121.7053 * CHOOSE(CONTROL!$C$9, $C$13, 100%, $E$13) + CHOOSE(CONTROL!$C$28, 0, 0)</f>
        <v>121.70529999999999</v>
      </c>
      <c r="E994" s="4">
        <f>859.020140186717 * CHOOSE(CONTROL!$C$9, $C$13, 100%, $E$13) + CHOOSE(CONTROL!$C$28, 0, 0)</f>
        <v>859.02014018671696</v>
      </c>
    </row>
    <row r="995" spans="1:5" ht="15">
      <c r="A995" s="13">
        <v>72167</v>
      </c>
      <c r="B995" s="4">
        <f>161.675 * CHOOSE(CONTROL!$C$9, $C$13, 100%, $E$13) + CHOOSE(CONTROL!$C$28, 0.0276, 0)</f>
        <v>161.70260000000002</v>
      </c>
      <c r="C995" s="4">
        <f>161.3625 * CHOOSE(CONTROL!$C$9, $C$13, 100%, $E$13) + CHOOSE(CONTROL!$C$28, 0.0276, 0)</f>
        <v>161.39010000000002</v>
      </c>
      <c r="D995" s="4">
        <f>123.6898 * CHOOSE(CONTROL!$C$9, $C$13, 100%, $E$13) + CHOOSE(CONTROL!$C$28, 0, 0)</f>
        <v>123.68980000000001</v>
      </c>
      <c r="E995" s="4">
        <f>858.746914951289 * CHOOSE(CONTROL!$C$9, $C$13, 100%, $E$13) + CHOOSE(CONTROL!$C$28, 0, 0)</f>
        <v>858.746914951289</v>
      </c>
    </row>
    <row r="996" spans="1:5" ht="15">
      <c r="A996" s="13">
        <v>72198</v>
      </c>
      <c r="B996" s="4">
        <f>165.501 * CHOOSE(CONTROL!$C$9, $C$13, 100%, $E$13) + CHOOSE(CONTROL!$C$28, 0.0276, 0)</f>
        <v>165.52860000000001</v>
      </c>
      <c r="C996" s="4">
        <f>165.1885 * CHOOSE(CONTROL!$C$9, $C$13, 100%, $E$13) + CHOOSE(CONTROL!$C$28, 0.0276, 0)</f>
        <v>165.21610000000001</v>
      </c>
      <c r="D996" s="4">
        <f>122.3792 * CHOOSE(CONTROL!$C$9, $C$13, 100%, $E$13) + CHOOSE(CONTROL!$C$28, 0, 0)</f>
        <v>122.3792</v>
      </c>
      <c r="E996" s="4">
        <f>879.307113917272 * CHOOSE(CONTROL!$C$9, $C$13, 100%, $E$13) + CHOOSE(CONTROL!$C$28, 0, 0)</f>
        <v>879.30711391727198</v>
      </c>
    </row>
    <row r="997" spans="1:5" ht="15">
      <c r="A997" s="13">
        <v>72228</v>
      </c>
      <c r="B997" s="4">
        <f>158.9803 * CHOOSE(CONTROL!$C$9, $C$13, 100%, $E$13) + CHOOSE(CONTROL!$C$28, 0.0276, 0)</f>
        <v>159.00790000000001</v>
      </c>
      <c r="C997" s="4">
        <f>158.6678 * CHOOSE(CONTROL!$C$9, $C$13, 100%, $E$13) + CHOOSE(CONTROL!$C$28, 0.0276, 0)</f>
        <v>158.69540000000001</v>
      </c>
      <c r="D997" s="4">
        <f>121.76 * CHOOSE(CONTROL!$C$9, $C$13, 100%, $E$13) + CHOOSE(CONTROL!$C$28, 0, 0)</f>
        <v>121.76</v>
      </c>
      <c r="E997" s="4">
        <f>844.265977473587 * CHOOSE(CONTROL!$C$9, $C$13, 100%, $E$13) + CHOOSE(CONTROL!$C$28, 0, 0)</f>
        <v>844.26597747358699</v>
      </c>
    </row>
    <row r="998" spans="1:5" ht="15">
      <c r="A998" s="13">
        <v>72259</v>
      </c>
      <c r="B998" s="4">
        <f>153.7604 * CHOOSE(CONTROL!$C$9, $C$13, 100%, $E$13) + CHOOSE(CONTROL!$C$28, 0.0003, 0)</f>
        <v>153.76070000000001</v>
      </c>
      <c r="C998" s="4">
        <f>153.4479 * CHOOSE(CONTROL!$C$9, $C$13, 100%, $E$13) + CHOOSE(CONTROL!$C$28, 0.0003, 0)</f>
        <v>153.44820000000001</v>
      </c>
      <c r="D998" s="4">
        <f>120.1021 * CHOOSE(CONTROL!$C$9, $C$13, 100%, $E$13) + CHOOSE(CONTROL!$C$28, 0, 0)</f>
        <v>120.10209999999999</v>
      </c>
      <c r="E998" s="4">
        <f>816.214853302943 * CHOOSE(CONTROL!$C$9, $C$13, 100%, $E$13) + CHOOSE(CONTROL!$C$28, 0, 0)</f>
        <v>816.21485330294297</v>
      </c>
    </row>
    <row r="999" spans="1:5" ht="15">
      <c r="A999" s="13">
        <v>72289</v>
      </c>
      <c r="B999" s="4">
        <f>150.3984 * CHOOSE(CONTROL!$C$9, $C$13, 100%, $E$13) + CHOOSE(CONTROL!$C$28, 0.0003, 0)</f>
        <v>150.39870000000002</v>
      </c>
      <c r="C999" s="4">
        <f>150.0859 * CHOOSE(CONTROL!$C$9, $C$13, 100%, $E$13) + CHOOSE(CONTROL!$C$28, 0.0003, 0)</f>
        <v>150.08620000000002</v>
      </c>
      <c r="D999" s="4">
        <f>119.5321 * CHOOSE(CONTROL!$C$9, $C$13, 100%, $E$13) + CHOOSE(CONTROL!$C$28, 0, 0)</f>
        <v>119.5321</v>
      </c>
      <c r="E999" s="4">
        <f>798.147834610244 * CHOOSE(CONTROL!$C$9, $C$13, 100%, $E$13) + CHOOSE(CONTROL!$C$28, 0, 0)</f>
        <v>798.14783461024399</v>
      </c>
    </row>
    <row r="1000" spans="1:5" ht="15">
      <c r="A1000" s="13">
        <v>72320</v>
      </c>
      <c r="B1000" s="4">
        <f>148.0724 * CHOOSE(CONTROL!$C$9, $C$13, 100%, $E$13) + CHOOSE(CONTROL!$C$28, 0.0003, 0)</f>
        <v>148.0727</v>
      </c>
      <c r="C1000" s="4">
        <f>147.7599 * CHOOSE(CONTROL!$C$9, $C$13, 100%, $E$13) + CHOOSE(CONTROL!$C$28, 0.0003, 0)</f>
        <v>147.7602</v>
      </c>
      <c r="D1000" s="4">
        <f>115.3358 * CHOOSE(CONTROL!$C$9, $C$13, 100%, $E$13) + CHOOSE(CONTROL!$C$28, 0, 0)</f>
        <v>115.33580000000001</v>
      </c>
      <c r="E1000" s="4">
        <f>785.647780089397 * CHOOSE(CONTROL!$C$9, $C$13, 100%, $E$13) + CHOOSE(CONTROL!$C$28, 0, 0)</f>
        <v>785.64778008939697</v>
      </c>
    </row>
    <row r="1001" spans="1:5" ht="15">
      <c r="A1001" s="13">
        <v>72351</v>
      </c>
      <c r="B1001" s="4">
        <f>144.293 * CHOOSE(CONTROL!$C$9, $C$13, 100%, $E$13) + CHOOSE(CONTROL!$C$28, 0.0003, 0)</f>
        <v>144.29330000000002</v>
      </c>
      <c r="C1001" s="4">
        <f>143.9805 * CHOOSE(CONTROL!$C$9, $C$13, 100%, $E$13) + CHOOSE(CONTROL!$C$28, 0.0003, 0)</f>
        <v>143.98080000000002</v>
      </c>
      <c r="D1001" s="4">
        <f>111.4791 * CHOOSE(CONTROL!$C$9, $C$13, 100%, $E$13) + CHOOSE(CONTROL!$C$28, 0, 0)</f>
        <v>111.4791</v>
      </c>
      <c r="E1001" s="4">
        <f>763.11839562195 * CHOOSE(CONTROL!$C$9, $C$13, 100%, $E$13) + CHOOSE(CONTROL!$C$28, 0, 0)</f>
        <v>763.11839562194996</v>
      </c>
    </row>
    <row r="1002" spans="1:5" ht="15">
      <c r="A1002" s="13">
        <v>72379</v>
      </c>
      <c r="B1002" s="4">
        <f>147.6746 * CHOOSE(CONTROL!$C$9, $C$13, 100%, $E$13) + CHOOSE(CONTROL!$C$28, 0.0003, 0)</f>
        <v>147.67490000000001</v>
      </c>
      <c r="C1002" s="4">
        <f>147.3621 * CHOOSE(CONTROL!$C$9, $C$13, 100%, $E$13) + CHOOSE(CONTROL!$C$28, 0.0003, 0)</f>
        <v>147.36240000000001</v>
      </c>
      <c r="D1002" s="4">
        <f>115.3629 * CHOOSE(CONTROL!$C$9, $C$13, 100%, $E$13) + CHOOSE(CONTROL!$C$28, 0, 0)</f>
        <v>115.3629</v>
      </c>
      <c r="E1002" s="4">
        <f>781.237833714505 * CHOOSE(CONTROL!$C$9, $C$13, 100%, $E$13) + CHOOSE(CONTROL!$C$28, 0, 0)</f>
        <v>781.23783371450497</v>
      </c>
    </row>
    <row r="1003" spans="1:5" ht="15">
      <c r="A1003" s="13">
        <v>72410</v>
      </c>
      <c r="B1003" s="4">
        <f>156.5547 * CHOOSE(CONTROL!$C$9, $C$13, 100%, $E$13) + CHOOSE(CONTROL!$C$28, 0.0003, 0)</f>
        <v>156.55500000000001</v>
      </c>
      <c r="C1003" s="4">
        <f>156.2422 * CHOOSE(CONTROL!$C$9, $C$13, 100%, $E$13) + CHOOSE(CONTROL!$C$28, 0.0003, 0)</f>
        <v>156.24250000000001</v>
      </c>
      <c r="D1003" s="4">
        <f>121.4426 * CHOOSE(CONTROL!$C$9, $C$13, 100%, $E$13) + CHOOSE(CONTROL!$C$28, 0, 0)</f>
        <v>121.4426</v>
      </c>
      <c r="E1003" s="4">
        <f>828.820441070974 * CHOOSE(CONTROL!$C$9, $C$13, 100%, $E$13) + CHOOSE(CONTROL!$C$28, 0, 0)</f>
        <v>828.82044107097397</v>
      </c>
    </row>
    <row r="1004" spans="1:5" ht="15">
      <c r="A1004" s="13">
        <v>72440</v>
      </c>
      <c r="B1004" s="4">
        <f>162.8642 * CHOOSE(CONTROL!$C$9, $C$13, 100%, $E$13) + CHOOSE(CONTROL!$C$28, 0.0003, 0)</f>
        <v>162.86450000000002</v>
      </c>
      <c r="C1004" s="4">
        <f>162.5517 * CHOOSE(CONTROL!$C$9, $C$13, 100%, $E$13) + CHOOSE(CONTROL!$C$28, 0.0003, 0)</f>
        <v>162.55200000000002</v>
      </c>
      <c r="D1004" s="4">
        <f>124.9448 * CHOOSE(CONTROL!$C$9, $C$13, 100%, $E$13) + CHOOSE(CONTROL!$C$28, 0, 0)</f>
        <v>124.9448</v>
      </c>
      <c r="E1004" s="4">
        <f>862.628517719364 * CHOOSE(CONTROL!$C$9, $C$13, 100%, $E$13) + CHOOSE(CONTROL!$C$28, 0, 0)</f>
        <v>862.62851771936403</v>
      </c>
    </row>
    <row r="1005" spans="1:5" ht="15">
      <c r="A1005" s="13">
        <v>72471</v>
      </c>
      <c r="B1005" s="4">
        <f>166.7191 * CHOOSE(CONTROL!$C$9, $C$13, 100%, $E$13) + CHOOSE(CONTROL!$C$28, 0.0276, 0)</f>
        <v>166.7467</v>
      </c>
      <c r="C1005" s="4">
        <f>166.4066 * CHOOSE(CONTROL!$C$9, $C$13, 100%, $E$13) + CHOOSE(CONTROL!$C$28, 0.0276, 0)</f>
        <v>166.4342</v>
      </c>
      <c r="D1005" s="4">
        <f>123.5609 * CHOOSE(CONTROL!$C$9, $C$13, 100%, $E$13) + CHOOSE(CONTROL!$C$28, 0, 0)</f>
        <v>123.5609</v>
      </c>
      <c r="E1005" s="4">
        <f>883.284442285018 * CHOOSE(CONTROL!$C$9, $C$13, 100%, $E$13) + CHOOSE(CONTROL!$C$28, 0, 0)</f>
        <v>883.28444228501803</v>
      </c>
    </row>
    <row r="1006" spans="1:5" ht="15">
      <c r="A1006" s="13">
        <v>72501</v>
      </c>
      <c r="B1006" s="4">
        <f>167.2407 * CHOOSE(CONTROL!$C$9, $C$13, 100%, $E$13) + CHOOSE(CONTROL!$C$28, 0.0276, 0)</f>
        <v>167.26830000000001</v>
      </c>
      <c r="C1006" s="4">
        <f>166.9282 * CHOOSE(CONTROL!$C$9, $C$13, 100%, $E$13) + CHOOSE(CONTROL!$C$28, 0.0276, 0)</f>
        <v>166.95580000000001</v>
      </c>
      <c r="D1006" s="4">
        <f>124.688 * CHOOSE(CONTROL!$C$9, $C$13, 100%, $E$13) + CHOOSE(CONTROL!$C$28, 0, 0)</f>
        <v>124.688</v>
      </c>
      <c r="E1006" s="4">
        <f>886.079274602599 * CHOOSE(CONTROL!$C$9, $C$13, 100%, $E$13) + CHOOSE(CONTROL!$C$28, 0, 0)</f>
        <v>886.07927460259896</v>
      </c>
    </row>
    <row r="1007" spans="1:5" ht="15">
      <c r="A1007" s="13">
        <v>72532</v>
      </c>
      <c r="B1007" s="4">
        <f>167.1881 * CHOOSE(CONTROL!$C$9, $C$13, 100%, $E$13) + CHOOSE(CONTROL!$C$28, 0.0276, 0)</f>
        <v>167.2157</v>
      </c>
      <c r="C1007" s="4">
        <f>166.8756 * CHOOSE(CONTROL!$C$9, $C$13, 100%, $E$13) + CHOOSE(CONTROL!$C$28, 0.0276, 0)</f>
        <v>166.9032</v>
      </c>
      <c r="D1007" s="4">
        <f>126.7216 * CHOOSE(CONTROL!$C$9, $C$13, 100%, $E$13) + CHOOSE(CONTROL!$C$28, 0, 0)</f>
        <v>126.7216</v>
      </c>
      <c r="E1007" s="4">
        <f>885.797442772255 * CHOOSE(CONTROL!$C$9, $C$13, 100%, $E$13) + CHOOSE(CONTROL!$C$28, 0, 0)</f>
        <v>885.79744277225495</v>
      </c>
    </row>
    <row r="1008" spans="1:5" ht="15">
      <c r="A1008" s="13">
        <v>72563</v>
      </c>
      <c r="B1008" s="4">
        <f>171.1461 * CHOOSE(CONTROL!$C$9, $C$13, 100%, $E$13) + CHOOSE(CONTROL!$C$28, 0.0276, 0)</f>
        <v>171.1737</v>
      </c>
      <c r="C1008" s="4">
        <f>170.8336 * CHOOSE(CONTROL!$C$9, $C$13, 100%, $E$13) + CHOOSE(CONTROL!$C$28, 0.0276, 0)</f>
        <v>170.8612</v>
      </c>
      <c r="D1008" s="4">
        <f>125.3786 * CHOOSE(CONTROL!$C$9, $C$13, 100%, $E$13) + CHOOSE(CONTROL!$C$28, 0, 0)</f>
        <v>125.37860000000001</v>
      </c>
      <c r="E1008" s="4">
        <f>907.005288005666 * CHOOSE(CONTROL!$C$9, $C$13, 100%, $E$13) + CHOOSE(CONTROL!$C$28, 0, 0)</f>
        <v>907.00528800566599</v>
      </c>
    </row>
    <row r="1009" spans="1:5" ht="15">
      <c r="A1009" s="13">
        <v>72593</v>
      </c>
      <c r="B1009" s="4">
        <f>164.4005 * CHOOSE(CONTROL!$C$9, $C$13, 100%, $E$13) + CHOOSE(CONTROL!$C$28, 0.0276, 0)</f>
        <v>164.4281</v>
      </c>
      <c r="C1009" s="4">
        <f>164.088 * CHOOSE(CONTROL!$C$9, $C$13, 100%, $E$13) + CHOOSE(CONTROL!$C$28, 0.0276, 0)</f>
        <v>164.1156</v>
      </c>
      <c r="D1009" s="4">
        <f>124.744 * CHOOSE(CONTROL!$C$9, $C$13, 100%, $E$13) + CHOOSE(CONTROL!$C$28, 0, 0)</f>
        <v>124.744</v>
      </c>
      <c r="E1009" s="4">
        <f>870.860355764005 * CHOOSE(CONTROL!$C$9, $C$13, 100%, $E$13) + CHOOSE(CONTROL!$C$28, 0, 0)</f>
        <v>870.86035576400502</v>
      </c>
    </row>
    <row r="1010" spans="1:5" ht="15">
      <c r="A1010" s="13">
        <v>72624</v>
      </c>
      <c r="B1010" s="4">
        <f>159.0005 * CHOOSE(CONTROL!$C$9, $C$13, 100%, $E$13) + CHOOSE(CONTROL!$C$28, 0.0003, 0)</f>
        <v>159.0008</v>
      </c>
      <c r="C1010" s="4">
        <f>158.688 * CHOOSE(CONTROL!$C$9, $C$13, 100%, $E$13) + CHOOSE(CONTROL!$C$28, 0.0003, 0)</f>
        <v>158.6883</v>
      </c>
      <c r="D1010" s="4">
        <f>123.045 * CHOOSE(CONTROL!$C$9, $C$13, 100%, $E$13) + CHOOSE(CONTROL!$C$28, 0, 0)</f>
        <v>123.045</v>
      </c>
      <c r="E1010" s="4">
        <f>841.925621181986 * CHOOSE(CONTROL!$C$9, $C$13, 100%, $E$13) + CHOOSE(CONTROL!$C$28, 0, 0)</f>
        <v>841.925621181986</v>
      </c>
    </row>
    <row r="1011" spans="1:5" ht="15">
      <c r="A1011" s="13">
        <v>72654</v>
      </c>
      <c r="B1011" s="4">
        <f>155.5225 * CHOOSE(CONTROL!$C$9, $C$13, 100%, $E$13) + CHOOSE(CONTROL!$C$28, 0.0003, 0)</f>
        <v>155.52280000000002</v>
      </c>
      <c r="C1011" s="4">
        <f>155.21 * CHOOSE(CONTROL!$C$9, $C$13, 100%, $E$13) + CHOOSE(CONTROL!$C$28, 0.0003, 0)</f>
        <v>155.21030000000002</v>
      </c>
      <c r="D1011" s="4">
        <f>122.4609 * CHOOSE(CONTROL!$C$9, $C$13, 100%, $E$13) + CHOOSE(CONTROL!$C$28, 0, 0)</f>
        <v>122.4609</v>
      </c>
      <c r="E1011" s="4">
        <f>823.289491400467 * CHOOSE(CONTROL!$C$9, $C$13, 100%, $E$13) + CHOOSE(CONTROL!$C$28, 0, 0)</f>
        <v>823.289491400467</v>
      </c>
    </row>
    <row r="1012" spans="1:5" ht="15">
      <c r="A1012" s="13">
        <v>72685</v>
      </c>
      <c r="B1012" s="4">
        <f>153.1162 * CHOOSE(CONTROL!$C$9, $C$13, 100%, $E$13) + CHOOSE(CONTROL!$C$28, 0.0003, 0)</f>
        <v>153.1165</v>
      </c>
      <c r="C1012" s="4">
        <f>152.8037 * CHOOSE(CONTROL!$C$9, $C$13, 100%, $E$13) + CHOOSE(CONTROL!$C$28, 0.0003, 0)</f>
        <v>152.804</v>
      </c>
      <c r="D1012" s="4">
        <f>118.1605 * CHOOSE(CONTROL!$C$9, $C$13, 100%, $E$13) + CHOOSE(CONTROL!$C$28, 0, 0)</f>
        <v>118.1605</v>
      </c>
      <c r="E1012" s="4">
        <f>810.395685162213 * CHOOSE(CONTROL!$C$9, $C$13, 100%, $E$13) + CHOOSE(CONTROL!$C$28, 0, 0)</f>
        <v>810.395685162213</v>
      </c>
    </row>
    <row r="1013" spans="1:5" ht="15">
      <c r="A1013" s="13">
        <v>72716</v>
      </c>
      <c r="B1013" s="4">
        <f>149.2064 * CHOOSE(CONTROL!$C$9, $C$13, 100%, $E$13) + CHOOSE(CONTROL!$C$28, 0.0003, 0)</f>
        <v>149.20670000000001</v>
      </c>
      <c r="C1013" s="4">
        <f>148.8939 * CHOOSE(CONTROL!$C$9, $C$13, 100%, $E$13) + CHOOSE(CONTROL!$C$28, 0.0003, 0)</f>
        <v>148.89420000000001</v>
      </c>
      <c r="D1013" s="4">
        <f>114.2081 * CHOOSE(CONTROL!$C$9, $C$13, 100%, $E$13) + CHOOSE(CONTROL!$C$28, 0, 0)</f>
        <v>114.2081</v>
      </c>
      <c r="E1013" s="4">
        <f>787.156625084042 * CHOOSE(CONTROL!$C$9, $C$13, 100%, $E$13) + CHOOSE(CONTROL!$C$28, 0, 0)</f>
        <v>787.15662508404205</v>
      </c>
    </row>
    <row r="1014" spans="1:5" ht="15">
      <c r="A1014" s="13">
        <v>72744</v>
      </c>
      <c r="B1014" s="4">
        <f>152.7046 * CHOOSE(CONTROL!$C$9, $C$13, 100%, $E$13) + CHOOSE(CONTROL!$C$28, 0.0003, 0)</f>
        <v>152.70490000000001</v>
      </c>
      <c r="C1014" s="4">
        <f>152.3921 * CHOOSE(CONTROL!$C$9, $C$13, 100%, $E$13) + CHOOSE(CONTROL!$C$28, 0.0003, 0)</f>
        <v>152.39240000000001</v>
      </c>
      <c r="D1014" s="4">
        <f>118.1882 * CHOOSE(CONTROL!$C$9, $C$13, 100%, $E$13) + CHOOSE(CONTROL!$C$28, 0, 0)</f>
        <v>118.18819999999999</v>
      </c>
      <c r="E1014" s="4">
        <f>805.846825476512 * CHOOSE(CONTROL!$C$9, $C$13, 100%, $E$13) + CHOOSE(CONTROL!$C$28, 0, 0)</f>
        <v>805.84682547651198</v>
      </c>
    </row>
    <row r="1015" spans="1:5" ht="15">
      <c r="A1015" s="13">
        <v>72775</v>
      </c>
      <c r="B1015" s="4">
        <f>161.8912 * CHOOSE(CONTROL!$C$9, $C$13, 100%, $E$13) + CHOOSE(CONTROL!$C$28, 0.0003, 0)</f>
        <v>161.89150000000001</v>
      </c>
      <c r="C1015" s="4">
        <f>161.5787 * CHOOSE(CONTROL!$C$9, $C$13, 100%, $E$13) + CHOOSE(CONTROL!$C$28, 0.0003, 0)</f>
        <v>161.57900000000001</v>
      </c>
      <c r="D1015" s="4">
        <f>124.4188 * CHOOSE(CONTROL!$C$9, $C$13, 100%, $E$13) + CHOOSE(CONTROL!$C$28, 0, 0)</f>
        <v>124.4188</v>
      </c>
      <c r="E1015" s="4">
        <f>854.92828496471 * CHOOSE(CONTROL!$C$9, $C$13, 100%, $E$13) + CHOOSE(CONTROL!$C$28, 0, 0)</f>
        <v>854.92828496470997</v>
      </c>
    </row>
    <row r="1016" spans="1:5" ht="15">
      <c r="A1016" s="13">
        <v>72805</v>
      </c>
      <c r="B1016" s="4">
        <f>168.4183 * CHOOSE(CONTROL!$C$9, $C$13, 100%, $E$13) + CHOOSE(CONTROL!$C$28, 0.0003, 0)</f>
        <v>168.4186</v>
      </c>
      <c r="C1016" s="4">
        <f>168.1058 * CHOOSE(CONTROL!$C$9, $C$13, 100%, $E$13) + CHOOSE(CONTROL!$C$28, 0.0003, 0)</f>
        <v>168.1061</v>
      </c>
      <c r="D1016" s="4">
        <f>128.0078 * CHOOSE(CONTROL!$C$9, $C$13, 100%, $E$13) + CHOOSE(CONTROL!$C$28, 0, 0)</f>
        <v>128.0078</v>
      </c>
      <c r="E1016" s="4">
        <f>889.801316027524 * CHOOSE(CONTROL!$C$9, $C$13, 100%, $E$13) + CHOOSE(CONTROL!$C$28, 0, 0)</f>
        <v>889.80131602752397</v>
      </c>
    </row>
    <row r="1017" spans="1:5" ht="15">
      <c r="A1017" s="13">
        <v>72836</v>
      </c>
      <c r="B1017" s="4">
        <f>172.4063 * CHOOSE(CONTROL!$C$9, $C$13, 100%, $E$13) + CHOOSE(CONTROL!$C$28, 0.0276, 0)</f>
        <v>172.43389999999999</v>
      </c>
      <c r="C1017" s="4">
        <f>172.0938 * CHOOSE(CONTROL!$C$9, $C$13, 100%, $E$13) + CHOOSE(CONTROL!$C$28, 0.0276, 0)</f>
        <v>172.12139999999999</v>
      </c>
      <c r="D1017" s="4">
        <f>126.5896 * CHOOSE(CONTROL!$C$9, $C$13, 100%, $E$13) + CHOOSE(CONTROL!$C$28, 0, 0)</f>
        <v>126.5896</v>
      </c>
      <c r="E1017" s="4">
        <f>911.107902216996 * CHOOSE(CONTROL!$C$9, $C$13, 100%, $E$13) + CHOOSE(CONTROL!$C$28, 0, 0)</f>
        <v>911.10790221699597</v>
      </c>
    </row>
    <row r="1018" spans="1:5" ht="15">
      <c r="A1018" s="13">
        <v>72866</v>
      </c>
      <c r="B1018" s="4">
        <f>172.9458 * CHOOSE(CONTROL!$C$9, $C$13, 100%, $E$13) + CHOOSE(CONTROL!$C$28, 0.0276, 0)</f>
        <v>172.9734</v>
      </c>
      <c r="C1018" s="4">
        <f>172.6333 * CHOOSE(CONTROL!$C$9, $C$13, 100%, $E$13) + CHOOSE(CONTROL!$C$28, 0.0276, 0)</f>
        <v>172.6609</v>
      </c>
      <c r="D1018" s="4">
        <f>127.7446 * CHOOSE(CONTROL!$C$9, $C$13, 100%, $E$13) + CHOOSE(CONTROL!$C$28, 0, 0)</f>
        <v>127.74460000000001</v>
      </c>
      <c r="E1018" s="4">
        <f>913.990771752581 * CHOOSE(CONTROL!$C$9, $C$13, 100%, $E$13) + CHOOSE(CONTROL!$C$28, 0, 0)</f>
        <v>913.99077175258105</v>
      </c>
    </row>
    <row r="1019" spans="1:5" ht="15">
      <c r="A1019" s="13">
        <v>72897</v>
      </c>
      <c r="B1019" s="4">
        <f>172.8914 * CHOOSE(CONTROL!$C$9, $C$13, 100%, $E$13) + CHOOSE(CONTROL!$C$28, 0.0276, 0)</f>
        <v>172.91900000000001</v>
      </c>
      <c r="C1019" s="4">
        <f>172.5789 * CHOOSE(CONTROL!$C$9, $C$13, 100%, $E$13) + CHOOSE(CONTROL!$C$28, 0.0276, 0)</f>
        <v>172.60650000000001</v>
      </c>
      <c r="D1019" s="4">
        <f>129.8286 * CHOOSE(CONTROL!$C$9, $C$13, 100%, $E$13) + CHOOSE(CONTROL!$C$28, 0, 0)</f>
        <v>129.82859999999999</v>
      </c>
      <c r="E1019" s="4">
        <f>913.700062219581 * CHOOSE(CONTROL!$C$9, $C$13, 100%, $E$13) + CHOOSE(CONTROL!$C$28, 0, 0)</f>
        <v>913.70006221958101</v>
      </c>
    </row>
    <row r="1020" spans="1:5" ht="15">
      <c r="A1020" s="13">
        <v>72928</v>
      </c>
      <c r="B1020" s="4">
        <f>176.9859 * CHOOSE(CONTROL!$C$9, $C$13, 100%, $E$13) + CHOOSE(CONTROL!$C$28, 0.0276, 0)</f>
        <v>177.01349999999999</v>
      </c>
      <c r="C1020" s="4">
        <f>176.6734 * CHOOSE(CONTROL!$C$9, $C$13, 100%, $E$13) + CHOOSE(CONTROL!$C$28, 0.0276, 0)</f>
        <v>176.70099999999999</v>
      </c>
      <c r="D1020" s="4">
        <f>128.4523 * CHOOSE(CONTROL!$C$9, $C$13, 100%, $E$13) + CHOOSE(CONTROL!$C$28, 0, 0)</f>
        <v>128.45230000000001</v>
      </c>
      <c r="E1020" s="4">
        <f>935.575954577844 * CHOOSE(CONTROL!$C$9, $C$13, 100%, $E$13) + CHOOSE(CONTROL!$C$28, 0, 0)</f>
        <v>935.57595457784396</v>
      </c>
    </row>
    <row r="1021" spans="1:5" ht="15">
      <c r="A1021" s="13">
        <v>72958</v>
      </c>
      <c r="B1021" s="4">
        <f>170.0076 * CHOOSE(CONTROL!$C$9, $C$13, 100%, $E$13) + CHOOSE(CONTROL!$C$28, 0.0276, 0)</f>
        <v>170.0352</v>
      </c>
      <c r="C1021" s="4">
        <f>169.6951 * CHOOSE(CONTROL!$C$9, $C$13, 100%, $E$13) + CHOOSE(CONTROL!$C$28, 0.0276, 0)</f>
        <v>169.7227</v>
      </c>
      <c r="D1021" s="4">
        <f>127.802 * CHOOSE(CONTROL!$C$9, $C$13, 100%, $E$13) + CHOOSE(CONTROL!$C$28, 0, 0)</f>
        <v>127.80200000000001</v>
      </c>
      <c r="E1021" s="4">
        <f>898.292456970571 * CHOOSE(CONTROL!$C$9, $C$13, 100%, $E$13) + CHOOSE(CONTROL!$C$28, 0, 0)</f>
        <v>898.29245697057104</v>
      </c>
    </row>
    <row r="1022" spans="1:5" ht="15">
      <c r="A1022" s="13">
        <v>72989</v>
      </c>
      <c r="B1022" s="4">
        <f>164.4213 * CHOOSE(CONTROL!$C$9, $C$13, 100%, $E$13) + CHOOSE(CONTROL!$C$28, 0.0003, 0)</f>
        <v>164.42160000000001</v>
      </c>
      <c r="C1022" s="4">
        <f>164.1088 * CHOOSE(CONTROL!$C$9, $C$13, 100%, $E$13) + CHOOSE(CONTROL!$C$28, 0.0003, 0)</f>
        <v>164.10910000000001</v>
      </c>
      <c r="D1022" s="4">
        <f>126.0609 * CHOOSE(CONTROL!$C$9, $C$13, 100%, $E$13) + CHOOSE(CONTROL!$C$28, 0, 0)</f>
        <v>126.0609</v>
      </c>
      <c r="E1022" s="4">
        <f>868.446278249218 * CHOOSE(CONTROL!$C$9, $C$13, 100%, $E$13) + CHOOSE(CONTROL!$C$28, 0, 0)</f>
        <v>868.44627824921804</v>
      </c>
    </row>
    <row r="1023" spans="1:5" ht="15">
      <c r="A1023" s="13">
        <v>73019</v>
      </c>
      <c r="B1023" s="4">
        <f>160.8233 * CHOOSE(CONTROL!$C$9, $C$13, 100%, $E$13) + CHOOSE(CONTROL!$C$28, 0.0003, 0)</f>
        <v>160.8236</v>
      </c>
      <c r="C1023" s="4">
        <f>160.5108 * CHOOSE(CONTROL!$C$9, $C$13, 100%, $E$13) + CHOOSE(CONTROL!$C$28, 0.0003, 0)</f>
        <v>160.5111</v>
      </c>
      <c r="D1023" s="4">
        <f>125.4623 * CHOOSE(CONTROL!$C$9, $C$13, 100%, $E$13) + CHOOSE(CONTROL!$C$28, 0, 0)</f>
        <v>125.4623</v>
      </c>
      <c r="E1023" s="4">
        <f>849.223110379581 * CHOOSE(CONTROL!$C$9, $C$13, 100%, $E$13) + CHOOSE(CONTROL!$C$28, 0, 0)</f>
        <v>849.22311037958104</v>
      </c>
    </row>
    <row r="1024" spans="1:5" ht="15">
      <c r="A1024" s="13">
        <v>73050</v>
      </c>
      <c r="B1024" s="4">
        <f>158.334 * CHOOSE(CONTROL!$C$9, $C$13, 100%, $E$13) + CHOOSE(CONTROL!$C$28, 0.0003, 0)</f>
        <v>158.33430000000001</v>
      </c>
      <c r="C1024" s="4">
        <f>158.0215 * CHOOSE(CONTROL!$C$9, $C$13, 100%, $E$13) + CHOOSE(CONTROL!$C$28, 0.0003, 0)</f>
        <v>158.02180000000001</v>
      </c>
      <c r="D1024" s="4">
        <f>121.0552 * CHOOSE(CONTROL!$C$9, $C$13, 100%, $E$13) + CHOOSE(CONTROL!$C$28, 0, 0)</f>
        <v>121.0552</v>
      </c>
      <c r="E1024" s="4">
        <f>835.923149244823 * CHOOSE(CONTROL!$C$9, $C$13, 100%, $E$13) + CHOOSE(CONTROL!$C$28, 0, 0)</f>
        <v>835.92314924482298</v>
      </c>
    </row>
    <row r="1025" spans="1:5" ht="15">
      <c r="A1025" s="13">
        <v>73081</v>
      </c>
      <c r="B1025" s="4">
        <f>154.2893 * CHOOSE(CONTROL!$C$9, $C$13, 100%, $E$13) + CHOOSE(CONTROL!$C$28, 0.0003, 0)</f>
        <v>154.28960000000001</v>
      </c>
      <c r="C1025" s="4">
        <f>153.9768 * CHOOSE(CONTROL!$C$9, $C$13, 100%, $E$13) + CHOOSE(CONTROL!$C$28, 0.0003, 0)</f>
        <v>153.97710000000001</v>
      </c>
      <c r="D1025" s="4">
        <f>117.0048 * CHOOSE(CONTROL!$C$9, $C$13, 100%, $E$13) + CHOOSE(CONTROL!$C$28, 0, 0)</f>
        <v>117.0048</v>
      </c>
      <c r="E1025" s="4">
        <f>811.952058774189 * CHOOSE(CONTROL!$C$9, $C$13, 100%, $E$13) + CHOOSE(CONTROL!$C$28, 0, 0)</f>
        <v>811.95205877418903</v>
      </c>
    </row>
    <row r="1026" spans="1:5" ht="15">
      <c r="A1026" s="13">
        <v>73109</v>
      </c>
      <c r="B1026" s="4">
        <f>157.9083 * CHOOSE(CONTROL!$C$9, $C$13, 100%, $E$13) + CHOOSE(CONTROL!$C$28, 0.0003, 0)</f>
        <v>157.90860000000001</v>
      </c>
      <c r="C1026" s="4">
        <f>157.5958 * CHOOSE(CONTROL!$C$9, $C$13, 100%, $E$13) + CHOOSE(CONTROL!$C$28, 0.0003, 0)</f>
        <v>157.59610000000001</v>
      </c>
      <c r="D1026" s="4">
        <f>121.0836 * CHOOSE(CONTROL!$C$9, $C$13, 100%, $E$13) + CHOOSE(CONTROL!$C$28, 0, 0)</f>
        <v>121.0836</v>
      </c>
      <c r="E1026" s="4">
        <f>831.231000479022 * CHOOSE(CONTROL!$C$9, $C$13, 100%, $E$13) + CHOOSE(CONTROL!$C$28, 0, 0)</f>
        <v>831.23100047902199</v>
      </c>
    </row>
    <row r="1027" spans="1:5" ht="15">
      <c r="A1027" s="13">
        <v>73140</v>
      </c>
      <c r="B1027" s="4">
        <f>167.4117 * CHOOSE(CONTROL!$C$9, $C$13, 100%, $E$13) + CHOOSE(CONTROL!$C$28, 0.0003, 0)</f>
        <v>167.41200000000001</v>
      </c>
      <c r="C1027" s="4">
        <f>167.0992 * CHOOSE(CONTROL!$C$9, $C$13, 100%, $E$13) + CHOOSE(CONTROL!$C$28, 0.0003, 0)</f>
        <v>167.09950000000001</v>
      </c>
      <c r="D1027" s="4">
        <f>127.4687 * CHOOSE(CONTROL!$C$9, $C$13, 100%, $E$13) + CHOOSE(CONTROL!$C$28, 0, 0)</f>
        <v>127.4687</v>
      </c>
      <c r="E1027" s="4">
        <f>881.858525941098 * CHOOSE(CONTROL!$C$9, $C$13, 100%, $E$13) + CHOOSE(CONTROL!$C$28, 0, 0)</f>
        <v>881.85852594109804</v>
      </c>
    </row>
    <row r="1028" spans="1:5" ht="15">
      <c r="A1028" s="13">
        <v>73170</v>
      </c>
      <c r="B1028" s="4">
        <f>174.1641 * CHOOSE(CONTROL!$C$9, $C$13, 100%, $E$13) + CHOOSE(CONTROL!$C$28, 0.0003, 0)</f>
        <v>174.1644</v>
      </c>
      <c r="C1028" s="4">
        <f>173.8516 * CHOOSE(CONTROL!$C$9, $C$13, 100%, $E$13) + CHOOSE(CONTROL!$C$28, 0.0003, 0)</f>
        <v>173.8519</v>
      </c>
      <c r="D1028" s="4">
        <f>131.1467 * CHOOSE(CONTROL!$C$9, $C$13, 100%, $E$13) + CHOOSE(CONTROL!$C$28, 0, 0)</f>
        <v>131.14670000000001</v>
      </c>
      <c r="E1028" s="4">
        <f>917.830057482391 * CHOOSE(CONTROL!$C$9, $C$13, 100%, $E$13) + CHOOSE(CONTROL!$C$28, 0, 0)</f>
        <v>917.830057482391</v>
      </c>
    </row>
    <row r="1029" spans="1:5" ht="15">
      <c r="A1029" s="13">
        <v>73201</v>
      </c>
      <c r="B1029" s="4">
        <f>178.2896 * CHOOSE(CONTROL!$C$9, $C$13, 100%, $E$13) + CHOOSE(CONTROL!$C$28, 0.0276, 0)</f>
        <v>178.31720000000001</v>
      </c>
      <c r="C1029" s="4">
        <f>177.9771 * CHOOSE(CONTROL!$C$9, $C$13, 100%, $E$13) + CHOOSE(CONTROL!$C$28, 0.0276, 0)</f>
        <v>178.00470000000001</v>
      </c>
      <c r="D1029" s="4">
        <f>129.6933 * CHOOSE(CONTROL!$C$9, $C$13, 100%, $E$13) + CHOOSE(CONTROL!$C$28, 0, 0)</f>
        <v>129.69329999999999</v>
      </c>
      <c r="E1029" s="4">
        <f>939.807801136831 * CHOOSE(CONTROL!$C$9, $C$13, 100%, $E$13) + CHOOSE(CONTROL!$C$28, 0, 0)</f>
        <v>939.80780113683102</v>
      </c>
    </row>
    <row r="1030" spans="1:5" ht="15">
      <c r="A1030" s="13">
        <v>73231</v>
      </c>
      <c r="B1030" s="4">
        <f>178.8478 * CHOOSE(CONTROL!$C$9, $C$13, 100%, $E$13) + CHOOSE(CONTROL!$C$28, 0.0276, 0)</f>
        <v>178.87540000000001</v>
      </c>
      <c r="C1030" s="4">
        <f>178.5353 * CHOOSE(CONTROL!$C$9, $C$13, 100%, $E$13) + CHOOSE(CONTROL!$C$28, 0.0276, 0)</f>
        <v>178.56290000000001</v>
      </c>
      <c r="D1030" s="4">
        <f>130.877 * CHOOSE(CONTROL!$C$9, $C$13, 100%, $E$13) + CHOOSE(CONTROL!$C$28, 0, 0)</f>
        <v>130.87700000000001</v>
      </c>
      <c r="E1030" s="4">
        <f>942.781481062787 * CHOOSE(CONTROL!$C$9, $C$13, 100%, $E$13) + CHOOSE(CONTROL!$C$28, 0, 0)</f>
        <v>942.78148106278695</v>
      </c>
    </row>
    <row r="1031" spans="1:5" ht="15">
      <c r="A1031" s="13">
        <v>73262</v>
      </c>
      <c r="B1031" s="4">
        <f>178.7915 * CHOOSE(CONTROL!$C$9, $C$13, 100%, $E$13) + CHOOSE(CONTROL!$C$28, 0.0276, 0)</f>
        <v>178.81910000000002</v>
      </c>
      <c r="C1031" s="4">
        <f>178.479 * CHOOSE(CONTROL!$C$9, $C$13, 100%, $E$13) + CHOOSE(CONTROL!$C$28, 0.0276, 0)</f>
        <v>178.50660000000002</v>
      </c>
      <c r="D1031" s="4">
        <f>133.0127 * CHOOSE(CONTROL!$C$9, $C$13, 100%, $E$13) + CHOOSE(CONTROL!$C$28, 0, 0)</f>
        <v>133.0127</v>
      </c>
      <c r="E1031" s="4">
        <f>942.481614179497 * CHOOSE(CONTROL!$C$9, $C$13, 100%, $E$13) + CHOOSE(CONTROL!$C$28, 0, 0)</f>
        <v>942.481614179497</v>
      </c>
    </row>
    <row r="1032" spans="1:5" ht="15">
      <c r="A1032" s="13">
        <v>73293</v>
      </c>
      <c r="B1032" s="4">
        <f>183.0273 * CHOOSE(CONTROL!$C$9, $C$13, 100%, $E$13) + CHOOSE(CONTROL!$C$28, 0.0276, 0)</f>
        <v>183.0549</v>
      </c>
      <c r="C1032" s="4">
        <f>182.7148 * CHOOSE(CONTROL!$C$9, $C$13, 100%, $E$13) + CHOOSE(CONTROL!$C$28, 0.0276, 0)</f>
        <v>182.7424</v>
      </c>
      <c r="D1032" s="4">
        <f>131.6023 * CHOOSE(CONTROL!$C$9, $C$13, 100%, $E$13) + CHOOSE(CONTROL!$C$28, 0, 0)</f>
        <v>131.60230000000001</v>
      </c>
      <c r="E1032" s="4">
        <f>965.046597147047 * CHOOSE(CONTROL!$C$9, $C$13, 100%, $E$13) + CHOOSE(CONTROL!$C$28, 0, 0)</f>
        <v>965.04659714704701</v>
      </c>
    </row>
    <row r="1033" spans="1:5" ht="15">
      <c r="A1033" s="13">
        <v>73323</v>
      </c>
      <c r="B1033" s="4">
        <f>175.8082 * CHOOSE(CONTROL!$C$9, $C$13, 100%, $E$13) + CHOOSE(CONTROL!$C$28, 0.0276, 0)</f>
        <v>175.83580000000001</v>
      </c>
      <c r="C1033" s="4">
        <f>175.4957 * CHOOSE(CONTROL!$C$9, $C$13, 100%, $E$13) + CHOOSE(CONTROL!$C$28, 0.0276, 0)</f>
        <v>175.52330000000001</v>
      </c>
      <c r="D1033" s="4">
        <f>130.9359 * CHOOSE(CONTROL!$C$9, $C$13, 100%, $E$13) + CHOOSE(CONTROL!$C$28, 0, 0)</f>
        <v>130.9359</v>
      </c>
      <c r="E1033" s="4">
        <f>926.588669365144 * CHOOSE(CONTROL!$C$9, $C$13, 100%, $E$13) + CHOOSE(CONTROL!$C$28, 0, 0)</f>
        <v>926.58866936514403</v>
      </c>
    </row>
    <row r="1034" spans="1:5" ht="15">
      <c r="A1034" s="13">
        <v>73354</v>
      </c>
      <c r="B1034" s="4">
        <f>170.0292 * CHOOSE(CONTROL!$C$9, $C$13, 100%, $E$13) + CHOOSE(CONTROL!$C$28, 0.0003, 0)</f>
        <v>170.02950000000001</v>
      </c>
      <c r="C1034" s="4">
        <f>169.7167 * CHOOSE(CONTROL!$C$9, $C$13, 100%, $E$13) + CHOOSE(CONTROL!$C$28, 0.0003, 0)</f>
        <v>169.71700000000001</v>
      </c>
      <c r="D1034" s="4">
        <f>129.1515 * CHOOSE(CONTROL!$C$9, $C$13, 100%, $E$13) + CHOOSE(CONTROL!$C$28, 0, 0)</f>
        <v>129.1515</v>
      </c>
      <c r="E1034" s="4">
        <f>895.802336014069 * CHOOSE(CONTROL!$C$9, $C$13, 100%, $E$13) + CHOOSE(CONTROL!$C$28, 0, 0)</f>
        <v>895.80233601406906</v>
      </c>
    </row>
    <row r="1035" spans="1:5" ht="15">
      <c r="A1035" s="13">
        <v>73384</v>
      </c>
      <c r="B1035" s="4">
        <f>166.3071 * CHOOSE(CONTROL!$C$9, $C$13, 100%, $E$13) + CHOOSE(CONTROL!$C$28, 0.0003, 0)</f>
        <v>166.3074</v>
      </c>
      <c r="C1035" s="4">
        <f>165.9946 * CHOOSE(CONTROL!$C$9, $C$13, 100%, $E$13) + CHOOSE(CONTROL!$C$28, 0.0003, 0)</f>
        <v>165.9949</v>
      </c>
      <c r="D1035" s="4">
        <f>128.5381 * CHOOSE(CONTROL!$C$9, $C$13, 100%, $E$13) + CHOOSE(CONTROL!$C$28, 0, 0)</f>
        <v>128.53809999999999</v>
      </c>
      <c r="E1035" s="4">
        <f>875.973638356538 * CHOOSE(CONTROL!$C$9, $C$13, 100%, $E$13) + CHOOSE(CONTROL!$C$28, 0, 0)</f>
        <v>875.973638356538</v>
      </c>
    </row>
    <row r="1036" spans="1:5" ht="15">
      <c r="A1036" s="13">
        <v>73415</v>
      </c>
      <c r="B1036" s="4">
        <f>163.7318 * CHOOSE(CONTROL!$C$9, $C$13, 100%, $E$13) + CHOOSE(CONTROL!$C$28, 0.0003, 0)</f>
        <v>163.7321</v>
      </c>
      <c r="C1036" s="4">
        <f>163.4193 * CHOOSE(CONTROL!$C$9, $C$13, 100%, $E$13) + CHOOSE(CONTROL!$C$28, 0.0003, 0)</f>
        <v>163.4196</v>
      </c>
      <c r="D1036" s="4">
        <f>124.0218 * CHOOSE(CONTROL!$C$9, $C$13, 100%, $E$13) + CHOOSE(CONTROL!$C$28, 0, 0)</f>
        <v>124.0218</v>
      </c>
      <c r="E1036" s="4">
        <f>862.254728446035 * CHOOSE(CONTROL!$C$9, $C$13, 100%, $E$13) + CHOOSE(CONTROL!$C$28, 0, 0)</f>
        <v>862.25472844603496</v>
      </c>
    </row>
    <row r="1037" spans="1:5" ht="15">
      <c r="A1037" s="10"/>
      <c r="B1037" s="4"/>
      <c r="C1037" s="4"/>
      <c r="D1037" s="4"/>
      <c r="E1037" s="4"/>
    </row>
    <row r="1038" spans="1:5" ht="15">
      <c r="A1038" s="3">
        <v>2016</v>
      </c>
      <c r="B1038" s="4">
        <f>AVERAGE(B17:B28)</f>
        <v>6.9676666666666671</v>
      </c>
      <c r="C1038" s="4">
        <f>AVERAGE(C17:C28)</f>
        <v>6.6551666666666671</v>
      </c>
      <c r="D1038" s="4">
        <f>AVERAGE(D17:D28)</f>
        <v>10.791241666666666</v>
      </c>
      <c r="E1038" s="4">
        <f>AVERAGE(E17:E28)</f>
        <v>41.519166666666671</v>
      </c>
    </row>
    <row r="1039" spans="1:5" ht="15">
      <c r="A1039" s="3">
        <v>2017</v>
      </c>
      <c r="B1039" s="4">
        <f>AVERAGE(B29:B40)</f>
        <v>8.2200083333333325</v>
      </c>
      <c r="C1039" s="4">
        <f>AVERAGE(C29:C40)</f>
        <v>7.9075166666666661</v>
      </c>
      <c r="D1039" s="4">
        <f>AVERAGE(D29:D40)</f>
        <v>12.176799999999998</v>
      </c>
      <c r="E1039" s="4">
        <f>AVERAGE(E29:E40)</f>
        <v>47.976666666666667</v>
      </c>
    </row>
    <row r="1040" spans="1:5" ht="15">
      <c r="A1040" s="3">
        <v>2018</v>
      </c>
      <c r="B1040" s="4">
        <f>AVERAGE(B41:B52)</f>
        <v>8.4339499999999994</v>
      </c>
      <c r="C1040" s="4">
        <f>AVERAGE(C41:C52)</f>
        <v>8.1214416666666676</v>
      </c>
      <c r="D1040" s="4">
        <f>AVERAGE(D41:D52)</f>
        <v>12.640508333333335</v>
      </c>
      <c r="E1040" s="4">
        <f>AVERAGE(E41:E52)</f>
        <v>49.345833333333331</v>
      </c>
    </row>
    <row r="1041" spans="1:5" ht="15">
      <c r="A1041" s="3">
        <v>2019</v>
      </c>
      <c r="B1041" s="4">
        <f>AVERAGE(B53:B64)</f>
        <v>10.412491666666666</v>
      </c>
      <c r="C1041" s="4">
        <f>AVERAGE(C53:C64)</f>
        <v>10.099991666666666</v>
      </c>
      <c r="D1041" s="4">
        <f>AVERAGE(D53:D64)</f>
        <v>15.110383333333331</v>
      </c>
      <c r="E1041" s="4">
        <f>AVERAGE(E53:E64)</f>
        <v>60.681944580078131</v>
      </c>
    </row>
    <row r="1042" spans="1:5" ht="15">
      <c r="A1042" s="3">
        <v>2020</v>
      </c>
      <c r="B1042" s="4">
        <f>AVERAGE(B65:B76)</f>
        <v>10.945741666666665</v>
      </c>
      <c r="C1042" s="4">
        <f>AVERAGE(C65:C76)</f>
        <v>10.633241666666665</v>
      </c>
      <c r="D1042" s="4">
        <f>AVERAGE(D65:D76)</f>
        <v>15.75014166666667</v>
      </c>
      <c r="E1042" s="4">
        <f>AVERAGE(E65:E76)</f>
        <v>63.769161173502624</v>
      </c>
    </row>
    <row r="1043" spans="1:5" ht="15">
      <c r="A1043" s="3">
        <v>2021</v>
      </c>
      <c r="B1043" s="4">
        <f>AVERAGE(B77:B88)</f>
        <v>13.856274999999997</v>
      </c>
      <c r="C1043" s="4">
        <f>AVERAGE(C77:C88)</f>
        <v>13.543774999999997</v>
      </c>
      <c r="D1043" s="4">
        <f>AVERAGE(D77:D88)</f>
        <v>18.783374999999999</v>
      </c>
      <c r="E1043" s="4">
        <f>AVERAGE(E77:E88)</f>
        <v>79.433403015136733</v>
      </c>
    </row>
    <row r="1044" spans="1:5" ht="15">
      <c r="A1044" s="3">
        <v>2022</v>
      </c>
      <c r="B1044" s="4">
        <f>AVERAGE(B89:B100)</f>
        <v>14.466858333333334</v>
      </c>
      <c r="C1044" s="4">
        <f>AVERAGE(C89:C100)</f>
        <v>14.154358333333334</v>
      </c>
      <c r="D1044" s="4">
        <f>AVERAGE(D89:D100)</f>
        <v>19.606533333333335</v>
      </c>
      <c r="E1044" s="4">
        <f>AVERAGE(E89:E100)</f>
        <v>83.260375976562514</v>
      </c>
    </row>
    <row r="1045" spans="1:5" ht="15">
      <c r="A1045" s="3">
        <v>2023</v>
      </c>
      <c r="B1045" s="4">
        <f>AVERAGE(B101:B112)</f>
        <v>15.168891666666665</v>
      </c>
      <c r="C1045" s="4">
        <f>AVERAGE(C101:C112)</f>
        <v>14.856391666666665</v>
      </c>
      <c r="D1045" s="4">
        <f>AVERAGE(D101:D112)</f>
        <v>20.527325000000001</v>
      </c>
      <c r="E1045" s="4">
        <f>AVERAGE(E101:E112)</f>
        <v>87.259902954101563</v>
      </c>
    </row>
    <row r="1046" spans="1:5" ht="15">
      <c r="A1046" s="3">
        <v>2024</v>
      </c>
      <c r="B1046" s="4">
        <f>AVERAGE(B113:B124)</f>
        <v>15.848699999999999</v>
      </c>
      <c r="C1046" s="4">
        <f>AVERAGE(C113:C124)</f>
        <v>15.536199999999999</v>
      </c>
      <c r="D1046" s="4">
        <f>AVERAGE(D113:D124)</f>
        <v>21.81271666666667</v>
      </c>
      <c r="E1046" s="4">
        <f>AVERAGE(E113:E124)</f>
        <v>91.379600524902358</v>
      </c>
    </row>
    <row r="1047" spans="1:5" ht="15">
      <c r="A1047" s="3">
        <v>2025</v>
      </c>
      <c r="B1047" s="4">
        <f>AVERAGE(B125:B136)</f>
        <v>16.623250000000002</v>
      </c>
      <c r="C1047" s="4">
        <f>AVERAGE(C125:C136)</f>
        <v>16.310750000000002</v>
      </c>
      <c r="D1047" s="4">
        <f>AVERAGE(D125:D136)</f>
        <v>22.685208333333335</v>
      </c>
      <c r="E1047" s="4">
        <f>AVERAGE(E125:E136)</f>
        <v>94.367088317871094</v>
      </c>
    </row>
    <row r="1048" spans="1:5" ht="15">
      <c r="A1048" s="3">
        <v>2026</v>
      </c>
      <c r="B1048" s="4">
        <f>AVERAGE(B137:B148)</f>
        <v>17.075433333333333</v>
      </c>
      <c r="C1048" s="4">
        <f>AVERAGE(C137:C148)</f>
        <v>16.762933333333333</v>
      </c>
      <c r="D1048" s="4">
        <f>AVERAGE(D137:D148)</f>
        <v>23.330466666666666</v>
      </c>
      <c r="E1048" s="4">
        <f>AVERAGE(E137:E148)</f>
        <v>97.621452331543026</v>
      </c>
    </row>
    <row r="1049" spans="1:5" ht="15">
      <c r="A1049" s="3">
        <v>2027</v>
      </c>
      <c r="B1049" s="4">
        <f>AVERAGE(B149:B160)</f>
        <v>17.478075</v>
      </c>
      <c r="C1049" s="4">
        <f>AVERAGE(C149:C160)</f>
        <v>17.165575</v>
      </c>
      <c r="D1049" s="4">
        <f>AVERAGE(D149:D160)</f>
        <v>23.869191666666662</v>
      </c>
      <c r="E1049" s="4">
        <f>AVERAGE(E149:E160)</f>
        <v>100.26343536376947</v>
      </c>
    </row>
    <row r="1050" spans="1:5" ht="15">
      <c r="A1050" s="3">
        <v>2028</v>
      </c>
      <c r="B1050" s="4">
        <f>AVERAGE(B161:B172)</f>
        <v>17.856825000000001</v>
      </c>
      <c r="C1050" s="4">
        <f>AVERAGE(C161:C172)</f>
        <v>17.544325000000001</v>
      </c>
      <c r="D1050" s="4">
        <f>AVERAGE(D161:D172)</f>
        <v>24.33123333333333</v>
      </c>
      <c r="E1050" s="4">
        <f>AVERAGE(E161:E172)</f>
        <v>102.80760955810551</v>
      </c>
    </row>
    <row r="1051" spans="1:5" ht="15">
      <c r="A1051" s="3">
        <v>2029</v>
      </c>
      <c r="B1051" s="4">
        <f>AVERAGE(B173:B184)</f>
        <v>18.302441666666663</v>
      </c>
      <c r="C1051" s="4">
        <f>AVERAGE(C173:C184)</f>
        <v>17.989941666666663</v>
      </c>
      <c r="D1051" s="4">
        <f>AVERAGE(D173:D184)</f>
        <v>24.799008333333337</v>
      </c>
      <c r="E1051" s="4">
        <f>AVERAGE(E173:E184)</f>
        <v>105.67950439453124</v>
      </c>
    </row>
    <row r="1052" spans="1:5" ht="15">
      <c r="A1052" s="3">
        <v>2030</v>
      </c>
      <c r="B1052" s="4">
        <f>AVERAGE(B185:B196)</f>
        <v>18.749258333333334</v>
      </c>
      <c r="C1052" s="4">
        <f>AVERAGE(C185:C196)</f>
        <v>18.436758333333334</v>
      </c>
      <c r="D1052" s="4">
        <f>AVERAGE(D185:D196)</f>
        <v>25.275866666666662</v>
      </c>
      <c r="E1052" s="4">
        <f>AVERAGE(E185:E196)</f>
        <v>108.57302093505869</v>
      </c>
    </row>
    <row r="1053" spans="1:5" ht="15">
      <c r="A1053" s="3">
        <v>2031</v>
      </c>
      <c r="B1053" s="4">
        <f>AVERAGE(B197:B208)</f>
        <v>19.084133333333337</v>
      </c>
      <c r="C1053" s="4">
        <f>AVERAGE(C197:C208)</f>
        <v>18.771633333333337</v>
      </c>
      <c r="D1053" s="4">
        <f>AVERAGE(D197:D208)</f>
        <v>25.64288333333333</v>
      </c>
      <c r="E1053" s="4">
        <f>AVERAGE(E197:E208)</f>
        <v>110.79463195800783</v>
      </c>
    </row>
    <row r="1054" spans="1:5" ht="15">
      <c r="A1054" s="3">
        <v>2032</v>
      </c>
      <c r="B1054" s="4">
        <f>AVERAGE(B209:B220)</f>
        <v>19.438191666666668</v>
      </c>
      <c r="C1054" s="4">
        <f>AVERAGE(C209:C220)</f>
        <v>19.125691666666668</v>
      </c>
      <c r="D1054" s="4">
        <f>AVERAGE(D209:D220)</f>
        <v>26.013841666666664</v>
      </c>
      <c r="E1054" s="4">
        <f>AVERAGE(E209:E220)</f>
        <v>113.02646636962892</v>
      </c>
    </row>
    <row r="1055" spans="1:5" ht="15">
      <c r="A1055" s="3">
        <v>2033</v>
      </c>
      <c r="B1055" s="4">
        <f>AVERAGE(B221:B232)</f>
        <v>19.788074999999999</v>
      </c>
      <c r="C1055" s="4">
        <f>AVERAGE(C221:C232)</f>
        <v>19.475574999999999</v>
      </c>
      <c r="D1055" s="4">
        <f>AVERAGE(D221:D232)</f>
        <v>26.380200000000002</v>
      </c>
      <c r="E1055" s="4">
        <f>AVERAGE(E221:E232)</f>
        <v>115.24274444580067</v>
      </c>
    </row>
    <row r="1056" spans="1:5" ht="15">
      <c r="A1056" s="3">
        <v>2034</v>
      </c>
      <c r="B1056" s="4">
        <f>AVERAGE(B233:B244)</f>
        <v>20.143866666666664</v>
      </c>
      <c r="C1056" s="4">
        <f>AVERAGE(C233:C244)</f>
        <v>19.831366666666664</v>
      </c>
      <c r="D1056" s="4">
        <f>AVERAGE(D233:D244)</f>
        <v>26.753058333333328</v>
      </c>
      <c r="E1056" s="4">
        <f>AVERAGE(E233:E244)</f>
        <v>117.50201416015641</v>
      </c>
    </row>
    <row r="1057" spans="1:5" ht="15">
      <c r="A1057" s="3">
        <v>2035</v>
      </c>
      <c r="B1057" s="4">
        <f>AVERAGE(B245:B256)</f>
        <v>20.507483333333333</v>
      </c>
      <c r="C1057" s="4">
        <f>AVERAGE(C245:C256)</f>
        <v>20.194983333333333</v>
      </c>
      <c r="D1057" s="4">
        <f>AVERAGE(D245:D256)</f>
        <v>27.161950000000004</v>
      </c>
      <c r="E1057" s="4">
        <f>AVERAGE(E245:E256)</f>
        <v>119.80786132812501</v>
      </c>
    </row>
    <row r="1058" spans="1:5" ht="15">
      <c r="A1058" s="3">
        <v>2036</v>
      </c>
      <c r="B1058" s="4">
        <f>AVERAGE(B257:B268)</f>
        <v>21.149916666666666</v>
      </c>
      <c r="C1058" s="4">
        <f>AVERAGE(C257:C268)</f>
        <v>20.837416666666666</v>
      </c>
      <c r="D1058" s="4">
        <f>AVERAGE(D257:D268)</f>
        <v>27.799916666666665</v>
      </c>
      <c r="E1058" s="4">
        <f>AVERAGE(E257:E268)</f>
        <v>123.58180895996094</v>
      </c>
    </row>
    <row r="1059" spans="1:5" ht="15">
      <c r="A1059" s="3">
        <v>2037</v>
      </c>
      <c r="B1059" s="4">
        <f>AVERAGE(B269:B280)</f>
        <v>21.814483333333332</v>
      </c>
      <c r="C1059" s="4">
        <f>AVERAGE(C269:C280)</f>
        <v>21.501983333333332</v>
      </c>
      <c r="D1059" s="4">
        <f>AVERAGE(D269:D280)</f>
        <v>28.453691666666668</v>
      </c>
      <c r="E1059" s="4">
        <f>AVERAGE(E269:E280)</f>
        <v>127.47463594219975</v>
      </c>
    </row>
    <row r="1060" spans="1:5" ht="15">
      <c r="A1060" s="3">
        <f t="shared" ref="A1060:A1091" si="0">A1059+1</f>
        <v>2038</v>
      </c>
      <c r="B1060" s="4">
        <f>AVERAGE(B281:B292)</f>
        <v>22.502000000000006</v>
      </c>
      <c r="C1060" s="4">
        <f>AVERAGE(C281:C292)</f>
        <v>22.189500000000006</v>
      </c>
      <c r="D1060" s="4">
        <f>AVERAGE(D281:D292)</f>
        <v>29.123683333333322</v>
      </c>
      <c r="E1060" s="4">
        <f>AVERAGE(E281:E292)</f>
        <v>131.49008697437901</v>
      </c>
    </row>
    <row r="1061" spans="1:5" ht="15">
      <c r="A1061" s="3">
        <f t="shared" si="0"/>
        <v>2039</v>
      </c>
      <c r="B1061" s="4">
        <f>AVERAGE(B293:B304)</f>
        <v>23.213208333333331</v>
      </c>
      <c r="C1061" s="4">
        <f>AVERAGE(C293:C304)</f>
        <v>22.900708333333331</v>
      </c>
      <c r="D1061" s="4">
        <f>AVERAGE(D293:D304)</f>
        <v>29.810308333333328</v>
      </c>
      <c r="E1061" s="4">
        <f>AVERAGE(E293:E304)</f>
        <v>135.63202471407195</v>
      </c>
    </row>
    <row r="1062" spans="1:5" ht="15">
      <c r="A1062" s="3">
        <f t="shared" si="0"/>
        <v>2040</v>
      </c>
      <c r="B1062" s="4">
        <f>AVERAGE(B305:B316)</f>
        <v>23.948999999999998</v>
      </c>
      <c r="C1062" s="4">
        <f>AVERAGE(C305:C316)</f>
        <v>23.636499999999998</v>
      </c>
      <c r="D1062" s="4">
        <f>AVERAGE(D305:D316)</f>
        <v>30.513941666666668</v>
      </c>
      <c r="E1062" s="4">
        <f>AVERAGE(E305:E316)</f>
        <v>139.90443349256523</v>
      </c>
    </row>
    <row r="1063" spans="1:5" ht="15">
      <c r="A1063" s="3">
        <f t="shared" si="0"/>
        <v>2041</v>
      </c>
      <c r="B1063" s="4">
        <f>AVERAGE(B317:B328)</f>
        <v>24.710141666666662</v>
      </c>
      <c r="C1063" s="4">
        <f>AVERAGE(C317:C328)</f>
        <v>24.397641666666662</v>
      </c>
      <c r="D1063" s="4">
        <f>AVERAGE(D317:D328)</f>
        <v>31.235041666666664</v>
      </c>
      <c r="E1063" s="4">
        <f>AVERAGE(E317:E328)</f>
        <v>144.31142314758108</v>
      </c>
    </row>
    <row r="1064" spans="1:5" ht="15">
      <c r="A1064" s="3">
        <f t="shared" si="0"/>
        <v>2042</v>
      </c>
      <c r="B1064" s="4">
        <f>AVERAGE(B329:B340)</f>
        <v>25.49755833333333</v>
      </c>
      <c r="C1064" s="4">
        <f>AVERAGE(C329:C340)</f>
        <v>25.18505833333333</v>
      </c>
      <c r="D1064" s="4">
        <f>AVERAGE(D329:D340)</f>
        <v>31.97400833333333</v>
      </c>
      <c r="E1064" s="4">
        <f>AVERAGE(E329:E340)</f>
        <v>148.85723297672993</v>
      </c>
    </row>
    <row r="1065" spans="1:5" ht="15">
      <c r="A1065" s="3">
        <f t="shared" si="0"/>
        <v>2043</v>
      </c>
      <c r="B1065" s="4">
        <f>AVERAGE(B341:B352)</f>
        <v>26.312124999999998</v>
      </c>
      <c r="C1065" s="4">
        <f>AVERAGE(C341:C352)</f>
        <v>25.999624999999998</v>
      </c>
      <c r="D1065" s="4">
        <f>AVERAGE(D341:D352)</f>
        <v>32.731308333333331</v>
      </c>
      <c r="E1065" s="4">
        <f>AVERAGE(E341:E352)</f>
        <v>153.546235815497</v>
      </c>
    </row>
    <row r="1066" spans="1:5" ht="15">
      <c r="A1066" s="3">
        <f t="shared" si="0"/>
        <v>2044</v>
      </c>
      <c r="B1066" s="4">
        <f>AVERAGE(B353:B364)</f>
        <v>27.154799999999998</v>
      </c>
      <c r="C1066" s="4">
        <f>AVERAGE(C353:C364)</f>
        <v>26.842299999999998</v>
      </c>
      <c r="D1066" s="4">
        <f>AVERAGE(D353:D364)</f>
        <v>33.507391666666663</v>
      </c>
      <c r="E1066" s="4">
        <f>AVERAGE(E353:E364)</f>
        <v>158.38294224368528</v>
      </c>
    </row>
    <row r="1067" spans="1:5" ht="15">
      <c r="A1067" s="3">
        <f t="shared" si="0"/>
        <v>2045</v>
      </c>
      <c r="B1067" s="4">
        <f>AVERAGE(B365:B376)</f>
        <v>28.026549999999997</v>
      </c>
      <c r="C1067" s="4">
        <f>AVERAGE(C365:C376)</f>
        <v>27.714049999999997</v>
      </c>
      <c r="D1067" s="4">
        <f>AVERAGE(D365:D376)</f>
        <v>34.302716666666662</v>
      </c>
      <c r="E1067" s="4">
        <f>AVERAGE(E365:E376)</f>
        <v>163.37200492436116</v>
      </c>
    </row>
    <row r="1068" spans="1:5" ht="15">
      <c r="A1068" s="3">
        <f t="shared" si="0"/>
        <v>2046</v>
      </c>
      <c r="B1068" s="4">
        <f>AVERAGE(B377:B388)</f>
        <v>28.928374999999999</v>
      </c>
      <c r="C1068" s="4">
        <f>AVERAGE(C377:C388)</f>
        <v>28.615874999999999</v>
      </c>
      <c r="D1068" s="4">
        <f>AVERAGE(D377:D388)</f>
        <v>35.117774999999995</v>
      </c>
      <c r="E1068" s="4">
        <f>AVERAGE(E377:E388)</f>
        <v>168.51822307947847</v>
      </c>
    </row>
    <row r="1069" spans="1:5" ht="15">
      <c r="A1069" s="3">
        <f t="shared" si="0"/>
        <v>2047</v>
      </c>
      <c r="B1069" s="4">
        <f>AVERAGE(B389:B400)</f>
        <v>29.861341666666664</v>
      </c>
      <c r="C1069" s="4">
        <f>AVERAGE(C389:C400)</f>
        <v>29.548841666666664</v>
      </c>
      <c r="D1069" s="4">
        <f>AVERAGE(D389:D400)</f>
        <v>35.953049999999998</v>
      </c>
      <c r="E1069" s="4">
        <f>AVERAGE(E389:E400)</f>
        <v>173.82654710648217</v>
      </c>
    </row>
    <row r="1070" spans="1:5" ht="15">
      <c r="A1070" s="3">
        <f t="shared" si="0"/>
        <v>2048</v>
      </c>
      <c r="B1070" s="4">
        <f>AVERAGE(B401:B412)</f>
        <v>30.826449999999998</v>
      </c>
      <c r="C1070" s="4">
        <f>AVERAGE(C401:C412)</f>
        <v>30.513949999999998</v>
      </c>
      <c r="D1070" s="4">
        <f>AVERAGE(D401:D412)</f>
        <v>36.809016666666672</v>
      </c>
      <c r="E1070" s="4">
        <f>AVERAGE(E401:E412)</f>
        <v>179.30208334033617</v>
      </c>
    </row>
    <row r="1071" spans="1:5" ht="15">
      <c r="A1071" s="3">
        <f t="shared" si="0"/>
        <v>2049</v>
      </c>
      <c r="B1071" s="4">
        <f>AVERAGE(B413:B424)</f>
        <v>31.824875000000002</v>
      </c>
      <c r="C1071" s="4">
        <f>AVERAGE(C413:C424)</f>
        <v>31.512375000000002</v>
      </c>
      <c r="D1071" s="4">
        <f>AVERAGE(D413:D424)</f>
        <v>37.68624166666666</v>
      </c>
      <c r="E1071" s="4">
        <f>AVERAGE(E413:E424)</f>
        <v>184.9500989655568</v>
      </c>
    </row>
    <row r="1072" spans="1:5" ht="15">
      <c r="A1072" s="3">
        <f t="shared" si="0"/>
        <v>2050</v>
      </c>
      <c r="B1072" s="4">
        <f>AVERAGE(B425:B436)</f>
        <v>32.857733333333336</v>
      </c>
      <c r="C1072" s="4">
        <f>AVERAGE(C425:C436)</f>
        <v>32.545233333333336</v>
      </c>
      <c r="D1072" s="4">
        <f>AVERAGE(D425:D436)</f>
        <v>38.58518333333334</v>
      </c>
      <c r="E1072" s="4">
        <f>AVERAGE(E425:E436)</f>
        <v>190.77602708297198</v>
      </c>
    </row>
    <row r="1073" spans="1:5" ht="15">
      <c r="A1073" s="3">
        <f t="shared" si="0"/>
        <v>2051</v>
      </c>
      <c r="B1073" s="4">
        <f>AVERAGE(B437:B448)</f>
        <v>33.926224999999995</v>
      </c>
      <c r="C1073" s="4">
        <f>AVERAGE(C437:C448)</f>
        <v>33.613724999999995</v>
      </c>
      <c r="D1073" s="4">
        <f>AVERAGE(D437:D448)</f>
        <v>39.506458333333327</v>
      </c>
      <c r="E1073" s="4">
        <f>AVERAGE(E437:E448)</f>
        <v>196.7854719360856</v>
      </c>
    </row>
    <row r="1074" spans="1:5" ht="15">
      <c r="A1074" s="3">
        <f t="shared" si="0"/>
        <v>2052</v>
      </c>
      <c r="B1074" s="4">
        <f>AVERAGE(B449:B460)</f>
        <v>35.031616666666665</v>
      </c>
      <c r="C1074" s="4">
        <f>AVERAGE(C449:C460)</f>
        <v>34.719116666666665</v>
      </c>
      <c r="D1074" s="4">
        <f>AVERAGE(D449:D460)</f>
        <v>40.450575000000001</v>
      </c>
      <c r="E1074" s="4">
        <f>AVERAGE(E449:E460)</f>
        <v>202.98421430207244</v>
      </c>
    </row>
    <row r="1075" spans="1:5" ht="15">
      <c r="A1075" s="3">
        <f t="shared" si="0"/>
        <v>2053</v>
      </c>
      <c r="B1075" s="4">
        <f>AVERAGE(B461:B472)</f>
        <v>36.175108333333334</v>
      </c>
      <c r="C1075" s="4">
        <f>AVERAGE(C461:C472)</f>
        <v>35.862608333333334</v>
      </c>
      <c r="D1075" s="4">
        <f>AVERAGE(D461:D472)</f>
        <v>41.418083333333335</v>
      </c>
      <c r="E1075" s="4">
        <f>AVERAGE(E461:E472)</f>
        <v>209.37821705258753</v>
      </c>
    </row>
    <row r="1076" spans="1:5" ht="15">
      <c r="A1076" s="3">
        <f t="shared" si="0"/>
        <v>2054</v>
      </c>
      <c r="B1076" s="4">
        <f>AVERAGE(B473:B484)</f>
        <v>37.358049999999999</v>
      </c>
      <c r="C1076" s="4">
        <f>AVERAGE(C473:C484)</f>
        <v>37.045549999999999</v>
      </c>
      <c r="D1076" s="4">
        <f>AVERAGE(D473:D484)</f>
        <v>42.409608333333331</v>
      </c>
      <c r="E1076" s="4">
        <f>AVERAGE(E473:E484)</f>
        <v>215.97363088974407</v>
      </c>
    </row>
    <row r="1077" spans="1:5" ht="15">
      <c r="A1077" s="3">
        <f t="shared" si="0"/>
        <v>2055</v>
      </c>
      <c r="B1077" s="4">
        <f>AVERAGE(B485:B496)</f>
        <v>38.581816666666676</v>
      </c>
      <c r="C1077" s="4">
        <f>AVERAGE(C485:C496)</f>
        <v>38.269316666666676</v>
      </c>
      <c r="D1077" s="4">
        <f>AVERAGE(D485:D496)</f>
        <v>43.425691666666665</v>
      </c>
      <c r="E1077" s="4">
        <f>AVERAGE(E485:E496)</f>
        <v>222.77680026277119</v>
      </c>
    </row>
    <row r="1078" spans="1:5" ht="15">
      <c r="A1078" s="3">
        <f t="shared" si="0"/>
        <v>2056</v>
      </c>
      <c r="B1078" s="4">
        <f>AVERAGE(B497:B508)</f>
        <v>39.847808333333326</v>
      </c>
      <c r="C1078" s="4">
        <f>AVERAGE(C497:C508)</f>
        <v>39.535308333333326</v>
      </c>
      <c r="D1078" s="4">
        <f>AVERAGE(D497:D508)</f>
        <v>44.467008333333332</v>
      </c>
      <c r="E1078" s="4">
        <f>AVERAGE(E497:E508)</f>
        <v>229.79426947104824</v>
      </c>
    </row>
    <row r="1079" spans="1:5" ht="15">
      <c r="A1079" s="3">
        <f t="shared" si="0"/>
        <v>2057</v>
      </c>
      <c r="B1079" s="4">
        <f>AVERAGE(B509:B520)</f>
        <v>41.157466666666672</v>
      </c>
      <c r="C1079" s="4">
        <f>AVERAGE(C509:C520)</f>
        <v>40.844966666666672</v>
      </c>
      <c r="D1079" s="4">
        <f>AVERAGE(D509:D520)</f>
        <v>45.534141666666663</v>
      </c>
      <c r="E1079" s="4">
        <f>AVERAGE(E509:E520)</f>
        <v>237.03278895938658</v>
      </c>
    </row>
    <row r="1080" spans="1:5" ht="15">
      <c r="A1080" s="3">
        <f t="shared" si="0"/>
        <v>2058</v>
      </c>
      <c r="B1080" s="4">
        <f>AVERAGE(B521:B532)</f>
        <v>42.51230833333333</v>
      </c>
      <c r="C1080" s="4">
        <f>AVERAGE(C521:C532)</f>
        <v>42.19980833333333</v>
      </c>
      <c r="D1080" s="4">
        <f>AVERAGE(D521:D532)</f>
        <v>46.627733333333332</v>
      </c>
      <c r="E1080" s="4">
        <f>AVERAGE(E521:E532)</f>
        <v>244.49932181160727</v>
      </c>
    </row>
    <row r="1081" spans="1:5" ht="15">
      <c r="A1081" s="3">
        <f t="shared" si="0"/>
        <v>2059</v>
      </c>
      <c r="B1081" s="4">
        <f>AVERAGE(B533:B544)</f>
        <v>43.913883333333338</v>
      </c>
      <c r="C1081" s="4">
        <f>AVERAGE(C533:C544)</f>
        <v>43.601383333333338</v>
      </c>
      <c r="D1081" s="4">
        <f>AVERAGE(D533:D544)</f>
        <v>47.748425000000005</v>
      </c>
      <c r="E1081" s="4">
        <f>AVERAGE(E533:E544)</f>
        <v>252.20105044867276</v>
      </c>
    </row>
    <row r="1082" spans="1:5" ht="15">
      <c r="A1082" s="3">
        <f t="shared" si="0"/>
        <v>2060</v>
      </c>
      <c r="B1082" s="4">
        <f>AVERAGE(B545:B556)</f>
        <v>45.363816666666672</v>
      </c>
      <c r="C1082" s="4">
        <f>AVERAGE(C545:C556)</f>
        <v>45.051316666666672</v>
      </c>
      <c r="D1082" s="4">
        <f>AVERAGE(D545:D556)</f>
        <v>48.896933333333322</v>
      </c>
      <c r="E1082" s="4">
        <f>AVERAGE(E545:E556)</f>
        <v>260.14538353780608</v>
      </c>
    </row>
    <row r="1083" spans="1:5" ht="15">
      <c r="A1083" s="3">
        <f t="shared" si="0"/>
        <v>2061</v>
      </c>
      <c r="B1083" s="4">
        <f>AVERAGE(B557:B568)</f>
        <v>46.863775000000011</v>
      </c>
      <c r="C1083" s="4">
        <f>AVERAGE(C557:C568)</f>
        <v>46.551275000000011</v>
      </c>
      <c r="D1083" s="4">
        <f>AVERAGE(D557:D568)</f>
        <v>50.073941666666663</v>
      </c>
      <c r="E1083" s="4">
        <f>AVERAGE(E557:E568)</f>
        <v>268.33996311924687</v>
      </c>
    </row>
    <row r="1084" spans="1:5" ht="15">
      <c r="A1084" s="3">
        <f t="shared" si="0"/>
        <v>2062</v>
      </c>
      <c r="B1084" s="4">
        <f t="shared" ref="B1084:E1103" ca="1" si="1">AVERAGE(OFFSET(B$569,($A1084-$A$1084)*12,0,12,1))</f>
        <v>48.415483333333334</v>
      </c>
      <c r="C1084" s="4">
        <f t="shared" ca="1" si="1"/>
        <v>48.102983333333334</v>
      </c>
      <c r="D1084" s="4">
        <f t="shared" ca="1" si="1"/>
        <v>51.280116666666657</v>
      </c>
      <c r="E1084" s="4">
        <f t="shared" ca="1" si="1"/>
        <v>276.79267195750305</v>
      </c>
    </row>
    <row r="1085" spans="1:5" ht="15">
      <c r="A1085" s="3">
        <f t="shared" si="0"/>
        <v>2063</v>
      </c>
      <c r="B1085" s="4">
        <f t="shared" ca="1" si="1"/>
        <v>50.020733333333339</v>
      </c>
      <c r="C1085" s="4">
        <f t="shared" ca="1" si="1"/>
        <v>49.708233333333339</v>
      </c>
      <c r="D1085" s="4">
        <f t="shared" ca="1" si="1"/>
        <v>52.516199999999998</v>
      </c>
      <c r="E1085" s="4">
        <f t="shared" ca="1" si="1"/>
        <v>285.51164112416478</v>
      </c>
    </row>
    <row r="1086" spans="1:5" ht="15">
      <c r="A1086" s="3">
        <f t="shared" si="0"/>
        <v>2064</v>
      </c>
      <c r="B1086" s="4">
        <f t="shared" ca="1" si="1"/>
        <v>51.681375000000003</v>
      </c>
      <c r="C1086" s="4">
        <f t="shared" ca="1" si="1"/>
        <v>51.368875000000003</v>
      </c>
      <c r="D1086" s="4">
        <f t="shared" ca="1" si="1"/>
        <v>53.78296666666666</v>
      </c>
      <c r="E1086" s="4">
        <f t="shared" ca="1" si="1"/>
        <v>294.50525781957595</v>
      </c>
    </row>
    <row r="1087" spans="1:5" ht="15">
      <c r="A1087" s="3">
        <f t="shared" si="0"/>
        <v>2065</v>
      </c>
      <c r="B1087" s="4">
        <f t="shared" ca="1" si="1"/>
        <v>53.399258333333343</v>
      </c>
      <c r="C1087" s="4">
        <f t="shared" ca="1" si="1"/>
        <v>53.086758333333343</v>
      </c>
      <c r="D1087" s="4">
        <f t="shared" ca="1" si="1"/>
        <v>55.081108333333333</v>
      </c>
      <c r="E1087" s="4">
        <f t="shared" ca="1" si="1"/>
        <v>303.78217344089256</v>
      </c>
    </row>
    <row r="1088" spans="1:5" ht="15">
      <c r="A1088" s="3">
        <f t="shared" si="0"/>
        <v>2066</v>
      </c>
      <c r="B1088" s="4">
        <f t="shared" ca="1" si="1"/>
        <v>55.176475000000003</v>
      </c>
      <c r="C1088" s="4">
        <f t="shared" ca="1" si="1"/>
        <v>54.863975000000003</v>
      </c>
      <c r="D1088" s="4">
        <f t="shared" ca="1" si="1"/>
        <v>56.411466666666655</v>
      </c>
      <c r="E1088" s="4">
        <f t="shared" ca="1" si="1"/>
        <v>313.35131190428064</v>
      </c>
    </row>
    <row r="1089" spans="1:5" ht="15">
      <c r="A1089" s="3">
        <f t="shared" si="0"/>
        <v>2067</v>
      </c>
      <c r="B1089" s="4">
        <f t="shared" ca="1" si="1"/>
        <v>57.014966666666673</v>
      </c>
      <c r="C1089" s="4">
        <f t="shared" ca="1" si="1"/>
        <v>56.702466666666673</v>
      </c>
      <c r="D1089" s="4">
        <f t="shared" ca="1" si="1"/>
        <v>57.774816666666673</v>
      </c>
      <c r="E1089" s="4">
        <f t="shared" ca="1" si="1"/>
        <v>323.2218782292656</v>
      </c>
    </row>
    <row r="1090" spans="1:5" ht="15">
      <c r="A1090" s="3">
        <f t="shared" si="0"/>
        <v>2068</v>
      </c>
      <c r="B1090" s="4">
        <f t="shared" ca="1" si="1"/>
        <v>58.916883333333324</v>
      </c>
      <c r="C1090" s="4">
        <f t="shared" ca="1" si="1"/>
        <v>58.604383333333324</v>
      </c>
      <c r="D1090" s="4">
        <f t="shared" ca="1" si="1"/>
        <v>59.171991666666663</v>
      </c>
      <c r="E1090" s="4">
        <f t="shared" ca="1" si="1"/>
        <v>333.40336739348754</v>
      </c>
    </row>
    <row r="1091" spans="1:5" ht="15">
      <c r="A1091" s="3">
        <f t="shared" si="0"/>
        <v>2069</v>
      </c>
      <c r="B1091" s="4">
        <f t="shared" ca="1" si="1"/>
        <v>60.884441666666653</v>
      </c>
      <c r="C1091" s="4">
        <f t="shared" ca="1" si="1"/>
        <v>60.571941666666653</v>
      </c>
      <c r="D1091" s="4">
        <f t="shared" ca="1" si="1"/>
        <v>60.603783333333332</v>
      </c>
      <c r="E1091" s="4">
        <f t="shared" ca="1" si="1"/>
        <v>343.90557346638224</v>
      </c>
    </row>
    <row r="1092" spans="1:5" ht="15">
      <c r="A1092" s="3">
        <f t="shared" ref="A1092:A1122" si="2">A1091+1</f>
        <v>2070</v>
      </c>
      <c r="B1092" s="4">
        <f t="shared" ca="1" si="1"/>
        <v>62.919850000000004</v>
      </c>
      <c r="C1092" s="4">
        <f t="shared" ca="1" si="1"/>
        <v>62.607350000000004</v>
      </c>
      <c r="D1092" s="4">
        <f t="shared" ca="1" si="1"/>
        <v>62.071100000000001</v>
      </c>
      <c r="E1092" s="4">
        <f t="shared" ca="1" si="1"/>
        <v>354.7385990305732</v>
      </c>
    </row>
    <row r="1093" spans="1:5" ht="15">
      <c r="A1093" s="3">
        <f t="shared" si="2"/>
        <v>2071</v>
      </c>
      <c r="B1093" s="4">
        <f t="shared" ca="1" si="1"/>
        <v>65.025508333333349</v>
      </c>
      <c r="C1093" s="4">
        <f t="shared" ca="1" si="1"/>
        <v>64.713008333333349</v>
      </c>
      <c r="D1093" s="4">
        <f t="shared" ca="1" si="1"/>
        <v>63.574816666666663</v>
      </c>
      <c r="E1093" s="4">
        <f t="shared" ca="1" si="1"/>
        <v>365.91286490003648</v>
      </c>
    </row>
    <row r="1094" spans="1:5" ht="15">
      <c r="A1094" s="3">
        <f t="shared" si="2"/>
        <v>2072</v>
      </c>
      <c r="B1094" s="4">
        <f t="shared" ca="1" si="1"/>
        <v>67.203799999999987</v>
      </c>
      <c r="C1094" s="4">
        <f t="shared" ca="1" si="1"/>
        <v>66.891299999999987</v>
      </c>
      <c r="D1094" s="4">
        <f t="shared" ca="1" si="1"/>
        <v>65.11581666666666</v>
      </c>
      <c r="E1094" s="4">
        <f t="shared" ca="1" si="1"/>
        <v>377.43912014438769</v>
      </c>
    </row>
    <row r="1095" spans="1:5" ht="15">
      <c r="A1095" s="3">
        <f t="shared" si="2"/>
        <v>2073</v>
      </c>
      <c r="B1095" s="4">
        <f t="shared" ca="1" si="1"/>
        <v>69.457216666666653</v>
      </c>
      <c r="C1095" s="4">
        <f t="shared" ca="1" si="1"/>
        <v>69.144716666666653</v>
      </c>
      <c r="D1095" s="4">
        <f t="shared" ca="1" si="1"/>
        <v>66.695033333333342</v>
      </c>
      <c r="E1095" s="4">
        <f t="shared" ca="1" si="1"/>
        <v>389.32845242893586</v>
      </c>
    </row>
    <row r="1096" spans="1:5" ht="15">
      <c r="A1096" s="3">
        <f t="shared" si="2"/>
        <v>2074</v>
      </c>
      <c r="B1096" s="4">
        <f t="shared" ca="1" si="1"/>
        <v>71.788424999999989</v>
      </c>
      <c r="C1096" s="4">
        <f t="shared" ca="1" si="1"/>
        <v>71.475924999999989</v>
      </c>
      <c r="D1096" s="4">
        <f t="shared" ca="1" si="1"/>
        <v>68.313416666666669</v>
      </c>
      <c r="E1096" s="4">
        <f t="shared" ca="1" si="1"/>
        <v>401.59229868044753</v>
      </c>
    </row>
    <row r="1097" spans="1:5" ht="15">
      <c r="A1097" s="3">
        <f t="shared" si="2"/>
        <v>2075</v>
      </c>
      <c r="B1097" s="4">
        <f t="shared" ca="1" si="1"/>
        <v>74.200024999999997</v>
      </c>
      <c r="C1097" s="4">
        <f t="shared" ca="1" si="1"/>
        <v>73.887524999999997</v>
      </c>
      <c r="D1097" s="4">
        <f t="shared" ca="1" si="1"/>
        <v>69.971950000000007</v>
      </c>
      <c r="E1097" s="4">
        <f t="shared" ca="1" si="1"/>
        <v>414.24245608888168</v>
      </c>
    </row>
    <row r="1098" spans="1:5" ht="15">
      <c r="A1098" s="3">
        <f t="shared" si="2"/>
        <v>2076</v>
      </c>
      <c r="B1098" s="4">
        <f t="shared" ca="1" si="1"/>
        <v>76.694833333333335</v>
      </c>
      <c r="C1098" s="4">
        <f t="shared" ca="1" si="1"/>
        <v>76.382333333333335</v>
      </c>
      <c r="D1098" s="4">
        <f t="shared" ca="1" si="1"/>
        <v>71.67157499999999</v>
      </c>
      <c r="E1098" s="4">
        <f t="shared" ca="1" si="1"/>
        <v>427.29109345568151</v>
      </c>
    </row>
    <row r="1099" spans="1:5" ht="15">
      <c r="A1099" s="3">
        <f t="shared" si="2"/>
        <v>2077</v>
      </c>
      <c r="B1099" s="4">
        <f t="shared" ca="1" si="1"/>
        <v>79.275708333333327</v>
      </c>
      <c r="C1099" s="4">
        <f t="shared" ca="1" si="1"/>
        <v>78.963208333333327</v>
      </c>
      <c r="D1099" s="4">
        <f t="shared" ca="1" si="1"/>
        <v>73.413383333333329</v>
      </c>
      <c r="E1099" s="4">
        <f t="shared" ca="1" si="1"/>
        <v>440.75076289953535</v>
      </c>
    </row>
    <row r="1100" spans="1:5" ht="15">
      <c r="A1100" s="3">
        <f t="shared" si="2"/>
        <v>2078</v>
      </c>
      <c r="B1100" s="4">
        <f t="shared" ca="1" si="1"/>
        <v>81.945650000000001</v>
      </c>
      <c r="C1100" s="4">
        <f t="shared" ca="1" si="1"/>
        <v>81.633150000000001</v>
      </c>
      <c r="D1100" s="4">
        <f t="shared" ca="1" si="1"/>
        <v>75.198391666666666</v>
      </c>
      <c r="E1100" s="4">
        <f t="shared" ca="1" si="1"/>
        <v>454.63441193087101</v>
      </c>
    </row>
    <row r="1101" spans="1:5" ht="15">
      <c r="A1101" s="3">
        <f t="shared" si="2"/>
        <v>2079</v>
      </c>
      <c r="B1101" s="4">
        <f t="shared" ca="1" si="1"/>
        <v>84.707675000000009</v>
      </c>
      <c r="C1101" s="4">
        <f t="shared" ca="1" si="1"/>
        <v>84.395175000000009</v>
      </c>
      <c r="D1101" s="4">
        <f t="shared" ca="1" si="1"/>
        <v>77.02764999999998</v>
      </c>
      <c r="E1101" s="4">
        <f t="shared" ca="1" si="1"/>
        <v>468.95539590669335</v>
      </c>
    </row>
    <row r="1102" spans="1:5" ht="15">
      <c r="A1102" s="3">
        <f t="shared" si="2"/>
        <v>2080</v>
      </c>
      <c r="B1102" s="4">
        <f t="shared" ca="1" si="1"/>
        <v>87.564999999999998</v>
      </c>
      <c r="C1102" s="4">
        <f t="shared" ca="1" si="1"/>
        <v>87.252499999999998</v>
      </c>
      <c r="D1102" s="4">
        <f t="shared" ca="1" si="1"/>
        <v>78.90228333333333</v>
      </c>
      <c r="E1102" s="4">
        <f t="shared" ca="1" si="1"/>
        <v>483.72749087775429</v>
      </c>
    </row>
    <row r="1103" spans="1:5" ht="15">
      <c r="A1103" s="3">
        <f t="shared" si="2"/>
        <v>2081</v>
      </c>
      <c r="B1103" s="4">
        <f t="shared" ca="1" si="1"/>
        <v>90.520908333333338</v>
      </c>
      <c r="C1103" s="4">
        <f t="shared" ca="1" si="1"/>
        <v>90.208408333333338</v>
      </c>
      <c r="D1103" s="4">
        <f t="shared" ca="1" si="1"/>
        <v>80.823408333333333</v>
      </c>
      <c r="E1103" s="4">
        <f t="shared" ca="1" si="1"/>
        <v>498.96490684040344</v>
      </c>
    </row>
    <row r="1104" spans="1:5" ht="15">
      <c r="A1104" s="3">
        <f t="shared" si="2"/>
        <v>2082</v>
      </c>
      <c r="B1104" s="4">
        <f t="shared" ref="B1104:E1122" ca="1" si="3">AVERAGE(OFFSET(B$569,($A1104-$A$1084)*12,0,12,1))</f>
        <v>93.578791666666675</v>
      </c>
      <c r="C1104" s="4">
        <f t="shared" ca="1" si="3"/>
        <v>93.266291666666675</v>
      </c>
      <c r="D1104" s="4">
        <f t="shared" ca="1" si="3"/>
        <v>82.792191666666668</v>
      </c>
      <c r="E1104" s="4">
        <f t="shared" ca="1" si="3"/>
        <v>514.68230140587605</v>
      </c>
    </row>
    <row r="1105" spans="1:5" ht="15">
      <c r="A1105" s="3">
        <f t="shared" si="2"/>
        <v>2083</v>
      </c>
      <c r="B1105" s="4">
        <f t="shared" ca="1" si="3"/>
        <v>96.742166666666662</v>
      </c>
      <c r="C1105" s="4">
        <f t="shared" ca="1" si="3"/>
        <v>96.429666666666662</v>
      </c>
      <c r="D1105" s="4">
        <f t="shared" ca="1" si="3"/>
        <v>84.809775000000002</v>
      </c>
      <c r="E1105" s="4">
        <f t="shared" ca="1" si="3"/>
        <v>530.89479390016129</v>
      </c>
    </row>
    <row r="1106" spans="1:5" ht="15">
      <c r="A1106" s="3">
        <f t="shared" si="2"/>
        <v>2084</v>
      </c>
      <c r="B1106" s="4">
        <f t="shared" ca="1" si="3"/>
        <v>100.01469166666668</v>
      </c>
      <c r="C1106" s="4">
        <f t="shared" ca="1" si="3"/>
        <v>99.702191666666678</v>
      </c>
      <c r="D1106" s="4">
        <f t="shared" ca="1" si="3"/>
        <v>86.87739999999998</v>
      </c>
      <c r="E1106" s="4">
        <f t="shared" ca="1" si="3"/>
        <v>547.61797990801631</v>
      </c>
    </row>
    <row r="1107" spans="1:5" ht="15">
      <c r="A1107" s="3">
        <f t="shared" si="2"/>
        <v>2085</v>
      </c>
      <c r="B1107" s="4">
        <f t="shared" ca="1" si="3"/>
        <v>103.40009166666668</v>
      </c>
      <c r="C1107" s="4">
        <f t="shared" ca="1" si="3"/>
        <v>103.08759166666668</v>
      </c>
      <c r="D1107" s="4">
        <f t="shared" ca="1" si="3"/>
        <v>88.996291666666664</v>
      </c>
      <c r="E1107" s="4">
        <f t="shared" ca="1" si="3"/>
        <v>564.86794627511904</v>
      </c>
    </row>
    <row r="1108" spans="1:5" ht="15">
      <c r="A1108" s="3">
        <f t="shared" si="2"/>
        <v>2086</v>
      </c>
      <c r="B1108" s="4">
        <f t="shared" ca="1" si="3"/>
        <v>106.90229166666666</v>
      </c>
      <c r="C1108" s="4">
        <f t="shared" ca="1" si="3"/>
        <v>106.58979166666666</v>
      </c>
      <c r="D1108" s="4">
        <f t="shared" ca="1" si="3"/>
        <v>91.167758333333339</v>
      </c>
      <c r="E1108" s="4">
        <f t="shared" ca="1" si="3"/>
        <v>582.66128658278535</v>
      </c>
    </row>
    <row r="1109" spans="1:5" ht="15">
      <c r="A1109" s="3">
        <f t="shared" si="2"/>
        <v>2087</v>
      </c>
      <c r="B1109" s="4">
        <f t="shared" ca="1" si="3"/>
        <v>110.52535</v>
      </c>
      <c r="C1109" s="4">
        <f t="shared" ca="1" si="3"/>
        <v>110.21285</v>
      </c>
      <c r="D1109" s="4">
        <f t="shared" ca="1" si="3"/>
        <v>93.393058333333329</v>
      </c>
      <c r="E1109" s="4">
        <f t="shared" ca="1" si="3"/>
        <v>601.01511711014325</v>
      </c>
    </row>
    <row r="1110" spans="1:5" ht="15">
      <c r="A1110" s="3">
        <f t="shared" si="2"/>
        <v>2088</v>
      </c>
      <c r="B1110" s="4">
        <f t="shared" ca="1" si="3"/>
        <v>114.27338333333331</v>
      </c>
      <c r="C1110" s="4">
        <f t="shared" ca="1" si="3"/>
        <v>113.96088333333331</v>
      </c>
      <c r="D1110" s="4">
        <f t="shared" ca="1" si="3"/>
        <v>95.673566666666673</v>
      </c>
      <c r="E1110" s="4">
        <f t="shared" ca="1" si="3"/>
        <v>619.94709329911279</v>
      </c>
    </row>
    <row r="1111" spans="1:5" ht="15">
      <c r="A1111" s="3">
        <f t="shared" si="2"/>
        <v>2089</v>
      </c>
      <c r="B1111" s="4">
        <f t="shared" ca="1" si="3"/>
        <v>118.15071666666665</v>
      </c>
      <c r="C1111" s="4">
        <f t="shared" ca="1" si="3"/>
        <v>117.83821666666665</v>
      </c>
      <c r="D1111" s="4">
        <f t="shared" ca="1" si="3"/>
        <v>98.010608333333323</v>
      </c>
      <c r="E1111" s="4">
        <f t="shared" ca="1" si="3"/>
        <v>639.47542673803491</v>
      </c>
    </row>
    <row r="1112" spans="1:5" ht="15">
      <c r="A1112" s="3">
        <f t="shared" si="2"/>
        <v>2090</v>
      </c>
      <c r="B1112" s="4">
        <f t="shared" ca="1" si="3"/>
        <v>122.16182500000002</v>
      </c>
      <c r="C1112" s="4">
        <f t="shared" ca="1" si="3"/>
        <v>121.84932500000002</v>
      </c>
      <c r="D1112" s="4">
        <f t="shared" ca="1" si="3"/>
        <v>100.40562499999999</v>
      </c>
      <c r="E1112" s="4">
        <f t="shared" ca="1" si="3"/>
        <v>659.61890268028299</v>
      </c>
    </row>
    <row r="1113" spans="1:5" ht="15">
      <c r="A1113" s="3">
        <f t="shared" si="2"/>
        <v>2091</v>
      </c>
      <c r="B1113" s="4">
        <f t="shared" ca="1" si="3"/>
        <v>126.311325</v>
      </c>
      <c r="C1113" s="4">
        <f t="shared" ca="1" si="3"/>
        <v>125.998825</v>
      </c>
      <c r="D1113" s="4">
        <f t="shared" ca="1" si="3"/>
        <v>102.86002500000001</v>
      </c>
      <c r="E1113" s="4">
        <f t="shared" ca="1" si="3"/>
        <v>680.39689811471192</v>
      </c>
    </row>
    <row r="1114" spans="1:5" ht="15">
      <c r="A1114" s="3">
        <f t="shared" si="2"/>
        <v>2092</v>
      </c>
      <c r="B1114" s="4">
        <f t="shared" ca="1" si="3"/>
        <v>130.60397500000002</v>
      </c>
      <c r="C1114" s="4">
        <f t="shared" ca="1" si="3"/>
        <v>130.29147500000002</v>
      </c>
      <c r="D1114" s="4">
        <f t="shared" ca="1" si="3"/>
        <v>105.37528333333334</v>
      </c>
      <c r="E1114" s="4">
        <f t="shared" ca="1" si="3"/>
        <v>701.82940040532537</v>
      </c>
    </row>
    <row r="1115" spans="1:5" ht="15">
      <c r="A1115" s="3">
        <f t="shared" si="2"/>
        <v>2093</v>
      </c>
      <c r="B1115" s="4">
        <f t="shared" ca="1" si="3"/>
        <v>135.044725</v>
      </c>
      <c r="C1115" s="4">
        <f t="shared" ca="1" si="3"/>
        <v>134.732225</v>
      </c>
      <c r="D1115" s="4">
        <f t="shared" ca="1" si="3"/>
        <v>107.95295</v>
      </c>
      <c r="E1115" s="4">
        <f t="shared" ca="1" si="3"/>
        <v>723.93702651809326</v>
      </c>
    </row>
    <row r="1116" spans="1:5" ht="15">
      <c r="A1116" s="3">
        <f t="shared" si="2"/>
        <v>2094</v>
      </c>
      <c r="B1116" s="4">
        <f t="shared" ca="1" si="3"/>
        <v>139.63867500000001</v>
      </c>
      <c r="C1116" s="4">
        <f t="shared" ca="1" si="3"/>
        <v>139.32617500000001</v>
      </c>
      <c r="D1116" s="4">
        <f t="shared" ca="1" si="3"/>
        <v>110.59452499999999</v>
      </c>
      <c r="E1116" s="4">
        <f t="shared" ca="1" si="3"/>
        <v>746.74104285341309</v>
      </c>
    </row>
    <row r="1117" spans="1:5" ht="15">
      <c r="A1117" s="3">
        <f t="shared" si="2"/>
        <v>2095</v>
      </c>
      <c r="B1117" s="4">
        <f t="shared" ca="1" si="3"/>
        <v>144.39112499999999</v>
      </c>
      <c r="C1117" s="4">
        <f t="shared" ca="1" si="3"/>
        <v>144.07862499999999</v>
      </c>
      <c r="D1117" s="4">
        <f t="shared" ca="1" si="3"/>
        <v>113.30161666666665</v>
      </c>
      <c r="E1117" s="4">
        <f t="shared" ca="1" si="3"/>
        <v>770.26338570329563</v>
      </c>
    </row>
    <row r="1118" spans="1:5" ht="15">
      <c r="A1118" s="3">
        <f t="shared" si="2"/>
        <v>2096</v>
      </c>
      <c r="B1118" s="4">
        <f t="shared" ca="1" si="3"/>
        <v>149.30751666666669</v>
      </c>
      <c r="C1118" s="4">
        <f t="shared" ca="1" si="3"/>
        <v>148.99501666666669</v>
      </c>
      <c r="D1118" s="4">
        <f t="shared" ca="1" si="3"/>
        <v>116.07584999999999</v>
      </c>
      <c r="E1118" s="4">
        <f t="shared" ca="1" si="3"/>
        <v>794.52668235294948</v>
      </c>
    </row>
    <row r="1119" spans="1:5" ht="15">
      <c r="A1119" s="3">
        <f t="shared" si="2"/>
        <v>2097</v>
      </c>
      <c r="B1119" s="4">
        <f t="shared" ca="1" si="3"/>
        <v>154.39352500000001</v>
      </c>
      <c r="C1119" s="4">
        <f t="shared" ca="1" si="3"/>
        <v>154.08102500000001</v>
      </c>
      <c r="D1119" s="4">
        <f t="shared" ca="1" si="3"/>
        <v>118.91885000000001</v>
      </c>
      <c r="E1119" s="4">
        <f t="shared" ca="1" si="3"/>
        <v>819.55427284706741</v>
      </c>
    </row>
    <row r="1120" spans="1:5" ht="15">
      <c r="A1120" s="3">
        <f t="shared" si="2"/>
        <v>2098</v>
      </c>
      <c r="B1120" s="4">
        <f t="shared" ca="1" si="3"/>
        <v>159.65502500000002</v>
      </c>
      <c r="C1120" s="4">
        <f t="shared" ca="1" si="3"/>
        <v>159.34252500000002</v>
      </c>
      <c r="D1120" s="4">
        <f t="shared" ca="1" si="3"/>
        <v>121.83240833333332</v>
      </c>
      <c r="E1120" s="4">
        <f t="shared" ca="1" si="3"/>
        <v>845.37023244175009</v>
      </c>
    </row>
    <row r="1121" spans="1:5" ht="15">
      <c r="A1121" s="3">
        <f t="shared" si="2"/>
        <v>2099</v>
      </c>
      <c r="B1121" s="4">
        <f t="shared" ca="1" si="3"/>
        <v>165.09801666666667</v>
      </c>
      <c r="C1121" s="4">
        <f t="shared" ca="1" si="3"/>
        <v>164.78551666666667</v>
      </c>
      <c r="D1121" s="4">
        <f t="shared" ca="1" si="3"/>
        <v>124.81819999999999</v>
      </c>
      <c r="E1121" s="4">
        <f t="shared" ca="1" si="3"/>
        <v>871.99939476366524</v>
      </c>
    </row>
    <row r="1122" spans="1:5" ht="15">
      <c r="A1122" s="3">
        <f t="shared" si="2"/>
        <v>2100</v>
      </c>
      <c r="B1122" s="4">
        <f t="shared" ca="1" si="3"/>
        <v>170.72883333333337</v>
      </c>
      <c r="C1122" s="4">
        <f t="shared" ca="1" si="3"/>
        <v>170.41633333333337</v>
      </c>
      <c r="D1122" s="4">
        <f t="shared" ca="1" si="3"/>
        <v>127.87803333333333</v>
      </c>
      <c r="E1122" s="4">
        <f t="shared" ca="1" si="3"/>
        <v>899.4673756987205</v>
      </c>
    </row>
    <row r="1123" spans="1:5">
      <c r="A1123" s="29"/>
    </row>
    <row r="1124" spans="1:5">
      <c r="A1124" s="29"/>
    </row>
    <row r="1125" spans="1:5">
      <c r="A1125" s="29"/>
    </row>
    <row r="1126" spans="1:5">
      <c r="A1126" s="29"/>
    </row>
    <row r="1127" spans="1:5">
      <c r="A1127" s="29"/>
    </row>
    <row r="1128" spans="1:5">
      <c r="A1128" s="29"/>
    </row>
    <row r="1129" spans="1:5">
      <c r="A1129" s="29"/>
    </row>
    <row r="1130" spans="1:5">
      <c r="A1130" s="29"/>
    </row>
    <row r="1131" spans="1:5">
      <c r="A1131" s="29"/>
    </row>
    <row r="1132" spans="1:5">
      <c r="A1132" s="29"/>
    </row>
    <row r="1133" spans="1:5">
      <c r="A1133" s="29"/>
    </row>
    <row r="1134" spans="1:5">
      <c r="A1134" s="29"/>
    </row>
    <row r="1135" spans="1:5">
      <c r="A1135" s="29"/>
    </row>
    <row r="1136" spans="1:5">
      <c r="A1136" s="29"/>
    </row>
    <row r="1137" spans="1:1">
      <c r="A1137" s="29"/>
    </row>
    <row r="1138" spans="1:1">
      <c r="A1138" s="29"/>
    </row>
    <row r="1139" spans="1:1">
      <c r="A1139" s="29"/>
    </row>
    <row r="1140" spans="1:1">
      <c r="A1140" s="29"/>
    </row>
    <row r="1141" spans="1:1">
      <c r="A1141" s="29"/>
    </row>
    <row r="1142" spans="1:1">
      <c r="A1142" s="29"/>
    </row>
  </sheetData>
  <mergeCells count="1">
    <mergeCell ref="B14:C14"/>
  </mergeCells>
  <pageMargins left="0.25" right="0.25" top="0.5" bottom="0.5" header="0.25" footer="0.25"/>
  <pageSetup orientation="portrait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22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14.5546875" style="29" customWidth="1"/>
    <col min="2" max="2" width="19" style="29" customWidth="1"/>
    <col min="3" max="3" width="16.109375" style="29" customWidth="1"/>
    <col min="4" max="4" width="20.21875" style="29" customWidth="1"/>
    <col min="5" max="5" width="20.6640625" style="29" customWidth="1"/>
    <col min="6" max="6" width="16.109375" style="29" customWidth="1"/>
    <col min="7" max="9" width="20" style="29" customWidth="1"/>
    <col min="10" max="11" width="19.109375" style="29" customWidth="1"/>
    <col min="12" max="12" width="16.109375" style="29" customWidth="1"/>
    <col min="13" max="15" width="17.6640625" style="29" customWidth="1"/>
    <col min="16" max="16384" width="7.109375" style="29"/>
  </cols>
  <sheetData>
    <row r="1" spans="1:15" ht="15.75">
      <c r="A1" s="81" t="s">
        <v>64</v>
      </c>
    </row>
    <row r="2" spans="1:15" ht="15.75">
      <c r="A2" s="81" t="s">
        <v>65</v>
      </c>
    </row>
    <row r="3" spans="1:15" ht="15.75">
      <c r="A3" s="81" t="s">
        <v>66</v>
      </c>
    </row>
    <row r="4" spans="1:15" ht="15.75">
      <c r="A4" s="81" t="s">
        <v>67</v>
      </c>
    </row>
    <row r="5" spans="1:15" ht="15.75">
      <c r="A5" s="81" t="s">
        <v>69</v>
      </c>
    </row>
    <row r="6" spans="1:15" ht="15.75">
      <c r="A6" s="81" t="s">
        <v>72</v>
      </c>
    </row>
    <row r="9" spans="1:15" ht="15" customHeight="1">
      <c r="A9" s="71" t="s">
        <v>25</v>
      </c>
    </row>
    <row r="10" spans="1:15" ht="15" customHeight="1">
      <c r="A10" s="72"/>
    </row>
    <row r="11" spans="1:15" ht="15" customHeight="1">
      <c r="A11" s="72"/>
    </row>
    <row r="12" spans="1:15" ht="15" customHeight="1">
      <c r="B12" s="71"/>
      <c r="H12" s="68" t="s">
        <v>51</v>
      </c>
    </row>
    <row r="13" spans="1:15" ht="15" customHeight="1">
      <c r="A13" s="71"/>
      <c r="B13" s="70" t="s">
        <v>24</v>
      </c>
      <c r="C13" s="69">
        <f>1-0.14</f>
        <v>0.86</v>
      </c>
      <c r="D13" s="70" t="s">
        <v>23</v>
      </c>
      <c r="E13" s="69">
        <f>1+0.14</f>
        <v>1.1400000000000001</v>
      </c>
      <c r="H13" s="68"/>
      <c r="L13" s="86"/>
      <c r="M13" s="86"/>
      <c r="N13" s="86"/>
      <c r="O13" s="86"/>
    </row>
    <row r="14" spans="1:15" ht="15" customHeight="1">
      <c r="B14" s="85" t="s">
        <v>50</v>
      </c>
      <c r="C14" s="85"/>
      <c r="D14" s="85"/>
      <c r="E14" s="87" t="s">
        <v>49</v>
      </c>
      <c r="F14" s="87"/>
      <c r="G14" s="88"/>
      <c r="H14" s="89" t="s">
        <v>48</v>
      </c>
      <c r="I14" s="89"/>
      <c r="J14" s="88" t="s">
        <v>47</v>
      </c>
      <c r="K14" s="88"/>
      <c r="L14" s="86"/>
      <c r="M14" s="86"/>
      <c r="N14" s="86"/>
      <c r="O14" s="86"/>
    </row>
    <row r="15" spans="1:15" ht="63">
      <c r="B15" s="67" t="s">
        <v>46</v>
      </c>
      <c r="C15" s="66" t="s">
        <v>45</v>
      </c>
      <c r="D15" s="65" t="s">
        <v>44</v>
      </c>
      <c r="E15" s="67" t="s">
        <v>46</v>
      </c>
      <c r="F15" s="66" t="s">
        <v>45</v>
      </c>
      <c r="G15" s="65" t="s">
        <v>44</v>
      </c>
      <c r="H15" s="66" t="s">
        <v>45</v>
      </c>
      <c r="I15" s="65" t="s">
        <v>44</v>
      </c>
      <c r="J15" s="66" t="s">
        <v>45</v>
      </c>
      <c r="K15" s="65" t="s">
        <v>44</v>
      </c>
      <c r="L15" s="57"/>
      <c r="M15" s="64"/>
      <c r="N15" s="64"/>
      <c r="O15" s="64"/>
    </row>
    <row r="16" spans="1:15" ht="20.25">
      <c r="A16" s="21" t="s">
        <v>2</v>
      </c>
      <c r="B16" s="63" t="s">
        <v>1</v>
      </c>
      <c r="C16" s="63" t="s">
        <v>1</v>
      </c>
      <c r="D16" s="63" t="s">
        <v>1</v>
      </c>
      <c r="E16" s="63" t="s">
        <v>1</v>
      </c>
      <c r="F16" s="63" t="s">
        <v>1</v>
      </c>
      <c r="G16" s="63" t="s">
        <v>1</v>
      </c>
      <c r="H16" s="63" t="s">
        <v>1</v>
      </c>
      <c r="I16" s="63" t="s">
        <v>1</v>
      </c>
      <c r="J16" s="63" t="s">
        <v>1</v>
      </c>
      <c r="K16" s="63" t="s">
        <v>1</v>
      </c>
      <c r="L16" s="62"/>
      <c r="M16" s="62"/>
      <c r="N16" s="62"/>
      <c r="O16" s="62"/>
    </row>
    <row r="17" spans="1:14" ht="15">
      <c r="A17" s="13">
        <v>42370</v>
      </c>
      <c r="B17" s="60">
        <f>2.3101 * CHOOSE(CONTROL!$C$22, $C$13, 100%, $E$13)</f>
        <v>2.3100999999999998</v>
      </c>
      <c r="C17" s="60">
        <f>2.3101 * CHOOSE(CONTROL!$C$22, $C$13, 100%, $E$13)</f>
        <v>2.3100999999999998</v>
      </c>
      <c r="D17" s="60">
        <f>2.3277 * CHOOSE(CONTROL!$C$22, $C$13, 100%, $E$13)</f>
        <v>2.3277000000000001</v>
      </c>
      <c r="E17" s="61">
        <f>2.073 * CHOOSE(CONTROL!$C$22, $C$13, 100%, $E$13)</f>
        <v>2.073</v>
      </c>
      <c r="F17" s="61">
        <f>2.073 * CHOOSE(CONTROL!$C$22, $C$13, 100%, $E$13)</f>
        <v>2.073</v>
      </c>
      <c r="G17" s="61">
        <f>2.0732 * CHOOSE(CONTROL!$C$22, $C$13, 100%, $E$13)</f>
        <v>2.0731999999999999</v>
      </c>
      <c r="H17" s="61">
        <f>5.16* CHOOSE(CONTROL!$C$22, $C$13, 100%, $E$13)</f>
        <v>5.16</v>
      </c>
      <c r="I17" s="61">
        <f>5.1602 * CHOOSE(CONTROL!$C$22, $C$13, 100%, $E$13)</f>
        <v>5.1601999999999997</v>
      </c>
      <c r="J17" s="61">
        <f>2.073 * CHOOSE(CONTROL!$C$22, $C$13, 100%, $E$13)</f>
        <v>2.073</v>
      </c>
      <c r="K17" s="61">
        <f>2.0732 * CHOOSE(CONTROL!$C$22, $C$13, 100%, $E$13)</f>
        <v>2.0731999999999999</v>
      </c>
      <c r="L17" s="4"/>
      <c r="M17" s="61"/>
      <c r="N17" s="61"/>
    </row>
    <row r="18" spans="1:14" ht="15">
      <c r="A18" s="13">
        <v>42401</v>
      </c>
      <c r="B18" s="60">
        <f>2.2919 * CHOOSE(CONTROL!$C$22, $C$13, 100%, $E$13)</f>
        <v>2.2919</v>
      </c>
      <c r="C18" s="60">
        <f>2.2919 * CHOOSE(CONTROL!$C$22, $C$13, 100%, $E$13)</f>
        <v>2.2919</v>
      </c>
      <c r="D18" s="60">
        <f>2.3095 * CHOOSE(CONTROL!$C$22, $C$13, 100%, $E$13)</f>
        <v>2.3094999999999999</v>
      </c>
      <c r="E18" s="61">
        <f>3.2937 * CHOOSE(CONTROL!$C$22, $C$13, 100%, $E$13)</f>
        <v>3.2936999999999999</v>
      </c>
      <c r="F18" s="61">
        <f>2.073 * CHOOSE(CONTROL!$C$22, $C$13, 100%, $E$13)</f>
        <v>2.073</v>
      </c>
      <c r="G18" s="61">
        <f>2.0732 * CHOOSE(CONTROL!$C$22, $C$13, 100%, $E$13)</f>
        <v>2.0731999999999999</v>
      </c>
      <c r="H18" s="61">
        <f>5.1708* CHOOSE(CONTROL!$C$22, $C$13, 100%, $E$13)</f>
        <v>5.1707999999999998</v>
      </c>
      <c r="I18" s="61">
        <f>5.1709 * CHOOSE(CONTROL!$C$22, $C$13, 100%, $E$13)</f>
        <v>5.1708999999999996</v>
      </c>
      <c r="J18" s="61">
        <f>3.2937 * CHOOSE(CONTROL!$C$22, $C$13, 100%, $E$13)</f>
        <v>3.2936999999999999</v>
      </c>
      <c r="K18" s="61">
        <f>3.2939 * CHOOSE(CONTROL!$C$22, $C$13, 100%, $E$13)</f>
        <v>3.2938999999999998</v>
      </c>
      <c r="L18" s="4"/>
      <c r="M18" s="61"/>
      <c r="N18" s="61"/>
    </row>
    <row r="19" spans="1:14" ht="15">
      <c r="A19" s="13">
        <v>42430</v>
      </c>
      <c r="B19" s="60">
        <f>2.2949 * CHOOSE(CONTROL!$C$22, $C$13, 100%, $E$13)</f>
        <v>2.2949000000000002</v>
      </c>
      <c r="C19" s="60">
        <f>2.2949 * CHOOSE(CONTROL!$C$22, $C$13, 100%, $E$13)</f>
        <v>2.2949000000000002</v>
      </c>
      <c r="D19" s="60">
        <f>2.3125 * CHOOSE(CONTROL!$C$22, $C$13, 100%, $E$13)</f>
        <v>2.3125</v>
      </c>
      <c r="E19" s="61">
        <f>3.2105 * CHOOSE(CONTROL!$C$22, $C$13, 100%, $E$13)</f>
        <v>3.2105000000000001</v>
      </c>
      <c r="F19" s="61">
        <f>2.073 * CHOOSE(CONTROL!$C$22, $C$13, 100%, $E$13)</f>
        <v>2.073</v>
      </c>
      <c r="G19" s="61">
        <f>2.0732 * CHOOSE(CONTROL!$C$22, $C$13, 100%, $E$13)</f>
        <v>2.0731999999999999</v>
      </c>
      <c r="H19" s="61">
        <f>5.1815* CHOOSE(CONTROL!$C$22, $C$13, 100%, $E$13)</f>
        <v>5.1814999999999998</v>
      </c>
      <c r="I19" s="61">
        <f>5.1817 * CHOOSE(CONTROL!$C$22, $C$13, 100%, $E$13)</f>
        <v>5.1817000000000002</v>
      </c>
      <c r="J19" s="61">
        <f>3.2105 * CHOOSE(CONTROL!$C$22, $C$13, 100%, $E$13)</f>
        <v>3.2105000000000001</v>
      </c>
      <c r="K19" s="61">
        <f>3.2107 * CHOOSE(CONTROL!$C$22, $C$13, 100%, $E$13)</f>
        <v>3.2107000000000001</v>
      </c>
      <c r="L19" s="4"/>
      <c r="M19" s="61"/>
      <c r="N19" s="61"/>
    </row>
    <row r="20" spans="1:14" ht="15">
      <c r="A20" s="13">
        <v>42461</v>
      </c>
      <c r="B20" s="60">
        <f>2.2787 * CHOOSE(CONTROL!$C$22, $C$13, 100%, $E$13)</f>
        <v>2.2787000000000002</v>
      </c>
      <c r="C20" s="60">
        <f>2.2787 * CHOOSE(CONTROL!$C$22, $C$13, 100%, $E$13)</f>
        <v>2.2787000000000002</v>
      </c>
      <c r="D20" s="60">
        <f>2.2963 * CHOOSE(CONTROL!$C$22, $C$13, 100%, $E$13)</f>
        <v>2.2963</v>
      </c>
      <c r="E20" s="61">
        <f>2.9965 * CHOOSE(CONTROL!$C$22, $C$13, 100%, $E$13)</f>
        <v>2.9965000000000002</v>
      </c>
      <c r="F20" s="61">
        <f>2.049 * CHOOSE(CONTROL!$C$22, $C$13, 100%, $E$13)</f>
        <v>2.0489999999999999</v>
      </c>
      <c r="G20" s="61">
        <f>2.0492 * CHOOSE(CONTROL!$C$22, $C$13, 100%, $E$13)</f>
        <v>2.0491999999999999</v>
      </c>
      <c r="H20" s="61">
        <f>5.1923* CHOOSE(CONTROL!$C$22, $C$13, 100%, $E$13)</f>
        <v>5.1923000000000004</v>
      </c>
      <c r="I20" s="61">
        <f>5.1925 * CHOOSE(CONTROL!$C$22, $C$13, 100%, $E$13)</f>
        <v>5.1924999999999999</v>
      </c>
      <c r="J20" s="61">
        <f>2.9965 * CHOOSE(CONTROL!$C$22, $C$13, 100%, $E$13)</f>
        <v>2.9965000000000002</v>
      </c>
      <c r="K20" s="61">
        <f>2.9966 * CHOOSE(CONTROL!$C$22, $C$13, 100%, $E$13)</f>
        <v>2.9965999999999999</v>
      </c>
      <c r="L20" s="4"/>
      <c r="M20" s="61"/>
      <c r="N20" s="61"/>
    </row>
    <row r="21" spans="1:14" ht="15">
      <c r="A21" s="13">
        <v>42491</v>
      </c>
      <c r="B21" s="60">
        <f>2.2696 * CHOOSE(CONTROL!$C$22, $C$13, 100%, $E$13)</f>
        <v>2.2696000000000001</v>
      </c>
      <c r="C21" s="60">
        <f>2.2696 * CHOOSE(CONTROL!$C$22, $C$13, 100%, $E$13)</f>
        <v>2.2696000000000001</v>
      </c>
      <c r="D21" s="60">
        <f>2.3049 * CHOOSE(CONTROL!$C$22, $C$13, 100%, $E$13)</f>
        <v>2.3048999999999999</v>
      </c>
      <c r="E21" s="61">
        <f>3.1407 * CHOOSE(CONTROL!$C$22, $C$13, 100%, $E$13)</f>
        <v>3.1406999999999998</v>
      </c>
      <c r="F21" s="61">
        <f>2.049 * CHOOSE(CONTROL!$C$22, $C$13, 100%, $E$13)</f>
        <v>2.0489999999999999</v>
      </c>
      <c r="G21" s="61">
        <f>2.0512 * CHOOSE(CONTROL!$C$22, $C$13, 100%, $E$13)</f>
        <v>2.0512000000000001</v>
      </c>
      <c r="H21" s="61">
        <f>5.2031* CHOOSE(CONTROL!$C$22, $C$13, 100%, $E$13)</f>
        <v>5.2031000000000001</v>
      </c>
      <c r="I21" s="61">
        <f>5.2053 * CHOOSE(CONTROL!$C$22, $C$13, 100%, $E$13)</f>
        <v>5.2053000000000003</v>
      </c>
      <c r="J21" s="61">
        <f>3.1407 * CHOOSE(CONTROL!$C$22, $C$13, 100%, $E$13)</f>
        <v>3.1406999999999998</v>
      </c>
      <c r="K21" s="61">
        <f>3.1429 * CHOOSE(CONTROL!$C$22, $C$13, 100%, $E$13)</f>
        <v>3.1429</v>
      </c>
      <c r="L21" s="4"/>
      <c r="M21" s="61"/>
      <c r="N21" s="61"/>
    </row>
    <row r="22" spans="1:14" ht="15">
      <c r="A22" s="13">
        <v>42522</v>
      </c>
      <c r="B22" s="60">
        <f>2.2787 * CHOOSE(CONTROL!$C$22, $C$13, 100%, $E$13)</f>
        <v>2.2787000000000002</v>
      </c>
      <c r="C22" s="60">
        <f>2.2787 * CHOOSE(CONTROL!$C$22, $C$13, 100%, $E$13)</f>
        <v>2.2787000000000002</v>
      </c>
      <c r="D22" s="60">
        <f>2.314 * CHOOSE(CONTROL!$C$22, $C$13, 100%, $E$13)</f>
        <v>2.3140000000000001</v>
      </c>
      <c r="E22" s="61">
        <f>2.7508 * CHOOSE(CONTROL!$C$22, $C$13, 100%, $E$13)</f>
        <v>2.7507999999999999</v>
      </c>
      <c r="F22" s="61">
        <f>2.049 * CHOOSE(CONTROL!$C$22, $C$13, 100%, $E$13)</f>
        <v>2.0489999999999999</v>
      </c>
      <c r="G22" s="61">
        <f>2.0512 * CHOOSE(CONTROL!$C$22, $C$13, 100%, $E$13)</f>
        <v>2.0512000000000001</v>
      </c>
      <c r="H22" s="61">
        <f>5.214* CHOOSE(CONTROL!$C$22, $C$13, 100%, $E$13)</f>
        <v>5.2140000000000004</v>
      </c>
      <c r="I22" s="61">
        <f>5.2162 * CHOOSE(CONTROL!$C$22, $C$13, 100%, $E$13)</f>
        <v>5.2161999999999997</v>
      </c>
      <c r="J22" s="61">
        <f>2.7508 * CHOOSE(CONTROL!$C$22, $C$13, 100%, $E$13)</f>
        <v>2.7507999999999999</v>
      </c>
      <c r="K22" s="61">
        <f>2.753 * CHOOSE(CONTROL!$C$22, $C$13, 100%, $E$13)</f>
        <v>2.7530000000000001</v>
      </c>
      <c r="L22" s="4"/>
      <c r="M22" s="61"/>
      <c r="N22" s="61"/>
    </row>
    <row r="23" spans="1:14" ht="15">
      <c r="A23" s="13">
        <v>42552</v>
      </c>
      <c r="B23" s="60">
        <f>2.3547 * CHOOSE(CONTROL!$C$22, $C$13, 100%, $E$13)</f>
        <v>2.3546999999999998</v>
      </c>
      <c r="C23" s="60">
        <f>2.3547 * CHOOSE(CONTROL!$C$22, $C$13, 100%, $E$13)</f>
        <v>2.3546999999999998</v>
      </c>
      <c r="D23" s="60">
        <f>2.39 * CHOOSE(CONTROL!$C$22, $C$13, 100%, $E$13)</f>
        <v>2.39</v>
      </c>
      <c r="E23" s="61">
        <f>2.9653 * CHOOSE(CONTROL!$C$22, $C$13, 100%, $E$13)</f>
        <v>2.9653</v>
      </c>
      <c r="F23" s="61">
        <f>2.035 * CHOOSE(CONTROL!$C$22, $C$13, 100%, $E$13)</f>
        <v>2.0350000000000001</v>
      </c>
      <c r="G23" s="61">
        <f>2.0372 * CHOOSE(CONTROL!$C$22, $C$13, 100%, $E$13)</f>
        <v>2.0371999999999999</v>
      </c>
      <c r="H23" s="61">
        <f>5.2248* CHOOSE(CONTROL!$C$22, $C$13, 100%, $E$13)</f>
        <v>5.2248000000000001</v>
      </c>
      <c r="I23" s="61">
        <f>5.227 * CHOOSE(CONTROL!$C$22, $C$13, 100%, $E$13)</f>
        <v>5.2270000000000003</v>
      </c>
      <c r="J23" s="61">
        <f>2.9653 * CHOOSE(CONTROL!$C$22, $C$13, 100%, $E$13)</f>
        <v>2.9653</v>
      </c>
      <c r="K23" s="61">
        <f>2.9675 * CHOOSE(CONTROL!$C$22, $C$13, 100%, $E$13)</f>
        <v>2.9674999999999998</v>
      </c>
      <c r="L23" s="4"/>
      <c r="M23" s="4"/>
      <c r="N23" s="4"/>
    </row>
    <row r="24" spans="1:14" ht="15">
      <c r="A24" s="13">
        <v>42583</v>
      </c>
      <c r="B24" s="60">
        <f>2.3759 * CHOOSE(CONTROL!$C$22, $C$13, 100%, $E$13)</f>
        <v>2.3759000000000001</v>
      </c>
      <c r="C24" s="60">
        <f>2.3759 * CHOOSE(CONTROL!$C$22, $C$13, 100%, $E$13)</f>
        <v>2.3759000000000001</v>
      </c>
      <c r="D24" s="60">
        <f>2.4113 * CHOOSE(CONTROL!$C$22, $C$13, 100%, $E$13)</f>
        <v>2.4113000000000002</v>
      </c>
      <c r="E24" s="61">
        <f>3.2103 * CHOOSE(CONTROL!$C$22, $C$13, 100%, $E$13)</f>
        <v>3.2103000000000002</v>
      </c>
      <c r="F24" s="61">
        <f>2.035 * CHOOSE(CONTROL!$C$22, $C$13, 100%, $E$13)</f>
        <v>2.0350000000000001</v>
      </c>
      <c r="G24" s="61">
        <f>2.0372 * CHOOSE(CONTROL!$C$22, $C$13, 100%, $E$13)</f>
        <v>2.0371999999999999</v>
      </c>
      <c r="H24" s="61">
        <f>5.2357* CHOOSE(CONTROL!$C$22, $C$13, 100%, $E$13)</f>
        <v>5.2356999999999996</v>
      </c>
      <c r="I24" s="61">
        <f>5.2379 * CHOOSE(CONTROL!$C$22, $C$13, 100%, $E$13)</f>
        <v>5.2378999999999998</v>
      </c>
      <c r="J24" s="61">
        <f>3.2103 * CHOOSE(CONTROL!$C$22, $C$13, 100%, $E$13)</f>
        <v>3.2103000000000002</v>
      </c>
      <c r="K24" s="61">
        <f>3.2125 * CHOOSE(CONTROL!$C$22, $C$13, 100%, $E$13)</f>
        <v>3.2124999999999999</v>
      </c>
      <c r="L24" s="4"/>
      <c r="M24" s="4"/>
      <c r="N24" s="4"/>
    </row>
    <row r="25" spans="1:14" ht="15">
      <c r="A25" s="13">
        <v>42614</v>
      </c>
      <c r="B25" s="60">
        <f>2.3638 * CHOOSE(CONTROL!$C$22, $C$13, 100%, $E$13)</f>
        <v>2.3637999999999999</v>
      </c>
      <c r="C25" s="60">
        <f>2.3638 * CHOOSE(CONTROL!$C$22, $C$13, 100%, $E$13)</f>
        <v>2.3637999999999999</v>
      </c>
      <c r="D25" s="60">
        <f>2.3991 * CHOOSE(CONTROL!$C$22, $C$13, 100%, $E$13)</f>
        <v>2.3990999999999998</v>
      </c>
      <c r="E25" s="61">
        <f>3.139 * CHOOSE(CONTROL!$C$22, $C$13, 100%, $E$13)</f>
        <v>3.1389999999999998</v>
      </c>
      <c r="F25" s="61">
        <f>2.035 * CHOOSE(CONTROL!$C$22, $C$13, 100%, $E$13)</f>
        <v>2.0350000000000001</v>
      </c>
      <c r="G25" s="61">
        <f>2.0372 * CHOOSE(CONTROL!$C$22, $C$13, 100%, $E$13)</f>
        <v>2.0371999999999999</v>
      </c>
      <c r="H25" s="61">
        <f>5.2466* CHOOSE(CONTROL!$C$22, $C$13, 100%, $E$13)</f>
        <v>5.2465999999999999</v>
      </c>
      <c r="I25" s="61">
        <f>5.2488 * CHOOSE(CONTROL!$C$22, $C$13, 100%, $E$13)</f>
        <v>5.2488000000000001</v>
      </c>
      <c r="J25" s="61">
        <f>3.139 * CHOOSE(CONTROL!$C$22, $C$13, 100%, $E$13)</f>
        <v>3.1389999999999998</v>
      </c>
      <c r="K25" s="61">
        <f>3.1412 * CHOOSE(CONTROL!$C$22, $C$13, 100%, $E$13)</f>
        <v>3.1412</v>
      </c>
      <c r="L25" s="4"/>
      <c r="M25" s="4"/>
      <c r="N25" s="4"/>
    </row>
    <row r="26" spans="1:14" ht="15">
      <c r="A26" s="13">
        <v>42644</v>
      </c>
      <c r="B26" s="60">
        <f>2.3759 * CHOOSE(CONTROL!$C$22, $C$13, 100%, $E$13)</f>
        <v>2.3759000000000001</v>
      </c>
      <c r="C26" s="60">
        <f>2.3759 * CHOOSE(CONTROL!$C$22, $C$13, 100%, $E$13)</f>
        <v>2.3759000000000001</v>
      </c>
      <c r="D26" s="60">
        <f>2.3936 * CHOOSE(CONTROL!$C$22, $C$13, 100%, $E$13)</f>
        <v>2.3936000000000002</v>
      </c>
      <c r="E26" s="61">
        <f>3.139 * CHOOSE(CONTROL!$C$22, $C$13, 100%, $E$13)</f>
        <v>3.1389999999999998</v>
      </c>
      <c r="F26" s="61">
        <f>2.035 * CHOOSE(CONTROL!$C$22, $C$13, 100%, $E$13)</f>
        <v>2.0350000000000001</v>
      </c>
      <c r="G26" s="61">
        <f>2.0352 * CHOOSE(CONTROL!$C$22, $C$13, 100%, $E$13)</f>
        <v>2.0352000000000001</v>
      </c>
      <c r="H26" s="61">
        <f>5.2576* CHOOSE(CONTROL!$C$22, $C$13, 100%, $E$13)</f>
        <v>5.2576000000000001</v>
      </c>
      <c r="I26" s="61">
        <f>5.2577 * CHOOSE(CONTROL!$C$22, $C$13, 100%, $E$13)</f>
        <v>5.2576999999999998</v>
      </c>
      <c r="J26" s="61">
        <f>3.139 * CHOOSE(CONTROL!$C$22, $C$13, 100%, $E$13)</f>
        <v>3.1389999999999998</v>
      </c>
      <c r="K26" s="61">
        <f>3.1392 * CHOOSE(CONTROL!$C$22, $C$13, 100%, $E$13)</f>
        <v>3.1392000000000002</v>
      </c>
      <c r="L26" s="4"/>
      <c r="M26" s="4"/>
      <c r="N26" s="4"/>
    </row>
    <row r="27" spans="1:14" ht="15">
      <c r="A27" s="13">
        <v>42675</v>
      </c>
      <c r="B27" s="60">
        <f>2.3911 * CHOOSE(CONTROL!$C$22, $C$13, 100%, $E$13)</f>
        <v>2.3910999999999998</v>
      </c>
      <c r="C27" s="60">
        <f>2.3911 * CHOOSE(CONTROL!$C$22, $C$13, 100%, $E$13)</f>
        <v>2.3910999999999998</v>
      </c>
      <c r="D27" s="60">
        <f>2.4088 * CHOOSE(CONTROL!$C$22, $C$13, 100%, $E$13)</f>
        <v>2.4087999999999998</v>
      </c>
      <c r="E27" s="61">
        <f>3.0263 * CHOOSE(CONTROL!$C$22, $C$13, 100%, $E$13)</f>
        <v>3.0263</v>
      </c>
      <c r="F27" s="61">
        <f>2.05 * CHOOSE(CONTROL!$C$22, $C$13, 100%, $E$13)</f>
        <v>2.0499999999999998</v>
      </c>
      <c r="G27" s="61">
        <f>2.0502 * CHOOSE(CONTROL!$C$22, $C$13, 100%, $E$13)</f>
        <v>2.0501999999999998</v>
      </c>
      <c r="H27" s="61">
        <f>5.2685* CHOOSE(CONTROL!$C$22, $C$13, 100%, $E$13)</f>
        <v>5.2685000000000004</v>
      </c>
      <c r="I27" s="61">
        <f>5.2687 * CHOOSE(CONTROL!$C$22, $C$13, 100%, $E$13)</f>
        <v>5.2686999999999999</v>
      </c>
      <c r="J27" s="61">
        <f>3.0263 * CHOOSE(CONTROL!$C$22, $C$13, 100%, $E$13)</f>
        <v>3.0263</v>
      </c>
      <c r="K27" s="61">
        <f>3.0265 * CHOOSE(CONTROL!$C$22, $C$13, 100%, $E$13)</f>
        <v>3.0265</v>
      </c>
      <c r="L27" s="4"/>
      <c r="M27" s="4"/>
      <c r="N27" s="4"/>
    </row>
    <row r="28" spans="1:14" ht="15">
      <c r="A28" s="13">
        <v>42705</v>
      </c>
      <c r="B28" s="60">
        <f>2.4063 * CHOOSE(CONTROL!$C$22, $C$13, 100%, $E$13)</f>
        <v>2.4062999999999999</v>
      </c>
      <c r="C28" s="60">
        <f>2.4063 * CHOOSE(CONTROL!$C$22, $C$13, 100%, $E$13)</f>
        <v>2.4062999999999999</v>
      </c>
      <c r="D28" s="60">
        <f>2.424 * CHOOSE(CONTROL!$C$22, $C$13, 100%, $E$13)</f>
        <v>2.4239999999999999</v>
      </c>
      <c r="E28" s="61">
        <f>3.0678 * CHOOSE(CONTROL!$C$22, $C$13, 100%, $E$13)</f>
        <v>3.0678000000000001</v>
      </c>
      <c r="F28" s="61">
        <f>2.05 * CHOOSE(CONTROL!$C$22, $C$13, 100%, $E$13)</f>
        <v>2.0499999999999998</v>
      </c>
      <c r="G28" s="61">
        <f>2.0502 * CHOOSE(CONTROL!$C$22, $C$13, 100%, $E$13)</f>
        <v>2.0501999999999998</v>
      </c>
      <c r="H28" s="61">
        <f>5.2795* CHOOSE(CONTROL!$C$22, $C$13, 100%, $E$13)</f>
        <v>5.2794999999999996</v>
      </c>
      <c r="I28" s="61">
        <f>5.2797 * CHOOSE(CONTROL!$C$22, $C$13, 100%, $E$13)</f>
        <v>5.2797000000000001</v>
      </c>
      <c r="J28" s="61">
        <f>3.0678 * CHOOSE(CONTROL!$C$22, $C$13, 100%, $E$13)</f>
        <v>3.0678000000000001</v>
      </c>
      <c r="K28" s="61">
        <f>3.068 * CHOOSE(CONTROL!$C$22, $C$13, 100%, $E$13)</f>
        <v>3.0680000000000001</v>
      </c>
      <c r="L28" s="4"/>
      <c r="M28" s="4"/>
      <c r="N28" s="4"/>
    </row>
    <row r="29" spans="1:14" ht="15">
      <c r="A29" s="13">
        <v>42736</v>
      </c>
      <c r="B29" s="60">
        <f>2.2766 * CHOOSE(CONTROL!$C$22, $C$13, 100%, $E$13)</f>
        <v>2.2766000000000002</v>
      </c>
      <c r="C29" s="60">
        <f>2.2766 * CHOOSE(CONTROL!$C$22, $C$13, 100%, $E$13)</f>
        <v>2.2766000000000002</v>
      </c>
      <c r="D29" s="60">
        <f>2.2943 * CHOOSE(CONTROL!$C$22, $C$13, 100%, $E$13)</f>
        <v>2.2942999999999998</v>
      </c>
      <c r="E29" s="61">
        <f>3.4487 * CHOOSE(CONTROL!$C$22, $C$13, 100%, $E$13)</f>
        <v>3.4487000000000001</v>
      </c>
      <c r="F29" s="61">
        <f>2.073 * CHOOSE(CONTROL!$C$22, $C$13, 100%, $E$13)</f>
        <v>2.073</v>
      </c>
      <c r="G29" s="61">
        <f>2.0732 * CHOOSE(CONTROL!$C$22, $C$13, 100%, $E$13)</f>
        <v>2.0731999999999999</v>
      </c>
      <c r="H29" s="61">
        <f>5.2905* CHOOSE(CONTROL!$C$22, $C$13, 100%, $E$13)</f>
        <v>5.2904999999999998</v>
      </c>
      <c r="I29" s="61">
        <f>5.2907 * CHOOSE(CONTROL!$C$22, $C$13, 100%, $E$13)</f>
        <v>5.2907000000000002</v>
      </c>
      <c r="J29" s="61">
        <f>3.4487 * CHOOSE(CONTROL!$C$22, $C$13, 100%, $E$13)</f>
        <v>3.4487000000000001</v>
      </c>
      <c r="K29" s="61">
        <f>3.4489 * CHOOSE(CONTROL!$C$22, $C$13, 100%, $E$13)</f>
        <v>3.4489000000000001</v>
      </c>
      <c r="L29" s="4"/>
      <c r="M29" s="4"/>
      <c r="N29" s="4"/>
    </row>
    <row r="30" spans="1:14" ht="15">
      <c r="A30" s="13">
        <v>42767</v>
      </c>
      <c r="B30" s="60">
        <f>2.2705 * CHOOSE(CONTROL!$C$22, $C$13, 100%, $E$13)</f>
        <v>2.2705000000000002</v>
      </c>
      <c r="C30" s="60">
        <f>2.2705 * CHOOSE(CONTROL!$C$22, $C$13, 100%, $E$13)</f>
        <v>2.2705000000000002</v>
      </c>
      <c r="D30" s="60">
        <f>2.2882 * CHOOSE(CONTROL!$C$22, $C$13, 100%, $E$13)</f>
        <v>2.2881999999999998</v>
      </c>
      <c r="E30" s="61">
        <f>3.3873 * CHOOSE(CONTROL!$C$22, $C$13, 100%, $E$13)</f>
        <v>3.3873000000000002</v>
      </c>
      <c r="F30" s="61">
        <f>2.073 * CHOOSE(CONTROL!$C$22, $C$13, 100%, $E$13)</f>
        <v>2.073</v>
      </c>
      <c r="G30" s="61">
        <f>2.0732 * CHOOSE(CONTROL!$C$22, $C$13, 100%, $E$13)</f>
        <v>2.0731999999999999</v>
      </c>
      <c r="H30" s="61">
        <f>5.3015* CHOOSE(CONTROL!$C$22, $C$13, 100%, $E$13)</f>
        <v>5.3014999999999999</v>
      </c>
      <c r="I30" s="61">
        <f>5.3017 * CHOOSE(CONTROL!$C$22, $C$13, 100%, $E$13)</f>
        <v>5.3017000000000003</v>
      </c>
      <c r="J30" s="61">
        <f>3.3873 * CHOOSE(CONTROL!$C$22, $C$13, 100%, $E$13)</f>
        <v>3.3873000000000002</v>
      </c>
      <c r="K30" s="61">
        <f>3.3875 * CHOOSE(CONTROL!$C$22, $C$13, 100%, $E$13)</f>
        <v>3.3875000000000002</v>
      </c>
      <c r="L30" s="4"/>
      <c r="M30" s="4"/>
      <c r="N30" s="4"/>
    </row>
    <row r="31" spans="1:14" ht="15">
      <c r="A31" s="13">
        <v>42795</v>
      </c>
      <c r="B31" s="60">
        <f>2.2645 * CHOOSE(CONTROL!$C$22, $C$13, 100%, $E$13)</f>
        <v>2.2645</v>
      </c>
      <c r="C31" s="60">
        <f>2.2645 * CHOOSE(CONTROL!$C$22, $C$13, 100%, $E$13)</f>
        <v>2.2645</v>
      </c>
      <c r="D31" s="60">
        <f>2.2821 * CHOOSE(CONTROL!$C$22, $C$13, 100%, $E$13)</f>
        <v>2.2820999999999998</v>
      </c>
      <c r="E31" s="61">
        <f>3.3873 * CHOOSE(CONTROL!$C$22, $C$13, 100%, $E$13)</f>
        <v>3.3873000000000002</v>
      </c>
      <c r="F31" s="61">
        <f>2.073 * CHOOSE(CONTROL!$C$22, $C$13, 100%, $E$13)</f>
        <v>2.073</v>
      </c>
      <c r="G31" s="61">
        <f>2.0732 * CHOOSE(CONTROL!$C$22, $C$13, 100%, $E$13)</f>
        <v>2.0731999999999999</v>
      </c>
      <c r="H31" s="61">
        <f>5.3126* CHOOSE(CONTROL!$C$22, $C$13, 100%, $E$13)</f>
        <v>5.3125999999999998</v>
      </c>
      <c r="I31" s="61">
        <f>5.3127 * CHOOSE(CONTROL!$C$22, $C$13, 100%, $E$13)</f>
        <v>5.3127000000000004</v>
      </c>
      <c r="J31" s="61">
        <f>3.3873 * CHOOSE(CONTROL!$C$22, $C$13, 100%, $E$13)</f>
        <v>3.3873000000000002</v>
      </c>
      <c r="K31" s="61">
        <f>3.3875 * CHOOSE(CONTROL!$C$22, $C$13, 100%, $E$13)</f>
        <v>3.3875000000000002</v>
      </c>
      <c r="L31" s="4"/>
      <c r="M31" s="4"/>
      <c r="N31" s="4"/>
    </row>
    <row r="32" spans="1:14" ht="15">
      <c r="A32" s="13">
        <v>42826</v>
      </c>
      <c r="B32" s="60">
        <f>2.2553 * CHOOSE(CONTROL!$C$22, $C$13, 100%, $E$13)</f>
        <v>2.2553000000000001</v>
      </c>
      <c r="C32" s="60">
        <f>2.2553 * CHOOSE(CONTROL!$C$22, $C$13, 100%, $E$13)</f>
        <v>2.2553000000000001</v>
      </c>
      <c r="D32" s="60">
        <f>2.273 * CHOOSE(CONTROL!$C$22, $C$13, 100%, $E$13)</f>
        <v>2.2730000000000001</v>
      </c>
      <c r="E32" s="61">
        <f>3.3873 * CHOOSE(CONTROL!$C$22, $C$13, 100%, $E$13)</f>
        <v>3.3873000000000002</v>
      </c>
      <c r="F32" s="61">
        <f>2.049 * CHOOSE(CONTROL!$C$22, $C$13, 100%, $E$13)</f>
        <v>2.0489999999999999</v>
      </c>
      <c r="G32" s="61">
        <f>2.0492 * CHOOSE(CONTROL!$C$22, $C$13, 100%, $E$13)</f>
        <v>2.0491999999999999</v>
      </c>
      <c r="H32" s="61">
        <f>5.3236* CHOOSE(CONTROL!$C$22, $C$13, 100%, $E$13)</f>
        <v>5.3235999999999999</v>
      </c>
      <c r="I32" s="61">
        <f>5.3238 * CHOOSE(CONTROL!$C$22, $C$13, 100%, $E$13)</f>
        <v>5.3238000000000003</v>
      </c>
      <c r="J32" s="61">
        <f>3.3873 * CHOOSE(CONTROL!$C$22, $C$13, 100%, $E$13)</f>
        <v>3.3873000000000002</v>
      </c>
      <c r="K32" s="61">
        <f>3.3875 * CHOOSE(CONTROL!$C$22, $C$13, 100%, $E$13)</f>
        <v>3.3875000000000002</v>
      </c>
      <c r="L32" s="4"/>
      <c r="M32" s="4"/>
      <c r="N32" s="4"/>
    </row>
    <row r="33" spans="1:14" ht="15">
      <c r="A33" s="13">
        <v>42856</v>
      </c>
      <c r="B33" s="60">
        <f>2.2493 * CHOOSE(CONTROL!$C$22, $C$13, 100%, $E$13)</f>
        <v>2.2492999999999999</v>
      </c>
      <c r="C33" s="60">
        <f>2.2493 * CHOOSE(CONTROL!$C$22, $C$13, 100%, $E$13)</f>
        <v>2.2492999999999999</v>
      </c>
      <c r="D33" s="60">
        <f>2.2846 * CHOOSE(CONTROL!$C$22, $C$13, 100%, $E$13)</f>
        <v>2.2846000000000002</v>
      </c>
      <c r="E33" s="61">
        <f>3.3873 * CHOOSE(CONTROL!$C$22, $C$13, 100%, $E$13)</f>
        <v>3.3873000000000002</v>
      </c>
      <c r="F33" s="61">
        <f>2.049 * CHOOSE(CONTROL!$C$22, $C$13, 100%, $E$13)</f>
        <v>2.0489999999999999</v>
      </c>
      <c r="G33" s="61">
        <f>2.0512 * CHOOSE(CONTROL!$C$22, $C$13, 100%, $E$13)</f>
        <v>2.0512000000000001</v>
      </c>
      <c r="H33" s="61">
        <f>5.3347* CHOOSE(CONTROL!$C$22, $C$13, 100%, $E$13)</f>
        <v>5.3346999999999998</v>
      </c>
      <c r="I33" s="61">
        <f>5.3369 * CHOOSE(CONTROL!$C$22, $C$13, 100%, $E$13)</f>
        <v>5.3369</v>
      </c>
      <c r="J33" s="61">
        <f>3.3873 * CHOOSE(CONTROL!$C$22, $C$13, 100%, $E$13)</f>
        <v>3.3873000000000002</v>
      </c>
      <c r="K33" s="61">
        <f>3.3895 * CHOOSE(CONTROL!$C$22, $C$13, 100%, $E$13)</f>
        <v>3.3895</v>
      </c>
      <c r="L33" s="4"/>
      <c r="M33" s="4"/>
      <c r="N33" s="4"/>
    </row>
    <row r="34" spans="1:14" ht="15">
      <c r="A34" s="13">
        <v>42887</v>
      </c>
      <c r="B34" s="60">
        <f>2.2645 * CHOOSE(CONTROL!$C$22, $C$13, 100%, $E$13)</f>
        <v>2.2645</v>
      </c>
      <c r="C34" s="60">
        <f>2.2645 * CHOOSE(CONTROL!$C$22, $C$13, 100%, $E$13)</f>
        <v>2.2645</v>
      </c>
      <c r="D34" s="60">
        <f>2.2998 * CHOOSE(CONTROL!$C$22, $C$13, 100%, $E$13)</f>
        <v>2.2997999999999998</v>
      </c>
      <c r="E34" s="61">
        <f>3.2645 * CHOOSE(CONTROL!$C$22, $C$13, 100%, $E$13)</f>
        <v>3.2645</v>
      </c>
      <c r="F34" s="61">
        <f>2.049 * CHOOSE(CONTROL!$C$22, $C$13, 100%, $E$13)</f>
        <v>2.0489999999999999</v>
      </c>
      <c r="G34" s="61">
        <f>2.0512 * CHOOSE(CONTROL!$C$22, $C$13, 100%, $E$13)</f>
        <v>2.0512000000000001</v>
      </c>
      <c r="H34" s="61">
        <f>5.3458* CHOOSE(CONTROL!$C$22, $C$13, 100%, $E$13)</f>
        <v>5.3457999999999997</v>
      </c>
      <c r="I34" s="61">
        <f>5.348 * CHOOSE(CONTROL!$C$22, $C$13, 100%, $E$13)</f>
        <v>5.3479999999999999</v>
      </c>
      <c r="J34" s="61">
        <f>3.2645 * CHOOSE(CONTROL!$C$22, $C$13, 100%, $E$13)</f>
        <v>3.2645</v>
      </c>
      <c r="K34" s="61">
        <f>3.2667 * CHOOSE(CONTROL!$C$22, $C$13, 100%, $E$13)</f>
        <v>3.2667000000000002</v>
      </c>
      <c r="L34" s="4"/>
      <c r="M34" s="4"/>
      <c r="N34" s="4"/>
    </row>
    <row r="35" spans="1:14" ht="15">
      <c r="A35" s="13">
        <v>42917</v>
      </c>
      <c r="B35" s="60">
        <f>2.2949 * CHOOSE(CONTROL!$C$22, $C$13, 100%, $E$13)</f>
        <v>2.2949000000000002</v>
      </c>
      <c r="C35" s="60">
        <f>2.2949 * CHOOSE(CONTROL!$C$22, $C$13, 100%, $E$13)</f>
        <v>2.2949000000000002</v>
      </c>
      <c r="D35" s="60">
        <f>2.3302 * CHOOSE(CONTROL!$C$22, $C$13, 100%, $E$13)</f>
        <v>2.3302</v>
      </c>
      <c r="E35" s="61">
        <f>3.633 * CHOOSE(CONTROL!$C$22, $C$13, 100%, $E$13)</f>
        <v>3.633</v>
      </c>
      <c r="F35" s="61">
        <f>2.035 * CHOOSE(CONTROL!$C$22, $C$13, 100%, $E$13)</f>
        <v>2.0350000000000001</v>
      </c>
      <c r="G35" s="61">
        <f>2.0372 * CHOOSE(CONTROL!$C$22, $C$13, 100%, $E$13)</f>
        <v>2.0371999999999999</v>
      </c>
      <c r="H35" s="61">
        <f>5.357* CHOOSE(CONTROL!$C$22, $C$13, 100%, $E$13)</f>
        <v>5.3570000000000002</v>
      </c>
      <c r="I35" s="61">
        <f>5.3591 * CHOOSE(CONTROL!$C$22, $C$13, 100%, $E$13)</f>
        <v>5.3590999999999998</v>
      </c>
      <c r="J35" s="61">
        <f>3.633 * CHOOSE(CONTROL!$C$22, $C$13, 100%, $E$13)</f>
        <v>3.633</v>
      </c>
      <c r="K35" s="61">
        <f>3.6352 * CHOOSE(CONTROL!$C$22, $C$13, 100%, $E$13)</f>
        <v>3.6352000000000002</v>
      </c>
      <c r="L35" s="4"/>
      <c r="M35" s="4"/>
      <c r="N35" s="4"/>
    </row>
    <row r="36" spans="1:14" ht="15">
      <c r="A36" s="13">
        <v>42948</v>
      </c>
      <c r="B36" s="60">
        <f>2.3161 * CHOOSE(CONTROL!$C$22, $C$13, 100%, $E$13)</f>
        <v>2.3161</v>
      </c>
      <c r="C36" s="60">
        <f>2.3161 * CHOOSE(CONTROL!$C$22, $C$13, 100%, $E$13)</f>
        <v>2.3161</v>
      </c>
      <c r="D36" s="60">
        <f>2.3515 * CHOOSE(CONTROL!$C$22, $C$13, 100%, $E$13)</f>
        <v>2.3515000000000001</v>
      </c>
      <c r="E36" s="61">
        <f>3.633 * CHOOSE(CONTROL!$C$22, $C$13, 100%, $E$13)</f>
        <v>3.633</v>
      </c>
      <c r="F36" s="61">
        <f>2.035 * CHOOSE(CONTROL!$C$22, $C$13, 100%, $E$13)</f>
        <v>2.0350000000000001</v>
      </c>
      <c r="G36" s="61">
        <f>2.0372 * CHOOSE(CONTROL!$C$22, $C$13, 100%, $E$13)</f>
        <v>2.0371999999999999</v>
      </c>
      <c r="H36" s="61">
        <f>5.3681* CHOOSE(CONTROL!$C$22, $C$13, 100%, $E$13)</f>
        <v>5.3681000000000001</v>
      </c>
      <c r="I36" s="61">
        <f>5.3703 * CHOOSE(CONTROL!$C$22, $C$13, 100%, $E$13)</f>
        <v>5.3703000000000003</v>
      </c>
      <c r="J36" s="61">
        <f>3.633 * CHOOSE(CONTROL!$C$22, $C$13, 100%, $E$13)</f>
        <v>3.633</v>
      </c>
      <c r="K36" s="61">
        <f>3.6352 * CHOOSE(CONTROL!$C$22, $C$13, 100%, $E$13)</f>
        <v>3.6352000000000002</v>
      </c>
      <c r="L36" s="4"/>
      <c r="M36" s="4"/>
      <c r="N36" s="4"/>
    </row>
    <row r="37" spans="1:14" ht="15">
      <c r="A37" s="13">
        <v>42979</v>
      </c>
      <c r="B37" s="60">
        <f>2.304 * CHOOSE(CONTROL!$C$22, $C$13, 100%, $E$13)</f>
        <v>2.3039999999999998</v>
      </c>
      <c r="C37" s="60">
        <f>2.304 * CHOOSE(CONTROL!$C$22, $C$13, 100%, $E$13)</f>
        <v>2.3039999999999998</v>
      </c>
      <c r="D37" s="60">
        <f>2.3393 * CHOOSE(CONTROL!$C$22, $C$13, 100%, $E$13)</f>
        <v>2.3393000000000002</v>
      </c>
      <c r="E37" s="61">
        <f>3.633 * CHOOSE(CONTROL!$C$22, $C$13, 100%, $E$13)</f>
        <v>3.633</v>
      </c>
      <c r="F37" s="61">
        <f>2.035 * CHOOSE(CONTROL!$C$22, $C$13, 100%, $E$13)</f>
        <v>2.0350000000000001</v>
      </c>
      <c r="G37" s="61">
        <f>2.0372 * CHOOSE(CONTROL!$C$22, $C$13, 100%, $E$13)</f>
        <v>2.0371999999999999</v>
      </c>
      <c r="H37" s="61">
        <f>5.3793* CHOOSE(CONTROL!$C$22, $C$13, 100%, $E$13)</f>
        <v>5.3792999999999997</v>
      </c>
      <c r="I37" s="61">
        <f>5.3815 * CHOOSE(CONTROL!$C$22, $C$13, 100%, $E$13)</f>
        <v>5.3815</v>
      </c>
      <c r="J37" s="61">
        <f>3.633 * CHOOSE(CONTROL!$C$22, $C$13, 100%, $E$13)</f>
        <v>3.633</v>
      </c>
      <c r="K37" s="61">
        <f>3.6352 * CHOOSE(CONTROL!$C$22, $C$13, 100%, $E$13)</f>
        <v>3.6352000000000002</v>
      </c>
      <c r="L37" s="4"/>
      <c r="M37" s="4"/>
      <c r="N37" s="4"/>
    </row>
    <row r="38" spans="1:14" ht="15">
      <c r="A38" s="13">
        <v>43009</v>
      </c>
      <c r="B38" s="60">
        <f>2.3009 * CHOOSE(CONTROL!$C$22, $C$13, 100%, $E$13)</f>
        <v>2.3008999999999999</v>
      </c>
      <c r="C38" s="60">
        <f>2.3009 * CHOOSE(CONTROL!$C$22, $C$13, 100%, $E$13)</f>
        <v>2.3008999999999999</v>
      </c>
      <c r="D38" s="60">
        <f>2.3186 * CHOOSE(CONTROL!$C$22, $C$13, 100%, $E$13)</f>
        <v>2.3186</v>
      </c>
      <c r="E38" s="61">
        <f>3.633 * CHOOSE(CONTROL!$C$22, $C$13, 100%, $E$13)</f>
        <v>3.633</v>
      </c>
      <c r="F38" s="61">
        <f>2.035 * CHOOSE(CONTROL!$C$22, $C$13, 100%, $E$13)</f>
        <v>2.0350000000000001</v>
      </c>
      <c r="G38" s="61">
        <f>2.0352 * CHOOSE(CONTROL!$C$22, $C$13, 100%, $E$13)</f>
        <v>2.0352000000000001</v>
      </c>
      <c r="H38" s="61">
        <f>5.3905* CHOOSE(CONTROL!$C$22, $C$13, 100%, $E$13)</f>
        <v>5.3905000000000003</v>
      </c>
      <c r="I38" s="61">
        <f>5.3907 * CHOOSE(CONTROL!$C$22, $C$13, 100%, $E$13)</f>
        <v>5.3906999999999998</v>
      </c>
      <c r="J38" s="61">
        <f>3.633 * CHOOSE(CONTROL!$C$22, $C$13, 100%, $E$13)</f>
        <v>3.633</v>
      </c>
      <c r="K38" s="61">
        <f>3.6332 * CHOOSE(CONTROL!$C$22, $C$13, 100%, $E$13)</f>
        <v>3.6332</v>
      </c>
      <c r="L38" s="4"/>
      <c r="M38" s="4"/>
      <c r="N38" s="4"/>
    </row>
    <row r="39" spans="1:14" ht="15">
      <c r="A39" s="13">
        <v>43040</v>
      </c>
      <c r="B39" s="60">
        <f>2.3131 * CHOOSE(CONTROL!$C$22, $C$13, 100%, $E$13)</f>
        <v>2.3130999999999999</v>
      </c>
      <c r="C39" s="60">
        <f>2.3131 * CHOOSE(CONTROL!$C$22, $C$13, 100%, $E$13)</f>
        <v>2.3130999999999999</v>
      </c>
      <c r="D39" s="60">
        <f>2.3308 * CHOOSE(CONTROL!$C$22, $C$13, 100%, $E$13)</f>
        <v>2.3308</v>
      </c>
      <c r="E39" s="61">
        <f>3.2372 * CHOOSE(CONTROL!$C$22, $C$13, 100%, $E$13)</f>
        <v>3.2372000000000001</v>
      </c>
      <c r="F39" s="61">
        <f>2.05 * CHOOSE(CONTROL!$C$22, $C$13, 100%, $E$13)</f>
        <v>2.0499999999999998</v>
      </c>
      <c r="G39" s="61">
        <f>2.0502 * CHOOSE(CONTROL!$C$22, $C$13, 100%, $E$13)</f>
        <v>2.0501999999999998</v>
      </c>
      <c r="H39" s="61">
        <f>5.4017* CHOOSE(CONTROL!$C$22, $C$13, 100%, $E$13)</f>
        <v>5.4016999999999999</v>
      </c>
      <c r="I39" s="61">
        <f>5.4019 * CHOOSE(CONTROL!$C$22, $C$13, 100%, $E$13)</f>
        <v>5.4019000000000004</v>
      </c>
      <c r="J39" s="61">
        <f>3.2372 * CHOOSE(CONTROL!$C$22, $C$13, 100%, $E$13)</f>
        <v>3.2372000000000001</v>
      </c>
      <c r="K39" s="61">
        <f>3.2374 * CHOOSE(CONTROL!$C$22, $C$13, 100%, $E$13)</f>
        <v>3.2374000000000001</v>
      </c>
      <c r="L39" s="4"/>
      <c r="M39" s="4"/>
      <c r="N39" s="4"/>
    </row>
    <row r="40" spans="1:14" ht="15">
      <c r="A40" s="13">
        <v>43070</v>
      </c>
      <c r="B40" s="60">
        <f>2.3253 * CHOOSE(CONTROL!$C$22, $C$13, 100%, $E$13)</f>
        <v>2.3252999999999999</v>
      </c>
      <c r="C40" s="60">
        <f>2.3253 * CHOOSE(CONTROL!$C$22, $C$13, 100%, $E$13)</f>
        <v>2.3252999999999999</v>
      </c>
      <c r="D40" s="60">
        <f>2.3429 * CHOOSE(CONTROL!$C$22, $C$13, 100%, $E$13)</f>
        <v>2.3429000000000002</v>
      </c>
      <c r="E40" s="61">
        <f>3.2372 * CHOOSE(CONTROL!$C$22, $C$13, 100%, $E$13)</f>
        <v>3.2372000000000001</v>
      </c>
      <c r="F40" s="61">
        <f>2.05 * CHOOSE(CONTROL!$C$22, $C$13, 100%, $E$13)</f>
        <v>2.0499999999999998</v>
      </c>
      <c r="G40" s="61">
        <f>2.0502 * CHOOSE(CONTROL!$C$22, $C$13, 100%, $E$13)</f>
        <v>2.0501999999999998</v>
      </c>
      <c r="H40" s="61">
        <f>5.413* CHOOSE(CONTROL!$C$22, $C$13, 100%, $E$13)</f>
        <v>5.4130000000000003</v>
      </c>
      <c r="I40" s="61">
        <f>5.4132 * CHOOSE(CONTROL!$C$22, $C$13, 100%, $E$13)</f>
        <v>5.4131999999999998</v>
      </c>
      <c r="J40" s="61">
        <f>3.2372 * CHOOSE(CONTROL!$C$22, $C$13, 100%, $E$13)</f>
        <v>3.2372000000000001</v>
      </c>
      <c r="K40" s="61">
        <f>3.2374 * CHOOSE(CONTROL!$C$22, $C$13, 100%, $E$13)</f>
        <v>3.2374000000000001</v>
      </c>
      <c r="L40" s="4"/>
      <c r="M40" s="4"/>
      <c r="N40" s="4"/>
    </row>
    <row r="41" spans="1:14" ht="15">
      <c r="A41" s="13">
        <v>43101</v>
      </c>
      <c r="B41" s="60">
        <f>2.3811 * CHOOSE(CONTROL!$C$22, $C$13, 100%, $E$13)</f>
        <v>2.3811</v>
      </c>
      <c r="C41" s="60">
        <f>2.3811 * CHOOSE(CONTROL!$C$22, $C$13, 100%, $E$13)</f>
        <v>2.3811</v>
      </c>
      <c r="D41" s="60">
        <f>2.3988 * CHOOSE(CONTROL!$C$22, $C$13, 100%, $E$13)</f>
        <v>2.3988</v>
      </c>
      <c r="E41" s="61">
        <f>2.3159 * CHOOSE(CONTROL!$C$22, $C$13, 100%, $E$13)</f>
        <v>2.3159000000000001</v>
      </c>
      <c r="F41" s="61">
        <f>2.3159 * CHOOSE(CONTROL!$C$22, $C$13, 100%, $E$13)</f>
        <v>2.3159000000000001</v>
      </c>
      <c r="G41" s="61">
        <f>2.316 * CHOOSE(CONTROL!$C$22, $C$13, 100%, $E$13)</f>
        <v>2.3159999999999998</v>
      </c>
      <c r="H41" s="61">
        <f>5.4243* CHOOSE(CONTROL!$C$22, $C$13, 100%, $E$13)</f>
        <v>5.4242999999999997</v>
      </c>
      <c r="I41" s="61">
        <f>5.4245 * CHOOSE(CONTROL!$C$22, $C$13, 100%, $E$13)</f>
        <v>5.4245000000000001</v>
      </c>
      <c r="J41" s="61">
        <f>2.3159 * CHOOSE(CONTROL!$C$22, $C$13, 100%, $E$13)</f>
        <v>2.3159000000000001</v>
      </c>
      <c r="K41" s="61">
        <f>2.316 * CHOOSE(CONTROL!$C$22, $C$13, 100%, $E$13)</f>
        <v>2.3159999999999998</v>
      </c>
      <c r="L41" s="4"/>
      <c r="M41" s="4"/>
      <c r="N41" s="4"/>
    </row>
    <row r="42" spans="1:14" ht="15">
      <c r="A42" s="13">
        <v>43132</v>
      </c>
      <c r="B42" s="60">
        <f>2.3751 * CHOOSE(CONTROL!$C$22, $C$13, 100%, $E$13)</f>
        <v>2.3751000000000002</v>
      </c>
      <c r="C42" s="60">
        <f>2.3751 * CHOOSE(CONTROL!$C$22, $C$13, 100%, $E$13)</f>
        <v>2.3751000000000002</v>
      </c>
      <c r="D42" s="60">
        <f>2.3927 * CHOOSE(CONTROL!$C$22, $C$13, 100%, $E$13)</f>
        <v>2.3927</v>
      </c>
      <c r="E42" s="61">
        <f>2.3174 * CHOOSE(CONTROL!$C$22, $C$13, 100%, $E$13)</f>
        <v>2.3174000000000001</v>
      </c>
      <c r="F42" s="61">
        <f>2.3174 * CHOOSE(CONTROL!$C$22, $C$13, 100%, $E$13)</f>
        <v>2.3174000000000001</v>
      </c>
      <c r="G42" s="61">
        <f>2.3176 * CHOOSE(CONTROL!$C$22, $C$13, 100%, $E$13)</f>
        <v>2.3176000000000001</v>
      </c>
      <c r="H42" s="61">
        <f>5.4356* CHOOSE(CONTROL!$C$22, $C$13, 100%, $E$13)</f>
        <v>5.4356</v>
      </c>
      <c r="I42" s="61">
        <f>5.4358 * CHOOSE(CONTROL!$C$22, $C$13, 100%, $E$13)</f>
        <v>5.4358000000000004</v>
      </c>
      <c r="J42" s="61">
        <f>2.3174 * CHOOSE(CONTROL!$C$22, $C$13, 100%, $E$13)</f>
        <v>2.3174000000000001</v>
      </c>
      <c r="K42" s="61">
        <f>2.3176 * CHOOSE(CONTROL!$C$22, $C$13, 100%, $E$13)</f>
        <v>2.3176000000000001</v>
      </c>
      <c r="L42" s="4"/>
      <c r="M42" s="4"/>
      <c r="N42" s="4"/>
    </row>
    <row r="43" spans="1:14" ht="15">
      <c r="A43" s="13">
        <v>43160</v>
      </c>
      <c r="B43" s="60">
        <f>2.369 * CHOOSE(CONTROL!$C$22, $C$13, 100%, $E$13)</f>
        <v>2.3690000000000002</v>
      </c>
      <c r="C43" s="60">
        <f>2.369 * CHOOSE(CONTROL!$C$22, $C$13, 100%, $E$13)</f>
        <v>2.3690000000000002</v>
      </c>
      <c r="D43" s="60">
        <f>2.3866 * CHOOSE(CONTROL!$C$22, $C$13, 100%, $E$13)</f>
        <v>2.3866000000000001</v>
      </c>
      <c r="E43" s="61">
        <f>2.3217 * CHOOSE(CONTROL!$C$22, $C$13, 100%, $E$13)</f>
        <v>2.3216999999999999</v>
      </c>
      <c r="F43" s="61">
        <f>2.3217 * CHOOSE(CONTROL!$C$22, $C$13, 100%, $E$13)</f>
        <v>2.3216999999999999</v>
      </c>
      <c r="G43" s="61">
        <f>2.3218 * CHOOSE(CONTROL!$C$22, $C$13, 100%, $E$13)</f>
        <v>2.3218000000000001</v>
      </c>
      <c r="H43" s="61">
        <f>5.4469* CHOOSE(CONTROL!$C$22, $C$13, 100%, $E$13)</f>
        <v>5.4469000000000003</v>
      </c>
      <c r="I43" s="61">
        <f>5.4471 * CHOOSE(CONTROL!$C$22, $C$13, 100%, $E$13)</f>
        <v>5.4470999999999998</v>
      </c>
      <c r="J43" s="61">
        <f>2.3217 * CHOOSE(CONTROL!$C$22, $C$13, 100%, $E$13)</f>
        <v>2.3216999999999999</v>
      </c>
      <c r="K43" s="61">
        <f>2.3218 * CHOOSE(CONTROL!$C$22, $C$13, 100%, $E$13)</f>
        <v>2.3218000000000001</v>
      </c>
      <c r="L43" s="4"/>
      <c r="M43" s="4"/>
      <c r="N43" s="4"/>
    </row>
    <row r="44" spans="1:14" ht="15">
      <c r="A44" s="13">
        <v>43191</v>
      </c>
      <c r="B44" s="60">
        <f>2.3629 * CHOOSE(CONTROL!$C$22, $C$13, 100%, $E$13)</f>
        <v>2.3628999999999998</v>
      </c>
      <c r="C44" s="60">
        <f>2.3629 * CHOOSE(CONTROL!$C$22, $C$13, 100%, $E$13)</f>
        <v>2.3628999999999998</v>
      </c>
      <c r="D44" s="60">
        <f>2.3806 * CHOOSE(CONTROL!$C$22, $C$13, 100%, $E$13)</f>
        <v>2.3805999999999998</v>
      </c>
      <c r="E44" s="61">
        <f>2.3286 * CHOOSE(CONTROL!$C$22, $C$13, 100%, $E$13)</f>
        <v>2.3285999999999998</v>
      </c>
      <c r="F44" s="61">
        <f>2.3286 * CHOOSE(CONTROL!$C$22, $C$13, 100%, $E$13)</f>
        <v>2.3285999999999998</v>
      </c>
      <c r="G44" s="61">
        <f>2.3287 * CHOOSE(CONTROL!$C$22, $C$13, 100%, $E$13)</f>
        <v>2.3287</v>
      </c>
      <c r="H44" s="61">
        <f>5.4582* CHOOSE(CONTROL!$C$22, $C$13, 100%, $E$13)</f>
        <v>5.4581999999999997</v>
      </c>
      <c r="I44" s="61">
        <f>5.4584 * CHOOSE(CONTROL!$C$22, $C$13, 100%, $E$13)</f>
        <v>5.4584000000000001</v>
      </c>
      <c r="J44" s="61">
        <f>2.3286 * CHOOSE(CONTROL!$C$22, $C$13, 100%, $E$13)</f>
        <v>2.3285999999999998</v>
      </c>
      <c r="K44" s="61">
        <f>2.3287 * CHOOSE(CONTROL!$C$22, $C$13, 100%, $E$13)</f>
        <v>2.3287</v>
      </c>
      <c r="L44" s="4"/>
      <c r="M44" s="4"/>
      <c r="N44" s="4"/>
    </row>
    <row r="45" spans="1:14" ht="15">
      <c r="A45" s="13">
        <v>43221</v>
      </c>
      <c r="B45" s="60">
        <f>2.3568 * CHOOSE(CONTROL!$C$22, $C$13, 100%, $E$13)</f>
        <v>2.3567999999999998</v>
      </c>
      <c r="C45" s="60">
        <f>2.3568 * CHOOSE(CONTROL!$C$22, $C$13, 100%, $E$13)</f>
        <v>2.3567999999999998</v>
      </c>
      <c r="D45" s="60">
        <f>2.3921 * CHOOSE(CONTROL!$C$22, $C$13, 100%, $E$13)</f>
        <v>2.3921000000000001</v>
      </c>
      <c r="E45" s="61">
        <f>2.354 * CHOOSE(CONTROL!$C$22, $C$13, 100%, $E$13)</f>
        <v>2.3540000000000001</v>
      </c>
      <c r="F45" s="61">
        <f>2.354 * CHOOSE(CONTROL!$C$22, $C$13, 100%, $E$13)</f>
        <v>2.3540000000000001</v>
      </c>
      <c r="G45" s="61">
        <f>2.3562 * CHOOSE(CONTROL!$C$22, $C$13, 100%, $E$13)</f>
        <v>2.3561999999999999</v>
      </c>
      <c r="H45" s="61">
        <f>5.4696* CHOOSE(CONTROL!$C$22, $C$13, 100%, $E$13)</f>
        <v>5.4695999999999998</v>
      </c>
      <c r="I45" s="61">
        <f>5.4718 * CHOOSE(CONTROL!$C$22, $C$13, 100%, $E$13)</f>
        <v>5.4718</v>
      </c>
      <c r="J45" s="61">
        <f>2.354 * CHOOSE(CONTROL!$C$22, $C$13, 100%, $E$13)</f>
        <v>2.3540000000000001</v>
      </c>
      <c r="K45" s="61">
        <f>2.3562 * CHOOSE(CONTROL!$C$22, $C$13, 100%, $E$13)</f>
        <v>2.3561999999999999</v>
      </c>
      <c r="L45" s="4"/>
      <c r="M45" s="4"/>
      <c r="N45" s="4"/>
    </row>
    <row r="46" spans="1:14" ht="15">
      <c r="A46" s="13">
        <v>43252</v>
      </c>
      <c r="B46" s="60">
        <f>2.369 * CHOOSE(CONTROL!$C$22, $C$13, 100%, $E$13)</f>
        <v>2.3690000000000002</v>
      </c>
      <c r="C46" s="60">
        <f>2.369 * CHOOSE(CONTROL!$C$22, $C$13, 100%, $E$13)</f>
        <v>2.3690000000000002</v>
      </c>
      <c r="D46" s="60">
        <f>2.4043 * CHOOSE(CONTROL!$C$22, $C$13, 100%, $E$13)</f>
        <v>2.4043000000000001</v>
      </c>
      <c r="E46" s="61">
        <f>2.3848 * CHOOSE(CONTROL!$C$22, $C$13, 100%, $E$13)</f>
        <v>2.3847999999999998</v>
      </c>
      <c r="F46" s="61">
        <f>2.3848 * CHOOSE(CONTROL!$C$22, $C$13, 100%, $E$13)</f>
        <v>2.3847999999999998</v>
      </c>
      <c r="G46" s="61">
        <f>2.3869 * CHOOSE(CONTROL!$C$22, $C$13, 100%, $E$13)</f>
        <v>2.3868999999999998</v>
      </c>
      <c r="H46" s="61">
        <f>5.481* CHOOSE(CONTROL!$C$22, $C$13, 100%, $E$13)</f>
        <v>5.4809999999999999</v>
      </c>
      <c r="I46" s="61">
        <f>5.4832 * CHOOSE(CONTROL!$C$22, $C$13, 100%, $E$13)</f>
        <v>5.4832000000000001</v>
      </c>
      <c r="J46" s="61">
        <f>2.3848 * CHOOSE(CONTROL!$C$22, $C$13, 100%, $E$13)</f>
        <v>2.3847999999999998</v>
      </c>
      <c r="K46" s="61">
        <f>2.3869 * CHOOSE(CONTROL!$C$22, $C$13, 100%, $E$13)</f>
        <v>2.3868999999999998</v>
      </c>
      <c r="L46" s="4"/>
      <c r="M46" s="4"/>
      <c r="N46" s="4"/>
    </row>
    <row r="47" spans="1:14" ht="15">
      <c r="A47" s="13">
        <v>43282</v>
      </c>
      <c r="B47" s="60">
        <f>2.3872 * CHOOSE(CONTROL!$C$22, $C$13, 100%, $E$13)</f>
        <v>2.3872</v>
      </c>
      <c r="C47" s="60">
        <f>2.3872 * CHOOSE(CONTROL!$C$22, $C$13, 100%, $E$13)</f>
        <v>2.3872</v>
      </c>
      <c r="D47" s="60">
        <f>2.4225 * CHOOSE(CONTROL!$C$22, $C$13, 100%, $E$13)</f>
        <v>2.4224999999999999</v>
      </c>
      <c r="E47" s="61">
        <f>2.4401 * CHOOSE(CONTROL!$C$22, $C$13, 100%, $E$13)</f>
        <v>2.4401000000000002</v>
      </c>
      <c r="F47" s="61">
        <f>2.4401 * CHOOSE(CONTROL!$C$22, $C$13, 100%, $E$13)</f>
        <v>2.4401000000000002</v>
      </c>
      <c r="G47" s="61">
        <f>2.4422 * CHOOSE(CONTROL!$C$22, $C$13, 100%, $E$13)</f>
        <v>2.4422000000000001</v>
      </c>
      <c r="H47" s="61">
        <f>5.4924* CHOOSE(CONTROL!$C$22, $C$13, 100%, $E$13)</f>
        <v>5.4923999999999999</v>
      </c>
      <c r="I47" s="61">
        <f>5.4946 * CHOOSE(CONTROL!$C$22, $C$13, 100%, $E$13)</f>
        <v>5.4946000000000002</v>
      </c>
      <c r="J47" s="61">
        <f>2.4401 * CHOOSE(CONTROL!$C$22, $C$13, 100%, $E$13)</f>
        <v>2.4401000000000002</v>
      </c>
      <c r="K47" s="61">
        <f>2.4422 * CHOOSE(CONTROL!$C$22, $C$13, 100%, $E$13)</f>
        <v>2.4422000000000001</v>
      </c>
      <c r="L47" s="4"/>
      <c r="M47" s="4"/>
      <c r="N47" s="4"/>
    </row>
    <row r="48" spans="1:14" ht="15">
      <c r="A48" s="13">
        <v>43313</v>
      </c>
      <c r="B48" s="60">
        <f>2.4055 * CHOOSE(CONTROL!$C$22, $C$13, 100%, $E$13)</f>
        <v>2.4055</v>
      </c>
      <c r="C48" s="60">
        <f>2.4055 * CHOOSE(CONTROL!$C$22, $C$13, 100%, $E$13)</f>
        <v>2.4055</v>
      </c>
      <c r="D48" s="60">
        <f>2.4408 * CHOOSE(CONTROL!$C$22, $C$13, 100%, $E$13)</f>
        <v>2.4407999999999999</v>
      </c>
      <c r="E48" s="61">
        <f>2.4602 * CHOOSE(CONTROL!$C$22, $C$13, 100%, $E$13)</f>
        <v>2.4601999999999999</v>
      </c>
      <c r="F48" s="61">
        <f>2.4602 * CHOOSE(CONTROL!$C$22, $C$13, 100%, $E$13)</f>
        <v>2.4601999999999999</v>
      </c>
      <c r="G48" s="61">
        <f>2.4623 * CHOOSE(CONTROL!$C$22, $C$13, 100%, $E$13)</f>
        <v>2.4622999999999999</v>
      </c>
      <c r="H48" s="61">
        <f>5.5039* CHOOSE(CONTROL!$C$22, $C$13, 100%, $E$13)</f>
        <v>5.5038999999999998</v>
      </c>
      <c r="I48" s="61">
        <f>5.5061 * CHOOSE(CONTROL!$C$22, $C$13, 100%, $E$13)</f>
        <v>5.5061</v>
      </c>
      <c r="J48" s="61">
        <f>2.4602 * CHOOSE(CONTROL!$C$22, $C$13, 100%, $E$13)</f>
        <v>2.4601999999999999</v>
      </c>
      <c r="K48" s="61">
        <f>2.4623 * CHOOSE(CONTROL!$C$22, $C$13, 100%, $E$13)</f>
        <v>2.4622999999999999</v>
      </c>
      <c r="L48" s="4"/>
      <c r="M48" s="4"/>
      <c r="N48" s="4"/>
    </row>
    <row r="49" spans="1:14" ht="15">
      <c r="A49" s="13">
        <v>43344</v>
      </c>
      <c r="B49" s="60">
        <f>2.3933 * CHOOSE(CONTROL!$C$22, $C$13, 100%, $E$13)</f>
        <v>2.3933</v>
      </c>
      <c r="C49" s="60">
        <f>2.3933 * CHOOSE(CONTROL!$C$22, $C$13, 100%, $E$13)</f>
        <v>2.3933</v>
      </c>
      <c r="D49" s="60">
        <f>2.4286 * CHOOSE(CONTROL!$C$22, $C$13, 100%, $E$13)</f>
        <v>2.4285999999999999</v>
      </c>
      <c r="E49" s="61">
        <f>2.5112 * CHOOSE(CONTROL!$C$22, $C$13, 100%, $E$13)</f>
        <v>2.5112000000000001</v>
      </c>
      <c r="F49" s="61">
        <f>2.5112 * CHOOSE(CONTROL!$C$22, $C$13, 100%, $E$13)</f>
        <v>2.5112000000000001</v>
      </c>
      <c r="G49" s="61">
        <f>2.5134 * CHOOSE(CONTROL!$C$22, $C$13, 100%, $E$13)</f>
        <v>2.5133999999999999</v>
      </c>
      <c r="H49" s="61">
        <f>5.5153* CHOOSE(CONTROL!$C$22, $C$13, 100%, $E$13)</f>
        <v>5.5152999999999999</v>
      </c>
      <c r="I49" s="61">
        <f>5.5175 * CHOOSE(CONTROL!$C$22, $C$13, 100%, $E$13)</f>
        <v>5.5175000000000001</v>
      </c>
      <c r="J49" s="61">
        <f>2.5112 * CHOOSE(CONTROL!$C$22, $C$13, 100%, $E$13)</f>
        <v>2.5112000000000001</v>
      </c>
      <c r="K49" s="61">
        <f>2.5134 * CHOOSE(CONTROL!$C$22, $C$13, 100%, $E$13)</f>
        <v>2.5133999999999999</v>
      </c>
      <c r="L49" s="4"/>
      <c r="M49" s="4"/>
      <c r="N49" s="4"/>
    </row>
    <row r="50" spans="1:14" ht="15">
      <c r="A50" s="13">
        <v>43374</v>
      </c>
      <c r="B50" s="60">
        <f>2.3842 * CHOOSE(CONTROL!$C$22, $C$13, 100%, $E$13)</f>
        <v>2.3841999999999999</v>
      </c>
      <c r="C50" s="60">
        <f>2.3842 * CHOOSE(CONTROL!$C$22, $C$13, 100%, $E$13)</f>
        <v>2.3841999999999999</v>
      </c>
      <c r="D50" s="60">
        <f>2.4018 * CHOOSE(CONTROL!$C$22, $C$13, 100%, $E$13)</f>
        <v>2.4018000000000002</v>
      </c>
      <c r="E50" s="61">
        <f>2.4896 * CHOOSE(CONTROL!$C$22, $C$13, 100%, $E$13)</f>
        <v>2.4895999999999998</v>
      </c>
      <c r="F50" s="61">
        <f>2.4896 * CHOOSE(CONTROL!$C$22, $C$13, 100%, $E$13)</f>
        <v>2.4895999999999998</v>
      </c>
      <c r="G50" s="61">
        <f>2.4898 * CHOOSE(CONTROL!$C$22, $C$13, 100%, $E$13)</f>
        <v>2.4897999999999998</v>
      </c>
      <c r="H50" s="61">
        <f>5.5268* CHOOSE(CONTROL!$C$22, $C$13, 100%, $E$13)</f>
        <v>5.5267999999999997</v>
      </c>
      <c r="I50" s="61">
        <f>5.527 * CHOOSE(CONTROL!$C$22, $C$13, 100%, $E$13)</f>
        <v>5.5270000000000001</v>
      </c>
      <c r="J50" s="61">
        <f>2.4896 * CHOOSE(CONTROL!$C$22, $C$13, 100%, $E$13)</f>
        <v>2.4895999999999998</v>
      </c>
      <c r="K50" s="61">
        <f>2.4898 * CHOOSE(CONTROL!$C$22, $C$13, 100%, $E$13)</f>
        <v>2.4897999999999998</v>
      </c>
      <c r="L50" s="4"/>
      <c r="M50" s="4"/>
      <c r="N50" s="4"/>
    </row>
    <row r="51" spans="1:14" ht="15">
      <c r="A51" s="13">
        <v>43405</v>
      </c>
      <c r="B51" s="60">
        <f>2.3963 * CHOOSE(CONTROL!$C$22, $C$13, 100%, $E$13)</f>
        <v>2.3963000000000001</v>
      </c>
      <c r="C51" s="60">
        <f>2.3963 * CHOOSE(CONTROL!$C$22, $C$13, 100%, $E$13)</f>
        <v>2.3963000000000001</v>
      </c>
      <c r="D51" s="60">
        <f>2.414 * CHOOSE(CONTROL!$C$22, $C$13, 100%, $E$13)</f>
        <v>2.4140000000000001</v>
      </c>
      <c r="E51" s="61">
        <f>2.5159 * CHOOSE(CONTROL!$C$22, $C$13, 100%, $E$13)</f>
        <v>2.5158999999999998</v>
      </c>
      <c r="F51" s="61">
        <f>2.5159 * CHOOSE(CONTROL!$C$22, $C$13, 100%, $E$13)</f>
        <v>2.5158999999999998</v>
      </c>
      <c r="G51" s="61">
        <f>2.5161 * CHOOSE(CONTROL!$C$22, $C$13, 100%, $E$13)</f>
        <v>2.5160999999999998</v>
      </c>
      <c r="H51" s="61">
        <f>5.5383* CHOOSE(CONTROL!$C$22, $C$13, 100%, $E$13)</f>
        <v>5.5382999999999996</v>
      </c>
      <c r="I51" s="61">
        <f>5.5385 * CHOOSE(CONTROL!$C$22, $C$13, 100%, $E$13)</f>
        <v>5.5385</v>
      </c>
      <c r="J51" s="61">
        <f>2.5159 * CHOOSE(CONTROL!$C$22, $C$13, 100%, $E$13)</f>
        <v>2.5158999999999998</v>
      </c>
      <c r="K51" s="61">
        <f>2.5161 * CHOOSE(CONTROL!$C$22, $C$13, 100%, $E$13)</f>
        <v>2.5160999999999998</v>
      </c>
      <c r="L51" s="4"/>
      <c r="M51" s="4"/>
      <c r="N51" s="4"/>
    </row>
    <row r="52" spans="1:14" ht="15">
      <c r="A52" s="13">
        <v>43435</v>
      </c>
      <c r="B52" s="60">
        <f>2.4085 * CHOOSE(CONTROL!$C$22, $C$13, 100%, $E$13)</f>
        <v>2.4085000000000001</v>
      </c>
      <c r="C52" s="60">
        <f>2.4085 * CHOOSE(CONTROL!$C$22, $C$13, 100%, $E$13)</f>
        <v>2.4085000000000001</v>
      </c>
      <c r="D52" s="60">
        <f>2.4262 * CHOOSE(CONTROL!$C$22, $C$13, 100%, $E$13)</f>
        <v>2.4262000000000001</v>
      </c>
      <c r="E52" s="61">
        <f>2.5184 * CHOOSE(CONTROL!$C$22, $C$13, 100%, $E$13)</f>
        <v>2.5184000000000002</v>
      </c>
      <c r="F52" s="61">
        <f>2.5184 * CHOOSE(CONTROL!$C$22, $C$13, 100%, $E$13)</f>
        <v>2.5184000000000002</v>
      </c>
      <c r="G52" s="61">
        <f>2.5185 * CHOOSE(CONTROL!$C$22, $C$13, 100%, $E$13)</f>
        <v>2.5185</v>
      </c>
      <c r="H52" s="61">
        <f>5.5499* CHOOSE(CONTROL!$C$22, $C$13, 100%, $E$13)</f>
        <v>5.5499000000000001</v>
      </c>
      <c r="I52" s="61">
        <f>5.5501 * CHOOSE(CONTROL!$C$22, $C$13, 100%, $E$13)</f>
        <v>5.5500999999999996</v>
      </c>
      <c r="J52" s="61">
        <f>2.5184 * CHOOSE(CONTROL!$C$22, $C$13, 100%, $E$13)</f>
        <v>2.5184000000000002</v>
      </c>
      <c r="K52" s="61">
        <f>2.5185 * CHOOSE(CONTROL!$C$22, $C$13, 100%, $E$13)</f>
        <v>2.5185</v>
      </c>
      <c r="L52" s="4"/>
      <c r="M52" s="4"/>
      <c r="N52" s="4"/>
    </row>
    <row r="53" spans="1:14" ht="15">
      <c r="A53" s="13">
        <v>43466</v>
      </c>
      <c r="B53" s="60">
        <f>2.4751 * CHOOSE(CONTROL!$C$22, $C$13, 100%, $E$13)</f>
        <v>2.4750999999999999</v>
      </c>
      <c r="C53" s="60">
        <f>2.4751 * CHOOSE(CONTROL!$C$22, $C$13, 100%, $E$13)</f>
        <v>2.4750999999999999</v>
      </c>
      <c r="D53" s="60">
        <f>2.4927 * CHOOSE(CONTROL!$C$22, $C$13, 100%, $E$13)</f>
        <v>2.4927000000000001</v>
      </c>
      <c r="E53" s="61">
        <f>2.5695 * CHOOSE(CONTROL!$C$22, $C$13, 100%, $E$13)</f>
        <v>2.5695000000000001</v>
      </c>
      <c r="F53" s="61">
        <f>2.5695 * CHOOSE(CONTROL!$C$22, $C$13, 100%, $E$13)</f>
        <v>2.5695000000000001</v>
      </c>
      <c r="G53" s="61">
        <f>2.5697 * CHOOSE(CONTROL!$C$22, $C$13, 100%, $E$13)</f>
        <v>2.5697000000000001</v>
      </c>
      <c r="H53" s="61">
        <f>5.5614* CHOOSE(CONTROL!$C$22, $C$13, 100%, $E$13)</f>
        <v>5.5613999999999999</v>
      </c>
      <c r="I53" s="61">
        <f>5.5616 * CHOOSE(CONTROL!$C$22, $C$13, 100%, $E$13)</f>
        <v>5.5616000000000003</v>
      </c>
      <c r="J53" s="61">
        <f>2.5695 * CHOOSE(CONTROL!$C$22, $C$13, 100%, $E$13)</f>
        <v>2.5695000000000001</v>
      </c>
      <c r="K53" s="61">
        <f>2.5697 * CHOOSE(CONTROL!$C$22, $C$13, 100%, $E$13)</f>
        <v>2.5697000000000001</v>
      </c>
      <c r="L53" s="4"/>
      <c r="M53" s="4"/>
      <c r="N53" s="4"/>
    </row>
    <row r="54" spans="1:14" ht="15">
      <c r="A54" s="13">
        <v>43497</v>
      </c>
      <c r="B54" s="60">
        <f>2.472 * CHOOSE(CONTROL!$C$22, $C$13, 100%, $E$13)</f>
        <v>2.472</v>
      </c>
      <c r="C54" s="60">
        <f>2.472 * CHOOSE(CONTROL!$C$22, $C$13, 100%, $E$13)</f>
        <v>2.472</v>
      </c>
      <c r="D54" s="60">
        <f>2.4897 * CHOOSE(CONTROL!$C$22, $C$13, 100%, $E$13)</f>
        <v>2.4897</v>
      </c>
      <c r="E54" s="61">
        <f>2.5537 * CHOOSE(CONTROL!$C$22, $C$13, 100%, $E$13)</f>
        <v>2.5537000000000001</v>
      </c>
      <c r="F54" s="61">
        <f>2.5537 * CHOOSE(CONTROL!$C$22, $C$13, 100%, $E$13)</f>
        <v>2.5537000000000001</v>
      </c>
      <c r="G54" s="61">
        <f>2.5539 * CHOOSE(CONTROL!$C$22, $C$13, 100%, $E$13)</f>
        <v>2.5539000000000001</v>
      </c>
      <c r="H54" s="61">
        <f>5.573* CHOOSE(CONTROL!$C$22, $C$13, 100%, $E$13)</f>
        <v>5.5730000000000004</v>
      </c>
      <c r="I54" s="61">
        <f>5.5732 * CHOOSE(CONTROL!$C$22, $C$13, 100%, $E$13)</f>
        <v>5.5731999999999999</v>
      </c>
      <c r="J54" s="61">
        <f>2.5537 * CHOOSE(CONTROL!$C$22, $C$13, 100%, $E$13)</f>
        <v>2.5537000000000001</v>
      </c>
      <c r="K54" s="61">
        <f>2.5539 * CHOOSE(CONTROL!$C$22, $C$13, 100%, $E$13)</f>
        <v>2.5539000000000001</v>
      </c>
      <c r="L54" s="4"/>
      <c r="M54" s="4"/>
      <c r="N54" s="4"/>
    </row>
    <row r="55" spans="1:14" ht="15">
      <c r="A55" s="13">
        <v>43525</v>
      </c>
      <c r="B55" s="60">
        <f>2.469 * CHOOSE(CONTROL!$C$22, $C$13, 100%, $E$13)</f>
        <v>2.4689999999999999</v>
      </c>
      <c r="C55" s="60">
        <f>2.469 * CHOOSE(CONTROL!$C$22, $C$13, 100%, $E$13)</f>
        <v>2.4689999999999999</v>
      </c>
      <c r="D55" s="60">
        <f>2.4867 * CHOOSE(CONTROL!$C$22, $C$13, 100%, $E$13)</f>
        <v>2.4866999999999999</v>
      </c>
      <c r="E55" s="61">
        <f>2.5624 * CHOOSE(CONTROL!$C$22, $C$13, 100%, $E$13)</f>
        <v>2.5623999999999998</v>
      </c>
      <c r="F55" s="61">
        <f>2.5624 * CHOOSE(CONTROL!$C$22, $C$13, 100%, $E$13)</f>
        <v>2.5623999999999998</v>
      </c>
      <c r="G55" s="61">
        <f>2.5625 * CHOOSE(CONTROL!$C$22, $C$13, 100%, $E$13)</f>
        <v>2.5625</v>
      </c>
      <c r="H55" s="61">
        <f>5.5846* CHOOSE(CONTROL!$C$22, $C$13, 100%, $E$13)</f>
        <v>5.5846</v>
      </c>
      <c r="I55" s="61">
        <f>5.5848 * CHOOSE(CONTROL!$C$22, $C$13, 100%, $E$13)</f>
        <v>5.5848000000000004</v>
      </c>
      <c r="J55" s="61">
        <f>2.5624 * CHOOSE(CONTROL!$C$22, $C$13, 100%, $E$13)</f>
        <v>2.5623999999999998</v>
      </c>
      <c r="K55" s="61">
        <f>2.5625 * CHOOSE(CONTROL!$C$22, $C$13, 100%, $E$13)</f>
        <v>2.5625</v>
      </c>
      <c r="L55" s="4"/>
      <c r="M55" s="4"/>
      <c r="N55" s="4"/>
    </row>
    <row r="56" spans="1:14" ht="15">
      <c r="A56" s="13">
        <v>43556</v>
      </c>
      <c r="B56" s="60">
        <f>2.4629 * CHOOSE(CONTROL!$C$22, $C$13, 100%, $E$13)</f>
        <v>2.4628999999999999</v>
      </c>
      <c r="C56" s="60">
        <f>2.4629 * CHOOSE(CONTROL!$C$22, $C$13, 100%, $E$13)</f>
        <v>2.4628999999999999</v>
      </c>
      <c r="D56" s="60">
        <f>2.4806 * CHOOSE(CONTROL!$C$22, $C$13, 100%, $E$13)</f>
        <v>2.4805999999999999</v>
      </c>
      <c r="E56" s="61">
        <f>2.5697 * CHOOSE(CONTROL!$C$22, $C$13, 100%, $E$13)</f>
        <v>2.5697000000000001</v>
      </c>
      <c r="F56" s="61">
        <f>2.5697 * CHOOSE(CONTROL!$C$22, $C$13, 100%, $E$13)</f>
        <v>2.5697000000000001</v>
      </c>
      <c r="G56" s="61">
        <f>2.5699 * CHOOSE(CONTROL!$C$22, $C$13, 100%, $E$13)</f>
        <v>2.5699000000000001</v>
      </c>
      <c r="H56" s="61">
        <f>5.5963* CHOOSE(CONTROL!$C$22, $C$13, 100%, $E$13)</f>
        <v>5.5963000000000003</v>
      </c>
      <c r="I56" s="61">
        <f>5.5965 * CHOOSE(CONTROL!$C$22, $C$13, 100%, $E$13)</f>
        <v>5.5964999999999998</v>
      </c>
      <c r="J56" s="61">
        <f>2.5697 * CHOOSE(CONTROL!$C$22, $C$13, 100%, $E$13)</f>
        <v>2.5697000000000001</v>
      </c>
      <c r="K56" s="61">
        <f>2.5699 * CHOOSE(CONTROL!$C$22, $C$13, 100%, $E$13)</f>
        <v>2.5699000000000001</v>
      </c>
      <c r="L56" s="4"/>
      <c r="M56" s="4"/>
      <c r="N56" s="4"/>
    </row>
    <row r="57" spans="1:14" ht="15">
      <c r="A57" s="13">
        <v>43586</v>
      </c>
      <c r="B57" s="60">
        <f>2.4629 * CHOOSE(CONTROL!$C$22, $C$13, 100%, $E$13)</f>
        <v>2.4628999999999999</v>
      </c>
      <c r="C57" s="60">
        <f>2.4629 * CHOOSE(CONTROL!$C$22, $C$13, 100%, $E$13)</f>
        <v>2.4628999999999999</v>
      </c>
      <c r="D57" s="60">
        <f>2.4982 * CHOOSE(CONTROL!$C$22, $C$13, 100%, $E$13)</f>
        <v>2.4982000000000002</v>
      </c>
      <c r="E57" s="61">
        <f>2.574 * CHOOSE(CONTROL!$C$22, $C$13, 100%, $E$13)</f>
        <v>2.5739999999999998</v>
      </c>
      <c r="F57" s="61">
        <f>2.574 * CHOOSE(CONTROL!$C$22, $C$13, 100%, $E$13)</f>
        <v>2.5739999999999998</v>
      </c>
      <c r="G57" s="61">
        <f>2.5762 * CHOOSE(CONTROL!$C$22, $C$13, 100%, $E$13)</f>
        <v>2.5762</v>
      </c>
      <c r="H57" s="61">
        <f>5.6079* CHOOSE(CONTROL!$C$22, $C$13, 100%, $E$13)</f>
        <v>5.6078999999999999</v>
      </c>
      <c r="I57" s="61">
        <f>5.6101 * CHOOSE(CONTROL!$C$22, $C$13, 100%, $E$13)</f>
        <v>5.6101000000000001</v>
      </c>
      <c r="J57" s="61">
        <f>2.574 * CHOOSE(CONTROL!$C$22, $C$13, 100%, $E$13)</f>
        <v>2.5739999999999998</v>
      </c>
      <c r="K57" s="61">
        <f>2.5762 * CHOOSE(CONTROL!$C$22, $C$13, 100%, $E$13)</f>
        <v>2.5762</v>
      </c>
      <c r="L57" s="4"/>
      <c r="M57" s="4"/>
      <c r="N57" s="4"/>
    </row>
    <row r="58" spans="1:14" ht="15">
      <c r="A58" s="13">
        <v>43617</v>
      </c>
      <c r="B58" s="60">
        <f>2.469 * CHOOSE(CONTROL!$C$22, $C$13, 100%, $E$13)</f>
        <v>2.4689999999999999</v>
      </c>
      <c r="C58" s="60">
        <f>2.469 * CHOOSE(CONTROL!$C$22, $C$13, 100%, $E$13)</f>
        <v>2.4689999999999999</v>
      </c>
      <c r="D58" s="60">
        <f>2.5043 * CHOOSE(CONTROL!$C$22, $C$13, 100%, $E$13)</f>
        <v>2.5043000000000002</v>
      </c>
      <c r="E58" s="61">
        <f>2.5739 * CHOOSE(CONTROL!$C$22, $C$13, 100%, $E$13)</f>
        <v>2.5739000000000001</v>
      </c>
      <c r="F58" s="61">
        <f>2.5739 * CHOOSE(CONTROL!$C$22, $C$13, 100%, $E$13)</f>
        <v>2.5739000000000001</v>
      </c>
      <c r="G58" s="61">
        <f>2.5761 * CHOOSE(CONTROL!$C$22, $C$13, 100%, $E$13)</f>
        <v>2.5760999999999998</v>
      </c>
      <c r="H58" s="61">
        <f>5.6196* CHOOSE(CONTROL!$C$22, $C$13, 100%, $E$13)</f>
        <v>5.6196000000000002</v>
      </c>
      <c r="I58" s="61">
        <f>5.6218 * CHOOSE(CONTROL!$C$22, $C$13, 100%, $E$13)</f>
        <v>5.6218000000000004</v>
      </c>
      <c r="J58" s="61">
        <f>2.5739 * CHOOSE(CONTROL!$C$22, $C$13, 100%, $E$13)</f>
        <v>2.5739000000000001</v>
      </c>
      <c r="K58" s="61">
        <f>2.5761 * CHOOSE(CONTROL!$C$22, $C$13, 100%, $E$13)</f>
        <v>2.5760999999999998</v>
      </c>
      <c r="L58" s="4"/>
      <c r="M58" s="4"/>
      <c r="N58" s="4"/>
    </row>
    <row r="59" spans="1:14" ht="15">
      <c r="A59" s="13">
        <v>43647</v>
      </c>
      <c r="B59" s="60">
        <f>2.4964 * CHOOSE(CONTROL!$C$22, $C$13, 100%, $E$13)</f>
        <v>2.4964</v>
      </c>
      <c r="C59" s="60">
        <f>2.4964 * CHOOSE(CONTROL!$C$22, $C$13, 100%, $E$13)</f>
        <v>2.4964</v>
      </c>
      <c r="D59" s="60">
        <f>2.5318 * CHOOSE(CONTROL!$C$22, $C$13, 100%, $E$13)</f>
        <v>2.5318000000000001</v>
      </c>
      <c r="E59" s="61">
        <f>2.6157 * CHOOSE(CONTROL!$C$22, $C$13, 100%, $E$13)</f>
        <v>2.6156999999999999</v>
      </c>
      <c r="F59" s="61">
        <f>2.6157 * CHOOSE(CONTROL!$C$22, $C$13, 100%, $E$13)</f>
        <v>2.6156999999999999</v>
      </c>
      <c r="G59" s="61">
        <f>2.6179 * CHOOSE(CONTROL!$C$22, $C$13, 100%, $E$13)</f>
        <v>2.6179000000000001</v>
      </c>
      <c r="H59" s="61">
        <f>5.6313* CHOOSE(CONTROL!$C$22, $C$13, 100%, $E$13)</f>
        <v>5.6313000000000004</v>
      </c>
      <c r="I59" s="61">
        <f>5.6335 * CHOOSE(CONTROL!$C$22, $C$13, 100%, $E$13)</f>
        <v>5.6334999999999997</v>
      </c>
      <c r="J59" s="61">
        <f>2.6157 * CHOOSE(CONTROL!$C$22, $C$13, 100%, $E$13)</f>
        <v>2.6156999999999999</v>
      </c>
      <c r="K59" s="61">
        <f>2.6179 * CHOOSE(CONTROL!$C$22, $C$13, 100%, $E$13)</f>
        <v>2.6179000000000001</v>
      </c>
      <c r="L59" s="4"/>
      <c r="M59" s="4"/>
      <c r="N59" s="4"/>
    </row>
    <row r="60" spans="1:14" ht="15">
      <c r="A60" s="13">
        <v>43678</v>
      </c>
      <c r="B60" s="60">
        <f>2.5031 * CHOOSE(CONTROL!$C$22, $C$13, 100%, $E$13)</f>
        <v>2.5030999999999999</v>
      </c>
      <c r="C60" s="60">
        <f>2.5031 * CHOOSE(CONTROL!$C$22, $C$13, 100%, $E$13)</f>
        <v>2.5030999999999999</v>
      </c>
      <c r="D60" s="60">
        <f>2.5384 * CHOOSE(CONTROL!$C$22, $C$13, 100%, $E$13)</f>
        <v>2.5384000000000002</v>
      </c>
      <c r="E60" s="61">
        <f>2.6074 * CHOOSE(CONTROL!$C$22, $C$13, 100%, $E$13)</f>
        <v>2.6074000000000002</v>
      </c>
      <c r="F60" s="61">
        <f>2.6074 * CHOOSE(CONTROL!$C$22, $C$13, 100%, $E$13)</f>
        <v>2.6074000000000002</v>
      </c>
      <c r="G60" s="61">
        <f>2.6095 * CHOOSE(CONTROL!$C$22, $C$13, 100%, $E$13)</f>
        <v>2.6095000000000002</v>
      </c>
      <c r="H60" s="61">
        <f>5.6431* CHOOSE(CONTROL!$C$22, $C$13, 100%, $E$13)</f>
        <v>5.6430999999999996</v>
      </c>
      <c r="I60" s="61">
        <f>5.6452 * CHOOSE(CONTROL!$C$22, $C$13, 100%, $E$13)</f>
        <v>5.6452</v>
      </c>
      <c r="J60" s="61">
        <f>2.6074 * CHOOSE(CONTROL!$C$22, $C$13, 100%, $E$13)</f>
        <v>2.6074000000000002</v>
      </c>
      <c r="K60" s="61">
        <f>2.6095 * CHOOSE(CONTROL!$C$22, $C$13, 100%, $E$13)</f>
        <v>2.6095000000000002</v>
      </c>
      <c r="L60" s="4"/>
      <c r="M60" s="4"/>
      <c r="N60" s="4"/>
    </row>
    <row r="61" spans="1:14" ht="15">
      <c r="A61" s="13">
        <v>43709</v>
      </c>
      <c r="B61" s="60">
        <f>2.5001 * CHOOSE(CONTROL!$C$22, $C$13, 100%, $E$13)</f>
        <v>2.5001000000000002</v>
      </c>
      <c r="C61" s="60">
        <f>2.5001 * CHOOSE(CONTROL!$C$22, $C$13, 100%, $E$13)</f>
        <v>2.5001000000000002</v>
      </c>
      <c r="D61" s="60">
        <f>2.5354 * CHOOSE(CONTROL!$C$22, $C$13, 100%, $E$13)</f>
        <v>2.5354000000000001</v>
      </c>
      <c r="E61" s="61">
        <f>2.6038 * CHOOSE(CONTROL!$C$22, $C$13, 100%, $E$13)</f>
        <v>2.6038000000000001</v>
      </c>
      <c r="F61" s="61">
        <f>2.6038 * CHOOSE(CONTROL!$C$22, $C$13, 100%, $E$13)</f>
        <v>2.6038000000000001</v>
      </c>
      <c r="G61" s="61">
        <f>2.606 * CHOOSE(CONTROL!$C$22, $C$13, 100%, $E$13)</f>
        <v>2.6059999999999999</v>
      </c>
      <c r="H61" s="61">
        <f>5.6548* CHOOSE(CONTROL!$C$22, $C$13, 100%, $E$13)</f>
        <v>5.6547999999999998</v>
      </c>
      <c r="I61" s="61">
        <f>5.657 * CHOOSE(CONTROL!$C$22, $C$13, 100%, $E$13)</f>
        <v>5.657</v>
      </c>
      <c r="J61" s="61">
        <f>2.6038 * CHOOSE(CONTROL!$C$22, $C$13, 100%, $E$13)</f>
        <v>2.6038000000000001</v>
      </c>
      <c r="K61" s="61">
        <f>2.606 * CHOOSE(CONTROL!$C$22, $C$13, 100%, $E$13)</f>
        <v>2.6059999999999999</v>
      </c>
      <c r="L61" s="4"/>
      <c r="M61" s="4"/>
      <c r="N61" s="4"/>
    </row>
    <row r="62" spans="1:14" ht="15">
      <c r="A62" s="13">
        <v>43739</v>
      </c>
      <c r="B62" s="60">
        <f>2.4808 * CHOOSE(CONTROL!$C$22, $C$13, 100%, $E$13)</f>
        <v>2.4807999999999999</v>
      </c>
      <c r="C62" s="60">
        <f>2.4808 * CHOOSE(CONTROL!$C$22, $C$13, 100%, $E$13)</f>
        <v>2.4807999999999999</v>
      </c>
      <c r="D62" s="60">
        <f>2.4985 * CHOOSE(CONTROL!$C$22, $C$13, 100%, $E$13)</f>
        <v>2.4984999999999999</v>
      </c>
      <c r="E62" s="61">
        <f>2.5962 * CHOOSE(CONTROL!$C$22, $C$13, 100%, $E$13)</f>
        <v>2.5962000000000001</v>
      </c>
      <c r="F62" s="61">
        <f>2.5962 * CHOOSE(CONTROL!$C$22, $C$13, 100%, $E$13)</f>
        <v>2.5962000000000001</v>
      </c>
      <c r="G62" s="61">
        <f>2.5963 * CHOOSE(CONTROL!$C$22, $C$13, 100%, $E$13)</f>
        <v>2.5962999999999998</v>
      </c>
      <c r="H62" s="61">
        <f>5.6666* CHOOSE(CONTROL!$C$22, $C$13, 100%, $E$13)</f>
        <v>5.6665999999999999</v>
      </c>
      <c r="I62" s="61">
        <f>5.6668 * CHOOSE(CONTROL!$C$22, $C$13, 100%, $E$13)</f>
        <v>5.6668000000000003</v>
      </c>
      <c r="J62" s="61">
        <f>2.5962 * CHOOSE(CONTROL!$C$22, $C$13, 100%, $E$13)</f>
        <v>2.5962000000000001</v>
      </c>
      <c r="K62" s="61">
        <f>2.5963 * CHOOSE(CONTROL!$C$22, $C$13, 100%, $E$13)</f>
        <v>2.5962999999999998</v>
      </c>
      <c r="L62" s="4"/>
      <c r="M62" s="4"/>
      <c r="N62" s="4"/>
    </row>
    <row r="63" spans="1:14" ht="15">
      <c r="A63" s="13">
        <v>43770</v>
      </c>
      <c r="B63" s="60">
        <f>2.4839 * CHOOSE(CONTROL!$C$22, $C$13, 100%, $E$13)</f>
        <v>2.4839000000000002</v>
      </c>
      <c r="C63" s="60">
        <f>2.4839 * CHOOSE(CONTROL!$C$22, $C$13, 100%, $E$13)</f>
        <v>2.4839000000000002</v>
      </c>
      <c r="D63" s="60">
        <f>2.5015 * CHOOSE(CONTROL!$C$22, $C$13, 100%, $E$13)</f>
        <v>2.5015000000000001</v>
      </c>
      <c r="E63" s="61">
        <f>2.6012 * CHOOSE(CONTROL!$C$22, $C$13, 100%, $E$13)</f>
        <v>2.6012</v>
      </c>
      <c r="F63" s="61">
        <f>2.6012 * CHOOSE(CONTROL!$C$22, $C$13, 100%, $E$13)</f>
        <v>2.6012</v>
      </c>
      <c r="G63" s="61">
        <f>2.6013 * CHOOSE(CONTROL!$C$22, $C$13, 100%, $E$13)</f>
        <v>2.6013000000000002</v>
      </c>
      <c r="H63" s="61">
        <f>5.6784* CHOOSE(CONTROL!$C$22, $C$13, 100%, $E$13)</f>
        <v>5.6783999999999999</v>
      </c>
      <c r="I63" s="61">
        <f>5.6786 * CHOOSE(CONTROL!$C$22, $C$13, 100%, $E$13)</f>
        <v>5.6786000000000003</v>
      </c>
      <c r="J63" s="61">
        <f>2.6012 * CHOOSE(CONTROL!$C$22, $C$13, 100%, $E$13)</f>
        <v>2.6012</v>
      </c>
      <c r="K63" s="61">
        <f>2.6013 * CHOOSE(CONTROL!$C$22, $C$13, 100%, $E$13)</f>
        <v>2.6013000000000002</v>
      </c>
      <c r="L63" s="4"/>
      <c r="M63" s="4"/>
      <c r="N63" s="4"/>
    </row>
    <row r="64" spans="1:14" ht="15">
      <c r="A64" s="13">
        <v>43800</v>
      </c>
      <c r="B64" s="60">
        <f>2.4839 * CHOOSE(CONTROL!$C$22, $C$13, 100%, $E$13)</f>
        <v>2.4839000000000002</v>
      </c>
      <c r="C64" s="60">
        <f>2.4839 * CHOOSE(CONTROL!$C$22, $C$13, 100%, $E$13)</f>
        <v>2.4839000000000002</v>
      </c>
      <c r="D64" s="60">
        <f>2.5015 * CHOOSE(CONTROL!$C$22, $C$13, 100%, $E$13)</f>
        <v>2.5015000000000001</v>
      </c>
      <c r="E64" s="61">
        <f>2.5939 * CHOOSE(CONTROL!$C$22, $C$13, 100%, $E$13)</f>
        <v>2.5939000000000001</v>
      </c>
      <c r="F64" s="61">
        <f>2.5939 * CHOOSE(CONTROL!$C$22, $C$13, 100%, $E$13)</f>
        <v>2.5939000000000001</v>
      </c>
      <c r="G64" s="61">
        <f>2.5941 * CHOOSE(CONTROL!$C$22, $C$13, 100%, $E$13)</f>
        <v>2.5941000000000001</v>
      </c>
      <c r="H64" s="61">
        <f>5.6902* CHOOSE(CONTROL!$C$22, $C$13, 100%, $E$13)</f>
        <v>5.6901999999999999</v>
      </c>
      <c r="I64" s="61">
        <f>5.6904 * CHOOSE(CONTROL!$C$22, $C$13, 100%, $E$13)</f>
        <v>5.6904000000000003</v>
      </c>
      <c r="J64" s="61">
        <f>2.5939 * CHOOSE(CONTROL!$C$22, $C$13, 100%, $E$13)</f>
        <v>2.5939000000000001</v>
      </c>
      <c r="K64" s="61">
        <f>2.5941 * CHOOSE(CONTROL!$C$22, $C$13, 100%, $E$13)</f>
        <v>2.5941000000000001</v>
      </c>
      <c r="L64" s="4"/>
      <c r="M64" s="4"/>
      <c r="N64" s="4"/>
    </row>
    <row r="65" spans="1:14" ht="15">
      <c r="A65" s="13">
        <v>43831</v>
      </c>
      <c r="B65" s="60">
        <f>2.6884 * CHOOSE(CONTROL!$C$22, $C$13, 100%, $E$13)</f>
        <v>2.6884000000000001</v>
      </c>
      <c r="C65" s="60">
        <f>2.6884 * CHOOSE(CONTROL!$C$22, $C$13, 100%, $E$13)</f>
        <v>2.6884000000000001</v>
      </c>
      <c r="D65" s="60">
        <f>2.7061 * CHOOSE(CONTROL!$C$22, $C$13, 100%, $E$13)</f>
        <v>2.7061000000000002</v>
      </c>
      <c r="E65" s="61">
        <f>2.6809 * CHOOSE(CONTROL!$C$22, $C$13, 100%, $E$13)</f>
        <v>2.6808999999999998</v>
      </c>
      <c r="F65" s="61">
        <f>2.6809 * CHOOSE(CONTROL!$C$22, $C$13, 100%, $E$13)</f>
        <v>2.6808999999999998</v>
      </c>
      <c r="G65" s="61">
        <f>2.6811 * CHOOSE(CONTROL!$C$22, $C$13, 100%, $E$13)</f>
        <v>2.6810999999999998</v>
      </c>
      <c r="H65" s="61">
        <f>5.7021* CHOOSE(CONTROL!$C$22, $C$13, 100%, $E$13)</f>
        <v>5.7020999999999997</v>
      </c>
      <c r="I65" s="61">
        <f>5.7023 * CHOOSE(CONTROL!$C$22, $C$13, 100%, $E$13)</f>
        <v>5.7023000000000001</v>
      </c>
      <c r="J65" s="61">
        <f>2.6809 * CHOOSE(CONTROL!$C$22, $C$13, 100%, $E$13)</f>
        <v>2.6808999999999998</v>
      </c>
      <c r="K65" s="61">
        <f>2.6811 * CHOOSE(CONTROL!$C$22, $C$13, 100%, $E$13)</f>
        <v>2.6810999999999998</v>
      </c>
      <c r="L65" s="4"/>
      <c r="M65" s="4"/>
      <c r="N65" s="4"/>
    </row>
    <row r="66" spans="1:14" ht="15">
      <c r="A66" s="13">
        <v>43862</v>
      </c>
      <c r="B66" s="60">
        <f>2.6854 * CHOOSE(CONTROL!$C$22, $C$13, 100%, $E$13)</f>
        <v>2.6854</v>
      </c>
      <c r="C66" s="60">
        <f>2.6854 * CHOOSE(CONTROL!$C$22, $C$13, 100%, $E$13)</f>
        <v>2.6854</v>
      </c>
      <c r="D66" s="60">
        <f>2.703 * CHOOSE(CONTROL!$C$22, $C$13, 100%, $E$13)</f>
        <v>2.7029999999999998</v>
      </c>
      <c r="E66" s="61">
        <f>2.6621 * CHOOSE(CONTROL!$C$22, $C$13, 100%, $E$13)</f>
        <v>2.6621000000000001</v>
      </c>
      <c r="F66" s="61">
        <f>2.6621 * CHOOSE(CONTROL!$C$22, $C$13, 100%, $E$13)</f>
        <v>2.6621000000000001</v>
      </c>
      <c r="G66" s="61">
        <f>2.6623 * CHOOSE(CONTROL!$C$22, $C$13, 100%, $E$13)</f>
        <v>2.6623000000000001</v>
      </c>
      <c r="H66" s="61">
        <f>5.714* CHOOSE(CONTROL!$C$22, $C$13, 100%, $E$13)</f>
        <v>5.7140000000000004</v>
      </c>
      <c r="I66" s="61">
        <f>5.7141 * CHOOSE(CONTROL!$C$22, $C$13, 100%, $E$13)</f>
        <v>5.7141000000000002</v>
      </c>
      <c r="J66" s="61">
        <f>2.6621 * CHOOSE(CONTROL!$C$22, $C$13, 100%, $E$13)</f>
        <v>2.6621000000000001</v>
      </c>
      <c r="K66" s="61">
        <f>2.6623 * CHOOSE(CONTROL!$C$22, $C$13, 100%, $E$13)</f>
        <v>2.6623000000000001</v>
      </c>
      <c r="L66" s="4"/>
      <c r="M66" s="4"/>
      <c r="N66" s="4"/>
    </row>
    <row r="67" spans="1:14" ht="15">
      <c r="A67" s="13">
        <v>43891</v>
      </c>
      <c r="B67" s="60">
        <f>2.6823 * CHOOSE(CONTROL!$C$22, $C$13, 100%, $E$13)</f>
        <v>2.6823000000000001</v>
      </c>
      <c r="C67" s="60">
        <f>2.6823 * CHOOSE(CONTROL!$C$22, $C$13, 100%, $E$13)</f>
        <v>2.6823000000000001</v>
      </c>
      <c r="D67" s="60">
        <f>2.7 * CHOOSE(CONTROL!$C$22, $C$13, 100%, $E$13)</f>
        <v>2.7</v>
      </c>
      <c r="E67" s="61">
        <f>2.6731 * CHOOSE(CONTROL!$C$22, $C$13, 100%, $E$13)</f>
        <v>2.6730999999999998</v>
      </c>
      <c r="F67" s="61">
        <f>2.6731 * CHOOSE(CONTROL!$C$22, $C$13, 100%, $E$13)</f>
        <v>2.6730999999999998</v>
      </c>
      <c r="G67" s="61">
        <f>2.6733 * CHOOSE(CONTROL!$C$22, $C$13, 100%, $E$13)</f>
        <v>2.6732999999999998</v>
      </c>
      <c r="H67" s="61">
        <f>5.7259* CHOOSE(CONTROL!$C$22, $C$13, 100%, $E$13)</f>
        <v>5.7259000000000002</v>
      </c>
      <c r="I67" s="61">
        <f>5.726 * CHOOSE(CONTROL!$C$22, $C$13, 100%, $E$13)</f>
        <v>5.726</v>
      </c>
      <c r="J67" s="61">
        <f>2.6731 * CHOOSE(CONTROL!$C$22, $C$13, 100%, $E$13)</f>
        <v>2.6730999999999998</v>
      </c>
      <c r="K67" s="61">
        <f>2.6733 * CHOOSE(CONTROL!$C$22, $C$13, 100%, $E$13)</f>
        <v>2.6732999999999998</v>
      </c>
      <c r="L67" s="4"/>
      <c r="M67" s="4"/>
      <c r="N67" s="4"/>
    </row>
    <row r="68" spans="1:14" ht="15">
      <c r="A68" s="13">
        <v>43922</v>
      </c>
      <c r="B68" s="60">
        <f>2.6788 * CHOOSE(CONTROL!$C$22, $C$13, 100%, $E$13)</f>
        <v>2.6787999999999998</v>
      </c>
      <c r="C68" s="60">
        <f>2.6788 * CHOOSE(CONTROL!$C$22, $C$13, 100%, $E$13)</f>
        <v>2.6787999999999998</v>
      </c>
      <c r="D68" s="60">
        <f>2.6964 * CHOOSE(CONTROL!$C$22, $C$13, 100%, $E$13)</f>
        <v>2.6964000000000001</v>
      </c>
      <c r="E68" s="61">
        <f>2.683 * CHOOSE(CONTROL!$C$22, $C$13, 100%, $E$13)</f>
        <v>2.6829999999999998</v>
      </c>
      <c r="F68" s="61">
        <f>2.683 * CHOOSE(CONTROL!$C$22, $C$13, 100%, $E$13)</f>
        <v>2.6829999999999998</v>
      </c>
      <c r="G68" s="61">
        <f>2.6832 * CHOOSE(CONTROL!$C$22, $C$13, 100%, $E$13)</f>
        <v>2.6831999999999998</v>
      </c>
      <c r="H68" s="61">
        <f>5.7378* CHOOSE(CONTROL!$C$22, $C$13, 100%, $E$13)</f>
        <v>5.7378</v>
      </c>
      <c r="I68" s="61">
        <f>5.738 * CHOOSE(CONTROL!$C$22, $C$13, 100%, $E$13)</f>
        <v>5.7380000000000004</v>
      </c>
      <c r="J68" s="61">
        <f>2.683 * CHOOSE(CONTROL!$C$22, $C$13, 100%, $E$13)</f>
        <v>2.6829999999999998</v>
      </c>
      <c r="K68" s="61">
        <f>2.6832 * CHOOSE(CONTROL!$C$22, $C$13, 100%, $E$13)</f>
        <v>2.6831999999999998</v>
      </c>
      <c r="L68" s="4"/>
      <c r="M68" s="4"/>
      <c r="N68" s="4"/>
    </row>
    <row r="69" spans="1:14" ht="15">
      <c r="A69" s="13">
        <v>43952</v>
      </c>
      <c r="B69" s="60">
        <f>2.6788 * CHOOSE(CONTROL!$C$22, $C$13, 100%, $E$13)</f>
        <v>2.6787999999999998</v>
      </c>
      <c r="C69" s="60">
        <f>2.6788 * CHOOSE(CONTROL!$C$22, $C$13, 100%, $E$13)</f>
        <v>2.6787999999999998</v>
      </c>
      <c r="D69" s="60">
        <f>2.7141 * CHOOSE(CONTROL!$C$22, $C$13, 100%, $E$13)</f>
        <v>2.7141000000000002</v>
      </c>
      <c r="E69" s="61">
        <f>2.6883 * CHOOSE(CONTROL!$C$22, $C$13, 100%, $E$13)</f>
        <v>2.6882999999999999</v>
      </c>
      <c r="F69" s="61">
        <f>2.6883 * CHOOSE(CONTROL!$C$22, $C$13, 100%, $E$13)</f>
        <v>2.6882999999999999</v>
      </c>
      <c r="G69" s="61">
        <f>2.6905 * CHOOSE(CONTROL!$C$22, $C$13, 100%, $E$13)</f>
        <v>2.6905000000000001</v>
      </c>
      <c r="H69" s="61">
        <f>5.7498* CHOOSE(CONTROL!$C$22, $C$13, 100%, $E$13)</f>
        <v>5.7497999999999996</v>
      </c>
      <c r="I69" s="61">
        <f>5.7519 * CHOOSE(CONTROL!$C$22, $C$13, 100%, $E$13)</f>
        <v>5.7519</v>
      </c>
      <c r="J69" s="61">
        <f>2.6883 * CHOOSE(CONTROL!$C$22, $C$13, 100%, $E$13)</f>
        <v>2.6882999999999999</v>
      </c>
      <c r="K69" s="61">
        <f>2.6905 * CHOOSE(CONTROL!$C$22, $C$13, 100%, $E$13)</f>
        <v>2.6905000000000001</v>
      </c>
      <c r="L69" s="4"/>
      <c r="M69" s="4"/>
      <c r="N69" s="4"/>
    </row>
    <row r="70" spans="1:14" ht="15">
      <c r="A70" s="13">
        <v>43983</v>
      </c>
      <c r="B70" s="60">
        <f>2.6848 * CHOOSE(CONTROL!$C$22, $C$13, 100%, $E$13)</f>
        <v>2.6848000000000001</v>
      </c>
      <c r="C70" s="60">
        <f>2.6848 * CHOOSE(CONTROL!$C$22, $C$13, 100%, $E$13)</f>
        <v>2.6848000000000001</v>
      </c>
      <c r="D70" s="60">
        <f>2.7202 * CHOOSE(CONTROL!$C$22, $C$13, 100%, $E$13)</f>
        <v>2.7202000000000002</v>
      </c>
      <c r="E70" s="61">
        <f>2.6872 * CHOOSE(CONTROL!$C$22, $C$13, 100%, $E$13)</f>
        <v>2.6871999999999998</v>
      </c>
      <c r="F70" s="61">
        <f>2.6872 * CHOOSE(CONTROL!$C$22, $C$13, 100%, $E$13)</f>
        <v>2.6871999999999998</v>
      </c>
      <c r="G70" s="61">
        <f>2.6894 * CHOOSE(CONTROL!$C$22, $C$13, 100%, $E$13)</f>
        <v>2.6894</v>
      </c>
      <c r="H70" s="61">
        <f>5.7617* CHOOSE(CONTROL!$C$22, $C$13, 100%, $E$13)</f>
        <v>5.7617000000000003</v>
      </c>
      <c r="I70" s="61">
        <f>5.7639 * CHOOSE(CONTROL!$C$22, $C$13, 100%, $E$13)</f>
        <v>5.7638999999999996</v>
      </c>
      <c r="J70" s="61">
        <f>2.6872 * CHOOSE(CONTROL!$C$22, $C$13, 100%, $E$13)</f>
        <v>2.6871999999999998</v>
      </c>
      <c r="K70" s="61">
        <f>2.6894 * CHOOSE(CONTROL!$C$22, $C$13, 100%, $E$13)</f>
        <v>2.6894</v>
      </c>
      <c r="L70" s="4"/>
      <c r="M70" s="4"/>
      <c r="N70" s="4"/>
    </row>
    <row r="71" spans="1:14" ht="15">
      <c r="A71" s="13">
        <v>44013</v>
      </c>
      <c r="B71" s="60">
        <f>2.7801 * CHOOSE(CONTROL!$C$22, $C$13, 100%, $E$13)</f>
        <v>2.7801</v>
      </c>
      <c r="C71" s="60">
        <f>2.7801 * CHOOSE(CONTROL!$C$22, $C$13, 100%, $E$13)</f>
        <v>2.7801</v>
      </c>
      <c r="D71" s="60">
        <f>2.8154 * CHOOSE(CONTROL!$C$22, $C$13, 100%, $E$13)</f>
        <v>2.8153999999999999</v>
      </c>
      <c r="E71" s="61">
        <f>2.8193 * CHOOSE(CONTROL!$C$22, $C$13, 100%, $E$13)</f>
        <v>2.8193000000000001</v>
      </c>
      <c r="F71" s="61">
        <f>2.8193 * CHOOSE(CONTROL!$C$22, $C$13, 100%, $E$13)</f>
        <v>2.8193000000000001</v>
      </c>
      <c r="G71" s="61">
        <f>2.8215 * CHOOSE(CONTROL!$C$22, $C$13, 100%, $E$13)</f>
        <v>2.8214999999999999</v>
      </c>
      <c r="H71" s="61">
        <f>5.7737* CHOOSE(CONTROL!$C$22, $C$13, 100%, $E$13)</f>
        <v>5.7736999999999998</v>
      </c>
      <c r="I71" s="61">
        <f>5.7759 * CHOOSE(CONTROL!$C$22, $C$13, 100%, $E$13)</f>
        <v>5.7759</v>
      </c>
      <c r="J71" s="61">
        <f>2.8193 * CHOOSE(CONTROL!$C$22, $C$13, 100%, $E$13)</f>
        <v>2.8193000000000001</v>
      </c>
      <c r="K71" s="61">
        <f>2.8215 * CHOOSE(CONTROL!$C$22, $C$13, 100%, $E$13)</f>
        <v>2.8214999999999999</v>
      </c>
      <c r="L71" s="4"/>
      <c r="M71" s="4"/>
      <c r="N71" s="4"/>
    </row>
    <row r="72" spans="1:14" ht="15">
      <c r="A72" s="13">
        <v>44044</v>
      </c>
      <c r="B72" s="60">
        <f>2.7867 * CHOOSE(CONTROL!$C$22, $C$13, 100%, $E$13)</f>
        <v>2.7867000000000002</v>
      </c>
      <c r="C72" s="60">
        <f>2.7867 * CHOOSE(CONTROL!$C$22, $C$13, 100%, $E$13)</f>
        <v>2.7867000000000002</v>
      </c>
      <c r="D72" s="60">
        <f>2.8221 * CHOOSE(CONTROL!$C$22, $C$13, 100%, $E$13)</f>
        <v>2.8220999999999998</v>
      </c>
      <c r="E72" s="61">
        <f>2.8081 * CHOOSE(CONTROL!$C$22, $C$13, 100%, $E$13)</f>
        <v>2.8081</v>
      </c>
      <c r="F72" s="61">
        <f>2.8081 * CHOOSE(CONTROL!$C$22, $C$13, 100%, $E$13)</f>
        <v>2.8081</v>
      </c>
      <c r="G72" s="61">
        <f>2.8102 * CHOOSE(CONTROL!$C$22, $C$13, 100%, $E$13)</f>
        <v>2.8102</v>
      </c>
      <c r="H72" s="61">
        <f>5.7858* CHOOSE(CONTROL!$C$22, $C$13, 100%, $E$13)</f>
        <v>5.7858000000000001</v>
      </c>
      <c r="I72" s="61">
        <f>5.7879 * CHOOSE(CONTROL!$C$22, $C$13, 100%, $E$13)</f>
        <v>5.7878999999999996</v>
      </c>
      <c r="J72" s="61">
        <f>2.8081 * CHOOSE(CONTROL!$C$22, $C$13, 100%, $E$13)</f>
        <v>2.8081</v>
      </c>
      <c r="K72" s="61">
        <f>2.8102 * CHOOSE(CONTROL!$C$22, $C$13, 100%, $E$13)</f>
        <v>2.8102</v>
      </c>
      <c r="L72" s="4"/>
      <c r="M72" s="4"/>
      <c r="N72" s="4"/>
    </row>
    <row r="73" spans="1:14" ht="15">
      <c r="A73" s="13">
        <v>44075</v>
      </c>
      <c r="B73" s="60">
        <f>2.7837 * CHOOSE(CONTROL!$C$22, $C$13, 100%, $E$13)</f>
        <v>2.7837000000000001</v>
      </c>
      <c r="C73" s="60">
        <f>2.7837 * CHOOSE(CONTROL!$C$22, $C$13, 100%, $E$13)</f>
        <v>2.7837000000000001</v>
      </c>
      <c r="D73" s="60">
        <f>2.819 * CHOOSE(CONTROL!$C$22, $C$13, 100%, $E$13)</f>
        <v>2.819</v>
      </c>
      <c r="E73" s="61">
        <f>2.8042 * CHOOSE(CONTROL!$C$22, $C$13, 100%, $E$13)</f>
        <v>2.8041999999999998</v>
      </c>
      <c r="F73" s="61">
        <f>2.8042 * CHOOSE(CONTROL!$C$22, $C$13, 100%, $E$13)</f>
        <v>2.8041999999999998</v>
      </c>
      <c r="G73" s="61">
        <f>2.8064 * CHOOSE(CONTROL!$C$22, $C$13, 100%, $E$13)</f>
        <v>2.8064</v>
      </c>
      <c r="H73" s="61">
        <f>5.7978* CHOOSE(CONTROL!$C$22, $C$13, 100%, $E$13)</f>
        <v>5.7977999999999996</v>
      </c>
      <c r="I73" s="61">
        <f>5.8 * CHOOSE(CONTROL!$C$22, $C$13, 100%, $E$13)</f>
        <v>5.8</v>
      </c>
      <c r="J73" s="61">
        <f>2.8042 * CHOOSE(CONTROL!$C$22, $C$13, 100%, $E$13)</f>
        <v>2.8041999999999998</v>
      </c>
      <c r="K73" s="61">
        <f>2.8064 * CHOOSE(CONTROL!$C$22, $C$13, 100%, $E$13)</f>
        <v>2.8064</v>
      </c>
      <c r="L73" s="4"/>
      <c r="M73" s="4"/>
      <c r="N73" s="4"/>
    </row>
    <row r="74" spans="1:14" ht="15">
      <c r="A74" s="13">
        <v>44105</v>
      </c>
      <c r="B74" s="60">
        <f>2.7743 * CHOOSE(CONTROL!$C$22, $C$13, 100%, $E$13)</f>
        <v>2.7743000000000002</v>
      </c>
      <c r="C74" s="60">
        <f>2.7743 * CHOOSE(CONTROL!$C$22, $C$13, 100%, $E$13)</f>
        <v>2.7743000000000002</v>
      </c>
      <c r="D74" s="60">
        <f>2.7919 * CHOOSE(CONTROL!$C$22, $C$13, 100%, $E$13)</f>
        <v>2.7919</v>
      </c>
      <c r="E74" s="61">
        <f>2.7978 * CHOOSE(CONTROL!$C$22, $C$13, 100%, $E$13)</f>
        <v>2.7978000000000001</v>
      </c>
      <c r="F74" s="61">
        <f>2.7978 * CHOOSE(CONTROL!$C$22, $C$13, 100%, $E$13)</f>
        <v>2.7978000000000001</v>
      </c>
      <c r="G74" s="61">
        <f>2.798 * CHOOSE(CONTROL!$C$22, $C$13, 100%, $E$13)</f>
        <v>2.798</v>
      </c>
      <c r="H74" s="61">
        <f>5.8099* CHOOSE(CONTROL!$C$22, $C$13, 100%, $E$13)</f>
        <v>5.8098999999999998</v>
      </c>
      <c r="I74" s="61">
        <f>5.8101 * CHOOSE(CONTROL!$C$22, $C$13, 100%, $E$13)</f>
        <v>5.8101000000000003</v>
      </c>
      <c r="J74" s="61">
        <f>2.7978 * CHOOSE(CONTROL!$C$22, $C$13, 100%, $E$13)</f>
        <v>2.7978000000000001</v>
      </c>
      <c r="K74" s="61">
        <f>2.798 * CHOOSE(CONTROL!$C$22, $C$13, 100%, $E$13)</f>
        <v>2.798</v>
      </c>
      <c r="L74" s="4"/>
      <c r="M74" s="4"/>
      <c r="N74" s="4"/>
    </row>
    <row r="75" spans="1:14" ht="15">
      <c r="A75" s="13">
        <v>44136</v>
      </c>
      <c r="B75" s="60">
        <f>2.7773 * CHOOSE(CONTROL!$C$22, $C$13, 100%, $E$13)</f>
        <v>2.7772999999999999</v>
      </c>
      <c r="C75" s="60">
        <f>2.7773 * CHOOSE(CONTROL!$C$22, $C$13, 100%, $E$13)</f>
        <v>2.7772999999999999</v>
      </c>
      <c r="D75" s="60">
        <f>2.795 * CHOOSE(CONTROL!$C$22, $C$13, 100%, $E$13)</f>
        <v>2.7949999999999999</v>
      </c>
      <c r="E75" s="61">
        <f>2.8035 * CHOOSE(CONTROL!$C$22, $C$13, 100%, $E$13)</f>
        <v>2.8035000000000001</v>
      </c>
      <c r="F75" s="61">
        <f>2.8035 * CHOOSE(CONTROL!$C$22, $C$13, 100%, $E$13)</f>
        <v>2.8035000000000001</v>
      </c>
      <c r="G75" s="61">
        <f>2.8036 * CHOOSE(CONTROL!$C$22, $C$13, 100%, $E$13)</f>
        <v>2.8035999999999999</v>
      </c>
      <c r="H75" s="61">
        <f>5.822* CHOOSE(CONTROL!$C$22, $C$13, 100%, $E$13)</f>
        <v>5.8220000000000001</v>
      </c>
      <c r="I75" s="61">
        <f>5.8222 * CHOOSE(CONTROL!$C$22, $C$13, 100%, $E$13)</f>
        <v>5.8221999999999996</v>
      </c>
      <c r="J75" s="61">
        <f>2.8035 * CHOOSE(CONTROL!$C$22, $C$13, 100%, $E$13)</f>
        <v>2.8035000000000001</v>
      </c>
      <c r="K75" s="61">
        <f>2.8036 * CHOOSE(CONTROL!$C$22, $C$13, 100%, $E$13)</f>
        <v>2.8035999999999999</v>
      </c>
      <c r="L75" s="4"/>
      <c r="M75" s="4"/>
      <c r="N75" s="4"/>
    </row>
    <row r="76" spans="1:14" ht="15">
      <c r="A76" s="13">
        <v>44166</v>
      </c>
      <c r="B76" s="60">
        <f>2.7773 * CHOOSE(CONTROL!$C$22, $C$13, 100%, $E$13)</f>
        <v>2.7772999999999999</v>
      </c>
      <c r="C76" s="60">
        <f>2.7773 * CHOOSE(CONTROL!$C$22, $C$13, 100%, $E$13)</f>
        <v>2.7772999999999999</v>
      </c>
      <c r="D76" s="60">
        <f>2.795 * CHOOSE(CONTROL!$C$22, $C$13, 100%, $E$13)</f>
        <v>2.7949999999999999</v>
      </c>
      <c r="E76" s="61">
        <f>2.7946 * CHOOSE(CONTROL!$C$22, $C$13, 100%, $E$13)</f>
        <v>2.7946</v>
      </c>
      <c r="F76" s="61">
        <f>2.7946 * CHOOSE(CONTROL!$C$22, $C$13, 100%, $E$13)</f>
        <v>2.7946</v>
      </c>
      <c r="G76" s="61">
        <f>2.7948 * CHOOSE(CONTROL!$C$22, $C$13, 100%, $E$13)</f>
        <v>2.7948</v>
      </c>
      <c r="H76" s="61">
        <f>5.8341* CHOOSE(CONTROL!$C$22, $C$13, 100%, $E$13)</f>
        <v>5.8341000000000003</v>
      </c>
      <c r="I76" s="61">
        <f>5.8343 * CHOOSE(CONTROL!$C$22, $C$13, 100%, $E$13)</f>
        <v>5.8342999999999998</v>
      </c>
      <c r="J76" s="61">
        <f>2.7946 * CHOOSE(CONTROL!$C$22, $C$13, 100%, $E$13)</f>
        <v>2.7946</v>
      </c>
      <c r="K76" s="61">
        <f>2.7948 * CHOOSE(CONTROL!$C$22, $C$13, 100%, $E$13)</f>
        <v>2.7948</v>
      </c>
      <c r="L76" s="4"/>
      <c r="M76" s="4"/>
      <c r="N76" s="4"/>
    </row>
    <row r="77" spans="1:14" ht="15">
      <c r="A77" s="13">
        <v>44197</v>
      </c>
      <c r="B77" s="60">
        <f>2.8122 * CHOOSE(CONTROL!$C$22, $C$13, 100%, $E$13)</f>
        <v>2.8121999999999998</v>
      </c>
      <c r="C77" s="60">
        <f>2.8122 * CHOOSE(CONTROL!$C$22, $C$13, 100%, $E$13)</f>
        <v>2.8121999999999998</v>
      </c>
      <c r="D77" s="60">
        <f>2.8298 * CHOOSE(CONTROL!$C$22, $C$13, 100%, $E$13)</f>
        <v>2.8298000000000001</v>
      </c>
      <c r="E77" s="61">
        <f>2.8576 * CHOOSE(CONTROL!$C$22, $C$13, 100%, $E$13)</f>
        <v>2.8576000000000001</v>
      </c>
      <c r="F77" s="61">
        <f>2.8576 * CHOOSE(CONTROL!$C$22, $C$13, 100%, $E$13)</f>
        <v>2.8576000000000001</v>
      </c>
      <c r="G77" s="61">
        <f>2.8578 * CHOOSE(CONTROL!$C$22, $C$13, 100%, $E$13)</f>
        <v>2.8578000000000001</v>
      </c>
      <c r="H77" s="61">
        <f>5.8463* CHOOSE(CONTROL!$C$22, $C$13, 100%, $E$13)</f>
        <v>5.8463000000000003</v>
      </c>
      <c r="I77" s="61">
        <f>5.8465 * CHOOSE(CONTROL!$C$22, $C$13, 100%, $E$13)</f>
        <v>5.8464999999999998</v>
      </c>
      <c r="J77" s="61">
        <f>2.8576 * CHOOSE(CONTROL!$C$22, $C$13, 100%, $E$13)</f>
        <v>2.8576000000000001</v>
      </c>
      <c r="K77" s="61">
        <f>2.8578 * CHOOSE(CONTROL!$C$22, $C$13, 100%, $E$13)</f>
        <v>2.8578000000000001</v>
      </c>
      <c r="L77" s="4"/>
      <c r="M77" s="4"/>
      <c r="N77" s="4"/>
    </row>
    <row r="78" spans="1:14" ht="15">
      <c r="A78" s="13">
        <v>44228</v>
      </c>
      <c r="B78" s="60">
        <f>2.8091 * CHOOSE(CONTROL!$C$22, $C$13, 100%, $E$13)</f>
        <v>2.8090999999999999</v>
      </c>
      <c r="C78" s="60">
        <f>2.8091 * CHOOSE(CONTROL!$C$22, $C$13, 100%, $E$13)</f>
        <v>2.8090999999999999</v>
      </c>
      <c r="D78" s="60">
        <f>2.8268 * CHOOSE(CONTROL!$C$22, $C$13, 100%, $E$13)</f>
        <v>2.8268</v>
      </c>
      <c r="E78" s="61">
        <f>2.8354 * CHOOSE(CONTROL!$C$22, $C$13, 100%, $E$13)</f>
        <v>2.8353999999999999</v>
      </c>
      <c r="F78" s="61">
        <f>2.8354 * CHOOSE(CONTROL!$C$22, $C$13, 100%, $E$13)</f>
        <v>2.8353999999999999</v>
      </c>
      <c r="G78" s="61">
        <f>2.8356 * CHOOSE(CONTROL!$C$22, $C$13, 100%, $E$13)</f>
        <v>2.8355999999999999</v>
      </c>
      <c r="H78" s="61">
        <f>5.8585* CHOOSE(CONTROL!$C$22, $C$13, 100%, $E$13)</f>
        <v>5.8585000000000003</v>
      </c>
      <c r="I78" s="61">
        <f>5.8586 * CHOOSE(CONTROL!$C$22, $C$13, 100%, $E$13)</f>
        <v>5.8586</v>
      </c>
      <c r="J78" s="61">
        <f>2.8354 * CHOOSE(CONTROL!$C$22, $C$13, 100%, $E$13)</f>
        <v>2.8353999999999999</v>
      </c>
      <c r="K78" s="61">
        <f>2.8356 * CHOOSE(CONTROL!$C$22, $C$13, 100%, $E$13)</f>
        <v>2.8355999999999999</v>
      </c>
      <c r="L78" s="4"/>
      <c r="M78" s="4"/>
      <c r="N78" s="4"/>
    </row>
    <row r="79" spans="1:14" ht="15">
      <c r="A79" s="13">
        <v>44256</v>
      </c>
      <c r="B79" s="60">
        <f>2.8061 * CHOOSE(CONTROL!$C$22, $C$13, 100%, $E$13)</f>
        <v>2.8060999999999998</v>
      </c>
      <c r="C79" s="60">
        <f>2.8061 * CHOOSE(CONTROL!$C$22, $C$13, 100%, $E$13)</f>
        <v>2.8060999999999998</v>
      </c>
      <c r="D79" s="60">
        <f>2.8237 * CHOOSE(CONTROL!$C$22, $C$13, 100%, $E$13)</f>
        <v>2.8237000000000001</v>
      </c>
      <c r="E79" s="61">
        <f>2.8491 * CHOOSE(CONTROL!$C$22, $C$13, 100%, $E$13)</f>
        <v>2.8491</v>
      </c>
      <c r="F79" s="61">
        <f>2.8491 * CHOOSE(CONTROL!$C$22, $C$13, 100%, $E$13)</f>
        <v>2.8491</v>
      </c>
      <c r="G79" s="61">
        <f>2.8493 * CHOOSE(CONTROL!$C$22, $C$13, 100%, $E$13)</f>
        <v>2.8492999999999999</v>
      </c>
      <c r="H79" s="61">
        <f>5.8707* CHOOSE(CONTROL!$C$22, $C$13, 100%, $E$13)</f>
        <v>5.8707000000000003</v>
      </c>
      <c r="I79" s="61">
        <f>5.8708 * CHOOSE(CONTROL!$C$22, $C$13, 100%, $E$13)</f>
        <v>5.8708</v>
      </c>
      <c r="J79" s="61">
        <f>2.8491 * CHOOSE(CONTROL!$C$22, $C$13, 100%, $E$13)</f>
        <v>2.8491</v>
      </c>
      <c r="K79" s="61">
        <f>2.8493 * CHOOSE(CONTROL!$C$22, $C$13, 100%, $E$13)</f>
        <v>2.8492999999999999</v>
      </c>
      <c r="L79" s="4"/>
      <c r="M79" s="4"/>
      <c r="N79" s="4"/>
    </row>
    <row r="80" spans="1:14" ht="15">
      <c r="A80" s="13">
        <v>44287</v>
      </c>
      <c r="B80" s="60">
        <f>2.8026 * CHOOSE(CONTROL!$C$22, $C$13, 100%, $E$13)</f>
        <v>2.8026</v>
      </c>
      <c r="C80" s="60">
        <f>2.8026 * CHOOSE(CONTROL!$C$22, $C$13, 100%, $E$13)</f>
        <v>2.8026</v>
      </c>
      <c r="D80" s="60">
        <f>2.8203 * CHOOSE(CONTROL!$C$22, $C$13, 100%, $E$13)</f>
        <v>2.8203</v>
      </c>
      <c r="E80" s="61">
        <f>2.8619 * CHOOSE(CONTROL!$C$22, $C$13, 100%, $E$13)</f>
        <v>2.8618999999999999</v>
      </c>
      <c r="F80" s="61">
        <f>2.8619 * CHOOSE(CONTROL!$C$22, $C$13, 100%, $E$13)</f>
        <v>2.8618999999999999</v>
      </c>
      <c r="G80" s="61">
        <f>2.8621 * CHOOSE(CONTROL!$C$22, $C$13, 100%, $E$13)</f>
        <v>2.8620999999999999</v>
      </c>
      <c r="H80" s="61">
        <f>5.8829* CHOOSE(CONTROL!$C$22, $C$13, 100%, $E$13)</f>
        <v>5.8829000000000002</v>
      </c>
      <c r="I80" s="61">
        <f>5.8831 * CHOOSE(CONTROL!$C$22, $C$13, 100%, $E$13)</f>
        <v>5.8830999999999998</v>
      </c>
      <c r="J80" s="61">
        <f>2.8619 * CHOOSE(CONTROL!$C$22, $C$13, 100%, $E$13)</f>
        <v>2.8618999999999999</v>
      </c>
      <c r="K80" s="61">
        <f>2.8621 * CHOOSE(CONTROL!$C$22, $C$13, 100%, $E$13)</f>
        <v>2.8620999999999999</v>
      </c>
      <c r="L80" s="4"/>
      <c r="M80" s="4"/>
      <c r="N80" s="4"/>
    </row>
    <row r="81" spans="1:14" ht="15">
      <c r="A81" s="13">
        <v>44317</v>
      </c>
      <c r="B81" s="60">
        <f>2.8026 * CHOOSE(CONTROL!$C$22, $C$13, 100%, $E$13)</f>
        <v>2.8026</v>
      </c>
      <c r="C81" s="60">
        <f>2.8026 * CHOOSE(CONTROL!$C$22, $C$13, 100%, $E$13)</f>
        <v>2.8026</v>
      </c>
      <c r="D81" s="60">
        <f>2.8379 * CHOOSE(CONTROL!$C$22, $C$13, 100%, $E$13)</f>
        <v>2.8378999999999999</v>
      </c>
      <c r="E81" s="61">
        <f>2.8683 * CHOOSE(CONTROL!$C$22, $C$13, 100%, $E$13)</f>
        <v>2.8683000000000001</v>
      </c>
      <c r="F81" s="61">
        <f>2.8683 * CHOOSE(CONTROL!$C$22, $C$13, 100%, $E$13)</f>
        <v>2.8683000000000001</v>
      </c>
      <c r="G81" s="61">
        <f>2.8704 * CHOOSE(CONTROL!$C$22, $C$13, 100%, $E$13)</f>
        <v>2.8704000000000001</v>
      </c>
      <c r="H81" s="61">
        <f>5.8952* CHOOSE(CONTROL!$C$22, $C$13, 100%, $E$13)</f>
        <v>5.8952</v>
      </c>
      <c r="I81" s="61">
        <f>5.8973 * CHOOSE(CONTROL!$C$22, $C$13, 100%, $E$13)</f>
        <v>5.8973000000000004</v>
      </c>
      <c r="J81" s="61">
        <f>2.8683 * CHOOSE(CONTROL!$C$22, $C$13, 100%, $E$13)</f>
        <v>2.8683000000000001</v>
      </c>
      <c r="K81" s="61">
        <f>2.8704 * CHOOSE(CONTROL!$C$22, $C$13, 100%, $E$13)</f>
        <v>2.8704000000000001</v>
      </c>
      <c r="L81" s="4"/>
      <c r="M81" s="4"/>
      <c r="N81" s="4"/>
    </row>
    <row r="82" spans="1:14" ht="15">
      <c r="A82" s="13">
        <v>44348</v>
      </c>
      <c r="B82" s="60">
        <f>2.8087 * CHOOSE(CONTROL!$C$22, $C$13, 100%, $E$13)</f>
        <v>2.8087</v>
      </c>
      <c r="C82" s="60">
        <f>2.8087 * CHOOSE(CONTROL!$C$22, $C$13, 100%, $E$13)</f>
        <v>2.8087</v>
      </c>
      <c r="D82" s="60">
        <f>2.844 * CHOOSE(CONTROL!$C$22, $C$13, 100%, $E$13)</f>
        <v>2.8439999999999999</v>
      </c>
      <c r="E82" s="61">
        <f>2.8661 * CHOOSE(CONTROL!$C$22, $C$13, 100%, $E$13)</f>
        <v>2.8660999999999999</v>
      </c>
      <c r="F82" s="61">
        <f>2.8661 * CHOOSE(CONTROL!$C$22, $C$13, 100%, $E$13)</f>
        <v>2.8660999999999999</v>
      </c>
      <c r="G82" s="61">
        <f>2.8683 * CHOOSE(CONTROL!$C$22, $C$13, 100%, $E$13)</f>
        <v>2.8683000000000001</v>
      </c>
      <c r="H82" s="61">
        <f>5.9074* CHOOSE(CONTROL!$C$22, $C$13, 100%, $E$13)</f>
        <v>5.9074</v>
      </c>
      <c r="I82" s="61">
        <f>5.9096 * CHOOSE(CONTROL!$C$22, $C$13, 100%, $E$13)</f>
        <v>5.9096000000000002</v>
      </c>
      <c r="J82" s="61">
        <f>2.8661 * CHOOSE(CONTROL!$C$22, $C$13, 100%, $E$13)</f>
        <v>2.8660999999999999</v>
      </c>
      <c r="K82" s="61">
        <f>2.8683 * CHOOSE(CONTROL!$C$22, $C$13, 100%, $E$13)</f>
        <v>2.8683000000000001</v>
      </c>
      <c r="L82" s="4"/>
      <c r="M82" s="4"/>
      <c r="N82" s="4"/>
    </row>
    <row r="83" spans="1:14" ht="15">
      <c r="A83" s="13">
        <v>44378</v>
      </c>
      <c r="B83" s="60">
        <f>2.8711 * CHOOSE(CONTROL!$C$22, $C$13, 100%, $E$13)</f>
        <v>2.8711000000000002</v>
      </c>
      <c r="C83" s="60">
        <f>2.8711 * CHOOSE(CONTROL!$C$22, $C$13, 100%, $E$13)</f>
        <v>2.8711000000000002</v>
      </c>
      <c r="D83" s="60">
        <f>2.9065 * CHOOSE(CONTROL!$C$22, $C$13, 100%, $E$13)</f>
        <v>2.9064999999999999</v>
      </c>
      <c r="E83" s="61">
        <f>2.9281 * CHOOSE(CONTROL!$C$22, $C$13, 100%, $E$13)</f>
        <v>2.9281000000000001</v>
      </c>
      <c r="F83" s="61">
        <f>2.9281 * CHOOSE(CONTROL!$C$22, $C$13, 100%, $E$13)</f>
        <v>2.9281000000000001</v>
      </c>
      <c r="G83" s="61">
        <f>2.9303 * CHOOSE(CONTROL!$C$22, $C$13, 100%, $E$13)</f>
        <v>2.9302999999999999</v>
      </c>
      <c r="H83" s="61">
        <f>5.9197* CHOOSE(CONTROL!$C$22, $C$13, 100%, $E$13)</f>
        <v>5.9196999999999997</v>
      </c>
      <c r="I83" s="61">
        <f>5.9219 * CHOOSE(CONTROL!$C$22, $C$13, 100%, $E$13)</f>
        <v>5.9218999999999999</v>
      </c>
      <c r="J83" s="61">
        <f>2.9281 * CHOOSE(CONTROL!$C$22, $C$13, 100%, $E$13)</f>
        <v>2.9281000000000001</v>
      </c>
      <c r="K83" s="61">
        <f>2.9303 * CHOOSE(CONTROL!$C$22, $C$13, 100%, $E$13)</f>
        <v>2.9302999999999999</v>
      </c>
      <c r="L83" s="4"/>
      <c r="M83" s="4"/>
      <c r="N83" s="4"/>
    </row>
    <row r="84" spans="1:14" ht="15">
      <c r="A84" s="13">
        <v>44409</v>
      </c>
      <c r="B84" s="60">
        <f>2.8778 * CHOOSE(CONTROL!$C$22, $C$13, 100%, $E$13)</f>
        <v>2.8778000000000001</v>
      </c>
      <c r="C84" s="60">
        <f>2.8778 * CHOOSE(CONTROL!$C$22, $C$13, 100%, $E$13)</f>
        <v>2.8778000000000001</v>
      </c>
      <c r="D84" s="60">
        <f>2.9131 * CHOOSE(CONTROL!$C$22, $C$13, 100%, $E$13)</f>
        <v>2.9131</v>
      </c>
      <c r="E84" s="61">
        <f>2.9136 * CHOOSE(CONTROL!$C$22, $C$13, 100%, $E$13)</f>
        <v>2.9136000000000002</v>
      </c>
      <c r="F84" s="61">
        <f>2.9136 * CHOOSE(CONTROL!$C$22, $C$13, 100%, $E$13)</f>
        <v>2.9136000000000002</v>
      </c>
      <c r="G84" s="61">
        <f>2.9158 * CHOOSE(CONTROL!$C$22, $C$13, 100%, $E$13)</f>
        <v>2.9157999999999999</v>
      </c>
      <c r="H84" s="61">
        <f>5.9321* CHOOSE(CONTROL!$C$22, $C$13, 100%, $E$13)</f>
        <v>5.9321000000000002</v>
      </c>
      <c r="I84" s="61">
        <f>5.9343 * CHOOSE(CONTROL!$C$22, $C$13, 100%, $E$13)</f>
        <v>5.9343000000000004</v>
      </c>
      <c r="J84" s="61">
        <f>2.9136 * CHOOSE(CONTROL!$C$22, $C$13, 100%, $E$13)</f>
        <v>2.9136000000000002</v>
      </c>
      <c r="K84" s="61">
        <f>2.9158 * CHOOSE(CONTROL!$C$22, $C$13, 100%, $E$13)</f>
        <v>2.9157999999999999</v>
      </c>
      <c r="L84" s="4"/>
      <c r="M84" s="4"/>
      <c r="N84" s="4"/>
    </row>
    <row r="85" spans="1:14" ht="15">
      <c r="A85" s="13">
        <v>44440</v>
      </c>
      <c r="B85" s="60">
        <f>2.8748 * CHOOSE(CONTROL!$C$22, $C$13, 100%, $E$13)</f>
        <v>2.8748</v>
      </c>
      <c r="C85" s="60">
        <f>2.8748 * CHOOSE(CONTROL!$C$22, $C$13, 100%, $E$13)</f>
        <v>2.8748</v>
      </c>
      <c r="D85" s="60">
        <f>2.9101 * CHOOSE(CONTROL!$C$22, $C$13, 100%, $E$13)</f>
        <v>2.9100999999999999</v>
      </c>
      <c r="E85" s="61">
        <f>2.9094 * CHOOSE(CONTROL!$C$22, $C$13, 100%, $E$13)</f>
        <v>2.9094000000000002</v>
      </c>
      <c r="F85" s="61">
        <f>2.9094 * CHOOSE(CONTROL!$C$22, $C$13, 100%, $E$13)</f>
        <v>2.9094000000000002</v>
      </c>
      <c r="G85" s="61">
        <f>2.9116 * CHOOSE(CONTROL!$C$22, $C$13, 100%, $E$13)</f>
        <v>2.9116</v>
      </c>
      <c r="H85" s="61">
        <f>5.9444* CHOOSE(CONTROL!$C$22, $C$13, 100%, $E$13)</f>
        <v>5.9443999999999999</v>
      </c>
      <c r="I85" s="61">
        <f>5.9466 * CHOOSE(CONTROL!$C$22, $C$13, 100%, $E$13)</f>
        <v>5.9466000000000001</v>
      </c>
      <c r="J85" s="61">
        <f>2.9094 * CHOOSE(CONTROL!$C$22, $C$13, 100%, $E$13)</f>
        <v>2.9094000000000002</v>
      </c>
      <c r="K85" s="61">
        <f>2.9116 * CHOOSE(CONTROL!$C$22, $C$13, 100%, $E$13)</f>
        <v>2.9116</v>
      </c>
      <c r="L85" s="4"/>
      <c r="M85" s="4"/>
      <c r="N85" s="4"/>
    </row>
    <row r="86" spans="1:14" ht="15">
      <c r="A86" s="13">
        <v>44470</v>
      </c>
      <c r="B86" s="60">
        <f>2.8659 * CHOOSE(CONTROL!$C$22, $C$13, 100%, $E$13)</f>
        <v>2.8658999999999999</v>
      </c>
      <c r="C86" s="60">
        <f>2.8659 * CHOOSE(CONTROL!$C$22, $C$13, 100%, $E$13)</f>
        <v>2.8658999999999999</v>
      </c>
      <c r="D86" s="60">
        <f>2.8836 * CHOOSE(CONTROL!$C$22, $C$13, 100%, $E$13)</f>
        <v>2.8835999999999999</v>
      </c>
      <c r="E86" s="61">
        <f>2.9045 * CHOOSE(CONTROL!$C$22, $C$13, 100%, $E$13)</f>
        <v>2.9045000000000001</v>
      </c>
      <c r="F86" s="61">
        <f>2.9045 * CHOOSE(CONTROL!$C$22, $C$13, 100%, $E$13)</f>
        <v>2.9045000000000001</v>
      </c>
      <c r="G86" s="61">
        <f>2.9046 * CHOOSE(CONTROL!$C$22, $C$13, 100%, $E$13)</f>
        <v>2.9045999999999998</v>
      </c>
      <c r="H86" s="61">
        <f>5.9568* CHOOSE(CONTROL!$C$22, $C$13, 100%, $E$13)</f>
        <v>5.9568000000000003</v>
      </c>
      <c r="I86" s="61">
        <f>5.957 * CHOOSE(CONTROL!$C$22, $C$13, 100%, $E$13)</f>
        <v>5.9569999999999999</v>
      </c>
      <c r="J86" s="61">
        <f>2.9045 * CHOOSE(CONTROL!$C$22, $C$13, 100%, $E$13)</f>
        <v>2.9045000000000001</v>
      </c>
      <c r="K86" s="61">
        <f>2.9046 * CHOOSE(CONTROL!$C$22, $C$13, 100%, $E$13)</f>
        <v>2.9045999999999998</v>
      </c>
      <c r="L86" s="4"/>
      <c r="M86" s="4"/>
      <c r="N86" s="4"/>
    </row>
    <row r="87" spans="1:14" ht="15">
      <c r="A87" s="13">
        <v>44501</v>
      </c>
      <c r="B87" s="60">
        <f>2.869 * CHOOSE(CONTROL!$C$22, $C$13, 100%, $E$13)</f>
        <v>2.8690000000000002</v>
      </c>
      <c r="C87" s="60">
        <f>2.869 * CHOOSE(CONTROL!$C$22, $C$13, 100%, $E$13)</f>
        <v>2.8690000000000002</v>
      </c>
      <c r="D87" s="60">
        <f>2.8866 * CHOOSE(CONTROL!$C$22, $C$13, 100%, $E$13)</f>
        <v>2.8866000000000001</v>
      </c>
      <c r="E87" s="61">
        <f>2.9108 * CHOOSE(CONTROL!$C$22, $C$13, 100%, $E$13)</f>
        <v>2.9108000000000001</v>
      </c>
      <c r="F87" s="61">
        <f>2.9108 * CHOOSE(CONTROL!$C$22, $C$13, 100%, $E$13)</f>
        <v>2.9108000000000001</v>
      </c>
      <c r="G87" s="61">
        <f>2.911 * CHOOSE(CONTROL!$C$22, $C$13, 100%, $E$13)</f>
        <v>2.911</v>
      </c>
      <c r="H87" s="61">
        <f>5.9692* CHOOSE(CONTROL!$C$22, $C$13, 100%, $E$13)</f>
        <v>5.9691999999999998</v>
      </c>
      <c r="I87" s="61">
        <f>5.9694 * CHOOSE(CONTROL!$C$22, $C$13, 100%, $E$13)</f>
        <v>5.9694000000000003</v>
      </c>
      <c r="J87" s="61">
        <f>2.9108 * CHOOSE(CONTROL!$C$22, $C$13, 100%, $E$13)</f>
        <v>2.9108000000000001</v>
      </c>
      <c r="K87" s="61">
        <f>2.911 * CHOOSE(CONTROL!$C$22, $C$13, 100%, $E$13)</f>
        <v>2.911</v>
      </c>
      <c r="L87" s="4"/>
      <c r="M87" s="4"/>
      <c r="N87" s="4"/>
    </row>
    <row r="88" spans="1:14" ht="15">
      <c r="A88" s="13">
        <v>44531</v>
      </c>
      <c r="B88" s="60">
        <f>2.869 * CHOOSE(CONTROL!$C$22, $C$13, 100%, $E$13)</f>
        <v>2.8690000000000002</v>
      </c>
      <c r="C88" s="60">
        <f>2.869 * CHOOSE(CONTROL!$C$22, $C$13, 100%, $E$13)</f>
        <v>2.8690000000000002</v>
      </c>
      <c r="D88" s="60">
        <f>2.8866 * CHOOSE(CONTROL!$C$22, $C$13, 100%, $E$13)</f>
        <v>2.8866000000000001</v>
      </c>
      <c r="E88" s="61">
        <f>2.9002 * CHOOSE(CONTROL!$C$22, $C$13, 100%, $E$13)</f>
        <v>2.9001999999999999</v>
      </c>
      <c r="F88" s="61">
        <f>2.9002 * CHOOSE(CONTROL!$C$22, $C$13, 100%, $E$13)</f>
        <v>2.9001999999999999</v>
      </c>
      <c r="G88" s="61">
        <f>2.9004 * CHOOSE(CONTROL!$C$22, $C$13, 100%, $E$13)</f>
        <v>2.9003999999999999</v>
      </c>
      <c r="H88" s="61">
        <f>5.9817* CHOOSE(CONTROL!$C$22, $C$13, 100%, $E$13)</f>
        <v>5.9817</v>
      </c>
      <c r="I88" s="61">
        <f>5.9818 * CHOOSE(CONTROL!$C$22, $C$13, 100%, $E$13)</f>
        <v>5.9817999999999998</v>
      </c>
      <c r="J88" s="61">
        <f>2.9002 * CHOOSE(CONTROL!$C$22, $C$13, 100%, $E$13)</f>
        <v>2.9001999999999999</v>
      </c>
      <c r="K88" s="61">
        <f>2.9004 * CHOOSE(CONTROL!$C$22, $C$13, 100%, $E$13)</f>
        <v>2.9003999999999999</v>
      </c>
      <c r="L88" s="4"/>
      <c r="M88" s="4"/>
      <c r="N88" s="4"/>
    </row>
    <row r="89" spans="1:14" ht="15">
      <c r="A89" s="13">
        <v>44562</v>
      </c>
      <c r="B89" s="60">
        <f>2.925 * CHOOSE(CONTROL!$C$22, $C$13, 100%, $E$13)</f>
        <v>2.9249999999999998</v>
      </c>
      <c r="C89" s="60">
        <f>2.925 * CHOOSE(CONTROL!$C$22, $C$13, 100%, $E$13)</f>
        <v>2.9249999999999998</v>
      </c>
      <c r="D89" s="60">
        <f>2.9426 * CHOOSE(CONTROL!$C$22, $C$13, 100%, $E$13)</f>
        <v>2.9426000000000001</v>
      </c>
      <c r="E89" s="61">
        <f>2.9769 * CHOOSE(CONTROL!$C$22, $C$13, 100%, $E$13)</f>
        <v>2.9769000000000001</v>
      </c>
      <c r="F89" s="61">
        <f>2.9769 * CHOOSE(CONTROL!$C$22, $C$13, 100%, $E$13)</f>
        <v>2.9769000000000001</v>
      </c>
      <c r="G89" s="61">
        <f>2.9771 * CHOOSE(CONTROL!$C$22, $C$13, 100%, $E$13)</f>
        <v>2.9771000000000001</v>
      </c>
      <c r="H89" s="61">
        <f>5.9941* CHOOSE(CONTROL!$C$22, $C$13, 100%, $E$13)</f>
        <v>5.9941000000000004</v>
      </c>
      <c r="I89" s="61">
        <f>5.9943 * CHOOSE(CONTROL!$C$22, $C$13, 100%, $E$13)</f>
        <v>5.9943</v>
      </c>
      <c r="J89" s="61">
        <f>2.9769 * CHOOSE(CONTROL!$C$22, $C$13, 100%, $E$13)</f>
        <v>2.9769000000000001</v>
      </c>
      <c r="K89" s="61">
        <f>2.9771 * CHOOSE(CONTROL!$C$22, $C$13, 100%, $E$13)</f>
        <v>2.9771000000000001</v>
      </c>
      <c r="L89" s="4"/>
      <c r="M89" s="4"/>
      <c r="N89" s="4"/>
    </row>
    <row r="90" spans="1:14" ht="15">
      <c r="A90" s="13">
        <v>44593</v>
      </c>
      <c r="B90" s="60">
        <f>2.9219 * CHOOSE(CONTROL!$C$22, $C$13, 100%, $E$13)</f>
        <v>2.9218999999999999</v>
      </c>
      <c r="C90" s="60">
        <f>2.9219 * CHOOSE(CONTROL!$C$22, $C$13, 100%, $E$13)</f>
        <v>2.9218999999999999</v>
      </c>
      <c r="D90" s="60">
        <f>2.9396 * CHOOSE(CONTROL!$C$22, $C$13, 100%, $E$13)</f>
        <v>2.9396</v>
      </c>
      <c r="E90" s="61">
        <f>2.9507 * CHOOSE(CONTROL!$C$22, $C$13, 100%, $E$13)</f>
        <v>2.9506999999999999</v>
      </c>
      <c r="F90" s="61">
        <f>2.9507 * CHOOSE(CONTROL!$C$22, $C$13, 100%, $E$13)</f>
        <v>2.9506999999999999</v>
      </c>
      <c r="G90" s="61">
        <f>2.9509 * CHOOSE(CONTROL!$C$22, $C$13, 100%, $E$13)</f>
        <v>2.9508999999999999</v>
      </c>
      <c r="H90" s="61">
        <f>6.0066* CHOOSE(CONTROL!$C$22, $C$13, 100%, $E$13)</f>
        <v>6.0065999999999997</v>
      </c>
      <c r="I90" s="61">
        <f>6.0068 * CHOOSE(CONTROL!$C$22, $C$13, 100%, $E$13)</f>
        <v>6.0068000000000001</v>
      </c>
      <c r="J90" s="61">
        <f>2.9507 * CHOOSE(CONTROL!$C$22, $C$13, 100%, $E$13)</f>
        <v>2.9506999999999999</v>
      </c>
      <c r="K90" s="61">
        <f>2.9509 * CHOOSE(CONTROL!$C$22, $C$13, 100%, $E$13)</f>
        <v>2.9508999999999999</v>
      </c>
      <c r="L90" s="4"/>
      <c r="M90" s="4"/>
      <c r="N90" s="4"/>
    </row>
    <row r="91" spans="1:14" ht="15">
      <c r="A91" s="13">
        <v>44621</v>
      </c>
      <c r="B91" s="60">
        <f>2.9189 * CHOOSE(CONTROL!$C$22, $C$13, 100%, $E$13)</f>
        <v>2.9188999999999998</v>
      </c>
      <c r="C91" s="60">
        <f>2.9189 * CHOOSE(CONTROL!$C$22, $C$13, 100%, $E$13)</f>
        <v>2.9188999999999998</v>
      </c>
      <c r="D91" s="60">
        <f>2.9366 * CHOOSE(CONTROL!$C$22, $C$13, 100%, $E$13)</f>
        <v>2.9365999999999999</v>
      </c>
      <c r="E91" s="61">
        <f>2.9676 * CHOOSE(CONTROL!$C$22, $C$13, 100%, $E$13)</f>
        <v>2.9676</v>
      </c>
      <c r="F91" s="61">
        <f>2.9676 * CHOOSE(CONTROL!$C$22, $C$13, 100%, $E$13)</f>
        <v>2.9676</v>
      </c>
      <c r="G91" s="61">
        <f>2.9677 * CHOOSE(CONTROL!$C$22, $C$13, 100%, $E$13)</f>
        <v>2.9676999999999998</v>
      </c>
      <c r="H91" s="61">
        <f>6.0191* CHOOSE(CONTROL!$C$22, $C$13, 100%, $E$13)</f>
        <v>6.0190999999999999</v>
      </c>
      <c r="I91" s="61">
        <f>6.0193 * CHOOSE(CONTROL!$C$22, $C$13, 100%, $E$13)</f>
        <v>6.0193000000000003</v>
      </c>
      <c r="J91" s="61">
        <f>2.9676 * CHOOSE(CONTROL!$C$22, $C$13, 100%, $E$13)</f>
        <v>2.9676</v>
      </c>
      <c r="K91" s="61">
        <f>2.9677 * CHOOSE(CONTROL!$C$22, $C$13, 100%, $E$13)</f>
        <v>2.9676999999999998</v>
      </c>
      <c r="L91" s="4"/>
      <c r="M91" s="4"/>
      <c r="N91" s="4"/>
    </row>
    <row r="92" spans="1:14" ht="15">
      <c r="A92" s="13">
        <v>44652</v>
      </c>
      <c r="B92" s="60">
        <f>2.9156 * CHOOSE(CONTROL!$C$22, $C$13, 100%, $E$13)</f>
        <v>2.9156</v>
      </c>
      <c r="C92" s="60">
        <f>2.9156 * CHOOSE(CONTROL!$C$22, $C$13, 100%, $E$13)</f>
        <v>2.9156</v>
      </c>
      <c r="D92" s="60">
        <f>2.9332 * CHOOSE(CONTROL!$C$22, $C$13, 100%, $E$13)</f>
        <v>2.9331999999999998</v>
      </c>
      <c r="E92" s="61">
        <f>2.9837 * CHOOSE(CONTROL!$C$22, $C$13, 100%, $E$13)</f>
        <v>2.9836999999999998</v>
      </c>
      <c r="F92" s="61">
        <f>2.9837 * CHOOSE(CONTROL!$C$22, $C$13, 100%, $E$13)</f>
        <v>2.9836999999999998</v>
      </c>
      <c r="G92" s="61">
        <f>2.9839 * CHOOSE(CONTROL!$C$22, $C$13, 100%, $E$13)</f>
        <v>2.9839000000000002</v>
      </c>
      <c r="H92" s="61">
        <f>6.0317* CHOOSE(CONTROL!$C$22, $C$13, 100%, $E$13)</f>
        <v>6.0316999999999998</v>
      </c>
      <c r="I92" s="61">
        <f>6.0318 * CHOOSE(CONTROL!$C$22, $C$13, 100%, $E$13)</f>
        <v>6.0317999999999996</v>
      </c>
      <c r="J92" s="61">
        <f>2.9837 * CHOOSE(CONTROL!$C$22, $C$13, 100%, $E$13)</f>
        <v>2.9836999999999998</v>
      </c>
      <c r="K92" s="61">
        <f>2.9839 * CHOOSE(CONTROL!$C$22, $C$13, 100%, $E$13)</f>
        <v>2.9839000000000002</v>
      </c>
      <c r="L92" s="4"/>
      <c r="M92" s="4"/>
      <c r="N92" s="4"/>
    </row>
    <row r="93" spans="1:14" ht="15">
      <c r="A93" s="13">
        <v>44682</v>
      </c>
      <c r="B93" s="60">
        <f>2.9156 * CHOOSE(CONTROL!$C$22, $C$13, 100%, $E$13)</f>
        <v>2.9156</v>
      </c>
      <c r="C93" s="60">
        <f>2.9156 * CHOOSE(CONTROL!$C$22, $C$13, 100%, $E$13)</f>
        <v>2.9156</v>
      </c>
      <c r="D93" s="60">
        <f>2.9509 * CHOOSE(CONTROL!$C$22, $C$13, 100%, $E$13)</f>
        <v>2.9508999999999999</v>
      </c>
      <c r="E93" s="61">
        <f>2.9913 * CHOOSE(CONTROL!$C$22, $C$13, 100%, $E$13)</f>
        <v>2.9912999999999998</v>
      </c>
      <c r="F93" s="61">
        <f>2.9913 * CHOOSE(CONTROL!$C$22, $C$13, 100%, $E$13)</f>
        <v>2.9912999999999998</v>
      </c>
      <c r="G93" s="61">
        <f>2.9935 * CHOOSE(CONTROL!$C$22, $C$13, 100%, $E$13)</f>
        <v>2.9935</v>
      </c>
      <c r="H93" s="61">
        <f>6.0442* CHOOSE(CONTROL!$C$22, $C$13, 100%, $E$13)</f>
        <v>6.0442</v>
      </c>
      <c r="I93" s="61">
        <f>6.0464 * CHOOSE(CONTROL!$C$22, $C$13, 100%, $E$13)</f>
        <v>6.0464000000000002</v>
      </c>
      <c r="J93" s="61">
        <f>2.9913 * CHOOSE(CONTROL!$C$22, $C$13, 100%, $E$13)</f>
        <v>2.9912999999999998</v>
      </c>
      <c r="K93" s="61">
        <f>2.9935 * CHOOSE(CONTROL!$C$22, $C$13, 100%, $E$13)</f>
        <v>2.9935</v>
      </c>
      <c r="L93" s="4"/>
      <c r="M93" s="4"/>
      <c r="N93" s="4"/>
    </row>
    <row r="94" spans="1:14" ht="15">
      <c r="A94" s="13">
        <v>44713</v>
      </c>
      <c r="B94" s="60">
        <f>2.9216 * CHOOSE(CONTROL!$C$22, $C$13, 100%, $E$13)</f>
        <v>2.9216000000000002</v>
      </c>
      <c r="C94" s="60">
        <f>2.9216 * CHOOSE(CONTROL!$C$22, $C$13, 100%, $E$13)</f>
        <v>2.9216000000000002</v>
      </c>
      <c r="D94" s="60">
        <f>2.957 * CHOOSE(CONTROL!$C$22, $C$13, 100%, $E$13)</f>
        <v>2.9569999999999999</v>
      </c>
      <c r="E94" s="61">
        <f>2.9879 * CHOOSE(CONTROL!$C$22, $C$13, 100%, $E$13)</f>
        <v>2.9878999999999998</v>
      </c>
      <c r="F94" s="61">
        <f>2.9879 * CHOOSE(CONTROL!$C$22, $C$13, 100%, $E$13)</f>
        <v>2.9878999999999998</v>
      </c>
      <c r="G94" s="61">
        <f>2.9901 * CHOOSE(CONTROL!$C$22, $C$13, 100%, $E$13)</f>
        <v>2.9901</v>
      </c>
      <c r="H94" s="61">
        <f>6.0568* CHOOSE(CONTROL!$C$22, $C$13, 100%, $E$13)</f>
        <v>6.0568</v>
      </c>
      <c r="I94" s="61">
        <f>6.059 * CHOOSE(CONTROL!$C$22, $C$13, 100%, $E$13)</f>
        <v>6.0590000000000002</v>
      </c>
      <c r="J94" s="61">
        <f>2.9879 * CHOOSE(CONTROL!$C$22, $C$13, 100%, $E$13)</f>
        <v>2.9878999999999998</v>
      </c>
      <c r="K94" s="61">
        <f>2.9901 * CHOOSE(CONTROL!$C$22, $C$13, 100%, $E$13)</f>
        <v>2.9901</v>
      </c>
      <c r="L94" s="4"/>
      <c r="M94" s="4"/>
      <c r="N94" s="4"/>
    </row>
    <row r="95" spans="1:14" ht="15">
      <c r="A95" s="13">
        <v>44743</v>
      </c>
      <c r="B95" s="60">
        <f>3.0359 * CHOOSE(CONTROL!$C$22, $C$13, 100%, $E$13)</f>
        <v>3.0358999999999998</v>
      </c>
      <c r="C95" s="60">
        <f>3.0359 * CHOOSE(CONTROL!$C$22, $C$13, 100%, $E$13)</f>
        <v>3.0358999999999998</v>
      </c>
      <c r="D95" s="60">
        <f>3.0712 * CHOOSE(CONTROL!$C$22, $C$13, 100%, $E$13)</f>
        <v>3.0712000000000002</v>
      </c>
      <c r="E95" s="61">
        <f>3.0661 * CHOOSE(CONTROL!$C$22, $C$13, 100%, $E$13)</f>
        <v>3.0661</v>
      </c>
      <c r="F95" s="61">
        <f>3.0661 * CHOOSE(CONTROL!$C$22, $C$13, 100%, $E$13)</f>
        <v>3.0661</v>
      </c>
      <c r="G95" s="61">
        <f>3.0683 * CHOOSE(CONTROL!$C$22, $C$13, 100%, $E$13)</f>
        <v>3.0682999999999998</v>
      </c>
      <c r="H95" s="61">
        <f>6.0694* CHOOSE(CONTROL!$C$22, $C$13, 100%, $E$13)</f>
        <v>6.0693999999999999</v>
      </c>
      <c r="I95" s="61">
        <f>6.0716 * CHOOSE(CONTROL!$C$22, $C$13, 100%, $E$13)</f>
        <v>6.0716000000000001</v>
      </c>
      <c r="J95" s="61">
        <f>3.0661 * CHOOSE(CONTROL!$C$22, $C$13, 100%, $E$13)</f>
        <v>3.0661</v>
      </c>
      <c r="K95" s="61">
        <f>3.0683 * CHOOSE(CONTROL!$C$22, $C$13, 100%, $E$13)</f>
        <v>3.0682999999999998</v>
      </c>
      <c r="L95" s="4"/>
      <c r="M95" s="4"/>
      <c r="N95" s="4"/>
    </row>
    <row r="96" spans="1:14" ht="15">
      <c r="A96" s="13">
        <v>44774</v>
      </c>
      <c r="B96" s="60">
        <f>3.0426 * CHOOSE(CONTROL!$C$22, $C$13, 100%, $E$13)</f>
        <v>3.0426000000000002</v>
      </c>
      <c r="C96" s="60">
        <f>3.0426 * CHOOSE(CONTROL!$C$22, $C$13, 100%, $E$13)</f>
        <v>3.0426000000000002</v>
      </c>
      <c r="D96" s="60">
        <f>3.0779 * CHOOSE(CONTROL!$C$22, $C$13, 100%, $E$13)</f>
        <v>3.0779000000000001</v>
      </c>
      <c r="E96" s="61">
        <f>3.0478 * CHOOSE(CONTROL!$C$22, $C$13, 100%, $E$13)</f>
        <v>3.0478000000000001</v>
      </c>
      <c r="F96" s="61">
        <f>3.0478 * CHOOSE(CONTROL!$C$22, $C$13, 100%, $E$13)</f>
        <v>3.0478000000000001</v>
      </c>
      <c r="G96" s="61">
        <f>3.05 * CHOOSE(CONTROL!$C$22, $C$13, 100%, $E$13)</f>
        <v>3.05</v>
      </c>
      <c r="H96" s="61">
        <f>6.0821* CHOOSE(CONTROL!$C$22, $C$13, 100%, $E$13)</f>
        <v>6.0820999999999996</v>
      </c>
      <c r="I96" s="61">
        <f>6.0843 * CHOOSE(CONTROL!$C$22, $C$13, 100%, $E$13)</f>
        <v>6.0842999999999998</v>
      </c>
      <c r="J96" s="61">
        <f>3.0478 * CHOOSE(CONTROL!$C$22, $C$13, 100%, $E$13)</f>
        <v>3.0478000000000001</v>
      </c>
      <c r="K96" s="61">
        <f>3.05 * CHOOSE(CONTROL!$C$22, $C$13, 100%, $E$13)</f>
        <v>3.05</v>
      </c>
      <c r="L96" s="4"/>
      <c r="M96" s="4"/>
      <c r="N96" s="4"/>
    </row>
    <row r="97" spans="1:14" ht="15">
      <c r="A97" s="13">
        <v>44805</v>
      </c>
      <c r="B97" s="60">
        <f>3.0395 * CHOOSE(CONTROL!$C$22, $C$13, 100%, $E$13)</f>
        <v>3.0394999999999999</v>
      </c>
      <c r="C97" s="60">
        <f>3.0395 * CHOOSE(CONTROL!$C$22, $C$13, 100%, $E$13)</f>
        <v>3.0394999999999999</v>
      </c>
      <c r="D97" s="60">
        <f>3.0748 * CHOOSE(CONTROL!$C$22, $C$13, 100%, $E$13)</f>
        <v>3.0748000000000002</v>
      </c>
      <c r="E97" s="61">
        <f>3.0432 * CHOOSE(CONTROL!$C$22, $C$13, 100%, $E$13)</f>
        <v>3.0432000000000001</v>
      </c>
      <c r="F97" s="61">
        <f>3.0432 * CHOOSE(CONTROL!$C$22, $C$13, 100%, $E$13)</f>
        <v>3.0432000000000001</v>
      </c>
      <c r="G97" s="61">
        <f>3.0454 * CHOOSE(CONTROL!$C$22, $C$13, 100%, $E$13)</f>
        <v>3.0453999999999999</v>
      </c>
      <c r="H97" s="61">
        <f>6.0948* CHOOSE(CONTROL!$C$22, $C$13, 100%, $E$13)</f>
        <v>6.0948000000000002</v>
      </c>
      <c r="I97" s="61">
        <f>6.0969 * CHOOSE(CONTROL!$C$22, $C$13, 100%, $E$13)</f>
        <v>6.0968999999999998</v>
      </c>
      <c r="J97" s="61">
        <f>3.0432 * CHOOSE(CONTROL!$C$22, $C$13, 100%, $E$13)</f>
        <v>3.0432000000000001</v>
      </c>
      <c r="K97" s="61">
        <f>3.0454 * CHOOSE(CONTROL!$C$22, $C$13, 100%, $E$13)</f>
        <v>3.0453999999999999</v>
      </c>
      <c r="L97" s="4"/>
      <c r="M97" s="4"/>
      <c r="N97" s="4"/>
    </row>
    <row r="98" spans="1:14" ht="15">
      <c r="A98" s="13">
        <v>44835</v>
      </c>
      <c r="B98" s="60">
        <f>3.0312 * CHOOSE(CONTROL!$C$22, $C$13, 100%, $E$13)</f>
        <v>3.0312000000000001</v>
      </c>
      <c r="C98" s="60">
        <f>3.0312 * CHOOSE(CONTROL!$C$22, $C$13, 100%, $E$13)</f>
        <v>3.0312000000000001</v>
      </c>
      <c r="D98" s="60">
        <f>3.0489 * CHOOSE(CONTROL!$C$22, $C$13, 100%, $E$13)</f>
        <v>3.0489000000000002</v>
      </c>
      <c r="E98" s="61">
        <f>3.04 * CHOOSE(CONTROL!$C$22, $C$13, 100%, $E$13)</f>
        <v>3.04</v>
      </c>
      <c r="F98" s="61">
        <f>3.04 * CHOOSE(CONTROL!$C$22, $C$13, 100%, $E$13)</f>
        <v>3.04</v>
      </c>
      <c r="G98" s="61">
        <f>3.0401 * CHOOSE(CONTROL!$C$22, $C$13, 100%, $E$13)</f>
        <v>3.0400999999999998</v>
      </c>
      <c r="H98" s="61">
        <f>6.1075* CHOOSE(CONTROL!$C$22, $C$13, 100%, $E$13)</f>
        <v>6.1074999999999999</v>
      </c>
      <c r="I98" s="61">
        <f>6.1076 * CHOOSE(CONTROL!$C$22, $C$13, 100%, $E$13)</f>
        <v>6.1075999999999997</v>
      </c>
      <c r="J98" s="61">
        <f>3.04 * CHOOSE(CONTROL!$C$22, $C$13, 100%, $E$13)</f>
        <v>3.04</v>
      </c>
      <c r="K98" s="61">
        <f>3.0401 * CHOOSE(CONTROL!$C$22, $C$13, 100%, $E$13)</f>
        <v>3.0400999999999998</v>
      </c>
      <c r="L98" s="4"/>
      <c r="M98" s="4"/>
      <c r="N98" s="4"/>
    </row>
    <row r="99" spans="1:14" ht="15">
      <c r="A99" s="13">
        <v>44866</v>
      </c>
      <c r="B99" s="60">
        <f>3.0342 * CHOOSE(CONTROL!$C$22, $C$13, 100%, $E$13)</f>
        <v>3.0341999999999998</v>
      </c>
      <c r="C99" s="60">
        <f>3.0342 * CHOOSE(CONTROL!$C$22, $C$13, 100%, $E$13)</f>
        <v>3.0341999999999998</v>
      </c>
      <c r="D99" s="60">
        <f>3.0519 * CHOOSE(CONTROL!$C$22, $C$13, 100%, $E$13)</f>
        <v>3.0518999999999998</v>
      </c>
      <c r="E99" s="61">
        <f>3.0472 * CHOOSE(CONTROL!$C$22, $C$13, 100%, $E$13)</f>
        <v>3.0472000000000001</v>
      </c>
      <c r="F99" s="61">
        <f>3.0472 * CHOOSE(CONTROL!$C$22, $C$13, 100%, $E$13)</f>
        <v>3.0472000000000001</v>
      </c>
      <c r="G99" s="61">
        <f>3.0473 * CHOOSE(CONTROL!$C$22, $C$13, 100%, $E$13)</f>
        <v>3.0472999999999999</v>
      </c>
      <c r="H99" s="61">
        <f>6.1202* CHOOSE(CONTROL!$C$22, $C$13, 100%, $E$13)</f>
        <v>6.1201999999999996</v>
      </c>
      <c r="I99" s="61">
        <f>6.1204 * CHOOSE(CONTROL!$C$22, $C$13, 100%, $E$13)</f>
        <v>6.1204000000000001</v>
      </c>
      <c r="J99" s="61">
        <f>3.0472 * CHOOSE(CONTROL!$C$22, $C$13, 100%, $E$13)</f>
        <v>3.0472000000000001</v>
      </c>
      <c r="K99" s="61">
        <f>3.0473 * CHOOSE(CONTROL!$C$22, $C$13, 100%, $E$13)</f>
        <v>3.0472999999999999</v>
      </c>
      <c r="L99" s="4"/>
      <c r="M99" s="4"/>
      <c r="N99" s="4"/>
    </row>
    <row r="100" spans="1:14" ht="15">
      <c r="A100" s="13">
        <v>44896</v>
      </c>
      <c r="B100" s="60">
        <f>3.0342 * CHOOSE(CONTROL!$C$22, $C$13, 100%, $E$13)</f>
        <v>3.0341999999999998</v>
      </c>
      <c r="C100" s="60">
        <f>3.0342 * CHOOSE(CONTROL!$C$22, $C$13, 100%, $E$13)</f>
        <v>3.0341999999999998</v>
      </c>
      <c r="D100" s="60">
        <f>3.0519 * CHOOSE(CONTROL!$C$22, $C$13, 100%, $E$13)</f>
        <v>3.0518999999999998</v>
      </c>
      <c r="E100" s="61">
        <f>3.0344 * CHOOSE(CONTROL!$C$22, $C$13, 100%, $E$13)</f>
        <v>3.0344000000000002</v>
      </c>
      <c r="F100" s="61">
        <f>3.0344 * CHOOSE(CONTROL!$C$22, $C$13, 100%, $E$13)</f>
        <v>3.0344000000000002</v>
      </c>
      <c r="G100" s="61">
        <f>3.0346 * CHOOSE(CONTROL!$C$22, $C$13, 100%, $E$13)</f>
        <v>3.0346000000000002</v>
      </c>
      <c r="H100" s="61">
        <f>6.1329* CHOOSE(CONTROL!$C$22, $C$13, 100%, $E$13)</f>
        <v>6.1329000000000002</v>
      </c>
      <c r="I100" s="61">
        <f>6.1331 * CHOOSE(CONTROL!$C$22, $C$13, 100%, $E$13)</f>
        <v>6.1330999999999998</v>
      </c>
      <c r="J100" s="61">
        <f>3.0344 * CHOOSE(CONTROL!$C$22, $C$13, 100%, $E$13)</f>
        <v>3.0344000000000002</v>
      </c>
      <c r="K100" s="61">
        <f>3.0346 * CHOOSE(CONTROL!$C$22, $C$13, 100%, $E$13)</f>
        <v>3.0346000000000002</v>
      </c>
      <c r="L100" s="4"/>
      <c r="M100" s="4"/>
      <c r="N100" s="4"/>
    </row>
    <row r="101" spans="1:14" ht="15">
      <c r="A101" s="13">
        <v>44927</v>
      </c>
      <c r="B101" s="60">
        <f>3.0584 * CHOOSE(CONTROL!$C$22, $C$13, 100%, $E$13)</f>
        <v>3.0583999999999998</v>
      </c>
      <c r="C101" s="60">
        <f>3.0584 * CHOOSE(CONTROL!$C$22, $C$13, 100%, $E$13)</f>
        <v>3.0583999999999998</v>
      </c>
      <c r="D101" s="60">
        <f>3.076 * CHOOSE(CONTROL!$C$22, $C$13, 100%, $E$13)</f>
        <v>3.0760000000000001</v>
      </c>
      <c r="E101" s="61">
        <f>3.1403 * CHOOSE(CONTROL!$C$22, $C$13, 100%, $E$13)</f>
        <v>3.1402999999999999</v>
      </c>
      <c r="F101" s="61">
        <f>3.1403 * CHOOSE(CONTROL!$C$22, $C$13, 100%, $E$13)</f>
        <v>3.1402999999999999</v>
      </c>
      <c r="G101" s="61">
        <f>3.1405 * CHOOSE(CONTROL!$C$22, $C$13, 100%, $E$13)</f>
        <v>3.1404999999999998</v>
      </c>
      <c r="H101" s="61">
        <f>6.1457* CHOOSE(CONTROL!$C$22, $C$13, 100%, $E$13)</f>
        <v>6.1456999999999997</v>
      </c>
      <c r="I101" s="61">
        <f>6.1459 * CHOOSE(CONTROL!$C$22, $C$13, 100%, $E$13)</f>
        <v>6.1459000000000001</v>
      </c>
      <c r="J101" s="61">
        <f>3.1403 * CHOOSE(CONTROL!$C$22, $C$13, 100%, $E$13)</f>
        <v>3.1402999999999999</v>
      </c>
      <c r="K101" s="61">
        <f>3.1405 * CHOOSE(CONTROL!$C$22, $C$13, 100%, $E$13)</f>
        <v>3.1404999999999998</v>
      </c>
      <c r="L101" s="4"/>
      <c r="M101" s="4"/>
      <c r="N101" s="4"/>
    </row>
    <row r="102" spans="1:14" ht="15">
      <c r="A102" s="13">
        <v>44958</v>
      </c>
      <c r="B102" s="60">
        <f>3.0553 * CHOOSE(CONTROL!$C$22, $C$13, 100%, $E$13)</f>
        <v>3.0552999999999999</v>
      </c>
      <c r="C102" s="60">
        <f>3.0553 * CHOOSE(CONTROL!$C$22, $C$13, 100%, $E$13)</f>
        <v>3.0552999999999999</v>
      </c>
      <c r="D102" s="60">
        <f>3.073 * CHOOSE(CONTROL!$C$22, $C$13, 100%, $E$13)</f>
        <v>3.073</v>
      </c>
      <c r="E102" s="61">
        <f>3.1066 * CHOOSE(CONTROL!$C$22, $C$13, 100%, $E$13)</f>
        <v>3.1065999999999998</v>
      </c>
      <c r="F102" s="61">
        <f>3.1066 * CHOOSE(CONTROL!$C$22, $C$13, 100%, $E$13)</f>
        <v>3.1065999999999998</v>
      </c>
      <c r="G102" s="61">
        <f>3.1068 * CHOOSE(CONTROL!$C$22, $C$13, 100%, $E$13)</f>
        <v>3.1067999999999998</v>
      </c>
      <c r="H102" s="61">
        <f>6.1585* CHOOSE(CONTROL!$C$22, $C$13, 100%, $E$13)</f>
        <v>6.1585000000000001</v>
      </c>
      <c r="I102" s="61">
        <f>6.1587 * CHOOSE(CONTROL!$C$22, $C$13, 100%, $E$13)</f>
        <v>6.1586999999999996</v>
      </c>
      <c r="J102" s="61">
        <f>3.1066 * CHOOSE(CONTROL!$C$22, $C$13, 100%, $E$13)</f>
        <v>3.1065999999999998</v>
      </c>
      <c r="K102" s="61">
        <f>3.1068 * CHOOSE(CONTROL!$C$22, $C$13, 100%, $E$13)</f>
        <v>3.1067999999999998</v>
      </c>
      <c r="L102" s="4"/>
      <c r="M102" s="4"/>
      <c r="N102" s="4"/>
    </row>
    <row r="103" spans="1:14" ht="15">
      <c r="A103" s="13">
        <v>44986</v>
      </c>
      <c r="B103" s="60">
        <f>3.0523 * CHOOSE(CONTROL!$C$22, $C$13, 100%, $E$13)</f>
        <v>3.0522999999999998</v>
      </c>
      <c r="C103" s="60">
        <f>3.0523 * CHOOSE(CONTROL!$C$22, $C$13, 100%, $E$13)</f>
        <v>3.0522999999999998</v>
      </c>
      <c r="D103" s="60">
        <f>3.0699 * CHOOSE(CONTROL!$C$22, $C$13, 100%, $E$13)</f>
        <v>3.0699000000000001</v>
      </c>
      <c r="E103" s="61">
        <f>3.1294 * CHOOSE(CONTROL!$C$22, $C$13, 100%, $E$13)</f>
        <v>3.1294</v>
      </c>
      <c r="F103" s="61">
        <f>3.1294 * CHOOSE(CONTROL!$C$22, $C$13, 100%, $E$13)</f>
        <v>3.1294</v>
      </c>
      <c r="G103" s="61">
        <f>3.1296 * CHOOSE(CONTROL!$C$22, $C$13, 100%, $E$13)</f>
        <v>3.1295999999999999</v>
      </c>
      <c r="H103" s="61">
        <f>6.1713* CHOOSE(CONTROL!$C$22, $C$13, 100%, $E$13)</f>
        <v>6.1712999999999996</v>
      </c>
      <c r="I103" s="61">
        <f>6.1715 * CHOOSE(CONTROL!$C$22, $C$13, 100%, $E$13)</f>
        <v>6.1715</v>
      </c>
      <c r="J103" s="61">
        <f>3.1294 * CHOOSE(CONTROL!$C$22, $C$13, 100%, $E$13)</f>
        <v>3.1294</v>
      </c>
      <c r="K103" s="61">
        <f>3.1296 * CHOOSE(CONTROL!$C$22, $C$13, 100%, $E$13)</f>
        <v>3.1295999999999999</v>
      </c>
      <c r="L103" s="4"/>
      <c r="M103" s="4"/>
      <c r="N103" s="4"/>
    </row>
    <row r="104" spans="1:14" ht="15">
      <c r="A104" s="13">
        <v>45017</v>
      </c>
      <c r="B104" s="60">
        <f>3.0491 * CHOOSE(CONTROL!$C$22, $C$13, 100%, $E$13)</f>
        <v>3.0491000000000001</v>
      </c>
      <c r="C104" s="60">
        <f>3.0491 * CHOOSE(CONTROL!$C$22, $C$13, 100%, $E$13)</f>
        <v>3.0491000000000001</v>
      </c>
      <c r="D104" s="60">
        <f>3.0667 * CHOOSE(CONTROL!$C$22, $C$13, 100%, $E$13)</f>
        <v>3.0667</v>
      </c>
      <c r="E104" s="61">
        <f>3.1519 * CHOOSE(CONTROL!$C$22, $C$13, 100%, $E$13)</f>
        <v>3.1518999999999999</v>
      </c>
      <c r="F104" s="61">
        <f>3.1519 * CHOOSE(CONTROL!$C$22, $C$13, 100%, $E$13)</f>
        <v>3.1518999999999999</v>
      </c>
      <c r="G104" s="61">
        <f>3.1521 * CHOOSE(CONTROL!$C$22, $C$13, 100%, $E$13)</f>
        <v>3.1520999999999999</v>
      </c>
      <c r="H104" s="61">
        <f>6.1842* CHOOSE(CONTROL!$C$22, $C$13, 100%, $E$13)</f>
        <v>6.1841999999999997</v>
      </c>
      <c r="I104" s="61">
        <f>6.1844 * CHOOSE(CONTROL!$C$22, $C$13, 100%, $E$13)</f>
        <v>6.1844000000000001</v>
      </c>
      <c r="J104" s="61">
        <f>3.1519 * CHOOSE(CONTROL!$C$22, $C$13, 100%, $E$13)</f>
        <v>3.1518999999999999</v>
      </c>
      <c r="K104" s="61">
        <f>3.1521 * CHOOSE(CONTROL!$C$22, $C$13, 100%, $E$13)</f>
        <v>3.1520999999999999</v>
      </c>
      <c r="L104" s="4"/>
      <c r="M104" s="4"/>
      <c r="N104" s="4"/>
    </row>
    <row r="105" spans="1:14" ht="15">
      <c r="A105" s="13">
        <v>45047</v>
      </c>
      <c r="B105" s="60">
        <f>3.0491 * CHOOSE(CONTROL!$C$22, $C$13, 100%, $E$13)</f>
        <v>3.0491000000000001</v>
      </c>
      <c r="C105" s="60">
        <f>3.0491 * CHOOSE(CONTROL!$C$22, $C$13, 100%, $E$13)</f>
        <v>3.0491000000000001</v>
      </c>
      <c r="D105" s="60">
        <f>3.0844 * CHOOSE(CONTROL!$C$22, $C$13, 100%, $E$13)</f>
        <v>3.0844</v>
      </c>
      <c r="E105" s="61">
        <f>3.1619 * CHOOSE(CONTROL!$C$22, $C$13, 100%, $E$13)</f>
        <v>3.1619000000000002</v>
      </c>
      <c r="F105" s="61">
        <f>3.1619 * CHOOSE(CONTROL!$C$22, $C$13, 100%, $E$13)</f>
        <v>3.1619000000000002</v>
      </c>
      <c r="G105" s="61">
        <f>3.1641 * CHOOSE(CONTROL!$C$22, $C$13, 100%, $E$13)</f>
        <v>3.1640999999999999</v>
      </c>
      <c r="H105" s="61">
        <f>6.1971* CHOOSE(CONTROL!$C$22, $C$13, 100%, $E$13)</f>
        <v>6.1970999999999998</v>
      </c>
      <c r="I105" s="61">
        <f>6.1993 * CHOOSE(CONTROL!$C$22, $C$13, 100%, $E$13)</f>
        <v>6.1993</v>
      </c>
      <c r="J105" s="61">
        <f>3.1619 * CHOOSE(CONTROL!$C$22, $C$13, 100%, $E$13)</f>
        <v>3.1619000000000002</v>
      </c>
      <c r="K105" s="61">
        <f>3.1641 * CHOOSE(CONTROL!$C$22, $C$13, 100%, $E$13)</f>
        <v>3.1640999999999999</v>
      </c>
      <c r="L105" s="4"/>
      <c r="M105" s="4"/>
      <c r="N105" s="4"/>
    </row>
    <row r="106" spans="1:14" ht="15">
      <c r="A106" s="13">
        <v>45078</v>
      </c>
      <c r="B106" s="60">
        <f>3.0552 * CHOOSE(CONTROL!$C$22, $C$13, 100%, $E$13)</f>
        <v>3.0552000000000001</v>
      </c>
      <c r="C106" s="60">
        <f>3.0552 * CHOOSE(CONTROL!$C$22, $C$13, 100%, $E$13)</f>
        <v>3.0552000000000001</v>
      </c>
      <c r="D106" s="60">
        <f>3.0905 * CHOOSE(CONTROL!$C$22, $C$13, 100%, $E$13)</f>
        <v>3.0905</v>
      </c>
      <c r="E106" s="61">
        <f>3.1561 * CHOOSE(CONTROL!$C$22, $C$13, 100%, $E$13)</f>
        <v>3.1560999999999999</v>
      </c>
      <c r="F106" s="61">
        <f>3.1561 * CHOOSE(CONTROL!$C$22, $C$13, 100%, $E$13)</f>
        <v>3.1560999999999999</v>
      </c>
      <c r="G106" s="61">
        <f>3.1583 * CHOOSE(CONTROL!$C$22, $C$13, 100%, $E$13)</f>
        <v>3.1583000000000001</v>
      </c>
      <c r="H106" s="61">
        <f>6.21* CHOOSE(CONTROL!$C$22, $C$13, 100%, $E$13)</f>
        <v>6.21</v>
      </c>
      <c r="I106" s="61">
        <f>6.2122 * CHOOSE(CONTROL!$C$22, $C$13, 100%, $E$13)</f>
        <v>6.2122000000000002</v>
      </c>
      <c r="J106" s="61">
        <f>3.1561 * CHOOSE(CONTROL!$C$22, $C$13, 100%, $E$13)</f>
        <v>3.1560999999999999</v>
      </c>
      <c r="K106" s="61">
        <f>3.1583 * CHOOSE(CONTROL!$C$22, $C$13, 100%, $E$13)</f>
        <v>3.1583000000000001</v>
      </c>
      <c r="L106" s="4"/>
      <c r="M106" s="4"/>
      <c r="N106" s="4"/>
    </row>
    <row r="107" spans="1:14" ht="15">
      <c r="A107" s="13">
        <v>45108</v>
      </c>
      <c r="B107" s="60">
        <f>3.1 * CHOOSE(CONTROL!$C$22, $C$13, 100%, $E$13)</f>
        <v>3.1</v>
      </c>
      <c r="C107" s="60">
        <f>3.1 * CHOOSE(CONTROL!$C$22, $C$13, 100%, $E$13)</f>
        <v>3.1</v>
      </c>
      <c r="D107" s="60">
        <f>3.1353 * CHOOSE(CONTROL!$C$22, $C$13, 100%, $E$13)</f>
        <v>3.1353</v>
      </c>
      <c r="E107" s="61">
        <f>3.2154 * CHOOSE(CONTROL!$C$22, $C$13, 100%, $E$13)</f>
        <v>3.2153999999999998</v>
      </c>
      <c r="F107" s="61">
        <f>3.2154 * CHOOSE(CONTROL!$C$22, $C$13, 100%, $E$13)</f>
        <v>3.2153999999999998</v>
      </c>
      <c r="G107" s="61">
        <f>3.2176 * CHOOSE(CONTROL!$C$22, $C$13, 100%, $E$13)</f>
        <v>3.2176</v>
      </c>
      <c r="H107" s="61">
        <f>6.2229* CHOOSE(CONTROL!$C$22, $C$13, 100%, $E$13)</f>
        <v>6.2229000000000001</v>
      </c>
      <c r="I107" s="61">
        <f>6.2251 * CHOOSE(CONTROL!$C$22, $C$13, 100%, $E$13)</f>
        <v>6.2251000000000003</v>
      </c>
      <c r="J107" s="61">
        <f>3.2154 * CHOOSE(CONTROL!$C$22, $C$13, 100%, $E$13)</f>
        <v>3.2153999999999998</v>
      </c>
      <c r="K107" s="61">
        <f>3.2176 * CHOOSE(CONTROL!$C$22, $C$13, 100%, $E$13)</f>
        <v>3.2176</v>
      </c>
      <c r="L107" s="4"/>
      <c r="M107" s="4"/>
      <c r="N107" s="4"/>
    </row>
    <row r="108" spans="1:14" ht="15">
      <c r="A108" s="13">
        <v>45139</v>
      </c>
      <c r="B108" s="60">
        <f>3.1066 * CHOOSE(CONTROL!$C$22, $C$13, 100%, $E$13)</f>
        <v>3.1065999999999998</v>
      </c>
      <c r="C108" s="60">
        <f>3.1066 * CHOOSE(CONTROL!$C$22, $C$13, 100%, $E$13)</f>
        <v>3.1065999999999998</v>
      </c>
      <c r="D108" s="60">
        <f>3.142 * CHOOSE(CONTROL!$C$22, $C$13, 100%, $E$13)</f>
        <v>3.1419999999999999</v>
      </c>
      <c r="E108" s="61">
        <f>3.19 * CHOOSE(CONTROL!$C$22, $C$13, 100%, $E$13)</f>
        <v>3.19</v>
      </c>
      <c r="F108" s="61">
        <f>3.19 * CHOOSE(CONTROL!$C$22, $C$13, 100%, $E$13)</f>
        <v>3.19</v>
      </c>
      <c r="G108" s="61">
        <f>3.1922 * CHOOSE(CONTROL!$C$22, $C$13, 100%, $E$13)</f>
        <v>3.1922000000000001</v>
      </c>
      <c r="H108" s="61">
        <f>6.2359* CHOOSE(CONTROL!$C$22, $C$13, 100%, $E$13)</f>
        <v>6.2359</v>
      </c>
      <c r="I108" s="61">
        <f>6.2381 * CHOOSE(CONTROL!$C$22, $C$13, 100%, $E$13)</f>
        <v>6.2381000000000002</v>
      </c>
      <c r="J108" s="61">
        <f>3.19 * CHOOSE(CONTROL!$C$22, $C$13, 100%, $E$13)</f>
        <v>3.19</v>
      </c>
      <c r="K108" s="61">
        <f>3.1922 * CHOOSE(CONTROL!$C$22, $C$13, 100%, $E$13)</f>
        <v>3.1922000000000001</v>
      </c>
      <c r="L108" s="4"/>
      <c r="M108" s="4"/>
      <c r="N108" s="4"/>
    </row>
    <row r="109" spans="1:14" ht="15">
      <c r="A109" s="13">
        <v>45170</v>
      </c>
      <c r="B109" s="60">
        <f>3.1036 * CHOOSE(CONTROL!$C$22, $C$13, 100%, $E$13)</f>
        <v>3.1036000000000001</v>
      </c>
      <c r="C109" s="60">
        <f>3.1036 * CHOOSE(CONTROL!$C$22, $C$13, 100%, $E$13)</f>
        <v>3.1036000000000001</v>
      </c>
      <c r="D109" s="60">
        <f>3.1389 * CHOOSE(CONTROL!$C$22, $C$13, 100%, $E$13)</f>
        <v>3.1389</v>
      </c>
      <c r="E109" s="61">
        <f>3.1845 * CHOOSE(CONTROL!$C$22, $C$13, 100%, $E$13)</f>
        <v>3.1844999999999999</v>
      </c>
      <c r="F109" s="61">
        <f>3.1845 * CHOOSE(CONTROL!$C$22, $C$13, 100%, $E$13)</f>
        <v>3.1844999999999999</v>
      </c>
      <c r="G109" s="61">
        <f>3.1867 * CHOOSE(CONTROL!$C$22, $C$13, 100%, $E$13)</f>
        <v>3.1867000000000001</v>
      </c>
      <c r="H109" s="61">
        <f>6.2489* CHOOSE(CONTROL!$C$22, $C$13, 100%, $E$13)</f>
        <v>6.2488999999999999</v>
      </c>
      <c r="I109" s="61">
        <f>6.2511 * CHOOSE(CONTROL!$C$22, $C$13, 100%, $E$13)</f>
        <v>6.2511000000000001</v>
      </c>
      <c r="J109" s="61">
        <f>3.1845 * CHOOSE(CONTROL!$C$22, $C$13, 100%, $E$13)</f>
        <v>3.1844999999999999</v>
      </c>
      <c r="K109" s="61">
        <f>3.1867 * CHOOSE(CONTROL!$C$22, $C$13, 100%, $E$13)</f>
        <v>3.1867000000000001</v>
      </c>
      <c r="L109" s="4"/>
      <c r="M109" s="4"/>
      <c r="N109" s="4"/>
    </row>
    <row r="110" spans="1:14" ht="15">
      <c r="A110" s="13">
        <v>45200</v>
      </c>
      <c r="B110" s="60">
        <f>3.0955 * CHOOSE(CONTROL!$C$22, $C$13, 100%, $E$13)</f>
        <v>3.0954999999999999</v>
      </c>
      <c r="C110" s="60">
        <f>3.0955 * CHOOSE(CONTROL!$C$22, $C$13, 100%, $E$13)</f>
        <v>3.0954999999999999</v>
      </c>
      <c r="D110" s="60">
        <f>3.1132 * CHOOSE(CONTROL!$C$22, $C$13, 100%, $E$13)</f>
        <v>3.1132</v>
      </c>
      <c r="E110" s="61">
        <f>3.1845 * CHOOSE(CONTROL!$C$22, $C$13, 100%, $E$13)</f>
        <v>3.1844999999999999</v>
      </c>
      <c r="F110" s="61">
        <f>3.1845 * CHOOSE(CONTROL!$C$22, $C$13, 100%, $E$13)</f>
        <v>3.1844999999999999</v>
      </c>
      <c r="G110" s="61">
        <f>3.1847 * CHOOSE(CONTROL!$C$22, $C$13, 100%, $E$13)</f>
        <v>3.1846999999999999</v>
      </c>
      <c r="H110" s="61">
        <f>6.2619* CHOOSE(CONTROL!$C$22, $C$13, 100%, $E$13)</f>
        <v>6.2618999999999998</v>
      </c>
      <c r="I110" s="61">
        <f>6.2621 * CHOOSE(CONTROL!$C$22, $C$13, 100%, $E$13)</f>
        <v>6.2621000000000002</v>
      </c>
      <c r="J110" s="61">
        <f>3.1845 * CHOOSE(CONTROL!$C$22, $C$13, 100%, $E$13)</f>
        <v>3.1844999999999999</v>
      </c>
      <c r="K110" s="61">
        <f>3.1847 * CHOOSE(CONTROL!$C$22, $C$13, 100%, $E$13)</f>
        <v>3.1846999999999999</v>
      </c>
      <c r="L110" s="4"/>
      <c r="M110" s="4"/>
      <c r="N110" s="4"/>
    </row>
    <row r="111" spans="1:14" ht="15">
      <c r="A111" s="13">
        <v>45231</v>
      </c>
      <c r="B111" s="60">
        <f>3.0985 * CHOOSE(CONTROL!$C$22, $C$13, 100%, $E$13)</f>
        <v>3.0985</v>
      </c>
      <c r="C111" s="60">
        <f>3.0985 * CHOOSE(CONTROL!$C$22, $C$13, 100%, $E$13)</f>
        <v>3.0985</v>
      </c>
      <c r="D111" s="60">
        <f>3.1162 * CHOOSE(CONTROL!$C$22, $C$13, 100%, $E$13)</f>
        <v>3.1162000000000001</v>
      </c>
      <c r="E111" s="61">
        <f>3.1933 * CHOOSE(CONTROL!$C$22, $C$13, 100%, $E$13)</f>
        <v>3.1932999999999998</v>
      </c>
      <c r="F111" s="61">
        <f>3.1933 * CHOOSE(CONTROL!$C$22, $C$13, 100%, $E$13)</f>
        <v>3.1932999999999998</v>
      </c>
      <c r="G111" s="61">
        <f>3.1935 * CHOOSE(CONTROL!$C$22, $C$13, 100%, $E$13)</f>
        <v>3.1934999999999998</v>
      </c>
      <c r="H111" s="61">
        <f>6.275* CHOOSE(CONTROL!$C$22, $C$13, 100%, $E$13)</f>
        <v>6.2750000000000004</v>
      </c>
      <c r="I111" s="61">
        <f>6.2751 * CHOOSE(CONTROL!$C$22, $C$13, 100%, $E$13)</f>
        <v>6.2751000000000001</v>
      </c>
      <c r="J111" s="61">
        <f>3.1933 * CHOOSE(CONTROL!$C$22, $C$13, 100%, $E$13)</f>
        <v>3.1932999999999998</v>
      </c>
      <c r="K111" s="61">
        <f>3.1935 * CHOOSE(CONTROL!$C$22, $C$13, 100%, $E$13)</f>
        <v>3.1934999999999998</v>
      </c>
      <c r="L111" s="4"/>
      <c r="M111" s="4"/>
      <c r="N111" s="4"/>
    </row>
    <row r="112" spans="1:14" ht="15">
      <c r="A112" s="13">
        <v>45261</v>
      </c>
      <c r="B112" s="60">
        <f>3.0985 * CHOOSE(CONTROL!$C$22, $C$13, 100%, $E$13)</f>
        <v>3.0985</v>
      </c>
      <c r="C112" s="60">
        <f>3.0985 * CHOOSE(CONTROL!$C$22, $C$13, 100%, $E$13)</f>
        <v>3.0985</v>
      </c>
      <c r="D112" s="60">
        <f>3.1162 * CHOOSE(CONTROL!$C$22, $C$13, 100%, $E$13)</f>
        <v>3.1162000000000001</v>
      </c>
      <c r="E112" s="61">
        <f>3.1766 * CHOOSE(CONTROL!$C$22, $C$13, 100%, $E$13)</f>
        <v>3.1766000000000001</v>
      </c>
      <c r="F112" s="61">
        <f>3.1766 * CHOOSE(CONTROL!$C$22, $C$13, 100%, $E$13)</f>
        <v>3.1766000000000001</v>
      </c>
      <c r="G112" s="61">
        <f>3.1768 * CHOOSE(CONTROL!$C$22, $C$13, 100%, $E$13)</f>
        <v>3.1768000000000001</v>
      </c>
      <c r="H112" s="61">
        <f>6.288* CHOOSE(CONTROL!$C$22, $C$13, 100%, $E$13)</f>
        <v>6.2880000000000003</v>
      </c>
      <c r="I112" s="61">
        <f>6.2882 * CHOOSE(CONTROL!$C$22, $C$13, 100%, $E$13)</f>
        <v>6.2881999999999998</v>
      </c>
      <c r="J112" s="61">
        <f>3.1766 * CHOOSE(CONTROL!$C$22, $C$13, 100%, $E$13)</f>
        <v>3.1766000000000001</v>
      </c>
      <c r="K112" s="61">
        <f>3.1768 * CHOOSE(CONTROL!$C$22, $C$13, 100%, $E$13)</f>
        <v>3.1768000000000001</v>
      </c>
      <c r="L112" s="4"/>
      <c r="M112" s="4"/>
      <c r="N112" s="4"/>
    </row>
    <row r="113" spans="1:14" ht="15">
      <c r="A113" s="13">
        <v>45292</v>
      </c>
      <c r="B113" s="60">
        <f>3.129 * CHOOSE(CONTROL!$C$22, $C$13, 100%, $E$13)</f>
        <v>3.129</v>
      </c>
      <c r="C113" s="60">
        <f>3.129 * CHOOSE(CONTROL!$C$22, $C$13, 100%, $E$13)</f>
        <v>3.129</v>
      </c>
      <c r="D113" s="60">
        <f>3.1466 * CHOOSE(CONTROL!$C$22, $C$13, 100%, $E$13)</f>
        <v>3.1465999999999998</v>
      </c>
      <c r="E113" s="61">
        <f>3.255 * CHOOSE(CONTROL!$C$22, $C$13, 100%, $E$13)</f>
        <v>3.2549999999999999</v>
      </c>
      <c r="F113" s="61">
        <f>3.255 * CHOOSE(CONTROL!$C$22, $C$13, 100%, $E$13)</f>
        <v>3.2549999999999999</v>
      </c>
      <c r="G113" s="61">
        <f>3.2551 * CHOOSE(CONTROL!$C$22, $C$13, 100%, $E$13)</f>
        <v>3.2551000000000001</v>
      </c>
      <c r="H113" s="61">
        <f>6.3011* CHOOSE(CONTROL!$C$22, $C$13, 100%, $E$13)</f>
        <v>6.3010999999999999</v>
      </c>
      <c r="I113" s="61">
        <f>6.3013 * CHOOSE(CONTROL!$C$22, $C$13, 100%, $E$13)</f>
        <v>6.3013000000000003</v>
      </c>
      <c r="J113" s="61">
        <f>3.255 * CHOOSE(CONTROL!$C$22, $C$13, 100%, $E$13)</f>
        <v>3.2549999999999999</v>
      </c>
      <c r="K113" s="61">
        <f>3.2551 * CHOOSE(CONTROL!$C$22, $C$13, 100%, $E$13)</f>
        <v>3.2551000000000001</v>
      </c>
      <c r="L113" s="4"/>
      <c r="M113" s="4"/>
      <c r="N113" s="4"/>
    </row>
    <row r="114" spans="1:14" ht="15">
      <c r="A114" s="13">
        <v>45323</v>
      </c>
      <c r="B114" s="60">
        <f>3.1259 * CHOOSE(CONTROL!$C$22, $C$13, 100%, $E$13)</f>
        <v>3.1259000000000001</v>
      </c>
      <c r="C114" s="60">
        <f>3.1259 * CHOOSE(CONTROL!$C$22, $C$13, 100%, $E$13)</f>
        <v>3.1259000000000001</v>
      </c>
      <c r="D114" s="60">
        <f>3.1436 * CHOOSE(CONTROL!$C$22, $C$13, 100%, $E$13)</f>
        <v>3.1436000000000002</v>
      </c>
      <c r="E114" s="61">
        <f>3.2171 * CHOOSE(CONTROL!$C$22, $C$13, 100%, $E$13)</f>
        <v>3.2170999999999998</v>
      </c>
      <c r="F114" s="61">
        <f>3.2171 * CHOOSE(CONTROL!$C$22, $C$13, 100%, $E$13)</f>
        <v>3.2170999999999998</v>
      </c>
      <c r="G114" s="61">
        <f>3.2172 * CHOOSE(CONTROL!$C$22, $C$13, 100%, $E$13)</f>
        <v>3.2172000000000001</v>
      </c>
      <c r="H114" s="61">
        <f>6.3143* CHOOSE(CONTROL!$C$22, $C$13, 100%, $E$13)</f>
        <v>6.3143000000000002</v>
      </c>
      <c r="I114" s="61">
        <f>6.3144 * CHOOSE(CONTROL!$C$22, $C$13, 100%, $E$13)</f>
        <v>6.3144</v>
      </c>
      <c r="J114" s="61">
        <f>3.2171 * CHOOSE(CONTROL!$C$22, $C$13, 100%, $E$13)</f>
        <v>3.2170999999999998</v>
      </c>
      <c r="K114" s="61">
        <f>3.2172 * CHOOSE(CONTROL!$C$22, $C$13, 100%, $E$13)</f>
        <v>3.2172000000000001</v>
      </c>
      <c r="L114" s="4"/>
      <c r="M114" s="4"/>
      <c r="N114" s="4"/>
    </row>
    <row r="115" spans="1:14" ht="15">
      <c r="A115" s="13">
        <v>45352</v>
      </c>
      <c r="B115" s="60">
        <f>3.1229 * CHOOSE(CONTROL!$C$22, $C$13, 100%, $E$13)</f>
        <v>3.1229</v>
      </c>
      <c r="C115" s="60">
        <f>3.1229 * CHOOSE(CONTROL!$C$22, $C$13, 100%, $E$13)</f>
        <v>3.1229</v>
      </c>
      <c r="D115" s="60">
        <f>3.1406 * CHOOSE(CONTROL!$C$22, $C$13, 100%, $E$13)</f>
        <v>3.1406000000000001</v>
      </c>
      <c r="E115" s="61">
        <f>3.2432 * CHOOSE(CONTROL!$C$22, $C$13, 100%, $E$13)</f>
        <v>3.2431999999999999</v>
      </c>
      <c r="F115" s="61">
        <f>3.2432 * CHOOSE(CONTROL!$C$22, $C$13, 100%, $E$13)</f>
        <v>3.2431999999999999</v>
      </c>
      <c r="G115" s="61">
        <f>3.2433 * CHOOSE(CONTROL!$C$22, $C$13, 100%, $E$13)</f>
        <v>3.2433000000000001</v>
      </c>
      <c r="H115" s="61">
        <f>6.3274* CHOOSE(CONTROL!$C$22, $C$13, 100%, $E$13)</f>
        <v>6.3273999999999999</v>
      </c>
      <c r="I115" s="61">
        <f>6.3276 * CHOOSE(CONTROL!$C$22, $C$13, 100%, $E$13)</f>
        <v>6.3276000000000003</v>
      </c>
      <c r="J115" s="61">
        <f>3.2432 * CHOOSE(CONTROL!$C$22, $C$13, 100%, $E$13)</f>
        <v>3.2431999999999999</v>
      </c>
      <c r="K115" s="61">
        <f>3.2433 * CHOOSE(CONTROL!$C$22, $C$13, 100%, $E$13)</f>
        <v>3.2433000000000001</v>
      </c>
      <c r="L115" s="4"/>
      <c r="M115" s="4"/>
      <c r="N115" s="4"/>
    </row>
    <row r="116" spans="1:14" ht="15">
      <c r="A116" s="13">
        <v>45383</v>
      </c>
      <c r="B116" s="60">
        <f>3.1198 * CHOOSE(CONTROL!$C$22, $C$13, 100%, $E$13)</f>
        <v>3.1198000000000001</v>
      </c>
      <c r="C116" s="60">
        <f>3.1198 * CHOOSE(CONTROL!$C$22, $C$13, 100%, $E$13)</f>
        <v>3.1198000000000001</v>
      </c>
      <c r="D116" s="60">
        <f>3.1374 * CHOOSE(CONTROL!$C$22, $C$13, 100%, $E$13)</f>
        <v>3.1374</v>
      </c>
      <c r="E116" s="61">
        <f>3.2692 * CHOOSE(CONTROL!$C$22, $C$13, 100%, $E$13)</f>
        <v>3.2692000000000001</v>
      </c>
      <c r="F116" s="61">
        <f>3.2692 * CHOOSE(CONTROL!$C$22, $C$13, 100%, $E$13)</f>
        <v>3.2692000000000001</v>
      </c>
      <c r="G116" s="61">
        <f>3.2694 * CHOOSE(CONTROL!$C$22, $C$13, 100%, $E$13)</f>
        <v>3.2694000000000001</v>
      </c>
      <c r="H116" s="61">
        <f>6.3406* CHOOSE(CONTROL!$C$22, $C$13, 100%, $E$13)</f>
        <v>6.3406000000000002</v>
      </c>
      <c r="I116" s="61">
        <f>6.3408 * CHOOSE(CONTROL!$C$22, $C$13, 100%, $E$13)</f>
        <v>6.3407999999999998</v>
      </c>
      <c r="J116" s="61">
        <f>3.2692 * CHOOSE(CONTROL!$C$22, $C$13, 100%, $E$13)</f>
        <v>3.2692000000000001</v>
      </c>
      <c r="K116" s="61">
        <f>3.2694 * CHOOSE(CONTROL!$C$22, $C$13, 100%, $E$13)</f>
        <v>3.2694000000000001</v>
      </c>
      <c r="L116" s="4"/>
      <c r="M116" s="4"/>
      <c r="N116" s="4"/>
    </row>
    <row r="117" spans="1:14" ht="15">
      <c r="A117" s="13">
        <v>45413</v>
      </c>
      <c r="B117" s="60">
        <f>3.1198 * CHOOSE(CONTROL!$C$22, $C$13, 100%, $E$13)</f>
        <v>3.1198000000000001</v>
      </c>
      <c r="C117" s="60">
        <f>3.1198 * CHOOSE(CONTROL!$C$22, $C$13, 100%, $E$13)</f>
        <v>3.1198000000000001</v>
      </c>
      <c r="D117" s="60">
        <f>3.1551 * CHOOSE(CONTROL!$C$22, $C$13, 100%, $E$13)</f>
        <v>3.1551</v>
      </c>
      <c r="E117" s="61">
        <f>3.2806 * CHOOSE(CONTROL!$C$22, $C$13, 100%, $E$13)</f>
        <v>3.2806000000000002</v>
      </c>
      <c r="F117" s="61">
        <f>3.2806 * CHOOSE(CONTROL!$C$22, $C$13, 100%, $E$13)</f>
        <v>3.2806000000000002</v>
      </c>
      <c r="G117" s="61">
        <f>3.2828 * CHOOSE(CONTROL!$C$22, $C$13, 100%, $E$13)</f>
        <v>3.2827999999999999</v>
      </c>
      <c r="H117" s="61">
        <f>6.3538* CHOOSE(CONTROL!$C$22, $C$13, 100%, $E$13)</f>
        <v>6.3537999999999997</v>
      </c>
      <c r="I117" s="61">
        <f>6.356 * CHOOSE(CONTROL!$C$22, $C$13, 100%, $E$13)</f>
        <v>6.3559999999999999</v>
      </c>
      <c r="J117" s="61">
        <f>3.2806 * CHOOSE(CONTROL!$C$22, $C$13, 100%, $E$13)</f>
        <v>3.2806000000000002</v>
      </c>
      <c r="K117" s="61">
        <f>3.2828 * CHOOSE(CONTROL!$C$22, $C$13, 100%, $E$13)</f>
        <v>3.2827999999999999</v>
      </c>
      <c r="L117" s="4"/>
      <c r="M117" s="4"/>
      <c r="N117" s="4"/>
    </row>
    <row r="118" spans="1:14" ht="15">
      <c r="A118" s="13">
        <v>45444</v>
      </c>
      <c r="B118" s="60">
        <f>3.1258 * CHOOSE(CONTROL!$C$22, $C$13, 100%, $E$13)</f>
        <v>3.1257999999999999</v>
      </c>
      <c r="C118" s="60">
        <f>3.1258 * CHOOSE(CONTROL!$C$22, $C$13, 100%, $E$13)</f>
        <v>3.1257999999999999</v>
      </c>
      <c r="D118" s="60">
        <f>3.1611 * CHOOSE(CONTROL!$C$22, $C$13, 100%, $E$13)</f>
        <v>3.1610999999999998</v>
      </c>
      <c r="E118" s="61">
        <f>3.2735 * CHOOSE(CONTROL!$C$22, $C$13, 100%, $E$13)</f>
        <v>3.2734999999999999</v>
      </c>
      <c r="F118" s="61">
        <f>3.2735 * CHOOSE(CONTROL!$C$22, $C$13, 100%, $E$13)</f>
        <v>3.2734999999999999</v>
      </c>
      <c r="G118" s="61">
        <f>3.2756 * CHOOSE(CONTROL!$C$22, $C$13, 100%, $E$13)</f>
        <v>3.2755999999999998</v>
      </c>
      <c r="H118" s="61">
        <f>6.367* CHOOSE(CONTROL!$C$22, $C$13, 100%, $E$13)</f>
        <v>6.367</v>
      </c>
      <c r="I118" s="61">
        <f>6.3692 * CHOOSE(CONTROL!$C$22, $C$13, 100%, $E$13)</f>
        <v>6.3692000000000002</v>
      </c>
      <c r="J118" s="61">
        <f>3.2735 * CHOOSE(CONTROL!$C$22, $C$13, 100%, $E$13)</f>
        <v>3.2734999999999999</v>
      </c>
      <c r="K118" s="61">
        <f>3.2756 * CHOOSE(CONTROL!$C$22, $C$13, 100%, $E$13)</f>
        <v>3.2755999999999998</v>
      </c>
      <c r="L118" s="4"/>
      <c r="M118" s="4"/>
      <c r="N118" s="4"/>
    </row>
    <row r="119" spans="1:14" ht="15">
      <c r="A119" s="13">
        <v>45474</v>
      </c>
      <c r="B119" s="60">
        <f>3.1848 * CHOOSE(CONTROL!$C$22, $C$13, 100%, $E$13)</f>
        <v>3.1848000000000001</v>
      </c>
      <c r="C119" s="60">
        <f>3.1848 * CHOOSE(CONTROL!$C$22, $C$13, 100%, $E$13)</f>
        <v>3.1848000000000001</v>
      </c>
      <c r="D119" s="60">
        <f>3.2201 * CHOOSE(CONTROL!$C$22, $C$13, 100%, $E$13)</f>
        <v>3.2201</v>
      </c>
      <c r="E119" s="61">
        <f>3.3462 * CHOOSE(CONTROL!$C$22, $C$13, 100%, $E$13)</f>
        <v>3.3462000000000001</v>
      </c>
      <c r="F119" s="61">
        <f>3.3462 * CHOOSE(CONTROL!$C$22, $C$13, 100%, $E$13)</f>
        <v>3.3462000000000001</v>
      </c>
      <c r="G119" s="61">
        <f>3.3483 * CHOOSE(CONTROL!$C$22, $C$13, 100%, $E$13)</f>
        <v>3.3483000000000001</v>
      </c>
      <c r="H119" s="61">
        <f>6.3803* CHOOSE(CONTROL!$C$22, $C$13, 100%, $E$13)</f>
        <v>6.3803000000000001</v>
      </c>
      <c r="I119" s="61">
        <f>6.3825 * CHOOSE(CONTROL!$C$22, $C$13, 100%, $E$13)</f>
        <v>6.3825000000000003</v>
      </c>
      <c r="J119" s="61">
        <f>3.3462 * CHOOSE(CONTROL!$C$22, $C$13, 100%, $E$13)</f>
        <v>3.3462000000000001</v>
      </c>
      <c r="K119" s="61">
        <f>3.3483 * CHOOSE(CONTROL!$C$22, $C$13, 100%, $E$13)</f>
        <v>3.3483000000000001</v>
      </c>
      <c r="L119" s="4"/>
      <c r="M119" s="4"/>
      <c r="N119" s="4"/>
    </row>
    <row r="120" spans="1:14" ht="15">
      <c r="A120" s="13">
        <v>45505</v>
      </c>
      <c r="B120" s="60">
        <f>3.1915 * CHOOSE(CONTROL!$C$22, $C$13, 100%, $E$13)</f>
        <v>3.1915</v>
      </c>
      <c r="C120" s="60">
        <f>3.1915 * CHOOSE(CONTROL!$C$22, $C$13, 100%, $E$13)</f>
        <v>3.1915</v>
      </c>
      <c r="D120" s="60">
        <f>3.2268 * CHOOSE(CONTROL!$C$22, $C$13, 100%, $E$13)</f>
        <v>3.2267999999999999</v>
      </c>
      <c r="E120" s="61">
        <f>3.3167 * CHOOSE(CONTROL!$C$22, $C$13, 100%, $E$13)</f>
        <v>3.3167</v>
      </c>
      <c r="F120" s="61">
        <f>3.3167 * CHOOSE(CONTROL!$C$22, $C$13, 100%, $E$13)</f>
        <v>3.3167</v>
      </c>
      <c r="G120" s="61">
        <f>3.3189 * CHOOSE(CONTROL!$C$22, $C$13, 100%, $E$13)</f>
        <v>3.3189000000000002</v>
      </c>
      <c r="H120" s="61">
        <f>6.3936* CHOOSE(CONTROL!$C$22, $C$13, 100%, $E$13)</f>
        <v>6.3936000000000002</v>
      </c>
      <c r="I120" s="61">
        <f>6.3958 * CHOOSE(CONTROL!$C$22, $C$13, 100%, $E$13)</f>
        <v>6.3958000000000004</v>
      </c>
      <c r="J120" s="61">
        <f>3.3167 * CHOOSE(CONTROL!$C$22, $C$13, 100%, $E$13)</f>
        <v>3.3167</v>
      </c>
      <c r="K120" s="61">
        <f>3.3189 * CHOOSE(CONTROL!$C$22, $C$13, 100%, $E$13)</f>
        <v>3.3189000000000002</v>
      </c>
      <c r="L120" s="4"/>
      <c r="M120" s="4"/>
      <c r="N120" s="4"/>
    </row>
    <row r="121" spans="1:14" ht="15">
      <c r="A121" s="13">
        <v>45536</v>
      </c>
      <c r="B121" s="60">
        <f>3.1885 * CHOOSE(CONTROL!$C$22, $C$13, 100%, $E$13)</f>
        <v>3.1884999999999999</v>
      </c>
      <c r="C121" s="60">
        <f>3.1885 * CHOOSE(CONTROL!$C$22, $C$13, 100%, $E$13)</f>
        <v>3.1884999999999999</v>
      </c>
      <c r="D121" s="60">
        <f>3.2238 * CHOOSE(CONTROL!$C$22, $C$13, 100%, $E$13)</f>
        <v>3.2238000000000002</v>
      </c>
      <c r="E121" s="61">
        <f>3.3108 * CHOOSE(CONTROL!$C$22, $C$13, 100%, $E$13)</f>
        <v>3.3108</v>
      </c>
      <c r="F121" s="61">
        <f>3.3108 * CHOOSE(CONTROL!$C$22, $C$13, 100%, $E$13)</f>
        <v>3.3108</v>
      </c>
      <c r="G121" s="61">
        <f>3.313 * CHOOSE(CONTROL!$C$22, $C$13, 100%, $E$13)</f>
        <v>3.3130000000000002</v>
      </c>
      <c r="H121" s="61">
        <f>6.4069* CHOOSE(CONTROL!$C$22, $C$13, 100%, $E$13)</f>
        <v>6.4069000000000003</v>
      </c>
      <c r="I121" s="61">
        <f>6.4091 * CHOOSE(CONTROL!$C$22, $C$13, 100%, $E$13)</f>
        <v>6.4090999999999996</v>
      </c>
      <c r="J121" s="61">
        <f>3.3108 * CHOOSE(CONTROL!$C$22, $C$13, 100%, $E$13)</f>
        <v>3.3108</v>
      </c>
      <c r="K121" s="61">
        <f>3.313 * CHOOSE(CONTROL!$C$22, $C$13, 100%, $E$13)</f>
        <v>3.3130000000000002</v>
      </c>
      <c r="L121" s="4"/>
      <c r="M121" s="4"/>
      <c r="N121" s="4"/>
    </row>
    <row r="122" spans="1:14" ht="15">
      <c r="A122" s="13">
        <v>45566</v>
      </c>
      <c r="B122" s="60">
        <f>3.1807 * CHOOSE(CONTROL!$C$22, $C$13, 100%, $E$13)</f>
        <v>3.1806999999999999</v>
      </c>
      <c r="C122" s="60">
        <f>3.1807 * CHOOSE(CONTROL!$C$22, $C$13, 100%, $E$13)</f>
        <v>3.1806999999999999</v>
      </c>
      <c r="D122" s="60">
        <f>3.1983 * CHOOSE(CONTROL!$C$22, $C$13, 100%, $E$13)</f>
        <v>3.1983000000000001</v>
      </c>
      <c r="E122" s="61">
        <f>3.3126 * CHOOSE(CONTROL!$C$22, $C$13, 100%, $E$13)</f>
        <v>3.3126000000000002</v>
      </c>
      <c r="F122" s="61">
        <f>3.3126 * CHOOSE(CONTROL!$C$22, $C$13, 100%, $E$13)</f>
        <v>3.3126000000000002</v>
      </c>
      <c r="G122" s="61">
        <f>3.3127 * CHOOSE(CONTROL!$C$22, $C$13, 100%, $E$13)</f>
        <v>3.3127</v>
      </c>
      <c r="H122" s="61">
        <f>6.4203* CHOOSE(CONTROL!$C$22, $C$13, 100%, $E$13)</f>
        <v>6.4203000000000001</v>
      </c>
      <c r="I122" s="61">
        <f>6.4204 * CHOOSE(CONTROL!$C$22, $C$13, 100%, $E$13)</f>
        <v>6.4203999999999999</v>
      </c>
      <c r="J122" s="61">
        <f>3.3126 * CHOOSE(CONTROL!$C$22, $C$13, 100%, $E$13)</f>
        <v>3.3126000000000002</v>
      </c>
      <c r="K122" s="61">
        <f>3.3127 * CHOOSE(CONTROL!$C$22, $C$13, 100%, $E$13)</f>
        <v>3.3127</v>
      </c>
      <c r="L122" s="4"/>
      <c r="M122" s="4"/>
      <c r="N122" s="4"/>
    </row>
    <row r="123" spans="1:14" ht="15">
      <c r="A123" s="13">
        <v>45597</v>
      </c>
      <c r="B123" s="60">
        <f>3.1837 * CHOOSE(CONTROL!$C$22, $C$13, 100%, $E$13)</f>
        <v>3.1837</v>
      </c>
      <c r="C123" s="60">
        <f>3.1837 * CHOOSE(CONTROL!$C$22, $C$13, 100%, $E$13)</f>
        <v>3.1837</v>
      </c>
      <c r="D123" s="60">
        <f>3.2014 * CHOOSE(CONTROL!$C$22, $C$13, 100%, $E$13)</f>
        <v>3.2014</v>
      </c>
      <c r="E123" s="61">
        <f>3.3223 * CHOOSE(CONTROL!$C$22, $C$13, 100%, $E$13)</f>
        <v>3.3222999999999998</v>
      </c>
      <c r="F123" s="61">
        <f>3.3223 * CHOOSE(CONTROL!$C$22, $C$13, 100%, $E$13)</f>
        <v>3.3222999999999998</v>
      </c>
      <c r="G123" s="61">
        <f>3.3224 * CHOOSE(CONTROL!$C$22, $C$13, 100%, $E$13)</f>
        <v>3.3224</v>
      </c>
      <c r="H123" s="61">
        <f>6.4336* CHOOSE(CONTROL!$C$22, $C$13, 100%, $E$13)</f>
        <v>6.4336000000000002</v>
      </c>
      <c r="I123" s="61">
        <f>6.4338 * CHOOSE(CONTROL!$C$22, $C$13, 100%, $E$13)</f>
        <v>6.4337999999999997</v>
      </c>
      <c r="J123" s="61">
        <f>3.3223 * CHOOSE(CONTROL!$C$22, $C$13, 100%, $E$13)</f>
        <v>3.3222999999999998</v>
      </c>
      <c r="K123" s="61">
        <f>3.3224 * CHOOSE(CONTROL!$C$22, $C$13, 100%, $E$13)</f>
        <v>3.3224</v>
      </c>
      <c r="L123" s="4"/>
      <c r="M123" s="4"/>
      <c r="N123" s="4"/>
    </row>
    <row r="124" spans="1:14" ht="15">
      <c r="A124" s="13">
        <v>45627</v>
      </c>
      <c r="B124" s="60">
        <f>3.1837 * CHOOSE(CONTROL!$C$22, $C$13, 100%, $E$13)</f>
        <v>3.1837</v>
      </c>
      <c r="C124" s="60">
        <f>3.1837 * CHOOSE(CONTROL!$C$22, $C$13, 100%, $E$13)</f>
        <v>3.1837</v>
      </c>
      <c r="D124" s="60">
        <f>3.2014 * CHOOSE(CONTROL!$C$22, $C$13, 100%, $E$13)</f>
        <v>3.2014</v>
      </c>
      <c r="E124" s="61">
        <f>3.3033 * CHOOSE(CONTROL!$C$22, $C$13, 100%, $E$13)</f>
        <v>3.3033000000000001</v>
      </c>
      <c r="F124" s="61">
        <f>3.3033 * CHOOSE(CONTROL!$C$22, $C$13, 100%, $E$13)</f>
        <v>3.3033000000000001</v>
      </c>
      <c r="G124" s="61">
        <f>3.3035 * CHOOSE(CONTROL!$C$22, $C$13, 100%, $E$13)</f>
        <v>3.3035000000000001</v>
      </c>
      <c r="H124" s="61">
        <f>6.447* CHOOSE(CONTROL!$C$22, $C$13, 100%, $E$13)</f>
        <v>6.4470000000000001</v>
      </c>
      <c r="I124" s="61">
        <f>6.4472 * CHOOSE(CONTROL!$C$22, $C$13, 100%, $E$13)</f>
        <v>6.4471999999999996</v>
      </c>
      <c r="J124" s="61">
        <f>3.3033 * CHOOSE(CONTROL!$C$22, $C$13, 100%, $E$13)</f>
        <v>3.3033000000000001</v>
      </c>
      <c r="K124" s="61">
        <f>3.3035 * CHOOSE(CONTROL!$C$22, $C$13, 100%, $E$13)</f>
        <v>3.3035000000000001</v>
      </c>
      <c r="L124" s="4"/>
      <c r="M124" s="4"/>
      <c r="N124" s="4"/>
    </row>
    <row r="125" spans="1:14" ht="15">
      <c r="A125" s="13">
        <v>45658</v>
      </c>
      <c r="B125" s="60">
        <f>3.21 * CHOOSE(CONTROL!$C$22, $C$13, 100%, $E$13)</f>
        <v>3.21</v>
      </c>
      <c r="C125" s="60">
        <f>3.21 * CHOOSE(CONTROL!$C$22, $C$13, 100%, $E$13)</f>
        <v>3.21</v>
      </c>
      <c r="D125" s="60">
        <f>3.2276 * CHOOSE(CONTROL!$C$22, $C$13, 100%, $E$13)</f>
        <v>3.2275999999999998</v>
      </c>
      <c r="E125" s="61">
        <f>3.3861 * CHOOSE(CONTROL!$C$22, $C$13, 100%, $E$13)</f>
        <v>3.3860999999999999</v>
      </c>
      <c r="F125" s="61">
        <f>3.3861 * CHOOSE(CONTROL!$C$22, $C$13, 100%, $E$13)</f>
        <v>3.3860999999999999</v>
      </c>
      <c r="G125" s="61">
        <f>3.3863 * CHOOSE(CONTROL!$C$22, $C$13, 100%, $E$13)</f>
        <v>3.3862999999999999</v>
      </c>
      <c r="H125" s="61">
        <f>6.4605* CHOOSE(CONTROL!$C$22, $C$13, 100%, $E$13)</f>
        <v>6.4604999999999997</v>
      </c>
      <c r="I125" s="61">
        <f>6.4606 * CHOOSE(CONTROL!$C$22, $C$13, 100%, $E$13)</f>
        <v>6.4606000000000003</v>
      </c>
      <c r="J125" s="61">
        <f>3.3861 * CHOOSE(CONTROL!$C$22, $C$13, 100%, $E$13)</f>
        <v>3.3860999999999999</v>
      </c>
      <c r="K125" s="61">
        <f>3.3863 * CHOOSE(CONTROL!$C$22, $C$13, 100%, $E$13)</f>
        <v>3.3862999999999999</v>
      </c>
      <c r="L125" s="4"/>
      <c r="M125" s="4"/>
      <c r="N125" s="4"/>
    </row>
    <row r="126" spans="1:14" ht="15">
      <c r="A126" s="13">
        <v>45689</v>
      </c>
      <c r="B126" s="60">
        <f>3.2069 * CHOOSE(CONTROL!$C$22, $C$13, 100%, $E$13)</f>
        <v>3.2069000000000001</v>
      </c>
      <c r="C126" s="60">
        <f>3.2069 * CHOOSE(CONTROL!$C$22, $C$13, 100%, $E$13)</f>
        <v>3.2069000000000001</v>
      </c>
      <c r="D126" s="60">
        <f>3.2246 * CHOOSE(CONTROL!$C$22, $C$13, 100%, $E$13)</f>
        <v>3.2246000000000001</v>
      </c>
      <c r="E126" s="61">
        <f>3.3429 * CHOOSE(CONTROL!$C$22, $C$13, 100%, $E$13)</f>
        <v>3.3429000000000002</v>
      </c>
      <c r="F126" s="61">
        <f>3.3429 * CHOOSE(CONTROL!$C$22, $C$13, 100%, $E$13)</f>
        <v>3.3429000000000002</v>
      </c>
      <c r="G126" s="61">
        <f>3.3431 * CHOOSE(CONTROL!$C$22, $C$13, 100%, $E$13)</f>
        <v>3.3431000000000002</v>
      </c>
      <c r="H126" s="61">
        <f>6.4739* CHOOSE(CONTROL!$C$22, $C$13, 100%, $E$13)</f>
        <v>6.4739000000000004</v>
      </c>
      <c r="I126" s="61">
        <f>6.4741 * CHOOSE(CONTROL!$C$22, $C$13, 100%, $E$13)</f>
        <v>6.4741</v>
      </c>
      <c r="J126" s="61">
        <f>3.3429 * CHOOSE(CONTROL!$C$22, $C$13, 100%, $E$13)</f>
        <v>3.3429000000000002</v>
      </c>
      <c r="K126" s="61">
        <f>3.3431 * CHOOSE(CONTROL!$C$22, $C$13, 100%, $E$13)</f>
        <v>3.3431000000000002</v>
      </c>
      <c r="L126" s="4"/>
      <c r="M126" s="4"/>
      <c r="N126" s="4"/>
    </row>
    <row r="127" spans="1:14" ht="15">
      <c r="A127" s="13">
        <v>45717</v>
      </c>
      <c r="B127" s="60">
        <f>3.2039 * CHOOSE(CONTROL!$C$22, $C$13, 100%, $E$13)</f>
        <v>3.2039</v>
      </c>
      <c r="C127" s="60">
        <f>3.2039 * CHOOSE(CONTROL!$C$22, $C$13, 100%, $E$13)</f>
        <v>3.2039</v>
      </c>
      <c r="D127" s="60">
        <f>3.2215 * CHOOSE(CONTROL!$C$22, $C$13, 100%, $E$13)</f>
        <v>3.2214999999999998</v>
      </c>
      <c r="E127" s="61">
        <f>3.3732 * CHOOSE(CONTROL!$C$22, $C$13, 100%, $E$13)</f>
        <v>3.3732000000000002</v>
      </c>
      <c r="F127" s="61">
        <f>3.3732 * CHOOSE(CONTROL!$C$22, $C$13, 100%, $E$13)</f>
        <v>3.3732000000000002</v>
      </c>
      <c r="G127" s="61">
        <f>3.3733 * CHOOSE(CONTROL!$C$22, $C$13, 100%, $E$13)</f>
        <v>3.3733</v>
      </c>
      <c r="H127" s="61">
        <f>6.4874* CHOOSE(CONTROL!$C$22, $C$13, 100%, $E$13)</f>
        <v>6.4874000000000001</v>
      </c>
      <c r="I127" s="61">
        <f>6.4876 * CHOOSE(CONTROL!$C$22, $C$13, 100%, $E$13)</f>
        <v>6.4875999999999996</v>
      </c>
      <c r="J127" s="61">
        <f>3.3732 * CHOOSE(CONTROL!$C$22, $C$13, 100%, $E$13)</f>
        <v>3.3732000000000002</v>
      </c>
      <c r="K127" s="61">
        <f>3.3733 * CHOOSE(CONTROL!$C$22, $C$13, 100%, $E$13)</f>
        <v>3.3733</v>
      </c>
      <c r="L127" s="4"/>
      <c r="M127" s="4"/>
      <c r="N127" s="4"/>
    </row>
    <row r="128" spans="1:14" ht="15">
      <c r="A128" s="13">
        <v>45748</v>
      </c>
      <c r="B128" s="60">
        <f>3.2008 * CHOOSE(CONTROL!$C$22, $C$13, 100%, $E$13)</f>
        <v>3.2008000000000001</v>
      </c>
      <c r="C128" s="60">
        <f>3.2008 * CHOOSE(CONTROL!$C$22, $C$13, 100%, $E$13)</f>
        <v>3.2008000000000001</v>
      </c>
      <c r="D128" s="60">
        <f>3.2185 * CHOOSE(CONTROL!$C$22, $C$13, 100%, $E$13)</f>
        <v>3.2185000000000001</v>
      </c>
      <c r="E128" s="61">
        <f>3.4037 * CHOOSE(CONTROL!$C$22, $C$13, 100%, $E$13)</f>
        <v>3.4037000000000002</v>
      </c>
      <c r="F128" s="61">
        <f>3.4037 * CHOOSE(CONTROL!$C$22, $C$13, 100%, $E$13)</f>
        <v>3.4037000000000002</v>
      </c>
      <c r="G128" s="61">
        <f>3.4039 * CHOOSE(CONTROL!$C$22, $C$13, 100%, $E$13)</f>
        <v>3.4039000000000001</v>
      </c>
      <c r="H128" s="61">
        <f>6.5009* CHOOSE(CONTROL!$C$22, $C$13, 100%, $E$13)</f>
        <v>6.5008999999999997</v>
      </c>
      <c r="I128" s="61">
        <f>6.5011 * CHOOSE(CONTROL!$C$22, $C$13, 100%, $E$13)</f>
        <v>6.5011000000000001</v>
      </c>
      <c r="J128" s="61">
        <f>3.4037 * CHOOSE(CONTROL!$C$22, $C$13, 100%, $E$13)</f>
        <v>3.4037000000000002</v>
      </c>
      <c r="K128" s="61">
        <f>3.4039 * CHOOSE(CONTROL!$C$22, $C$13, 100%, $E$13)</f>
        <v>3.4039000000000001</v>
      </c>
      <c r="L128" s="4"/>
      <c r="M128" s="4"/>
      <c r="N128" s="4"/>
    </row>
    <row r="129" spans="1:14" ht="15">
      <c r="A129" s="13">
        <v>45778</v>
      </c>
      <c r="B129" s="60">
        <f>3.2008 * CHOOSE(CONTROL!$C$22, $C$13, 100%, $E$13)</f>
        <v>3.2008000000000001</v>
      </c>
      <c r="C129" s="60">
        <f>3.2008 * CHOOSE(CONTROL!$C$22, $C$13, 100%, $E$13)</f>
        <v>3.2008000000000001</v>
      </c>
      <c r="D129" s="60">
        <f>3.2361 * CHOOSE(CONTROL!$C$22, $C$13, 100%, $E$13)</f>
        <v>3.2361</v>
      </c>
      <c r="E129" s="61">
        <f>3.4168 * CHOOSE(CONTROL!$C$22, $C$13, 100%, $E$13)</f>
        <v>3.4167999999999998</v>
      </c>
      <c r="F129" s="61">
        <f>3.4168 * CHOOSE(CONTROL!$C$22, $C$13, 100%, $E$13)</f>
        <v>3.4167999999999998</v>
      </c>
      <c r="G129" s="61">
        <f>3.419 * CHOOSE(CONTROL!$C$22, $C$13, 100%, $E$13)</f>
        <v>3.419</v>
      </c>
      <c r="H129" s="61">
        <f>6.5145* CHOOSE(CONTROL!$C$22, $C$13, 100%, $E$13)</f>
        <v>6.5145</v>
      </c>
      <c r="I129" s="61">
        <f>6.5167 * CHOOSE(CONTROL!$C$22, $C$13, 100%, $E$13)</f>
        <v>6.5167000000000002</v>
      </c>
      <c r="J129" s="61">
        <f>3.4168 * CHOOSE(CONTROL!$C$22, $C$13, 100%, $E$13)</f>
        <v>3.4167999999999998</v>
      </c>
      <c r="K129" s="61">
        <f>3.419 * CHOOSE(CONTROL!$C$22, $C$13, 100%, $E$13)</f>
        <v>3.419</v>
      </c>
      <c r="L129" s="4"/>
      <c r="M129" s="4"/>
      <c r="N129" s="4"/>
    </row>
    <row r="130" spans="1:14" ht="15">
      <c r="A130" s="13">
        <v>45809</v>
      </c>
      <c r="B130" s="60">
        <f>3.2069 * CHOOSE(CONTROL!$C$22, $C$13, 100%, $E$13)</f>
        <v>3.2069000000000001</v>
      </c>
      <c r="C130" s="60">
        <f>3.2069 * CHOOSE(CONTROL!$C$22, $C$13, 100%, $E$13)</f>
        <v>3.2069000000000001</v>
      </c>
      <c r="D130" s="60">
        <f>3.2422 * CHOOSE(CONTROL!$C$22, $C$13, 100%, $E$13)</f>
        <v>3.2422</v>
      </c>
      <c r="E130" s="61">
        <f>3.408 * CHOOSE(CONTROL!$C$22, $C$13, 100%, $E$13)</f>
        <v>3.4079999999999999</v>
      </c>
      <c r="F130" s="61">
        <f>3.408 * CHOOSE(CONTROL!$C$22, $C$13, 100%, $E$13)</f>
        <v>3.4079999999999999</v>
      </c>
      <c r="G130" s="61">
        <f>3.4101 * CHOOSE(CONTROL!$C$22, $C$13, 100%, $E$13)</f>
        <v>3.4100999999999999</v>
      </c>
      <c r="H130" s="61">
        <f>6.5281* CHOOSE(CONTROL!$C$22, $C$13, 100%, $E$13)</f>
        <v>6.5281000000000002</v>
      </c>
      <c r="I130" s="61">
        <f>6.5302 * CHOOSE(CONTROL!$C$22, $C$13, 100%, $E$13)</f>
        <v>6.5301999999999998</v>
      </c>
      <c r="J130" s="61">
        <f>3.408 * CHOOSE(CONTROL!$C$22, $C$13, 100%, $E$13)</f>
        <v>3.4079999999999999</v>
      </c>
      <c r="K130" s="61">
        <f>3.4101 * CHOOSE(CONTROL!$C$22, $C$13, 100%, $E$13)</f>
        <v>3.4100999999999999</v>
      </c>
      <c r="L130" s="4"/>
      <c r="M130" s="4"/>
      <c r="N130" s="4"/>
    </row>
    <row r="131" spans="1:14" ht="15">
      <c r="A131" s="13">
        <v>45839</v>
      </c>
      <c r="B131" s="60">
        <f>3.2555 * CHOOSE(CONTROL!$C$22, $C$13, 100%, $E$13)</f>
        <v>3.2555000000000001</v>
      </c>
      <c r="C131" s="60">
        <f>3.2555 * CHOOSE(CONTROL!$C$22, $C$13, 100%, $E$13)</f>
        <v>3.2555000000000001</v>
      </c>
      <c r="D131" s="60">
        <f>3.2908 * CHOOSE(CONTROL!$C$22, $C$13, 100%, $E$13)</f>
        <v>3.2907999999999999</v>
      </c>
      <c r="E131" s="61">
        <f>3.4617 * CHOOSE(CONTROL!$C$22, $C$13, 100%, $E$13)</f>
        <v>3.4617</v>
      </c>
      <c r="F131" s="61">
        <f>3.4617 * CHOOSE(CONTROL!$C$22, $C$13, 100%, $E$13)</f>
        <v>3.4617</v>
      </c>
      <c r="G131" s="61">
        <f>3.4639 * CHOOSE(CONTROL!$C$22, $C$13, 100%, $E$13)</f>
        <v>3.4639000000000002</v>
      </c>
      <c r="H131" s="61">
        <f>6.5417* CHOOSE(CONTROL!$C$22, $C$13, 100%, $E$13)</f>
        <v>6.5416999999999996</v>
      </c>
      <c r="I131" s="61">
        <f>6.5438 * CHOOSE(CONTROL!$C$22, $C$13, 100%, $E$13)</f>
        <v>6.5438000000000001</v>
      </c>
      <c r="J131" s="61">
        <f>3.4617 * CHOOSE(CONTROL!$C$22, $C$13, 100%, $E$13)</f>
        <v>3.4617</v>
      </c>
      <c r="K131" s="61">
        <f>3.4639 * CHOOSE(CONTROL!$C$22, $C$13, 100%, $E$13)</f>
        <v>3.4639000000000002</v>
      </c>
      <c r="L131" s="4"/>
      <c r="M131" s="4"/>
      <c r="N131" s="4"/>
    </row>
    <row r="132" spans="1:14" ht="15">
      <c r="A132" s="13">
        <v>45870</v>
      </c>
      <c r="B132" s="60">
        <f>3.2622 * CHOOSE(CONTROL!$C$22, $C$13, 100%, $E$13)</f>
        <v>3.2622</v>
      </c>
      <c r="C132" s="60">
        <f>3.2622 * CHOOSE(CONTROL!$C$22, $C$13, 100%, $E$13)</f>
        <v>3.2622</v>
      </c>
      <c r="D132" s="60">
        <f>3.2975 * CHOOSE(CONTROL!$C$22, $C$13, 100%, $E$13)</f>
        <v>3.2974999999999999</v>
      </c>
      <c r="E132" s="61">
        <f>3.4272 * CHOOSE(CONTROL!$C$22, $C$13, 100%, $E$13)</f>
        <v>3.4272</v>
      </c>
      <c r="F132" s="61">
        <f>3.4272 * CHOOSE(CONTROL!$C$22, $C$13, 100%, $E$13)</f>
        <v>3.4272</v>
      </c>
      <c r="G132" s="61">
        <f>3.4294 * CHOOSE(CONTROL!$C$22, $C$13, 100%, $E$13)</f>
        <v>3.4293999999999998</v>
      </c>
      <c r="H132" s="61">
        <f>6.5553* CHOOSE(CONTROL!$C$22, $C$13, 100%, $E$13)</f>
        <v>6.5552999999999999</v>
      </c>
      <c r="I132" s="61">
        <f>6.5575 * CHOOSE(CONTROL!$C$22, $C$13, 100%, $E$13)</f>
        <v>6.5575000000000001</v>
      </c>
      <c r="J132" s="61">
        <f>3.4272 * CHOOSE(CONTROL!$C$22, $C$13, 100%, $E$13)</f>
        <v>3.4272</v>
      </c>
      <c r="K132" s="61">
        <f>3.4294 * CHOOSE(CONTROL!$C$22, $C$13, 100%, $E$13)</f>
        <v>3.4293999999999998</v>
      </c>
      <c r="L132" s="4"/>
      <c r="M132" s="4"/>
      <c r="N132" s="4"/>
    </row>
    <row r="133" spans="1:14" ht="15">
      <c r="A133" s="13">
        <v>45901</v>
      </c>
      <c r="B133" s="60">
        <f>3.2592 * CHOOSE(CONTROL!$C$22, $C$13, 100%, $E$13)</f>
        <v>3.2591999999999999</v>
      </c>
      <c r="C133" s="60">
        <f>3.2592 * CHOOSE(CONTROL!$C$22, $C$13, 100%, $E$13)</f>
        <v>3.2591999999999999</v>
      </c>
      <c r="D133" s="60">
        <f>3.2945 * CHOOSE(CONTROL!$C$22, $C$13, 100%, $E$13)</f>
        <v>3.2945000000000002</v>
      </c>
      <c r="E133" s="61">
        <f>3.4207 * CHOOSE(CONTROL!$C$22, $C$13, 100%, $E$13)</f>
        <v>3.4207000000000001</v>
      </c>
      <c r="F133" s="61">
        <f>3.4207 * CHOOSE(CONTROL!$C$22, $C$13, 100%, $E$13)</f>
        <v>3.4207000000000001</v>
      </c>
      <c r="G133" s="61">
        <f>3.4229 * CHOOSE(CONTROL!$C$22, $C$13, 100%, $E$13)</f>
        <v>3.4228999999999998</v>
      </c>
      <c r="H133" s="61">
        <f>6.5689* CHOOSE(CONTROL!$C$22, $C$13, 100%, $E$13)</f>
        <v>6.5689000000000002</v>
      </c>
      <c r="I133" s="61">
        <f>6.5711 * CHOOSE(CONTROL!$C$22, $C$13, 100%, $E$13)</f>
        <v>6.5711000000000004</v>
      </c>
      <c r="J133" s="61">
        <f>3.4207 * CHOOSE(CONTROL!$C$22, $C$13, 100%, $E$13)</f>
        <v>3.4207000000000001</v>
      </c>
      <c r="K133" s="61">
        <f>3.4229 * CHOOSE(CONTROL!$C$22, $C$13, 100%, $E$13)</f>
        <v>3.4228999999999998</v>
      </c>
      <c r="L133" s="4"/>
      <c r="M133" s="4"/>
      <c r="N133" s="4"/>
    </row>
    <row r="134" spans="1:14" ht="15">
      <c r="A134" s="13">
        <v>45931</v>
      </c>
      <c r="B134" s="60">
        <f>3.2516 * CHOOSE(CONTROL!$C$22, $C$13, 100%, $E$13)</f>
        <v>3.2515999999999998</v>
      </c>
      <c r="C134" s="60">
        <f>3.2516 * CHOOSE(CONTROL!$C$22, $C$13, 100%, $E$13)</f>
        <v>3.2515999999999998</v>
      </c>
      <c r="D134" s="60">
        <f>3.2693 * CHOOSE(CONTROL!$C$22, $C$13, 100%, $E$13)</f>
        <v>3.2692999999999999</v>
      </c>
      <c r="E134" s="61">
        <f>3.4247 * CHOOSE(CONTROL!$C$22, $C$13, 100%, $E$13)</f>
        <v>3.4247000000000001</v>
      </c>
      <c r="F134" s="61">
        <f>3.4247 * CHOOSE(CONTROL!$C$22, $C$13, 100%, $E$13)</f>
        <v>3.4247000000000001</v>
      </c>
      <c r="G134" s="61">
        <f>3.4249 * CHOOSE(CONTROL!$C$22, $C$13, 100%, $E$13)</f>
        <v>3.4249000000000001</v>
      </c>
      <c r="H134" s="61">
        <f>6.5826* CHOOSE(CONTROL!$C$22, $C$13, 100%, $E$13)</f>
        <v>6.5826000000000002</v>
      </c>
      <c r="I134" s="61">
        <f>6.5828 * CHOOSE(CONTROL!$C$22, $C$13, 100%, $E$13)</f>
        <v>6.5827999999999998</v>
      </c>
      <c r="J134" s="61">
        <f>3.4247 * CHOOSE(CONTROL!$C$22, $C$13, 100%, $E$13)</f>
        <v>3.4247000000000001</v>
      </c>
      <c r="K134" s="61">
        <f>3.4249 * CHOOSE(CONTROL!$C$22, $C$13, 100%, $E$13)</f>
        <v>3.4249000000000001</v>
      </c>
      <c r="L134" s="4"/>
      <c r="M134" s="4"/>
      <c r="N134" s="4"/>
    </row>
    <row r="135" spans="1:14" ht="15">
      <c r="A135" s="13">
        <v>45962</v>
      </c>
      <c r="B135" s="60">
        <f>3.2547 * CHOOSE(CONTROL!$C$22, $C$13, 100%, $E$13)</f>
        <v>3.2547000000000001</v>
      </c>
      <c r="C135" s="60">
        <f>3.2547 * CHOOSE(CONTROL!$C$22, $C$13, 100%, $E$13)</f>
        <v>3.2547000000000001</v>
      </c>
      <c r="D135" s="60">
        <f>3.2723 * CHOOSE(CONTROL!$C$22, $C$13, 100%, $E$13)</f>
        <v>3.2723</v>
      </c>
      <c r="E135" s="61">
        <f>3.4355 * CHOOSE(CONTROL!$C$22, $C$13, 100%, $E$13)</f>
        <v>3.4355000000000002</v>
      </c>
      <c r="F135" s="61">
        <f>3.4355 * CHOOSE(CONTROL!$C$22, $C$13, 100%, $E$13)</f>
        <v>3.4355000000000002</v>
      </c>
      <c r="G135" s="61">
        <f>3.4357 * CHOOSE(CONTROL!$C$22, $C$13, 100%, $E$13)</f>
        <v>3.4357000000000002</v>
      </c>
      <c r="H135" s="61">
        <f>6.5963* CHOOSE(CONTROL!$C$22, $C$13, 100%, $E$13)</f>
        <v>6.5963000000000003</v>
      </c>
      <c r="I135" s="61">
        <f>6.5965 * CHOOSE(CONTROL!$C$22, $C$13, 100%, $E$13)</f>
        <v>6.5964999999999998</v>
      </c>
      <c r="J135" s="61">
        <f>3.4355 * CHOOSE(CONTROL!$C$22, $C$13, 100%, $E$13)</f>
        <v>3.4355000000000002</v>
      </c>
      <c r="K135" s="61">
        <f>3.4357 * CHOOSE(CONTROL!$C$22, $C$13, 100%, $E$13)</f>
        <v>3.4357000000000002</v>
      </c>
    </row>
    <row r="136" spans="1:14" ht="15">
      <c r="A136" s="13">
        <v>45992</v>
      </c>
      <c r="B136" s="60">
        <f>3.2547 * CHOOSE(CONTROL!$C$22, $C$13, 100%, $E$13)</f>
        <v>3.2547000000000001</v>
      </c>
      <c r="C136" s="60">
        <f>3.2547 * CHOOSE(CONTROL!$C$22, $C$13, 100%, $E$13)</f>
        <v>3.2547000000000001</v>
      </c>
      <c r="D136" s="60">
        <f>3.2723 * CHOOSE(CONTROL!$C$22, $C$13, 100%, $E$13)</f>
        <v>3.2723</v>
      </c>
      <c r="E136" s="61">
        <f>3.4138 * CHOOSE(CONTROL!$C$22, $C$13, 100%, $E$13)</f>
        <v>3.4138000000000002</v>
      </c>
      <c r="F136" s="61">
        <f>3.4138 * CHOOSE(CONTROL!$C$22, $C$13, 100%, $E$13)</f>
        <v>3.4138000000000002</v>
      </c>
      <c r="G136" s="61">
        <f>3.414 * CHOOSE(CONTROL!$C$22, $C$13, 100%, $E$13)</f>
        <v>3.4140000000000001</v>
      </c>
      <c r="H136" s="61">
        <f>6.6101* CHOOSE(CONTROL!$C$22, $C$13, 100%, $E$13)</f>
        <v>6.6101000000000001</v>
      </c>
      <c r="I136" s="61">
        <f>6.6103 * CHOOSE(CONTROL!$C$22, $C$13, 100%, $E$13)</f>
        <v>6.6102999999999996</v>
      </c>
      <c r="J136" s="61">
        <f>3.4138 * CHOOSE(CONTROL!$C$22, $C$13, 100%, $E$13)</f>
        <v>3.4138000000000002</v>
      </c>
      <c r="K136" s="61">
        <f>3.414 * CHOOSE(CONTROL!$C$22, $C$13, 100%, $E$13)</f>
        <v>3.4140000000000001</v>
      </c>
    </row>
    <row r="137" spans="1:14" ht="15">
      <c r="A137" s="13">
        <v>46023</v>
      </c>
      <c r="B137" s="60">
        <f>3.2844 * CHOOSE(CONTROL!$C$22, $C$13, 100%, $E$13)</f>
        <v>3.2844000000000002</v>
      </c>
      <c r="C137" s="60">
        <f>3.2844 * CHOOSE(CONTROL!$C$22, $C$13, 100%, $E$13)</f>
        <v>3.2844000000000002</v>
      </c>
      <c r="D137" s="60">
        <f>3.302 * CHOOSE(CONTROL!$C$22, $C$13, 100%, $E$13)</f>
        <v>3.302</v>
      </c>
      <c r="E137" s="61">
        <f>3.4905 * CHOOSE(CONTROL!$C$22, $C$13, 100%, $E$13)</f>
        <v>3.4904999999999999</v>
      </c>
      <c r="F137" s="61">
        <f>3.4905 * CHOOSE(CONTROL!$C$22, $C$13, 100%, $E$13)</f>
        <v>3.4904999999999999</v>
      </c>
      <c r="G137" s="61">
        <f>3.4907 * CHOOSE(CONTROL!$C$22, $C$13, 100%, $E$13)</f>
        <v>3.4906999999999999</v>
      </c>
      <c r="H137" s="61">
        <f>6.6238* CHOOSE(CONTROL!$C$22, $C$13, 100%, $E$13)</f>
        <v>6.6238000000000001</v>
      </c>
      <c r="I137" s="61">
        <f>6.624 * CHOOSE(CONTROL!$C$22, $C$13, 100%, $E$13)</f>
        <v>6.6239999999999997</v>
      </c>
      <c r="J137" s="61">
        <f>3.4905 * CHOOSE(CONTROL!$C$22, $C$13, 100%, $E$13)</f>
        <v>3.4904999999999999</v>
      </c>
      <c r="K137" s="61">
        <f>3.4907 * CHOOSE(CONTROL!$C$22, $C$13, 100%, $E$13)</f>
        <v>3.4906999999999999</v>
      </c>
    </row>
    <row r="138" spans="1:14" ht="15">
      <c r="A138" s="13">
        <v>46054</v>
      </c>
      <c r="B138" s="60">
        <f>3.2813 * CHOOSE(CONTROL!$C$22, $C$13, 100%, $E$13)</f>
        <v>3.2812999999999999</v>
      </c>
      <c r="C138" s="60">
        <f>3.2813 * CHOOSE(CONTROL!$C$22, $C$13, 100%, $E$13)</f>
        <v>3.2812999999999999</v>
      </c>
      <c r="D138" s="60">
        <f>3.299 * CHOOSE(CONTROL!$C$22, $C$13, 100%, $E$13)</f>
        <v>3.2989999999999999</v>
      </c>
      <c r="E138" s="61">
        <f>3.4432 * CHOOSE(CONTROL!$C$22, $C$13, 100%, $E$13)</f>
        <v>3.4432</v>
      </c>
      <c r="F138" s="61">
        <f>3.4432 * CHOOSE(CONTROL!$C$22, $C$13, 100%, $E$13)</f>
        <v>3.4432</v>
      </c>
      <c r="G138" s="61">
        <f>3.4433 * CHOOSE(CONTROL!$C$22, $C$13, 100%, $E$13)</f>
        <v>3.4432999999999998</v>
      </c>
      <c r="H138" s="61">
        <f>6.6376* CHOOSE(CONTROL!$C$22, $C$13, 100%, $E$13)</f>
        <v>6.6375999999999999</v>
      </c>
      <c r="I138" s="61">
        <f>6.6378 * CHOOSE(CONTROL!$C$22, $C$13, 100%, $E$13)</f>
        <v>6.6378000000000004</v>
      </c>
      <c r="J138" s="61">
        <f>3.4432 * CHOOSE(CONTROL!$C$22, $C$13, 100%, $E$13)</f>
        <v>3.4432</v>
      </c>
      <c r="K138" s="61">
        <f>3.4433 * CHOOSE(CONTROL!$C$22, $C$13, 100%, $E$13)</f>
        <v>3.4432999999999998</v>
      </c>
    </row>
    <row r="139" spans="1:14" ht="15">
      <c r="A139" s="13">
        <v>46082</v>
      </c>
      <c r="B139" s="60">
        <f>3.2783 * CHOOSE(CONTROL!$C$22, $C$13, 100%, $E$13)</f>
        <v>3.2783000000000002</v>
      </c>
      <c r="C139" s="60">
        <f>3.2783 * CHOOSE(CONTROL!$C$22, $C$13, 100%, $E$13)</f>
        <v>3.2783000000000002</v>
      </c>
      <c r="D139" s="60">
        <f>3.296 * CHOOSE(CONTROL!$C$22, $C$13, 100%, $E$13)</f>
        <v>3.2959999999999998</v>
      </c>
      <c r="E139" s="61">
        <f>3.4767 * CHOOSE(CONTROL!$C$22, $C$13, 100%, $E$13)</f>
        <v>3.4767000000000001</v>
      </c>
      <c r="F139" s="61">
        <f>3.4767 * CHOOSE(CONTROL!$C$22, $C$13, 100%, $E$13)</f>
        <v>3.4767000000000001</v>
      </c>
      <c r="G139" s="61">
        <f>3.4769 * CHOOSE(CONTROL!$C$22, $C$13, 100%, $E$13)</f>
        <v>3.4769000000000001</v>
      </c>
      <c r="H139" s="61">
        <f>6.6515* CHOOSE(CONTROL!$C$22, $C$13, 100%, $E$13)</f>
        <v>6.6515000000000004</v>
      </c>
      <c r="I139" s="61">
        <f>6.6517 * CHOOSE(CONTROL!$C$22, $C$13, 100%, $E$13)</f>
        <v>6.6516999999999999</v>
      </c>
      <c r="J139" s="61">
        <f>3.4767 * CHOOSE(CONTROL!$C$22, $C$13, 100%, $E$13)</f>
        <v>3.4767000000000001</v>
      </c>
      <c r="K139" s="61">
        <f>3.4769 * CHOOSE(CONTROL!$C$22, $C$13, 100%, $E$13)</f>
        <v>3.4769000000000001</v>
      </c>
    </row>
    <row r="140" spans="1:14" ht="15">
      <c r="A140" s="13">
        <v>46113</v>
      </c>
      <c r="B140" s="60">
        <f>3.2753 * CHOOSE(CONTROL!$C$22, $C$13, 100%, $E$13)</f>
        <v>3.2753000000000001</v>
      </c>
      <c r="C140" s="60">
        <f>3.2753 * CHOOSE(CONTROL!$C$22, $C$13, 100%, $E$13)</f>
        <v>3.2753000000000001</v>
      </c>
      <c r="D140" s="60">
        <f>3.293 * CHOOSE(CONTROL!$C$22, $C$13, 100%, $E$13)</f>
        <v>3.2930000000000001</v>
      </c>
      <c r="E140" s="61">
        <f>3.5108 * CHOOSE(CONTROL!$C$22, $C$13, 100%, $E$13)</f>
        <v>3.5108000000000001</v>
      </c>
      <c r="F140" s="61">
        <f>3.5108 * CHOOSE(CONTROL!$C$22, $C$13, 100%, $E$13)</f>
        <v>3.5108000000000001</v>
      </c>
      <c r="G140" s="61">
        <f>3.511 * CHOOSE(CONTROL!$C$22, $C$13, 100%, $E$13)</f>
        <v>3.5110000000000001</v>
      </c>
      <c r="H140" s="61">
        <f>6.6653* CHOOSE(CONTROL!$C$22, $C$13, 100%, $E$13)</f>
        <v>6.6653000000000002</v>
      </c>
      <c r="I140" s="61">
        <f>6.6655 * CHOOSE(CONTROL!$C$22, $C$13, 100%, $E$13)</f>
        <v>6.6654999999999998</v>
      </c>
      <c r="J140" s="61">
        <f>3.5108 * CHOOSE(CONTROL!$C$22, $C$13, 100%, $E$13)</f>
        <v>3.5108000000000001</v>
      </c>
      <c r="K140" s="61">
        <f>3.511 * CHOOSE(CONTROL!$C$22, $C$13, 100%, $E$13)</f>
        <v>3.5110000000000001</v>
      </c>
    </row>
    <row r="141" spans="1:14" ht="15">
      <c r="A141" s="13">
        <v>46143</v>
      </c>
      <c r="B141" s="60">
        <f>3.2753 * CHOOSE(CONTROL!$C$22, $C$13, 100%, $E$13)</f>
        <v>3.2753000000000001</v>
      </c>
      <c r="C141" s="60">
        <f>3.2753 * CHOOSE(CONTROL!$C$22, $C$13, 100%, $E$13)</f>
        <v>3.2753000000000001</v>
      </c>
      <c r="D141" s="60">
        <f>3.3106 * CHOOSE(CONTROL!$C$22, $C$13, 100%, $E$13)</f>
        <v>3.3106</v>
      </c>
      <c r="E141" s="61">
        <f>3.5252 * CHOOSE(CONTROL!$C$22, $C$13, 100%, $E$13)</f>
        <v>3.5251999999999999</v>
      </c>
      <c r="F141" s="61">
        <f>3.5252 * CHOOSE(CONTROL!$C$22, $C$13, 100%, $E$13)</f>
        <v>3.5251999999999999</v>
      </c>
      <c r="G141" s="61">
        <f>3.5273 * CHOOSE(CONTROL!$C$22, $C$13, 100%, $E$13)</f>
        <v>3.5272999999999999</v>
      </c>
      <c r="H141" s="61">
        <f>6.6792* CHOOSE(CONTROL!$C$22, $C$13, 100%, $E$13)</f>
        <v>6.6791999999999998</v>
      </c>
      <c r="I141" s="61">
        <f>6.6814 * CHOOSE(CONTROL!$C$22, $C$13, 100%, $E$13)</f>
        <v>6.6814</v>
      </c>
      <c r="J141" s="61">
        <f>3.5252 * CHOOSE(CONTROL!$C$22, $C$13, 100%, $E$13)</f>
        <v>3.5251999999999999</v>
      </c>
      <c r="K141" s="61">
        <f>3.5273 * CHOOSE(CONTROL!$C$22, $C$13, 100%, $E$13)</f>
        <v>3.5272999999999999</v>
      </c>
    </row>
    <row r="142" spans="1:14" ht="15">
      <c r="A142" s="13">
        <v>46174</v>
      </c>
      <c r="B142" s="60">
        <f>3.2814 * CHOOSE(CONTROL!$C$22, $C$13, 100%, $E$13)</f>
        <v>3.2814000000000001</v>
      </c>
      <c r="C142" s="60">
        <f>3.2814 * CHOOSE(CONTROL!$C$22, $C$13, 100%, $E$13)</f>
        <v>3.2814000000000001</v>
      </c>
      <c r="D142" s="60">
        <f>3.3167 * CHOOSE(CONTROL!$C$22, $C$13, 100%, $E$13)</f>
        <v>3.3167</v>
      </c>
      <c r="E142" s="61">
        <f>3.515 * CHOOSE(CONTROL!$C$22, $C$13, 100%, $E$13)</f>
        <v>3.5150000000000001</v>
      </c>
      <c r="F142" s="61">
        <f>3.515 * CHOOSE(CONTROL!$C$22, $C$13, 100%, $E$13)</f>
        <v>3.5150000000000001</v>
      </c>
      <c r="G142" s="61">
        <f>3.5172 * CHOOSE(CONTROL!$C$22, $C$13, 100%, $E$13)</f>
        <v>3.5171999999999999</v>
      </c>
      <c r="H142" s="61">
        <f>6.6931* CHOOSE(CONTROL!$C$22, $C$13, 100%, $E$13)</f>
        <v>6.6931000000000003</v>
      </c>
      <c r="I142" s="61">
        <f>6.6953 * CHOOSE(CONTROL!$C$22, $C$13, 100%, $E$13)</f>
        <v>6.6952999999999996</v>
      </c>
      <c r="J142" s="61">
        <f>3.515 * CHOOSE(CONTROL!$C$22, $C$13, 100%, $E$13)</f>
        <v>3.5150000000000001</v>
      </c>
      <c r="K142" s="61">
        <f>3.5172 * CHOOSE(CONTROL!$C$22, $C$13, 100%, $E$13)</f>
        <v>3.5171999999999999</v>
      </c>
    </row>
    <row r="143" spans="1:14" ht="15">
      <c r="A143" s="13">
        <v>46204</v>
      </c>
      <c r="B143" s="60">
        <f>3.3377 * CHOOSE(CONTROL!$C$22, $C$13, 100%, $E$13)</f>
        <v>3.3376999999999999</v>
      </c>
      <c r="C143" s="60">
        <f>3.3377 * CHOOSE(CONTROL!$C$22, $C$13, 100%, $E$13)</f>
        <v>3.3376999999999999</v>
      </c>
      <c r="D143" s="60">
        <f>3.373 * CHOOSE(CONTROL!$C$22, $C$13, 100%, $E$13)</f>
        <v>3.3730000000000002</v>
      </c>
      <c r="E143" s="61">
        <f>3.5814 * CHOOSE(CONTROL!$C$22, $C$13, 100%, $E$13)</f>
        <v>3.5813999999999999</v>
      </c>
      <c r="F143" s="61">
        <f>3.5814 * CHOOSE(CONTROL!$C$22, $C$13, 100%, $E$13)</f>
        <v>3.5813999999999999</v>
      </c>
      <c r="G143" s="61">
        <f>3.5836 * CHOOSE(CONTROL!$C$22, $C$13, 100%, $E$13)</f>
        <v>3.5836000000000001</v>
      </c>
      <c r="H143" s="61">
        <f>6.7071* CHOOSE(CONTROL!$C$22, $C$13, 100%, $E$13)</f>
        <v>6.7070999999999996</v>
      </c>
      <c r="I143" s="61">
        <f>6.7093 * CHOOSE(CONTROL!$C$22, $C$13, 100%, $E$13)</f>
        <v>6.7092999999999998</v>
      </c>
      <c r="J143" s="61">
        <f>3.5814 * CHOOSE(CONTROL!$C$22, $C$13, 100%, $E$13)</f>
        <v>3.5813999999999999</v>
      </c>
      <c r="K143" s="61">
        <f>3.5836 * CHOOSE(CONTROL!$C$22, $C$13, 100%, $E$13)</f>
        <v>3.5836000000000001</v>
      </c>
    </row>
    <row r="144" spans="1:14" ht="15">
      <c r="A144" s="13">
        <v>46235</v>
      </c>
      <c r="B144" s="60">
        <f>3.3444 * CHOOSE(CONTROL!$C$22, $C$13, 100%, $E$13)</f>
        <v>3.3443999999999998</v>
      </c>
      <c r="C144" s="60">
        <f>3.3444 * CHOOSE(CONTROL!$C$22, $C$13, 100%, $E$13)</f>
        <v>3.3443999999999998</v>
      </c>
      <c r="D144" s="60">
        <f>3.3797 * CHOOSE(CONTROL!$C$22, $C$13, 100%, $E$13)</f>
        <v>3.3797000000000001</v>
      </c>
      <c r="E144" s="61">
        <f>3.543 * CHOOSE(CONTROL!$C$22, $C$13, 100%, $E$13)</f>
        <v>3.5430000000000001</v>
      </c>
      <c r="F144" s="61">
        <f>3.543 * CHOOSE(CONTROL!$C$22, $C$13, 100%, $E$13)</f>
        <v>3.5430000000000001</v>
      </c>
      <c r="G144" s="61">
        <f>3.5452 * CHOOSE(CONTROL!$C$22, $C$13, 100%, $E$13)</f>
        <v>3.5451999999999999</v>
      </c>
      <c r="H144" s="61">
        <f>6.7211* CHOOSE(CONTROL!$C$22, $C$13, 100%, $E$13)</f>
        <v>6.7210999999999999</v>
      </c>
      <c r="I144" s="61">
        <f>6.7232 * CHOOSE(CONTROL!$C$22, $C$13, 100%, $E$13)</f>
        <v>6.7232000000000003</v>
      </c>
      <c r="J144" s="61">
        <f>3.543 * CHOOSE(CONTROL!$C$22, $C$13, 100%, $E$13)</f>
        <v>3.5430000000000001</v>
      </c>
      <c r="K144" s="61">
        <f>3.5452 * CHOOSE(CONTROL!$C$22, $C$13, 100%, $E$13)</f>
        <v>3.5451999999999999</v>
      </c>
    </row>
    <row r="145" spans="1:11" ht="15">
      <c r="A145" s="13">
        <v>46266</v>
      </c>
      <c r="B145" s="60">
        <f>3.3413 * CHOOSE(CONTROL!$C$22, $C$13, 100%, $E$13)</f>
        <v>3.3412999999999999</v>
      </c>
      <c r="C145" s="60">
        <f>3.3413 * CHOOSE(CONTROL!$C$22, $C$13, 100%, $E$13)</f>
        <v>3.3412999999999999</v>
      </c>
      <c r="D145" s="60">
        <f>3.3767 * CHOOSE(CONTROL!$C$22, $C$13, 100%, $E$13)</f>
        <v>3.3767</v>
      </c>
      <c r="E145" s="61">
        <f>3.5361 * CHOOSE(CONTROL!$C$22, $C$13, 100%, $E$13)</f>
        <v>3.5360999999999998</v>
      </c>
      <c r="F145" s="61">
        <f>3.5361 * CHOOSE(CONTROL!$C$22, $C$13, 100%, $E$13)</f>
        <v>3.5360999999999998</v>
      </c>
      <c r="G145" s="61">
        <f>3.5383 * CHOOSE(CONTROL!$C$22, $C$13, 100%, $E$13)</f>
        <v>3.5383</v>
      </c>
      <c r="H145" s="61">
        <f>6.7351* CHOOSE(CONTROL!$C$22, $C$13, 100%, $E$13)</f>
        <v>6.7351000000000001</v>
      </c>
      <c r="I145" s="61">
        <f>6.7372 * CHOOSE(CONTROL!$C$22, $C$13, 100%, $E$13)</f>
        <v>6.7371999999999996</v>
      </c>
      <c r="J145" s="61">
        <f>3.5361 * CHOOSE(CONTROL!$C$22, $C$13, 100%, $E$13)</f>
        <v>3.5360999999999998</v>
      </c>
      <c r="K145" s="61">
        <f>3.5383 * CHOOSE(CONTROL!$C$22, $C$13, 100%, $E$13)</f>
        <v>3.5383</v>
      </c>
    </row>
    <row r="146" spans="1:11" ht="15">
      <c r="A146" s="13">
        <v>46296</v>
      </c>
      <c r="B146" s="60">
        <f>3.3341 * CHOOSE(CONTROL!$C$22, $C$13, 100%, $E$13)</f>
        <v>3.3340999999999998</v>
      </c>
      <c r="C146" s="60">
        <f>3.3341 * CHOOSE(CONTROL!$C$22, $C$13, 100%, $E$13)</f>
        <v>3.3340999999999998</v>
      </c>
      <c r="D146" s="60">
        <f>3.3517 * CHOOSE(CONTROL!$C$22, $C$13, 100%, $E$13)</f>
        <v>3.3517000000000001</v>
      </c>
      <c r="E146" s="61">
        <f>3.5418 * CHOOSE(CONTROL!$C$22, $C$13, 100%, $E$13)</f>
        <v>3.5417999999999998</v>
      </c>
      <c r="F146" s="61">
        <f>3.5418 * CHOOSE(CONTROL!$C$22, $C$13, 100%, $E$13)</f>
        <v>3.5417999999999998</v>
      </c>
      <c r="G146" s="61">
        <f>3.542 * CHOOSE(CONTROL!$C$22, $C$13, 100%, $E$13)</f>
        <v>3.5419999999999998</v>
      </c>
      <c r="H146" s="61">
        <f>6.7491* CHOOSE(CONTROL!$C$22, $C$13, 100%, $E$13)</f>
        <v>6.7491000000000003</v>
      </c>
      <c r="I146" s="61">
        <f>6.7493 * CHOOSE(CONTROL!$C$22, $C$13, 100%, $E$13)</f>
        <v>6.7492999999999999</v>
      </c>
      <c r="J146" s="61">
        <f>3.5418 * CHOOSE(CONTROL!$C$22, $C$13, 100%, $E$13)</f>
        <v>3.5417999999999998</v>
      </c>
      <c r="K146" s="61">
        <f>3.542 * CHOOSE(CONTROL!$C$22, $C$13, 100%, $E$13)</f>
        <v>3.5419999999999998</v>
      </c>
    </row>
    <row r="147" spans="1:11" ht="15">
      <c r="A147" s="13">
        <v>46327</v>
      </c>
      <c r="B147" s="60">
        <f>3.3371 * CHOOSE(CONTROL!$C$22, $C$13, 100%, $E$13)</f>
        <v>3.3371</v>
      </c>
      <c r="C147" s="60">
        <f>3.3371 * CHOOSE(CONTROL!$C$22, $C$13, 100%, $E$13)</f>
        <v>3.3371</v>
      </c>
      <c r="D147" s="60">
        <f>3.3548 * CHOOSE(CONTROL!$C$22, $C$13, 100%, $E$13)</f>
        <v>3.3548</v>
      </c>
      <c r="E147" s="61">
        <f>3.5535 * CHOOSE(CONTROL!$C$22, $C$13, 100%, $E$13)</f>
        <v>3.5535000000000001</v>
      </c>
      <c r="F147" s="61">
        <f>3.5535 * CHOOSE(CONTROL!$C$22, $C$13, 100%, $E$13)</f>
        <v>3.5535000000000001</v>
      </c>
      <c r="G147" s="61">
        <f>3.5537 * CHOOSE(CONTROL!$C$22, $C$13, 100%, $E$13)</f>
        <v>3.5537000000000001</v>
      </c>
      <c r="H147" s="61">
        <f>6.7631* CHOOSE(CONTROL!$C$22, $C$13, 100%, $E$13)</f>
        <v>6.7630999999999997</v>
      </c>
      <c r="I147" s="61">
        <f>6.7633 * CHOOSE(CONTROL!$C$22, $C$13, 100%, $E$13)</f>
        <v>6.7633000000000001</v>
      </c>
      <c r="J147" s="61">
        <f>3.5535 * CHOOSE(CONTROL!$C$22, $C$13, 100%, $E$13)</f>
        <v>3.5535000000000001</v>
      </c>
      <c r="K147" s="61">
        <f>3.5537 * CHOOSE(CONTROL!$C$22, $C$13, 100%, $E$13)</f>
        <v>3.5537000000000001</v>
      </c>
    </row>
    <row r="148" spans="1:11" ht="15">
      <c r="A148" s="13">
        <v>46357</v>
      </c>
      <c r="B148" s="60">
        <f>3.3371 * CHOOSE(CONTROL!$C$22, $C$13, 100%, $E$13)</f>
        <v>3.3371</v>
      </c>
      <c r="C148" s="60">
        <f>3.3371 * CHOOSE(CONTROL!$C$22, $C$13, 100%, $E$13)</f>
        <v>3.3371</v>
      </c>
      <c r="D148" s="60">
        <f>3.3548 * CHOOSE(CONTROL!$C$22, $C$13, 100%, $E$13)</f>
        <v>3.3548</v>
      </c>
      <c r="E148" s="61">
        <f>3.5296 * CHOOSE(CONTROL!$C$22, $C$13, 100%, $E$13)</f>
        <v>3.5295999999999998</v>
      </c>
      <c r="F148" s="61">
        <f>3.5296 * CHOOSE(CONTROL!$C$22, $C$13, 100%, $E$13)</f>
        <v>3.5295999999999998</v>
      </c>
      <c r="G148" s="61">
        <f>3.5297 * CHOOSE(CONTROL!$C$22, $C$13, 100%, $E$13)</f>
        <v>3.5297000000000001</v>
      </c>
      <c r="H148" s="61">
        <f>6.7772* CHOOSE(CONTROL!$C$22, $C$13, 100%, $E$13)</f>
        <v>6.7771999999999997</v>
      </c>
      <c r="I148" s="61">
        <f>6.7774 * CHOOSE(CONTROL!$C$22, $C$13, 100%, $E$13)</f>
        <v>6.7774000000000001</v>
      </c>
      <c r="J148" s="61">
        <f>3.5296 * CHOOSE(CONTROL!$C$22, $C$13, 100%, $E$13)</f>
        <v>3.5295999999999998</v>
      </c>
      <c r="K148" s="61">
        <f>3.5297 * CHOOSE(CONTROL!$C$22, $C$13, 100%, $E$13)</f>
        <v>3.5297000000000001</v>
      </c>
    </row>
    <row r="149" spans="1:11" ht="15">
      <c r="A149" s="13">
        <v>46388</v>
      </c>
      <c r="B149" s="60">
        <f>3.365 * CHOOSE(CONTROL!$C$22, $C$13, 100%, $E$13)</f>
        <v>3.3650000000000002</v>
      </c>
      <c r="C149" s="60">
        <f>3.365 * CHOOSE(CONTROL!$C$22, $C$13, 100%, $E$13)</f>
        <v>3.3650000000000002</v>
      </c>
      <c r="D149" s="60">
        <f>3.3827 * CHOOSE(CONTROL!$C$22, $C$13, 100%, $E$13)</f>
        <v>3.3826999999999998</v>
      </c>
      <c r="E149" s="61">
        <f>3.5929 * CHOOSE(CONTROL!$C$22, $C$13, 100%, $E$13)</f>
        <v>3.5929000000000002</v>
      </c>
      <c r="F149" s="61">
        <f>3.5929 * CHOOSE(CONTROL!$C$22, $C$13, 100%, $E$13)</f>
        <v>3.5929000000000002</v>
      </c>
      <c r="G149" s="61">
        <f>3.5931 * CHOOSE(CONTROL!$C$22, $C$13, 100%, $E$13)</f>
        <v>3.5931000000000002</v>
      </c>
      <c r="H149" s="61">
        <f>6.7914* CHOOSE(CONTROL!$C$22, $C$13, 100%, $E$13)</f>
        <v>6.7914000000000003</v>
      </c>
      <c r="I149" s="61">
        <f>6.7915 * CHOOSE(CONTROL!$C$22, $C$13, 100%, $E$13)</f>
        <v>6.7915000000000001</v>
      </c>
      <c r="J149" s="61">
        <f>3.5929 * CHOOSE(CONTROL!$C$22, $C$13, 100%, $E$13)</f>
        <v>3.5929000000000002</v>
      </c>
      <c r="K149" s="61">
        <f>3.5931 * CHOOSE(CONTROL!$C$22, $C$13, 100%, $E$13)</f>
        <v>3.5931000000000002</v>
      </c>
    </row>
    <row r="150" spans="1:11" ht="15">
      <c r="A150" s="13">
        <v>46419</v>
      </c>
      <c r="B150" s="60">
        <f>3.362 * CHOOSE(CONTROL!$C$22, $C$13, 100%, $E$13)</f>
        <v>3.3620000000000001</v>
      </c>
      <c r="C150" s="60">
        <f>3.362 * CHOOSE(CONTROL!$C$22, $C$13, 100%, $E$13)</f>
        <v>3.3620000000000001</v>
      </c>
      <c r="D150" s="60">
        <f>3.3797 * CHOOSE(CONTROL!$C$22, $C$13, 100%, $E$13)</f>
        <v>3.3797000000000001</v>
      </c>
      <c r="E150" s="61">
        <f>3.5426 * CHOOSE(CONTROL!$C$22, $C$13, 100%, $E$13)</f>
        <v>3.5426000000000002</v>
      </c>
      <c r="F150" s="61">
        <f>3.5426 * CHOOSE(CONTROL!$C$22, $C$13, 100%, $E$13)</f>
        <v>3.5426000000000002</v>
      </c>
      <c r="G150" s="61">
        <f>3.5427 * CHOOSE(CONTROL!$C$22, $C$13, 100%, $E$13)</f>
        <v>3.5427</v>
      </c>
      <c r="H150" s="61">
        <f>6.8055* CHOOSE(CONTROL!$C$22, $C$13, 100%, $E$13)</f>
        <v>6.8055000000000003</v>
      </c>
      <c r="I150" s="61">
        <f>6.8057 * CHOOSE(CONTROL!$C$22, $C$13, 100%, $E$13)</f>
        <v>6.8056999999999999</v>
      </c>
      <c r="J150" s="61">
        <f>3.5426 * CHOOSE(CONTROL!$C$22, $C$13, 100%, $E$13)</f>
        <v>3.5426000000000002</v>
      </c>
      <c r="K150" s="61">
        <f>3.5427 * CHOOSE(CONTROL!$C$22, $C$13, 100%, $E$13)</f>
        <v>3.5427</v>
      </c>
    </row>
    <row r="151" spans="1:11" ht="15">
      <c r="A151" s="13">
        <v>46447</v>
      </c>
      <c r="B151" s="60">
        <f>3.359 * CHOOSE(CONTROL!$C$22, $C$13, 100%, $E$13)</f>
        <v>3.359</v>
      </c>
      <c r="C151" s="60">
        <f>3.359 * CHOOSE(CONTROL!$C$22, $C$13, 100%, $E$13)</f>
        <v>3.359</v>
      </c>
      <c r="D151" s="60">
        <f>3.3766 * CHOOSE(CONTROL!$C$22, $C$13, 100%, $E$13)</f>
        <v>3.3765999999999998</v>
      </c>
      <c r="E151" s="61">
        <f>3.5785 * CHOOSE(CONTROL!$C$22, $C$13, 100%, $E$13)</f>
        <v>3.5785</v>
      </c>
      <c r="F151" s="61">
        <f>3.5785 * CHOOSE(CONTROL!$C$22, $C$13, 100%, $E$13)</f>
        <v>3.5785</v>
      </c>
      <c r="G151" s="61">
        <f>3.5787 * CHOOSE(CONTROL!$C$22, $C$13, 100%, $E$13)</f>
        <v>3.5787</v>
      </c>
      <c r="H151" s="61">
        <f>6.8197* CHOOSE(CONTROL!$C$22, $C$13, 100%, $E$13)</f>
        <v>6.8197000000000001</v>
      </c>
      <c r="I151" s="61">
        <f>6.8199 * CHOOSE(CONTROL!$C$22, $C$13, 100%, $E$13)</f>
        <v>6.8198999999999996</v>
      </c>
      <c r="J151" s="61">
        <f>3.5785 * CHOOSE(CONTROL!$C$22, $C$13, 100%, $E$13)</f>
        <v>3.5785</v>
      </c>
      <c r="K151" s="61">
        <f>3.5787 * CHOOSE(CONTROL!$C$22, $C$13, 100%, $E$13)</f>
        <v>3.5787</v>
      </c>
    </row>
    <row r="152" spans="1:11" ht="15">
      <c r="A152" s="13">
        <v>46478</v>
      </c>
      <c r="B152" s="60">
        <f>3.356 * CHOOSE(CONTROL!$C$22, $C$13, 100%, $E$13)</f>
        <v>3.3559999999999999</v>
      </c>
      <c r="C152" s="60">
        <f>3.356 * CHOOSE(CONTROL!$C$22, $C$13, 100%, $E$13)</f>
        <v>3.3559999999999999</v>
      </c>
      <c r="D152" s="60">
        <f>3.3737 * CHOOSE(CONTROL!$C$22, $C$13, 100%, $E$13)</f>
        <v>3.3736999999999999</v>
      </c>
      <c r="E152" s="61">
        <f>3.6151 * CHOOSE(CONTROL!$C$22, $C$13, 100%, $E$13)</f>
        <v>3.6151</v>
      </c>
      <c r="F152" s="61">
        <f>3.6151 * CHOOSE(CONTROL!$C$22, $C$13, 100%, $E$13)</f>
        <v>3.6151</v>
      </c>
      <c r="G152" s="61">
        <f>3.6153 * CHOOSE(CONTROL!$C$22, $C$13, 100%, $E$13)</f>
        <v>3.6153</v>
      </c>
      <c r="H152" s="61">
        <f>6.8339* CHOOSE(CONTROL!$C$22, $C$13, 100%, $E$13)</f>
        <v>6.8338999999999999</v>
      </c>
      <c r="I152" s="61">
        <f>6.8341 * CHOOSE(CONTROL!$C$22, $C$13, 100%, $E$13)</f>
        <v>6.8341000000000003</v>
      </c>
      <c r="J152" s="61">
        <f>3.6151 * CHOOSE(CONTROL!$C$22, $C$13, 100%, $E$13)</f>
        <v>3.6151</v>
      </c>
      <c r="K152" s="61">
        <f>3.6153 * CHOOSE(CONTROL!$C$22, $C$13, 100%, $E$13)</f>
        <v>3.6153</v>
      </c>
    </row>
    <row r="153" spans="1:11" ht="15">
      <c r="A153" s="13">
        <v>46508</v>
      </c>
      <c r="B153" s="60">
        <f>3.356 * CHOOSE(CONTROL!$C$22, $C$13, 100%, $E$13)</f>
        <v>3.3559999999999999</v>
      </c>
      <c r="C153" s="60">
        <f>3.356 * CHOOSE(CONTROL!$C$22, $C$13, 100%, $E$13)</f>
        <v>3.3559999999999999</v>
      </c>
      <c r="D153" s="60">
        <f>3.3913 * CHOOSE(CONTROL!$C$22, $C$13, 100%, $E$13)</f>
        <v>3.3913000000000002</v>
      </c>
      <c r="E153" s="61">
        <f>3.6304 * CHOOSE(CONTROL!$C$22, $C$13, 100%, $E$13)</f>
        <v>3.6303999999999998</v>
      </c>
      <c r="F153" s="61">
        <f>3.6304 * CHOOSE(CONTROL!$C$22, $C$13, 100%, $E$13)</f>
        <v>3.6303999999999998</v>
      </c>
      <c r="G153" s="61">
        <f>3.6326 * CHOOSE(CONTROL!$C$22, $C$13, 100%, $E$13)</f>
        <v>3.6326000000000001</v>
      </c>
      <c r="H153" s="61">
        <f>6.8481* CHOOSE(CONTROL!$C$22, $C$13, 100%, $E$13)</f>
        <v>6.8480999999999996</v>
      </c>
      <c r="I153" s="61">
        <f>6.8503 * CHOOSE(CONTROL!$C$22, $C$13, 100%, $E$13)</f>
        <v>6.8502999999999998</v>
      </c>
      <c r="J153" s="61">
        <f>3.6304 * CHOOSE(CONTROL!$C$22, $C$13, 100%, $E$13)</f>
        <v>3.6303999999999998</v>
      </c>
      <c r="K153" s="61">
        <f>3.6326 * CHOOSE(CONTROL!$C$22, $C$13, 100%, $E$13)</f>
        <v>3.6326000000000001</v>
      </c>
    </row>
    <row r="154" spans="1:11" ht="15">
      <c r="A154" s="13">
        <v>46539</v>
      </c>
      <c r="B154" s="60">
        <f>3.3621 * CHOOSE(CONTROL!$C$22, $C$13, 100%, $E$13)</f>
        <v>3.3620999999999999</v>
      </c>
      <c r="C154" s="60">
        <f>3.3621 * CHOOSE(CONTROL!$C$22, $C$13, 100%, $E$13)</f>
        <v>3.3620999999999999</v>
      </c>
      <c r="D154" s="60">
        <f>3.3974 * CHOOSE(CONTROL!$C$22, $C$13, 100%, $E$13)</f>
        <v>3.3974000000000002</v>
      </c>
      <c r="E154" s="61">
        <f>3.6193 * CHOOSE(CONTROL!$C$22, $C$13, 100%, $E$13)</f>
        <v>3.6193</v>
      </c>
      <c r="F154" s="61">
        <f>3.6193 * CHOOSE(CONTROL!$C$22, $C$13, 100%, $E$13)</f>
        <v>3.6193</v>
      </c>
      <c r="G154" s="61">
        <f>3.6215 * CHOOSE(CONTROL!$C$22, $C$13, 100%, $E$13)</f>
        <v>3.6215000000000002</v>
      </c>
      <c r="H154" s="61">
        <f>6.8624* CHOOSE(CONTROL!$C$22, $C$13, 100%, $E$13)</f>
        <v>6.8624000000000001</v>
      </c>
      <c r="I154" s="61">
        <f>6.8646 * CHOOSE(CONTROL!$C$22, $C$13, 100%, $E$13)</f>
        <v>6.8646000000000003</v>
      </c>
      <c r="J154" s="61">
        <f>3.6193 * CHOOSE(CONTROL!$C$22, $C$13, 100%, $E$13)</f>
        <v>3.6193</v>
      </c>
      <c r="K154" s="61">
        <f>3.6215 * CHOOSE(CONTROL!$C$22, $C$13, 100%, $E$13)</f>
        <v>3.6215000000000002</v>
      </c>
    </row>
    <row r="155" spans="1:11" ht="15">
      <c r="A155" s="13">
        <v>46569</v>
      </c>
      <c r="B155" s="60">
        <f>3.4138 * CHOOSE(CONTROL!$C$22, $C$13, 100%, $E$13)</f>
        <v>3.4138000000000002</v>
      </c>
      <c r="C155" s="60">
        <f>3.4138 * CHOOSE(CONTROL!$C$22, $C$13, 100%, $E$13)</f>
        <v>3.4138000000000002</v>
      </c>
      <c r="D155" s="60">
        <f>3.4491 * CHOOSE(CONTROL!$C$22, $C$13, 100%, $E$13)</f>
        <v>3.4491000000000001</v>
      </c>
      <c r="E155" s="61">
        <f>3.6808 * CHOOSE(CONTROL!$C$22, $C$13, 100%, $E$13)</f>
        <v>3.6808000000000001</v>
      </c>
      <c r="F155" s="61">
        <f>3.6808 * CHOOSE(CONTROL!$C$22, $C$13, 100%, $E$13)</f>
        <v>3.6808000000000001</v>
      </c>
      <c r="G155" s="61">
        <f>3.683 * CHOOSE(CONTROL!$C$22, $C$13, 100%, $E$13)</f>
        <v>3.6829999999999998</v>
      </c>
      <c r="H155" s="61">
        <f>6.8767* CHOOSE(CONTROL!$C$22, $C$13, 100%, $E$13)</f>
        <v>6.8766999999999996</v>
      </c>
      <c r="I155" s="61">
        <f>6.8789 * CHOOSE(CONTROL!$C$22, $C$13, 100%, $E$13)</f>
        <v>6.8788999999999998</v>
      </c>
      <c r="J155" s="61">
        <f>3.6808 * CHOOSE(CONTROL!$C$22, $C$13, 100%, $E$13)</f>
        <v>3.6808000000000001</v>
      </c>
      <c r="K155" s="61">
        <f>3.683 * CHOOSE(CONTROL!$C$22, $C$13, 100%, $E$13)</f>
        <v>3.6829999999999998</v>
      </c>
    </row>
    <row r="156" spans="1:11" ht="15">
      <c r="A156" s="13">
        <v>46600</v>
      </c>
      <c r="B156" s="60">
        <f>3.4205 * CHOOSE(CONTROL!$C$22, $C$13, 100%, $E$13)</f>
        <v>3.4205000000000001</v>
      </c>
      <c r="C156" s="60">
        <f>3.4205 * CHOOSE(CONTROL!$C$22, $C$13, 100%, $E$13)</f>
        <v>3.4205000000000001</v>
      </c>
      <c r="D156" s="60">
        <f>3.4558 * CHOOSE(CONTROL!$C$22, $C$13, 100%, $E$13)</f>
        <v>3.4558</v>
      </c>
      <c r="E156" s="61">
        <f>3.6395 * CHOOSE(CONTROL!$C$22, $C$13, 100%, $E$13)</f>
        <v>3.6395</v>
      </c>
      <c r="F156" s="61">
        <f>3.6395 * CHOOSE(CONTROL!$C$22, $C$13, 100%, $E$13)</f>
        <v>3.6395</v>
      </c>
      <c r="G156" s="61">
        <f>3.6417 * CHOOSE(CONTROL!$C$22, $C$13, 100%, $E$13)</f>
        <v>3.6417000000000002</v>
      </c>
      <c r="H156" s="61">
        <f>6.891* CHOOSE(CONTROL!$C$22, $C$13, 100%, $E$13)</f>
        <v>6.891</v>
      </c>
      <c r="I156" s="61">
        <f>6.8932 * CHOOSE(CONTROL!$C$22, $C$13, 100%, $E$13)</f>
        <v>6.8932000000000002</v>
      </c>
      <c r="J156" s="61">
        <f>3.6395 * CHOOSE(CONTROL!$C$22, $C$13, 100%, $E$13)</f>
        <v>3.6395</v>
      </c>
      <c r="K156" s="61">
        <f>3.6417 * CHOOSE(CONTROL!$C$22, $C$13, 100%, $E$13)</f>
        <v>3.6417000000000002</v>
      </c>
    </row>
    <row r="157" spans="1:11" ht="15">
      <c r="A157" s="13">
        <v>46631</v>
      </c>
      <c r="B157" s="60">
        <f>3.4174 * CHOOSE(CONTROL!$C$22, $C$13, 100%, $E$13)</f>
        <v>3.4174000000000002</v>
      </c>
      <c r="C157" s="60">
        <f>3.4174 * CHOOSE(CONTROL!$C$22, $C$13, 100%, $E$13)</f>
        <v>3.4174000000000002</v>
      </c>
      <c r="D157" s="60">
        <f>3.4527 * CHOOSE(CONTROL!$C$22, $C$13, 100%, $E$13)</f>
        <v>3.4527000000000001</v>
      </c>
      <c r="E157" s="61">
        <f>3.6323 * CHOOSE(CONTROL!$C$22, $C$13, 100%, $E$13)</f>
        <v>3.6322999999999999</v>
      </c>
      <c r="F157" s="61">
        <f>3.6323 * CHOOSE(CONTROL!$C$22, $C$13, 100%, $E$13)</f>
        <v>3.6322999999999999</v>
      </c>
      <c r="G157" s="61">
        <f>3.6345 * CHOOSE(CONTROL!$C$22, $C$13, 100%, $E$13)</f>
        <v>3.6345000000000001</v>
      </c>
      <c r="H157" s="61">
        <f>6.9054* CHOOSE(CONTROL!$C$22, $C$13, 100%, $E$13)</f>
        <v>6.9054000000000002</v>
      </c>
      <c r="I157" s="61">
        <f>6.9076 * CHOOSE(CONTROL!$C$22, $C$13, 100%, $E$13)</f>
        <v>6.9076000000000004</v>
      </c>
      <c r="J157" s="61">
        <f>3.6323 * CHOOSE(CONTROL!$C$22, $C$13, 100%, $E$13)</f>
        <v>3.6322999999999999</v>
      </c>
      <c r="K157" s="61">
        <f>3.6345 * CHOOSE(CONTROL!$C$22, $C$13, 100%, $E$13)</f>
        <v>3.6345000000000001</v>
      </c>
    </row>
    <row r="158" spans="1:11" ht="15">
      <c r="A158" s="13">
        <v>46661</v>
      </c>
      <c r="B158" s="60">
        <f>3.4105 * CHOOSE(CONTROL!$C$22, $C$13, 100%, $E$13)</f>
        <v>3.4104999999999999</v>
      </c>
      <c r="C158" s="60">
        <f>3.4105 * CHOOSE(CONTROL!$C$22, $C$13, 100%, $E$13)</f>
        <v>3.4104999999999999</v>
      </c>
      <c r="D158" s="60">
        <f>3.4281 * CHOOSE(CONTROL!$C$22, $C$13, 100%, $E$13)</f>
        <v>3.4281000000000001</v>
      </c>
      <c r="E158" s="61">
        <f>3.6393 * CHOOSE(CONTROL!$C$22, $C$13, 100%, $E$13)</f>
        <v>3.6393</v>
      </c>
      <c r="F158" s="61">
        <f>3.6393 * CHOOSE(CONTROL!$C$22, $C$13, 100%, $E$13)</f>
        <v>3.6393</v>
      </c>
      <c r="G158" s="61">
        <f>3.6395 * CHOOSE(CONTROL!$C$22, $C$13, 100%, $E$13)</f>
        <v>3.6395</v>
      </c>
      <c r="H158" s="61">
        <f>6.9198* CHOOSE(CONTROL!$C$22, $C$13, 100%, $E$13)</f>
        <v>6.9198000000000004</v>
      </c>
      <c r="I158" s="61">
        <f>6.9199 * CHOOSE(CONTROL!$C$22, $C$13, 100%, $E$13)</f>
        <v>6.9199000000000002</v>
      </c>
      <c r="J158" s="61">
        <f>3.6393 * CHOOSE(CONTROL!$C$22, $C$13, 100%, $E$13)</f>
        <v>3.6393</v>
      </c>
      <c r="K158" s="61">
        <f>3.6395 * CHOOSE(CONTROL!$C$22, $C$13, 100%, $E$13)</f>
        <v>3.6395</v>
      </c>
    </row>
    <row r="159" spans="1:11" ht="15">
      <c r="A159" s="13">
        <v>46692</v>
      </c>
      <c r="B159" s="60">
        <f>3.4135 * CHOOSE(CONTROL!$C$22, $C$13, 100%, $E$13)</f>
        <v>3.4135</v>
      </c>
      <c r="C159" s="60">
        <f>3.4135 * CHOOSE(CONTROL!$C$22, $C$13, 100%, $E$13)</f>
        <v>3.4135</v>
      </c>
      <c r="D159" s="60">
        <f>3.4312 * CHOOSE(CONTROL!$C$22, $C$13, 100%, $E$13)</f>
        <v>3.4312</v>
      </c>
      <c r="E159" s="61">
        <f>3.6516 * CHOOSE(CONTROL!$C$22, $C$13, 100%, $E$13)</f>
        <v>3.6516000000000002</v>
      </c>
      <c r="F159" s="61">
        <f>3.6516 * CHOOSE(CONTROL!$C$22, $C$13, 100%, $E$13)</f>
        <v>3.6516000000000002</v>
      </c>
      <c r="G159" s="61">
        <f>3.6518 * CHOOSE(CONTROL!$C$22, $C$13, 100%, $E$13)</f>
        <v>3.6518000000000002</v>
      </c>
      <c r="H159" s="61">
        <f>6.9342* CHOOSE(CONTROL!$C$22, $C$13, 100%, $E$13)</f>
        <v>6.9341999999999997</v>
      </c>
      <c r="I159" s="61">
        <f>6.9344 * CHOOSE(CONTROL!$C$22, $C$13, 100%, $E$13)</f>
        <v>6.9344000000000001</v>
      </c>
      <c r="J159" s="61">
        <f>3.6516 * CHOOSE(CONTROL!$C$22, $C$13, 100%, $E$13)</f>
        <v>3.6516000000000002</v>
      </c>
      <c r="K159" s="61">
        <f>3.6518 * CHOOSE(CONTROL!$C$22, $C$13, 100%, $E$13)</f>
        <v>3.6518000000000002</v>
      </c>
    </row>
    <row r="160" spans="1:11" ht="15">
      <c r="A160" s="13">
        <v>46722</v>
      </c>
      <c r="B160" s="60">
        <f>3.4135 * CHOOSE(CONTROL!$C$22, $C$13, 100%, $E$13)</f>
        <v>3.4135</v>
      </c>
      <c r="C160" s="60">
        <f>3.4135 * CHOOSE(CONTROL!$C$22, $C$13, 100%, $E$13)</f>
        <v>3.4135</v>
      </c>
      <c r="D160" s="60">
        <f>3.4312 * CHOOSE(CONTROL!$C$22, $C$13, 100%, $E$13)</f>
        <v>3.4312</v>
      </c>
      <c r="E160" s="61">
        <f>3.6261 * CHOOSE(CONTROL!$C$22, $C$13, 100%, $E$13)</f>
        <v>3.6261000000000001</v>
      </c>
      <c r="F160" s="61">
        <f>3.6261 * CHOOSE(CONTROL!$C$22, $C$13, 100%, $E$13)</f>
        <v>3.6261000000000001</v>
      </c>
      <c r="G160" s="61">
        <f>3.6263 * CHOOSE(CONTROL!$C$22, $C$13, 100%, $E$13)</f>
        <v>3.6263000000000001</v>
      </c>
      <c r="H160" s="61">
        <f>6.9486* CHOOSE(CONTROL!$C$22, $C$13, 100%, $E$13)</f>
        <v>6.9485999999999999</v>
      </c>
      <c r="I160" s="61">
        <f>6.9488 * CHOOSE(CONTROL!$C$22, $C$13, 100%, $E$13)</f>
        <v>6.9488000000000003</v>
      </c>
      <c r="J160" s="61">
        <f>3.6261 * CHOOSE(CONTROL!$C$22, $C$13, 100%, $E$13)</f>
        <v>3.6261000000000001</v>
      </c>
      <c r="K160" s="61">
        <f>3.6263 * CHOOSE(CONTROL!$C$22, $C$13, 100%, $E$13)</f>
        <v>3.6263000000000001</v>
      </c>
    </row>
    <row r="161" spans="1:11" ht="15">
      <c r="A161" s="13">
        <v>46753</v>
      </c>
      <c r="B161" s="60">
        <f>3.4451 * CHOOSE(CONTROL!$C$22, $C$13, 100%, $E$13)</f>
        <v>3.4451000000000001</v>
      </c>
      <c r="C161" s="60">
        <f>3.4451 * CHOOSE(CONTROL!$C$22, $C$13, 100%, $E$13)</f>
        <v>3.4451000000000001</v>
      </c>
      <c r="D161" s="60">
        <f>3.4628 * CHOOSE(CONTROL!$C$22, $C$13, 100%, $E$13)</f>
        <v>3.4628000000000001</v>
      </c>
      <c r="E161" s="61">
        <f>3.657 * CHOOSE(CONTROL!$C$22, $C$13, 100%, $E$13)</f>
        <v>3.657</v>
      </c>
      <c r="F161" s="61">
        <f>3.657 * CHOOSE(CONTROL!$C$22, $C$13, 100%, $E$13)</f>
        <v>3.657</v>
      </c>
      <c r="G161" s="61">
        <f>3.6571 * CHOOSE(CONTROL!$C$22, $C$13, 100%, $E$13)</f>
        <v>3.6570999999999998</v>
      </c>
      <c r="H161" s="61">
        <f>6.9631* CHOOSE(CONTROL!$C$22, $C$13, 100%, $E$13)</f>
        <v>6.9630999999999998</v>
      </c>
      <c r="I161" s="61">
        <f>6.9633 * CHOOSE(CONTROL!$C$22, $C$13, 100%, $E$13)</f>
        <v>6.9633000000000003</v>
      </c>
      <c r="J161" s="61">
        <f>3.657 * CHOOSE(CONTROL!$C$22, $C$13, 100%, $E$13)</f>
        <v>3.657</v>
      </c>
      <c r="K161" s="61">
        <f>3.6571 * CHOOSE(CONTROL!$C$22, $C$13, 100%, $E$13)</f>
        <v>3.6570999999999998</v>
      </c>
    </row>
    <row r="162" spans="1:11" ht="15">
      <c r="A162" s="13">
        <v>46784</v>
      </c>
      <c r="B162" s="60">
        <f>3.4421 * CHOOSE(CONTROL!$C$22, $C$13, 100%, $E$13)</f>
        <v>3.4420999999999999</v>
      </c>
      <c r="C162" s="60">
        <f>3.4421 * CHOOSE(CONTROL!$C$22, $C$13, 100%, $E$13)</f>
        <v>3.4420999999999999</v>
      </c>
      <c r="D162" s="60">
        <f>3.4597 * CHOOSE(CONTROL!$C$22, $C$13, 100%, $E$13)</f>
        <v>3.4597000000000002</v>
      </c>
      <c r="E162" s="61">
        <f>3.6037 * CHOOSE(CONTROL!$C$22, $C$13, 100%, $E$13)</f>
        <v>3.6036999999999999</v>
      </c>
      <c r="F162" s="61">
        <f>3.6037 * CHOOSE(CONTROL!$C$22, $C$13, 100%, $E$13)</f>
        <v>3.6036999999999999</v>
      </c>
      <c r="G162" s="61">
        <f>3.6039 * CHOOSE(CONTROL!$C$22, $C$13, 100%, $E$13)</f>
        <v>3.6038999999999999</v>
      </c>
      <c r="H162" s="61">
        <f>6.9776* CHOOSE(CONTROL!$C$22, $C$13, 100%, $E$13)</f>
        <v>6.9775999999999998</v>
      </c>
      <c r="I162" s="61">
        <f>6.9778 * CHOOSE(CONTROL!$C$22, $C$13, 100%, $E$13)</f>
        <v>6.9778000000000002</v>
      </c>
      <c r="J162" s="61">
        <f>3.6037 * CHOOSE(CONTROL!$C$22, $C$13, 100%, $E$13)</f>
        <v>3.6036999999999999</v>
      </c>
      <c r="K162" s="61">
        <f>3.6039 * CHOOSE(CONTROL!$C$22, $C$13, 100%, $E$13)</f>
        <v>3.6038999999999999</v>
      </c>
    </row>
    <row r="163" spans="1:11" ht="15">
      <c r="A163" s="13">
        <v>46813</v>
      </c>
      <c r="B163" s="60">
        <f>3.439 * CHOOSE(CONTROL!$C$22, $C$13, 100%, $E$13)</f>
        <v>3.4390000000000001</v>
      </c>
      <c r="C163" s="60">
        <f>3.439 * CHOOSE(CONTROL!$C$22, $C$13, 100%, $E$13)</f>
        <v>3.4390000000000001</v>
      </c>
      <c r="D163" s="60">
        <f>3.4567 * CHOOSE(CONTROL!$C$22, $C$13, 100%, $E$13)</f>
        <v>3.4567000000000001</v>
      </c>
      <c r="E163" s="61">
        <f>3.6419 * CHOOSE(CONTROL!$C$22, $C$13, 100%, $E$13)</f>
        <v>3.6419000000000001</v>
      </c>
      <c r="F163" s="61">
        <f>3.6419 * CHOOSE(CONTROL!$C$22, $C$13, 100%, $E$13)</f>
        <v>3.6419000000000001</v>
      </c>
      <c r="G163" s="61">
        <f>3.6421 * CHOOSE(CONTROL!$C$22, $C$13, 100%, $E$13)</f>
        <v>3.6421000000000001</v>
      </c>
      <c r="H163" s="61">
        <f>6.9921* CHOOSE(CONTROL!$C$22, $C$13, 100%, $E$13)</f>
        <v>6.9920999999999998</v>
      </c>
      <c r="I163" s="61">
        <f>6.9923 * CHOOSE(CONTROL!$C$22, $C$13, 100%, $E$13)</f>
        <v>6.9923000000000002</v>
      </c>
      <c r="J163" s="61">
        <f>3.6419 * CHOOSE(CONTROL!$C$22, $C$13, 100%, $E$13)</f>
        <v>3.6419000000000001</v>
      </c>
      <c r="K163" s="61">
        <f>3.6421 * CHOOSE(CONTROL!$C$22, $C$13, 100%, $E$13)</f>
        <v>3.6421000000000001</v>
      </c>
    </row>
    <row r="164" spans="1:11" ht="15">
      <c r="A164" s="13">
        <v>46844</v>
      </c>
      <c r="B164" s="60">
        <f>3.4362 * CHOOSE(CONTROL!$C$22, $C$13, 100%, $E$13)</f>
        <v>3.4361999999999999</v>
      </c>
      <c r="C164" s="60">
        <f>3.4362 * CHOOSE(CONTROL!$C$22, $C$13, 100%, $E$13)</f>
        <v>3.4361999999999999</v>
      </c>
      <c r="D164" s="60">
        <f>3.4538 * CHOOSE(CONTROL!$C$22, $C$13, 100%, $E$13)</f>
        <v>3.4538000000000002</v>
      </c>
      <c r="E164" s="61">
        <f>3.681 * CHOOSE(CONTROL!$C$22, $C$13, 100%, $E$13)</f>
        <v>3.681</v>
      </c>
      <c r="F164" s="61">
        <f>3.681 * CHOOSE(CONTROL!$C$22, $C$13, 100%, $E$13)</f>
        <v>3.681</v>
      </c>
      <c r="G164" s="61">
        <f>3.6811 * CHOOSE(CONTROL!$C$22, $C$13, 100%, $E$13)</f>
        <v>3.6810999999999998</v>
      </c>
      <c r="H164" s="61">
        <f>7.0067* CHOOSE(CONTROL!$C$22, $C$13, 100%, $E$13)</f>
        <v>7.0067000000000004</v>
      </c>
      <c r="I164" s="61">
        <f>7.0069 * CHOOSE(CONTROL!$C$22, $C$13, 100%, $E$13)</f>
        <v>7.0068999999999999</v>
      </c>
      <c r="J164" s="61">
        <f>3.681 * CHOOSE(CONTROL!$C$22, $C$13, 100%, $E$13)</f>
        <v>3.681</v>
      </c>
      <c r="K164" s="61">
        <f>3.6811 * CHOOSE(CONTROL!$C$22, $C$13, 100%, $E$13)</f>
        <v>3.6810999999999998</v>
      </c>
    </row>
    <row r="165" spans="1:11" ht="15">
      <c r="A165" s="13">
        <v>46874</v>
      </c>
      <c r="B165" s="60">
        <f>3.4362 * CHOOSE(CONTROL!$C$22, $C$13, 100%, $E$13)</f>
        <v>3.4361999999999999</v>
      </c>
      <c r="C165" s="60">
        <f>3.4362 * CHOOSE(CONTROL!$C$22, $C$13, 100%, $E$13)</f>
        <v>3.4361999999999999</v>
      </c>
      <c r="D165" s="60">
        <f>3.4715 * CHOOSE(CONTROL!$C$22, $C$13, 100%, $E$13)</f>
        <v>3.4714999999999998</v>
      </c>
      <c r="E165" s="61">
        <f>3.6972 * CHOOSE(CONTROL!$C$22, $C$13, 100%, $E$13)</f>
        <v>3.6972</v>
      </c>
      <c r="F165" s="61">
        <f>3.6972 * CHOOSE(CONTROL!$C$22, $C$13, 100%, $E$13)</f>
        <v>3.6972</v>
      </c>
      <c r="G165" s="61">
        <f>3.6994 * CHOOSE(CONTROL!$C$22, $C$13, 100%, $E$13)</f>
        <v>3.6993999999999998</v>
      </c>
      <c r="H165" s="61">
        <f>7.0213* CHOOSE(CONTROL!$C$22, $C$13, 100%, $E$13)</f>
        <v>7.0213000000000001</v>
      </c>
      <c r="I165" s="61">
        <f>7.0235 * CHOOSE(CONTROL!$C$22, $C$13, 100%, $E$13)</f>
        <v>7.0235000000000003</v>
      </c>
      <c r="J165" s="61">
        <f>3.6972 * CHOOSE(CONTROL!$C$22, $C$13, 100%, $E$13)</f>
        <v>3.6972</v>
      </c>
      <c r="K165" s="61">
        <f>3.6994 * CHOOSE(CONTROL!$C$22, $C$13, 100%, $E$13)</f>
        <v>3.6993999999999998</v>
      </c>
    </row>
    <row r="166" spans="1:11" ht="15">
      <c r="A166" s="13">
        <v>46905</v>
      </c>
      <c r="B166" s="60">
        <f>3.4423 * CHOOSE(CONTROL!$C$22, $C$13, 100%, $E$13)</f>
        <v>3.4422999999999999</v>
      </c>
      <c r="C166" s="60">
        <f>3.4423 * CHOOSE(CONTROL!$C$22, $C$13, 100%, $E$13)</f>
        <v>3.4422999999999999</v>
      </c>
      <c r="D166" s="60">
        <f>3.4776 * CHOOSE(CONTROL!$C$22, $C$13, 100%, $E$13)</f>
        <v>3.4775999999999998</v>
      </c>
      <c r="E166" s="61">
        <f>3.6852 * CHOOSE(CONTROL!$C$22, $C$13, 100%, $E$13)</f>
        <v>3.6852</v>
      </c>
      <c r="F166" s="61">
        <f>3.6852 * CHOOSE(CONTROL!$C$22, $C$13, 100%, $E$13)</f>
        <v>3.6852</v>
      </c>
      <c r="G166" s="61">
        <f>3.6874 * CHOOSE(CONTROL!$C$22, $C$13, 100%, $E$13)</f>
        <v>3.6873999999999998</v>
      </c>
      <c r="H166" s="61">
        <f>7.0359* CHOOSE(CONTROL!$C$22, $C$13, 100%, $E$13)</f>
        <v>7.0358999999999998</v>
      </c>
      <c r="I166" s="61">
        <f>7.0381 * CHOOSE(CONTROL!$C$22, $C$13, 100%, $E$13)</f>
        <v>7.0381</v>
      </c>
      <c r="J166" s="61">
        <f>3.6852 * CHOOSE(CONTROL!$C$22, $C$13, 100%, $E$13)</f>
        <v>3.6852</v>
      </c>
      <c r="K166" s="61">
        <f>3.6874 * CHOOSE(CONTROL!$C$22, $C$13, 100%, $E$13)</f>
        <v>3.6873999999999998</v>
      </c>
    </row>
    <row r="167" spans="1:11" ht="15">
      <c r="A167" s="13">
        <v>46935</v>
      </c>
      <c r="B167" s="60">
        <f>3.5022 * CHOOSE(CONTROL!$C$22, $C$13, 100%, $E$13)</f>
        <v>3.5022000000000002</v>
      </c>
      <c r="C167" s="60">
        <f>3.5022 * CHOOSE(CONTROL!$C$22, $C$13, 100%, $E$13)</f>
        <v>3.5022000000000002</v>
      </c>
      <c r="D167" s="60">
        <f>3.5375 * CHOOSE(CONTROL!$C$22, $C$13, 100%, $E$13)</f>
        <v>3.5375000000000001</v>
      </c>
      <c r="E167" s="61">
        <f>3.6679 * CHOOSE(CONTROL!$C$22, $C$13, 100%, $E$13)</f>
        <v>3.6678999999999999</v>
      </c>
      <c r="F167" s="61">
        <f>3.6679 * CHOOSE(CONTROL!$C$22, $C$13, 100%, $E$13)</f>
        <v>3.6678999999999999</v>
      </c>
      <c r="G167" s="61">
        <f>3.67 * CHOOSE(CONTROL!$C$22, $C$13, 100%, $E$13)</f>
        <v>3.67</v>
      </c>
      <c r="H167" s="61">
        <f>7.0506* CHOOSE(CONTROL!$C$22, $C$13, 100%, $E$13)</f>
        <v>7.0506000000000002</v>
      </c>
      <c r="I167" s="61">
        <f>7.0528 * CHOOSE(CONTROL!$C$22, $C$13, 100%, $E$13)</f>
        <v>7.0528000000000004</v>
      </c>
      <c r="J167" s="61">
        <f>3.6679 * CHOOSE(CONTROL!$C$22, $C$13, 100%, $E$13)</f>
        <v>3.6678999999999999</v>
      </c>
      <c r="K167" s="61">
        <f>3.67 * CHOOSE(CONTROL!$C$22, $C$13, 100%, $E$13)</f>
        <v>3.67</v>
      </c>
    </row>
    <row r="168" spans="1:11" ht="15">
      <c r="A168" s="13">
        <v>46966</v>
      </c>
      <c r="B168" s="60">
        <f>3.5089 * CHOOSE(CONTROL!$C$22, $C$13, 100%, $E$13)</f>
        <v>3.5089000000000001</v>
      </c>
      <c r="C168" s="60">
        <f>3.5089 * CHOOSE(CONTROL!$C$22, $C$13, 100%, $E$13)</f>
        <v>3.5089000000000001</v>
      </c>
      <c r="D168" s="60">
        <f>3.5442 * CHOOSE(CONTROL!$C$22, $C$13, 100%, $E$13)</f>
        <v>3.5442</v>
      </c>
      <c r="E168" s="61">
        <f>3.6238 * CHOOSE(CONTROL!$C$22, $C$13, 100%, $E$13)</f>
        <v>3.6238000000000001</v>
      </c>
      <c r="F168" s="61">
        <f>3.6238 * CHOOSE(CONTROL!$C$22, $C$13, 100%, $E$13)</f>
        <v>3.6238000000000001</v>
      </c>
      <c r="G168" s="61">
        <f>3.626 * CHOOSE(CONTROL!$C$22, $C$13, 100%, $E$13)</f>
        <v>3.6259999999999999</v>
      </c>
      <c r="H168" s="61">
        <f>7.0653* CHOOSE(CONTROL!$C$22, $C$13, 100%, $E$13)</f>
        <v>7.0652999999999997</v>
      </c>
      <c r="I168" s="61">
        <f>7.0675 * CHOOSE(CONTROL!$C$22, $C$13, 100%, $E$13)</f>
        <v>7.0674999999999999</v>
      </c>
      <c r="J168" s="61">
        <f>3.6238 * CHOOSE(CONTROL!$C$22, $C$13, 100%, $E$13)</f>
        <v>3.6238000000000001</v>
      </c>
      <c r="K168" s="61">
        <f>3.626 * CHOOSE(CONTROL!$C$22, $C$13, 100%, $E$13)</f>
        <v>3.6259999999999999</v>
      </c>
    </row>
    <row r="169" spans="1:11" ht="15">
      <c r="A169" s="13">
        <v>46997</v>
      </c>
      <c r="B169" s="60">
        <f>3.5058 * CHOOSE(CONTROL!$C$22, $C$13, 100%, $E$13)</f>
        <v>3.5057999999999998</v>
      </c>
      <c r="C169" s="60">
        <f>3.5058 * CHOOSE(CONTROL!$C$22, $C$13, 100%, $E$13)</f>
        <v>3.5057999999999998</v>
      </c>
      <c r="D169" s="60">
        <f>3.5411 * CHOOSE(CONTROL!$C$22, $C$13, 100%, $E$13)</f>
        <v>3.5411000000000001</v>
      </c>
      <c r="E169" s="61">
        <f>3.6163 * CHOOSE(CONTROL!$C$22, $C$13, 100%, $E$13)</f>
        <v>3.6162999999999998</v>
      </c>
      <c r="F169" s="61">
        <f>3.6163 * CHOOSE(CONTROL!$C$22, $C$13, 100%, $E$13)</f>
        <v>3.6162999999999998</v>
      </c>
      <c r="G169" s="61">
        <f>3.6184 * CHOOSE(CONTROL!$C$22, $C$13, 100%, $E$13)</f>
        <v>3.6183999999999998</v>
      </c>
      <c r="H169" s="61">
        <f>7.08* CHOOSE(CONTROL!$C$22, $C$13, 100%, $E$13)</f>
        <v>7.08</v>
      </c>
      <c r="I169" s="61">
        <f>7.0822 * CHOOSE(CONTROL!$C$22, $C$13, 100%, $E$13)</f>
        <v>7.0822000000000003</v>
      </c>
      <c r="J169" s="61">
        <f>3.6163 * CHOOSE(CONTROL!$C$22, $C$13, 100%, $E$13)</f>
        <v>3.6162999999999998</v>
      </c>
      <c r="K169" s="61">
        <f>3.6184 * CHOOSE(CONTROL!$C$22, $C$13, 100%, $E$13)</f>
        <v>3.6183999999999998</v>
      </c>
    </row>
    <row r="170" spans="1:11" ht="15">
      <c r="A170" s="13">
        <v>47027</v>
      </c>
      <c r="B170" s="60">
        <f>3.4992 * CHOOSE(CONTROL!$C$22, $C$13, 100%, $E$13)</f>
        <v>3.4992000000000001</v>
      </c>
      <c r="C170" s="60">
        <f>3.4992 * CHOOSE(CONTROL!$C$22, $C$13, 100%, $E$13)</f>
        <v>3.4992000000000001</v>
      </c>
      <c r="D170" s="60">
        <f>3.5168 * CHOOSE(CONTROL!$C$22, $C$13, 100%, $E$13)</f>
        <v>3.5167999999999999</v>
      </c>
      <c r="E170" s="61">
        <f>3.6245 * CHOOSE(CONTROL!$C$22, $C$13, 100%, $E$13)</f>
        <v>3.6244999999999998</v>
      </c>
      <c r="F170" s="61">
        <f>3.6245 * CHOOSE(CONTROL!$C$22, $C$13, 100%, $E$13)</f>
        <v>3.6244999999999998</v>
      </c>
      <c r="G170" s="61">
        <f>3.6247 * CHOOSE(CONTROL!$C$22, $C$13, 100%, $E$13)</f>
        <v>3.6246999999999998</v>
      </c>
      <c r="H170" s="61">
        <f>7.0947* CHOOSE(CONTROL!$C$22, $C$13, 100%, $E$13)</f>
        <v>7.0946999999999996</v>
      </c>
      <c r="I170" s="61">
        <f>7.0949 * CHOOSE(CONTROL!$C$22, $C$13, 100%, $E$13)</f>
        <v>7.0949</v>
      </c>
      <c r="J170" s="61">
        <f>3.6245 * CHOOSE(CONTROL!$C$22, $C$13, 100%, $E$13)</f>
        <v>3.6244999999999998</v>
      </c>
      <c r="K170" s="61">
        <f>3.6247 * CHOOSE(CONTROL!$C$22, $C$13, 100%, $E$13)</f>
        <v>3.6246999999999998</v>
      </c>
    </row>
    <row r="171" spans="1:11" ht="15">
      <c r="A171" s="13">
        <v>47058</v>
      </c>
      <c r="B171" s="60">
        <f>3.5022 * CHOOSE(CONTROL!$C$22, $C$13, 100%, $E$13)</f>
        <v>3.5022000000000002</v>
      </c>
      <c r="C171" s="60">
        <f>3.5022 * CHOOSE(CONTROL!$C$22, $C$13, 100%, $E$13)</f>
        <v>3.5022000000000002</v>
      </c>
      <c r="D171" s="60">
        <f>3.5199 * CHOOSE(CONTROL!$C$22, $C$13, 100%, $E$13)</f>
        <v>3.5198999999999998</v>
      </c>
      <c r="E171" s="61">
        <f>3.6375 * CHOOSE(CONTROL!$C$22, $C$13, 100%, $E$13)</f>
        <v>3.6375000000000002</v>
      </c>
      <c r="F171" s="61">
        <f>3.6375 * CHOOSE(CONTROL!$C$22, $C$13, 100%, $E$13)</f>
        <v>3.6375000000000002</v>
      </c>
      <c r="G171" s="61">
        <f>3.6376 * CHOOSE(CONTROL!$C$22, $C$13, 100%, $E$13)</f>
        <v>3.6375999999999999</v>
      </c>
      <c r="H171" s="61">
        <f>7.1095* CHOOSE(CONTROL!$C$22, $C$13, 100%, $E$13)</f>
        <v>7.1094999999999997</v>
      </c>
      <c r="I171" s="61">
        <f>7.1097 * CHOOSE(CONTROL!$C$22, $C$13, 100%, $E$13)</f>
        <v>7.1097000000000001</v>
      </c>
      <c r="J171" s="61">
        <f>3.6375 * CHOOSE(CONTROL!$C$22, $C$13, 100%, $E$13)</f>
        <v>3.6375000000000002</v>
      </c>
      <c r="K171" s="61">
        <f>3.6376 * CHOOSE(CONTROL!$C$22, $C$13, 100%, $E$13)</f>
        <v>3.6375999999999999</v>
      </c>
    </row>
    <row r="172" spans="1:11" ht="15">
      <c r="A172" s="13">
        <v>47088</v>
      </c>
      <c r="B172" s="60">
        <f>3.5022 * CHOOSE(CONTROL!$C$22, $C$13, 100%, $E$13)</f>
        <v>3.5022000000000002</v>
      </c>
      <c r="C172" s="60">
        <f>3.5022 * CHOOSE(CONTROL!$C$22, $C$13, 100%, $E$13)</f>
        <v>3.5022000000000002</v>
      </c>
      <c r="D172" s="60">
        <f>3.5199 * CHOOSE(CONTROL!$C$22, $C$13, 100%, $E$13)</f>
        <v>3.5198999999999998</v>
      </c>
      <c r="E172" s="61">
        <f>3.6104 * CHOOSE(CONTROL!$C$22, $C$13, 100%, $E$13)</f>
        <v>3.6103999999999998</v>
      </c>
      <c r="F172" s="61">
        <f>3.6104 * CHOOSE(CONTROL!$C$22, $C$13, 100%, $E$13)</f>
        <v>3.6103999999999998</v>
      </c>
      <c r="G172" s="61">
        <f>3.6106 * CHOOSE(CONTROL!$C$22, $C$13, 100%, $E$13)</f>
        <v>3.6105999999999998</v>
      </c>
      <c r="H172" s="61">
        <f>7.1243* CHOOSE(CONTROL!$C$22, $C$13, 100%, $E$13)</f>
        <v>7.1242999999999999</v>
      </c>
      <c r="I172" s="61">
        <f>7.1245 * CHOOSE(CONTROL!$C$22, $C$13, 100%, $E$13)</f>
        <v>7.1245000000000003</v>
      </c>
      <c r="J172" s="61">
        <f>3.6104 * CHOOSE(CONTROL!$C$22, $C$13, 100%, $E$13)</f>
        <v>3.6103999999999998</v>
      </c>
      <c r="K172" s="61">
        <f>3.6106 * CHOOSE(CONTROL!$C$22, $C$13, 100%, $E$13)</f>
        <v>3.6105999999999998</v>
      </c>
    </row>
    <row r="173" spans="1:11" ht="15">
      <c r="A173" s="13">
        <v>47119</v>
      </c>
      <c r="B173" s="60">
        <f>3.5334 * CHOOSE(CONTROL!$C$22, $C$13, 100%, $E$13)</f>
        <v>3.5333999999999999</v>
      </c>
      <c r="C173" s="60">
        <f>3.5334 * CHOOSE(CONTROL!$C$22, $C$13, 100%, $E$13)</f>
        <v>3.5333999999999999</v>
      </c>
      <c r="D173" s="60">
        <f>3.551 * CHOOSE(CONTROL!$C$22, $C$13, 100%, $E$13)</f>
        <v>3.5510000000000002</v>
      </c>
      <c r="E173" s="61">
        <f>3.6805 * CHOOSE(CONTROL!$C$22, $C$13, 100%, $E$13)</f>
        <v>3.6804999999999999</v>
      </c>
      <c r="F173" s="61">
        <f>3.6805 * CHOOSE(CONTROL!$C$22, $C$13, 100%, $E$13)</f>
        <v>3.6804999999999999</v>
      </c>
      <c r="G173" s="61">
        <f>3.6806 * CHOOSE(CONTROL!$C$22, $C$13, 100%, $E$13)</f>
        <v>3.6806000000000001</v>
      </c>
      <c r="H173" s="61">
        <f>7.1392* CHOOSE(CONTROL!$C$22, $C$13, 100%, $E$13)</f>
        <v>7.1391999999999998</v>
      </c>
      <c r="I173" s="61">
        <f>7.1394 * CHOOSE(CONTROL!$C$22, $C$13, 100%, $E$13)</f>
        <v>7.1394000000000002</v>
      </c>
      <c r="J173" s="61">
        <f>3.6805 * CHOOSE(CONTROL!$C$22, $C$13, 100%, $E$13)</f>
        <v>3.6804999999999999</v>
      </c>
      <c r="K173" s="61">
        <f>3.6806 * CHOOSE(CONTROL!$C$22, $C$13, 100%, $E$13)</f>
        <v>3.6806000000000001</v>
      </c>
    </row>
    <row r="174" spans="1:11" ht="15">
      <c r="A174" s="13">
        <v>47150</v>
      </c>
      <c r="B174" s="60">
        <f>3.5303 * CHOOSE(CONTROL!$C$22, $C$13, 100%, $E$13)</f>
        <v>3.5303</v>
      </c>
      <c r="C174" s="60">
        <f>3.5303 * CHOOSE(CONTROL!$C$22, $C$13, 100%, $E$13)</f>
        <v>3.5303</v>
      </c>
      <c r="D174" s="60">
        <f>3.548 * CHOOSE(CONTROL!$C$22, $C$13, 100%, $E$13)</f>
        <v>3.548</v>
      </c>
      <c r="E174" s="61">
        <f>3.6258 * CHOOSE(CONTROL!$C$22, $C$13, 100%, $E$13)</f>
        <v>3.6257999999999999</v>
      </c>
      <c r="F174" s="61">
        <f>3.6258 * CHOOSE(CONTROL!$C$22, $C$13, 100%, $E$13)</f>
        <v>3.6257999999999999</v>
      </c>
      <c r="G174" s="61">
        <f>3.626 * CHOOSE(CONTROL!$C$22, $C$13, 100%, $E$13)</f>
        <v>3.6259999999999999</v>
      </c>
      <c r="H174" s="61">
        <f>7.1541* CHOOSE(CONTROL!$C$22, $C$13, 100%, $E$13)</f>
        <v>7.1540999999999997</v>
      </c>
      <c r="I174" s="61">
        <f>7.1542 * CHOOSE(CONTROL!$C$22, $C$13, 100%, $E$13)</f>
        <v>7.1542000000000003</v>
      </c>
      <c r="J174" s="61">
        <f>3.6258 * CHOOSE(CONTROL!$C$22, $C$13, 100%, $E$13)</f>
        <v>3.6257999999999999</v>
      </c>
      <c r="K174" s="61">
        <f>3.626 * CHOOSE(CONTROL!$C$22, $C$13, 100%, $E$13)</f>
        <v>3.6259999999999999</v>
      </c>
    </row>
    <row r="175" spans="1:11" ht="15">
      <c r="A175" s="13">
        <v>47178</v>
      </c>
      <c r="B175" s="60">
        <f>3.5273 * CHOOSE(CONTROL!$C$22, $C$13, 100%, $E$13)</f>
        <v>3.5272999999999999</v>
      </c>
      <c r="C175" s="60">
        <f>3.5273 * CHOOSE(CONTROL!$C$22, $C$13, 100%, $E$13)</f>
        <v>3.5272999999999999</v>
      </c>
      <c r="D175" s="60">
        <f>3.545 * CHOOSE(CONTROL!$C$22, $C$13, 100%, $E$13)</f>
        <v>3.5449999999999999</v>
      </c>
      <c r="E175" s="61">
        <f>3.6651 * CHOOSE(CONTROL!$C$22, $C$13, 100%, $E$13)</f>
        <v>3.6650999999999998</v>
      </c>
      <c r="F175" s="61">
        <f>3.6651 * CHOOSE(CONTROL!$C$22, $C$13, 100%, $E$13)</f>
        <v>3.6650999999999998</v>
      </c>
      <c r="G175" s="61">
        <f>3.6653 * CHOOSE(CONTROL!$C$22, $C$13, 100%, $E$13)</f>
        <v>3.6652999999999998</v>
      </c>
      <c r="H175" s="61">
        <f>7.169* CHOOSE(CONTROL!$C$22, $C$13, 100%, $E$13)</f>
        <v>7.1689999999999996</v>
      </c>
      <c r="I175" s="61">
        <f>7.1691 * CHOOSE(CONTROL!$C$22, $C$13, 100%, $E$13)</f>
        <v>7.1691000000000003</v>
      </c>
      <c r="J175" s="61">
        <f>3.6651 * CHOOSE(CONTROL!$C$22, $C$13, 100%, $E$13)</f>
        <v>3.6650999999999998</v>
      </c>
      <c r="K175" s="61">
        <f>3.6653 * CHOOSE(CONTROL!$C$22, $C$13, 100%, $E$13)</f>
        <v>3.6652999999999998</v>
      </c>
    </row>
    <row r="176" spans="1:11" ht="15">
      <c r="A176" s="13">
        <v>47209</v>
      </c>
      <c r="B176" s="60">
        <f>3.5245 * CHOOSE(CONTROL!$C$22, $C$13, 100%, $E$13)</f>
        <v>3.5245000000000002</v>
      </c>
      <c r="C176" s="60">
        <f>3.5245 * CHOOSE(CONTROL!$C$22, $C$13, 100%, $E$13)</f>
        <v>3.5245000000000002</v>
      </c>
      <c r="D176" s="60">
        <f>3.5422 * CHOOSE(CONTROL!$C$22, $C$13, 100%, $E$13)</f>
        <v>3.5421999999999998</v>
      </c>
      <c r="E176" s="61">
        <f>3.7054 * CHOOSE(CONTROL!$C$22, $C$13, 100%, $E$13)</f>
        <v>3.7054</v>
      </c>
      <c r="F176" s="61">
        <f>3.7054 * CHOOSE(CONTROL!$C$22, $C$13, 100%, $E$13)</f>
        <v>3.7054</v>
      </c>
      <c r="G176" s="61">
        <f>3.7055 * CHOOSE(CONTROL!$C$22, $C$13, 100%, $E$13)</f>
        <v>3.7054999999999998</v>
      </c>
      <c r="H176" s="61">
        <f>7.1839* CHOOSE(CONTROL!$C$22, $C$13, 100%, $E$13)</f>
        <v>7.1839000000000004</v>
      </c>
      <c r="I176" s="61">
        <f>7.1841 * CHOOSE(CONTROL!$C$22, $C$13, 100%, $E$13)</f>
        <v>7.1840999999999999</v>
      </c>
      <c r="J176" s="61">
        <f>3.7054 * CHOOSE(CONTROL!$C$22, $C$13, 100%, $E$13)</f>
        <v>3.7054</v>
      </c>
      <c r="K176" s="61">
        <f>3.7055 * CHOOSE(CONTROL!$C$22, $C$13, 100%, $E$13)</f>
        <v>3.7054999999999998</v>
      </c>
    </row>
    <row r="177" spans="1:11" ht="15">
      <c r="A177" s="13">
        <v>47239</v>
      </c>
      <c r="B177" s="60">
        <f>3.5245 * CHOOSE(CONTROL!$C$22, $C$13, 100%, $E$13)</f>
        <v>3.5245000000000002</v>
      </c>
      <c r="C177" s="60">
        <f>3.5245 * CHOOSE(CONTROL!$C$22, $C$13, 100%, $E$13)</f>
        <v>3.5245000000000002</v>
      </c>
      <c r="D177" s="60">
        <f>3.5598 * CHOOSE(CONTROL!$C$22, $C$13, 100%, $E$13)</f>
        <v>3.5598000000000001</v>
      </c>
      <c r="E177" s="61">
        <f>3.722 * CHOOSE(CONTROL!$C$22, $C$13, 100%, $E$13)</f>
        <v>3.722</v>
      </c>
      <c r="F177" s="61">
        <f>3.722 * CHOOSE(CONTROL!$C$22, $C$13, 100%, $E$13)</f>
        <v>3.722</v>
      </c>
      <c r="G177" s="61">
        <f>3.7242 * CHOOSE(CONTROL!$C$22, $C$13, 100%, $E$13)</f>
        <v>3.7242000000000002</v>
      </c>
      <c r="H177" s="61">
        <f>7.1989* CHOOSE(CONTROL!$C$22, $C$13, 100%, $E$13)</f>
        <v>7.1989000000000001</v>
      </c>
      <c r="I177" s="61">
        <f>7.201 * CHOOSE(CONTROL!$C$22, $C$13, 100%, $E$13)</f>
        <v>7.2009999999999996</v>
      </c>
      <c r="J177" s="61">
        <f>3.722 * CHOOSE(CONTROL!$C$22, $C$13, 100%, $E$13)</f>
        <v>3.722</v>
      </c>
      <c r="K177" s="61">
        <f>3.7242 * CHOOSE(CONTROL!$C$22, $C$13, 100%, $E$13)</f>
        <v>3.7242000000000002</v>
      </c>
    </row>
    <row r="178" spans="1:11" ht="15">
      <c r="A178" s="13">
        <v>47270</v>
      </c>
      <c r="B178" s="60">
        <f>3.5306 * CHOOSE(CONTROL!$C$22, $C$13, 100%, $E$13)</f>
        <v>3.5306000000000002</v>
      </c>
      <c r="C178" s="60">
        <f>3.5306 * CHOOSE(CONTROL!$C$22, $C$13, 100%, $E$13)</f>
        <v>3.5306000000000002</v>
      </c>
      <c r="D178" s="60">
        <f>3.5659 * CHOOSE(CONTROL!$C$22, $C$13, 100%, $E$13)</f>
        <v>3.5659000000000001</v>
      </c>
      <c r="E178" s="61">
        <f>3.7096 * CHOOSE(CONTROL!$C$22, $C$13, 100%, $E$13)</f>
        <v>3.7096</v>
      </c>
      <c r="F178" s="61">
        <f>3.7096 * CHOOSE(CONTROL!$C$22, $C$13, 100%, $E$13)</f>
        <v>3.7096</v>
      </c>
      <c r="G178" s="61">
        <f>3.7118 * CHOOSE(CONTROL!$C$22, $C$13, 100%, $E$13)</f>
        <v>3.7118000000000002</v>
      </c>
      <c r="H178" s="61">
        <f>7.2139* CHOOSE(CONTROL!$C$22, $C$13, 100%, $E$13)</f>
        <v>7.2138999999999998</v>
      </c>
      <c r="I178" s="61">
        <f>7.216 * CHOOSE(CONTROL!$C$22, $C$13, 100%, $E$13)</f>
        <v>7.2160000000000002</v>
      </c>
      <c r="J178" s="61">
        <f>3.7096 * CHOOSE(CONTROL!$C$22, $C$13, 100%, $E$13)</f>
        <v>3.7096</v>
      </c>
      <c r="K178" s="61">
        <f>3.7118 * CHOOSE(CONTROL!$C$22, $C$13, 100%, $E$13)</f>
        <v>3.7118000000000002</v>
      </c>
    </row>
    <row r="179" spans="1:11" ht="15">
      <c r="A179" s="13">
        <v>47300</v>
      </c>
      <c r="B179" s="60">
        <f>3.5897 * CHOOSE(CONTROL!$C$22, $C$13, 100%, $E$13)</f>
        <v>3.5897000000000001</v>
      </c>
      <c r="C179" s="60">
        <f>3.5897 * CHOOSE(CONTROL!$C$22, $C$13, 100%, $E$13)</f>
        <v>3.5897000000000001</v>
      </c>
      <c r="D179" s="60">
        <f>3.625 * CHOOSE(CONTROL!$C$22, $C$13, 100%, $E$13)</f>
        <v>3.625</v>
      </c>
      <c r="E179" s="61">
        <f>3.8261 * CHOOSE(CONTROL!$C$22, $C$13, 100%, $E$13)</f>
        <v>3.8260999999999998</v>
      </c>
      <c r="F179" s="61">
        <f>3.8261 * CHOOSE(CONTROL!$C$22, $C$13, 100%, $E$13)</f>
        <v>3.8260999999999998</v>
      </c>
      <c r="G179" s="61">
        <f>3.8283 * CHOOSE(CONTROL!$C$22, $C$13, 100%, $E$13)</f>
        <v>3.8283</v>
      </c>
      <c r="H179" s="61">
        <f>7.2289* CHOOSE(CONTROL!$C$22, $C$13, 100%, $E$13)</f>
        <v>7.2289000000000003</v>
      </c>
      <c r="I179" s="61">
        <f>7.2311 * CHOOSE(CONTROL!$C$22, $C$13, 100%, $E$13)</f>
        <v>7.2310999999999996</v>
      </c>
      <c r="J179" s="61">
        <f>3.8261 * CHOOSE(CONTROL!$C$22, $C$13, 100%, $E$13)</f>
        <v>3.8260999999999998</v>
      </c>
      <c r="K179" s="61">
        <f>3.8283 * CHOOSE(CONTROL!$C$22, $C$13, 100%, $E$13)</f>
        <v>3.8283</v>
      </c>
    </row>
    <row r="180" spans="1:11" ht="15">
      <c r="A180" s="13">
        <v>47331</v>
      </c>
      <c r="B180" s="60">
        <f>3.5964 * CHOOSE(CONTROL!$C$22, $C$13, 100%, $E$13)</f>
        <v>3.5964</v>
      </c>
      <c r="C180" s="60">
        <f>3.5964 * CHOOSE(CONTROL!$C$22, $C$13, 100%, $E$13)</f>
        <v>3.5964</v>
      </c>
      <c r="D180" s="60">
        <f>3.6317 * CHOOSE(CONTROL!$C$22, $C$13, 100%, $E$13)</f>
        <v>3.6316999999999999</v>
      </c>
      <c r="E180" s="61">
        <f>3.7807 * CHOOSE(CONTROL!$C$22, $C$13, 100%, $E$13)</f>
        <v>3.7806999999999999</v>
      </c>
      <c r="F180" s="61">
        <f>3.7807 * CHOOSE(CONTROL!$C$22, $C$13, 100%, $E$13)</f>
        <v>3.7806999999999999</v>
      </c>
      <c r="G180" s="61">
        <f>3.7829 * CHOOSE(CONTROL!$C$22, $C$13, 100%, $E$13)</f>
        <v>3.7829000000000002</v>
      </c>
      <c r="H180" s="61">
        <f>7.244* CHOOSE(CONTROL!$C$22, $C$13, 100%, $E$13)</f>
        <v>7.2439999999999998</v>
      </c>
      <c r="I180" s="61">
        <f>7.2461 * CHOOSE(CONTROL!$C$22, $C$13, 100%, $E$13)</f>
        <v>7.2461000000000002</v>
      </c>
      <c r="J180" s="61">
        <f>3.7807 * CHOOSE(CONTROL!$C$22, $C$13, 100%, $E$13)</f>
        <v>3.7806999999999999</v>
      </c>
      <c r="K180" s="61">
        <f>3.7829 * CHOOSE(CONTROL!$C$22, $C$13, 100%, $E$13)</f>
        <v>3.7829000000000002</v>
      </c>
    </row>
    <row r="181" spans="1:11" ht="15">
      <c r="A181" s="13">
        <v>47362</v>
      </c>
      <c r="B181" s="60">
        <f>3.5933 * CHOOSE(CONTROL!$C$22, $C$13, 100%, $E$13)</f>
        <v>3.5933000000000002</v>
      </c>
      <c r="C181" s="60">
        <f>3.5933 * CHOOSE(CONTROL!$C$22, $C$13, 100%, $E$13)</f>
        <v>3.5933000000000002</v>
      </c>
      <c r="D181" s="60">
        <f>3.6287 * CHOOSE(CONTROL!$C$22, $C$13, 100%, $E$13)</f>
        <v>3.6286999999999998</v>
      </c>
      <c r="E181" s="61">
        <f>3.773 * CHOOSE(CONTROL!$C$22, $C$13, 100%, $E$13)</f>
        <v>3.7730000000000001</v>
      </c>
      <c r="F181" s="61">
        <f>3.773 * CHOOSE(CONTROL!$C$22, $C$13, 100%, $E$13)</f>
        <v>3.7730000000000001</v>
      </c>
      <c r="G181" s="61">
        <f>3.7752 * CHOOSE(CONTROL!$C$22, $C$13, 100%, $E$13)</f>
        <v>3.7751999999999999</v>
      </c>
      <c r="H181" s="61">
        <f>7.259* CHOOSE(CONTROL!$C$22, $C$13, 100%, $E$13)</f>
        <v>7.2590000000000003</v>
      </c>
      <c r="I181" s="61">
        <f>7.2612 * CHOOSE(CONTROL!$C$22, $C$13, 100%, $E$13)</f>
        <v>7.2611999999999997</v>
      </c>
      <c r="J181" s="61">
        <f>3.773 * CHOOSE(CONTROL!$C$22, $C$13, 100%, $E$13)</f>
        <v>3.7730000000000001</v>
      </c>
      <c r="K181" s="61">
        <f>3.7752 * CHOOSE(CONTROL!$C$22, $C$13, 100%, $E$13)</f>
        <v>3.7751999999999999</v>
      </c>
    </row>
    <row r="182" spans="1:11" ht="15">
      <c r="A182" s="13">
        <v>47392</v>
      </c>
      <c r="B182" s="60">
        <f>3.587 * CHOOSE(CONTROL!$C$22, $C$13, 100%, $E$13)</f>
        <v>3.5870000000000002</v>
      </c>
      <c r="C182" s="60">
        <f>3.587 * CHOOSE(CONTROL!$C$22, $C$13, 100%, $E$13)</f>
        <v>3.5870000000000002</v>
      </c>
      <c r="D182" s="60">
        <f>3.6046 * CHOOSE(CONTROL!$C$22, $C$13, 100%, $E$13)</f>
        <v>3.6046</v>
      </c>
      <c r="E182" s="61">
        <f>3.7819 * CHOOSE(CONTROL!$C$22, $C$13, 100%, $E$13)</f>
        <v>3.7818999999999998</v>
      </c>
      <c r="F182" s="61">
        <f>3.7819 * CHOOSE(CONTROL!$C$22, $C$13, 100%, $E$13)</f>
        <v>3.7818999999999998</v>
      </c>
      <c r="G182" s="61">
        <f>3.782 * CHOOSE(CONTROL!$C$22, $C$13, 100%, $E$13)</f>
        <v>3.782</v>
      </c>
      <c r="H182" s="61">
        <f>7.2742* CHOOSE(CONTROL!$C$22, $C$13, 100%, $E$13)</f>
        <v>7.2742000000000004</v>
      </c>
      <c r="I182" s="61">
        <f>7.2743 * CHOOSE(CONTROL!$C$22, $C$13, 100%, $E$13)</f>
        <v>7.2743000000000002</v>
      </c>
      <c r="J182" s="61">
        <f>3.7819 * CHOOSE(CONTROL!$C$22, $C$13, 100%, $E$13)</f>
        <v>3.7818999999999998</v>
      </c>
      <c r="K182" s="61">
        <f>3.782 * CHOOSE(CONTROL!$C$22, $C$13, 100%, $E$13)</f>
        <v>3.782</v>
      </c>
    </row>
    <row r="183" spans="1:11" ht="15">
      <c r="A183" s="13">
        <v>47423</v>
      </c>
      <c r="B183" s="60">
        <f>3.59 * CHOOSE(CONTROL!$C$22, $C$13, 100%, $E$13)</f>
        <v>3.59</v>
      </c>
      <c r="C183" s="60">
        <f>3.59 * CHOOSE(CONTROL!$C$22, $C$13, 100%, $E$13)</f>
        <v>3.59</v>
      </c>
      <c r="D183" s="60">
        <f>3.6077 * CHOOSE(CONTROL!$C$22, $C$13, 100%, $E$13)</f>
        <v>3.6076999999999999</v>
      </c>
      <c r="E183" s="61">
        <f>3.7951 * CHOOSE(CONTROL!$C$22, $C$13, 100%, $E$13)</f>
        <v>3.7951000000000001</v>
      </c>
      <c r="F183" s="61">
        <f>3.7951 * CHOOSE(CONTROL!$C$22, $C$13, 100%, $E$13)</f>
        <v>3.7951000000000001</v>
      </c>
      <c r="G183" s="61">
        <f>3.7953 * CHOOSE(CONTROL!$C$22, $C$13, 100%, $E$13)</f>
        <v>3.7953000000000001</v>
      </c>
      <c r="H183" s="61">
        <f>7.2893* CHOOSE(CONTROL!$C$22, $C$13, 100%, $E$13)</f>
        <v>7.2892999999999999</v>
      </c>
      <c r="I183" s="61">
        <f>7.2895 * CHOOSE(CONTROL!$C$22, $C$13, 100%, $E$13)</f>
        <v>7.2895000000000003</v>
      </c>
      <c r="J183" s="61">
        <f>3.7951 * CHOOSE(CONTROL!$C$22, $C$13, 100%, $E$13)</f>
        <v>3.7951000000000001</v>
      </c>
      <c r="K183" s="61">
        <f>3.7953 * CHOOSE(CONTROL!$C$22, $C$13, 100%, $E$13)</f>
        <v>3.7953000000000001</v>
      </c>
    </row>
    <row r="184" spans="1:11" ht="15">
      <c r="A184" s="13">
        <v>47453</v>
      </c>
      <c r="B184" s="60">
        <f>3.59 * CHOOSE(CONTROL!$C$22, $C$13, 100%, $E$13)</f>
        <v>3.59</v>
      </c>
      <c r="C184" s="60">
        <f>3.59 * CHOOSE(CONTROL!$C$22, $C$13, 100%, $E$13)</f>
        <v>3.59</v>
      </c>
      <c r="D184" s="60">
        <f>3.6077 * CHOOSE(CONTROL!$C$22, $C$13, 100%, $E$13)</f>
        <v>3.6076999999999999</v>
      </c>
      <c r="E184" s="61">
        <f>3.7673 * CHOOSE(CONTROL!$C$22, $C$13, 100%, $E$13)</f>
        <v>3.7673000000000001</v>
      </c>
      <c r="F184" s="61">
        <f>3.7673 * CHOOSE(CONTROL!$C$22, $C$13, 100%, $E$13)</f>
        <v>3.7673000000000001</v>
      </c>
      <c r="G184" s="61">
        <f>3.7675 * CHOOSE(CONTROL!$C$22, $C$13, 100%, $E$13)</f>
        <v>3.7675000000000001</v>
      </c>
      <c r="H184" s="61">
        <f>7.3045* CHOOSE(CONTROL!$C$22, $C$13, 100%, $E$13)</f>
        <v>7.3045</v>
      </c>
      <c r="I184" s="61">
        <f>7.3047 * CHOOSE(CONTROL!$C$22, $C$13, 100%, $E$13)</f>
        <v>7.3047000000000004</v>
      </c>
      <c r="J184" s="61">
        <f>3.7673 * CHOOSE(CONTROL!$C$22, $C$13, 100%, $E$13)</f>
        <v>3.7673000000000001</v>
      </c>
      <c r="K184" s="61">
        <f>3.7675 * CHOOSE(CONTROL!$C$22, $C$13, 100%, $E$13)</f>
        <v>3.7675000000000001</v>
      </c>
    </row>
    <row r="185" spans="1:11" ht="15">
      <c r="A185" s="13">
        <v>47484</v>
      </c>
      <c r="B185" s="60">
        <f>3.6254 * CHOOSE(CONTROL!$C$22, $C$13, 100%, $E$13)</f>
        <v>3.6254</v>
      </c>
      <c r="C185" s="60">
        <f>3.6254 * CHOOSE(CONTROL!$C$22, $C$13, 100%, $E$13)</f>
        <v>3.6254</v>
      </c>
      <c r="D185" s="60">
        <f>3.6431 * CHOOSE(CONTROL!$C$22, $C$13, 100%, $E$13)</f>
        <v>3.6431</v>
      </c>
      <c r="E185" s="61">
        <f>3.8175 * CHOOSE(CONTROL!$C$22, $C$13, 100%, $E$13)</f>
        <v>3.8174999999999999</v>
      </c>
      <c r="F185" s="61">
        <f>3.8175 * CHOOSE(CONTROL!$C$22, $C$13, 100%, $E$13)</f>
        <v>3.8174999999999999</v>
      </c>
      <c r="G185" s="61">
        <f>3.8177 * CHOOSE(CONTROL!$C$22, $C$13, 100%, $E$13)</f>
        <v>3.8176999999999999</v>
      </c>
      <c r="H185" s="61">
        <f>7.3197* CHOOSE(CONTROL!$C$22, $C$13, 100%, $E$13)</f>
        <v>7.3197000000000001</v>
      </c>
      <c r="I185" s="61">
        <f>7.3199 * CHOOSE(CONTROL!$C$22, $C$13, 100%, $E$13)</f>
        <v>7.3198999999999996</v>
      </c>
      <c r="J185" s="61">
        <f>3.8175 * CHOOSE(CONTROL!$C$22, $C$13, 100%, $E$13)</f>
        <v>3.8174999999999999</v>
      </c>
      <c r="K185" s="61">
        <f>3.8177 * CHOOSE(CONTROL!$C$22, $C$13, 100%, $E$13)</f>
        <v>3.8176999999999999</v>
      </c>
    </row>
    <row r="186" spans="1:11" ht="15">
      <c r="A186" s="13">
        <v>47515</v>
      </c>
      <c r="B186" s="60">
        <f>3.6224 * CHOOSE(CONTROL!$C$22, $C$13, 100%, $E$13)</f>
        <v>3.6223999999999998</v>
      </c>
      <c r="C186" s="60">
        <f>3.6224 * CHOOSE(CONTROL!$C$22, $C$13, 100%, $E$13)</f>
        <v>3.6223999999999998</v>
      </c>
      <c r="D186" s="60">
        <f>3.64 * CHOOSE(CONTROL!$C$22, $C$13, 100%, $E$13)</f>
        <v>3.64</v>
      </c>
      <c r="E186" s="61">
        <f>3.7611 * CHOOSE(CONTROL!$C$22, $C$13, 100%, $E$13)</f>
        <v>3.7610999999999999</v>
      </c>
      <c r="F186" s="61">
        <f>3.7611 * CHOOSE(CONTROL!$C$22, $C$13, 100%, $E$13)</f>
        <v>3.7610999999999999</v>
      </c>
      <c r="G186" s="61">
        <f>3.7612 * CHOOSE(CONTROL!$C$22, $C$13, 100%, $E$13)</f>
        <v>3.7612000000000001</v>
      </c>
      <c r="H186" s="61">
        <f>7.335* CHOOSE(CONTROL!$C$22, $C$13, 100%, $E$13)</f>
        <v>7.335</v>
      </c>
      <c r="I186" s="61">
        <f>7.3351 * CHOOSE(CONTROL!$C$22, $C$13, 100%, $E$13)</f>
        <v>7.3350999999999997</v>
      </c>
      <c r="J186" s="61">
        <f>3.7611 * CHOOSE(CONTROL!$C$22, $C$13, 100%, $E$13)</f>
        <v>3.7610999999999999</v>
      </c>
      <c r="K186" s="61">
        <f>3.7612 * CHOOSE(CONTROL!$C$22, $C$13, 100%, $E$13)</f>
        <v>3.7612000000000001</v>
      </c>
    </row>
    <row r="187" spans="1:11" ht="15">
      <c r="A187" s="13">
        <v>47543</v>
      </c>
      <c r="B187" s="60">
        <f>3.6193 * CHOOSE(CONTROL!$C$22, $C$13, 100%, $E$13)</f>
        <v>3.6193</v>
      </c>
      <c r="C187" s="60">
        <f>3.6193 * CHOOSE(CONTROL!$C$22, $C$13, 100%, $E$13)</f>
        <v>3.6193</v>
      </c>
      <c r="D187" s="60">
        <f>3.637 * CHOOSE(CONTROL!$C$22, $C$13, 100%, $E$13)</f>
        <v>3.637</v>
      </c>
      <c r="E187" s="61">
        <f>3.8018 * CHOOSE(CONTROL!$C$22, $C$13, 100%, $E$13)</f>
        <v>3.8018000000000001</v>
      </c>
      <c r="F187" s="61">
        <f>3.8018 * CHOOSE(CONTROL!$C$22, $C$13, 100%, $E$13)</f>
        <v>3.8018000000000001</v>
      </c>
      <c r="G187" s="61">
        <f>3.802 * CHOOSE(CONTROL!$C$22, $C$13, 100%, $E$13)</f>
        <v>3.802</v>
      </c>
      <c r="H187" s="61">
        <f>7.3503* CHOOSE(CONTROL!$C$22, $C$13, 100%, $E$13)</f>
        <v>7.3502999999999998</v>
      </c>
      <c r="I187" s="61">
        <f>7.3504 * CHOOSE(CONTROL!$C$22, $C$13, 100%, $E$13)</f>
        <v>7.3503999999999996</v>
      </c>
      <c r="J187" s="61">
        <f>3.8018 * CHOOSE(CONTROL!$C$22, $C$13, 100%, $E$13)</f>
        <v>3.8018000000000001</v>
      </c>
      <c r="K187" s="61">
        <f>3.802 * CHOOSE(CONTROL!$C$22, $C$13, 100%, $E$13)</f>
        <v>3.802</v>
      </c>
    </row>
    <row r="188" spans="1:11" ht="15">
      <c r="A188" s="13">
        <v>47574</v>
      </c>
      <c r="B188" s="60">
        <f>3.6166 * CHOOSE(CONTROL!$C$22, $C$13, 100%, $E$13)</f>
        <v>3.6166</v>
      </c>
      <c r="C188" s="60">
        <f>3.6166 * CHOOSE(CONTROL!$C$22, $C$13, 100%, $E$13)</f>
        <v>3.6166</v>
      </c>
      <c r="D188" s="60">
        <f>3.6343 * CHOOSE(CONTROL!$C$22, $C$13, 100%, $E$13)</f>
        <v>3.6343000000000001</v>
      </c>
      <c r="E188" s="61">
        <f>3.8436 * CHOOSE(CONTROL!$C$22, $C$13, 100%, $E$13)</f>
        <v>3.8435999999999999</v>
      </c>
      <c r="F188" s="61">
        <f>3.8436 * CHOOSE(CONTROL!$C$22, $C$13, 100%, $E$13)</f>
        <v>3.8435999999999999</v>
      </c>
      <c r="G188" s="61">
        <f>3.8437 * CHOOSE(CONTROL!$C$22, $C$13, 100%, $E$13)</f>
        <v>3.8437000000000001</v>
      </c>
      <c r="H188" s="61">
        <f>7.3656* CHOOSE(CONTROL!$C$22, $C$13, 100%, $E$13)</f>
        <v>7.3655999999999997</v>
      </c>
      <c r="I188" s="61">
        <f>7.3657 * CHOOSE(CONTROL!$C$22, $C$13, 100%, $E$13)</f>
        <v>7.3657000000000004</v>
      </c>
      <c r="J188" s="61">
        <f>3.8436 * CHOOSE(CONTROL!$C$22, $C$13, 100%, $E$13)</f>
        <v>3.8435999999999999</v>
      </c>
      <c r="K188" s="61">
        <f>3.8437 * CHOOSE(CONTROL!$C$22, $C$13, 100%, $E$13)</f>
        <v>3.8437000000000001</v>
      </c>
    </row>
    <row r="189" spans="1:11" ht="15">
      <c r="A189" s="13">
        <v>47604</v>
      </c>
      <c r="B189" s="60">
        <f>3.6166 * CHOOSE(CONTROL!$C$22, $C$13, 100%, $E$13)</f>
        <v>3.6166</v>
      </c>
      <c r="C189" s="60">
        <f>3.6166 * CHOOSE(CONTROL!$C$22, $C$13, 100%, $E$13)</f>
        <v>3.6166</v>
      </c>
      <c r="D189" s="60">
        <f>3.6519 * CHOOSE(CONTROL!$C$22, $C$13, 100%, $E$13)</f>
        <v>3.6518999999999999</v>
      </c>
      <c r="E189" s="61">
        <f>3.8608 * CHOOSE(CONTROL!$C$22, $C$13, 100%, $E$13)</f>
        <v>3.8607999999999998</v>
      </c>
      <c r="F189" s="61">
        <f>3.8608 * CHOOSE(CONTROL!$C$22, $C$13, 100%, $E$13)</f>
        <v>3.8607999999999998</v>
      </c>
      <c r="G189" s="61">
        <f>3.863 * CHOOSE(CONTROL!$C$22, $C$13, 100%, $E$13)</f>
        <v>3.863</v>
      </c>
      <c r="H189" s="61">
        <f>7.3809* CHOOSE(CONTROL!$C$22, $C$13, 100%, $E$13)</f>
        <v>7.3808999999999996</v>
      </c>
      <c r="I189" s="61">
        <f>7.3831 * CHOOSE(CONTROL!$C$22, $C$13, 100%, $E$13)</f>
        <v>7.3830999999999998</v>
      </c>
      <c r="J189" s="61">
        <f>3.8608 * CHOOSE(CONTROL!$C$22, $C$13, 100%, $E$13)</f>
        <v>3.8607999999999998</v>
      </c>
      <c r="K189" s="61">
        <f>3.863 * CHOOSE(CONTROL!$C$22, $C$13, 100%, $E$13)</f>
        <v>3.863</v>
      </c>
    </row>
    <row r="190" spans="1:11" ht="15">
      <c r="A190" s="13">
        <v>47635</v>
      </c>
      <c r="B190" s="60">
        <f>3.6227 * CHOOSE(CONTROL!$C$22, $C$13, 100%, $E$13)</f>
        <v>3.6227</v>
      </c>
      <c r="C190" s="60">
        <f>3.6227 * CHOOSE(CONTROL!$C$22, $C$13, 100%, $E$13)</f>
        <v>3.6227</v>
      </c>
      <c r="D190" s="60">
        <f>3.658 * CHOOSE(CONTROL!$C$22, $C$13, 100%, $E$13)</f>
        <v>3.6579999999999999</v>
      </c>
      <c r="E190" s="61">
        <f>3.8478 * CHOOSE(CONTROL!$C$22, $C$13, 100%, $E$13)</f>
        <v>3.8477999999999999</v>
      </c>
      <c r="F190" s="61">
        <f>3.8478 * CHOOSE(CONTROL!$C$22, $C$13, 100%, $E$13)</f>
        <v>3.8477999999999999</v>
      </c>
      <c r="G190" s="61">
        <f>3.85 * CHOOSE(CONTROL!$C$22, $C$13, 100%, $E$13)</f>
        <v>3.85</v>
      </c>
      <c r="H190" s="61">
        <f>7.3963* CHOOSE(CONTROL!$C$22, $C$13, 100%, $E$13)</f>
        <v>7.3963000000000001</v>
      </c>
      <c r="I190" s="61">
        <f>7.3985 * CHOOSE(CONTROL!$C$22, $C$13, 100%, $E$13)</f>
        <v>7.3985000000000003</v>
      </c>
      <c r="J190" s="61">
        <f>3.8478 * CHOOSE(CONTROL!$C$22, $C$13, 100%, $E$13)</f>
        <v>3.8477999999999999</v>
      </c>
      <c r="K190" s="61">
        <f>3.85 * CHOOSE(CONTROL!$C$22, $C$13, 100%, $E$13)</f>
        <v>3.85</v>
      </c>
    </row>
    <row r="191" spans="1:11" ht="15">
      <c r="A191" s="13">
        <v>47665</v>
      </c>
      <c r="B191" s="60">
        <f>3.6908 * CHOOSE(CONTROL!$C$22, $C$13, 100%, $E$13)</f>
        <v>3.6907999999999999</v>
      </c>
      <c r="C191" s="60">
        <f>3.6908 * CHOOSE(CONTROL!$C$22, $C$13, 100%, $E$13)</f>
        <v>3.6907999999999999</v>
      </c>
      <c r="D191" s="60">
        <f>3.7261 * CHOOSE(CONTROL!$C$22, $C$13, 100%, $E$13)</f>
        <v>3.7261000000000002</v>
      </c>
      <c r="E191" s="61">
        <f>3.9043 * CHOOSE(CONTROL!$C$22, $C$13, 100%, $E$13)</f>
        <v>3.9043000000000001</v>
      </c>
      <c r="F191" s="61">
        <f>3.9043 * CHOOSE(CONTROL!$C$22, $C$13, 100%, $E$13)</f>
        <v>3.9043000000000001</v>
      </c>
      <c r="G191" s="61">
        <f>3.9065 * CHOOSE(CONTROL!$C$22, $C$13, 100%, $E$13)</f>
        <v>3.9064999999999999</v>
      </c>
      <c r="H191" s="61">
        <f>7.4117* CHOOSE(CONTROL!$C$22, $C$13, 100%, $E$13)</f>
        <v>7.4116999999999997</v>
      </c>
      <c r="I191" s="61">
        <f>7.4139 * CHOOSE(CONTROL!$C$22, $C$13, 100%, $E$13)</f>
        <v>7.4138999999999999</v>
      </c>
      <c r="J191" s="61">
        <f>3.9043 * CHOOSE(CONTROL!$C$22, $C$13, 100%, $E$13)</f>
        <v>3.9043000000000001</v>
      </c>
      <c r="K191" s="61">
        <f>3.9065 * CHOOSE(CONTROL!$C$22, $C$13, 100%, $E$13)</f>
        <v>3.9064999999999999</v>
      </c>
    </row>
    <row r="192" spans="1:11" ht="15">
      <c r="A192" s="13">
        <v>47696</v>
      </c>
      <c r="B192" s="60">
        <f>3.6975 * CHOOSE(CONTROL!$C$22, $C$13, 100%, $E$13)</f>
        <v>3.6974999999999998</v>
      </c>
      <c r="C192" s="60">
        <f>3.6975 * CHOOSE(CONTROL!$C$22, $C$13, 100%, $E$13)</f>
        <v>3.6974999999999998</v>
      </c>
      <c r="D192" s="60">
        <f>3.7328 * CHOOSE(CONTROL!$C$22, $C$13, 100%, $E$13)</f>
        <v>3.7328000000000001</v>
      </c>
      <c r="E192" s="61">
        <f>3.8572 * CHOOSE(CONTROL!$C$22, $C$13, 100%, $E$13)</f>
        <v>3.8572000000000002</v>
      </c>
      <c r="F192" s="61">
        <f>3.8572 * CHOOSE(CONTROL!$C$22, $C$13, 100%, $E$13)</f>
        <v>3.8572000000000002</v>
      </c>
      <c r="G192" s="61">
        <f>3.8594 * CHOOSE(CONTROL!$C$22, $C$13, 100%, $E$13)</f>
        <v>3.8593999999999999</v>
      </c>
      <c r="H192" s="61">
        <f>7.4271* CHOOSE(CONTROL!$C$22, $C$13, 100%, $E$13)</f>
        <v>7.4271000000000003</v>
      </c>
      <c r="I192" s="61">
        <f>7.4293 * CHOOSE(CONTROL!$C$22, $C$13, 100%, $E$13)</f>
        <v>7.4292999999999996</v>
      </c>
      <c r="J192" s="61">
        <f>3.8572 * CHOOSE(CONTROL!$C$22, $C$13, 100%, $E$13)</f>
        <v>3.8572000000000002</v>
      </c>
      <c r="K192" s="61">
        <f>3.8594 * CHOOSE(CONTROL!$C$22, $C$13, 100%, $E$13)</f>
        <v>3.8593999999999999</v>
      </c>
    </row>
    <row r="193" spans="1:11" ht="15">
      <c r="A193" s="13">
        <v>47727</v>
      </c>
      <c r="B193" s="60">
        <f>3.6945 * CHOOSE(CONTROL!$C$22, $C$13, 100%, $E$13)</f>
        <v>3.6945000000000001</v>
      </c>
      <c r="C193" s="60">
        <f>3.6945 * CHOOSE(CONTROL!$C$22, $C$13, 100%, $E$13)</f>
        <v>3.6945000000000001</v>
      </c>
      <c r="D193" s="60">
        <f>3.7298 * CHOOSE(CONTROL!$C$22, $C$13, 100%, $E$13)</f>
        <v>3.7298</v>
      </c>
      <c r="E193" s="61">
        <f>3.8493 * CHOOSE(CONTROL!$C$22, $C$13, 100%, $E$13)</f>
        <v>3.8492999999999999</v>
      </c>
      <c r="F193" s="61">
        <f>3.8493 * CHOOSE(CONTROL!$C$22, $C$13, 100%, $E$13)</f>
        <v>3.8492999999999999</v>
      </c>
      <c r="G193" s="61">
        <f>3.8515 * CHOOSE(CONTROL!$C$22, $C$13, 100%, $E$13)</f>
        <v>3.8515000000000001</v>
      </c>
      <c r="H193" s="61">
        <f>7.4426* CHOOSE(CONTROL!$C$22, $C$13, 100%, $E$13)</f>
        <v>7.4425999999999997</v>
      </c>
      <c r="I193" s="61">
        <f>7.4448 * CHOOSE(CONTROL!$C$22, $C$13, 100%, $E$13)</f>
        <v>7.4447999999999999</v>
      </c>
      <c r="J193" s="61">
        <f>3.8493 * CHOOSE(CONTROL!$C$22, $C$13, 100%, $E$13)</f>
        <v>3.8492999999999999</v>
      </c>
      <c r="K193" s="61">
        <f>3.8515 * CHOOSE(CONTROL!$C$22, $C$13, 100%, $E$13)</f>
        <v>3.8515000000000001</v>
      </c>
    </row>
    <row r="194" spans="1:11" ht="15">
      <c r="A194" s="13">
        <v>47757</v>
      </c>
      <c r="B194" s="60">
        <f>3.6884 * CHOOSE(CONTROL!$C$22, $C$13, 100%, $E$13)</f>
        <v>3.6884000000000001</v>
      </c>
      <c r="C194" s="60">
        <f>3.6884 * CHOOSE(CONTROL!$C$22, $C$13, 100%, $E$13)</f>
        <v>3.6884000000000001</v>
      </c>
      <c r="D194" s="60">
        <f>3.7061 * CHOOSE(CONTROL!$C$22, $C$13, 100%, $E$13)</f>
        <v>3.7061000000000002</v>
      </c>
      <c r="E194" s="61">
        <f>3.8589 * CHOOSE(CONTROL!$C$22, $C$13, 100%, $E$13)</f>
        <v>3.8589000000000002</v>
      </c>
      <c r="F194" s="61">
        <f>3.8589 * CHOOSE(CONTROL!$C$22, $C$13, 100%, $E$13)</f>
        <v>3.8589000000000002</v>
      </c>
      <c r="G194" s="61">
        <f>3.8591 * CHOOSE(CONTROL!$C$22, $C$13, 100%, $E$13)</f>
        <v>3.8591000000000002</v>
      </c>
      <c r="H194" s="61">
        <f>7.4581* CHOOSE(CONTROL!$C$22, $C$13, 100%, $E$13)</f>
        <v>7.4581</v>
      </c>
      <c r="I194" s="61">
        <f>7.4583 * CHOOSE(CONTROL!$C$22, $C$13, 100%, $E$13)</f>
        <v>7.4583000000000004</v>
      </c>
      <c r="J194" s="61">
        <f>3.8589 * CHOOSE(CONTROL!$C$22, $C$13, 100%, $E$13)</f>
        <v>3.8589000000000002</v>
      </c>
      <c r="K194" s="61">
        <f>3.8591 * CHOOSE(CONTROL!$C$22, $C$13, 100%, $E$13)</f>
        <v>3.8591000000000002</v>
      </c>
    </row>
    <row r="195" spans="1:11" ht="15">
      <c r="A195" s="13">
        <v>47788</v>
      </c>
      <c r="B195" s="60">
        <f>3.6915 * CHOOSE(CONTROL!$C$22, $C$13, 100%, $E$13)</f>
        <v>3.6915</v>
      </c>
      <c r="C195" s="60">
        <f>3.6915 * CHOOSE(CONTROL!$C$22, $C$13, 100%, $E$13)</f>
        <v>3.6915</v>
      </c>
      <c r="D195" s="60">
        <f>3.7091 * CHOOSE(CONTROL!$C$22, $C$13, 100%, $E$13)</f>
        <v>3.7090999999999998</v>
      </c>
      <c r="E195" s="61">
        <f>3.8725 * CHOOSE(CONTROL!$C$22, $C$13, 100%, $E$13)</f>
        <v>3.8725000000000001</v>
      </c>
      <c r="F195" s="61">
        <f>3.8725 * CHOOSE(CONTROL!$C$22, $C$13, 100%, $E$13)</f>
        <v>3.8725000000000001</v>
      </c>
      <c r="G195" s="61">
        <f>3.8727 * CHOOSE(CONTROL!$C$22, $C$13, 100%, $E$13)</f>
        <v>3.8727</v>
      </c>
      <c r="H195" s="61">
        <f>7.4737* CHOOSE(CONTROL!$C$22, $C$13, 100%, $E$13)</f>
        <v>7.4737</v>
      </c>
      <c r="I195" s="61">
        <f>7.4738 * CHOOSE(CONTROL!$C$22, $C$13, 100%, $E$13)</f>
        <v>7.4737999999999998</v>
      </c>
      <c r="J195" s="61">
        <f>3.8725 * CHOOSE(CONTROL!$C$22, $C$13, 100%, $E$13)</f>
        <v>3.8725000000000001</v>
      </c>
      <c r="K195" s="61">
        <f>3.8727 * CHOOSE(CONTROL!$C$22, $C$13, 100%, $E$13)</f>
        <v>3.8727</v>
      </c>
    </row>
    <row r="196" spans="1:11" ht="15">
      <c r="A196" s="13">
        <v>47818</v>
      </c>
      <c r="B196" s="60">
        <f>3.6915 * CHOOSE(CONTROL!$C$22, $C$13, 100%, $E$13)</f>
        <v>3.6915</v>
      </c>
      <c r="C196" s="60">
        <f>3.6915 * CHOOSE(CONTROL!$C$22, $C$13, 100%, $E$13)</f>
        <v>3.6915</v>
      </c>
      <c r="D196" s="60">
        <f>3.7091 * CHOOSE(CONTROL!$C$22, $C$13, 100%, $E$13)</f>
        <v>3.7090999999999998</v>
      </c>
      <c r="E196" s="61">
        <f>3.8438 * CHOOSE(CONTROL!$C$22, $C$13, 100%, $E$13)</f>
        <v>3.8437999999999999</v>
      </c>
      <c r="F196" s="61">
        <f>3.8438 * CHOOSE(CONTROL!$C$22, $C$13, 100%, $E$13)</f>
        <v>3.8437999999999999</v>
      </c>
      <c r="G196" s="61">
        <f>3.8439 * CHOOSE(CONTROL!$C$22, $C$13, 100%, $E$13)</f>
        <v>3.8439000000000001</v>
      </c>
      <c r="H196" s="61">
        <f>7.4892* CHOOSE(CONTROL!$C$22, $C$13, 100%, $E$13)</f>
        <v>7.4892000000000003</v>
      </c>
      <c r="I196" s="61">
        <f>7.4894 * CHOOSE(CONTROL!$C$22, $C$13, 100%, $E$13)</f>
        <v>7.4893999999999998</v>
      </c>
      <c r="J196" s="61">
        <f>3.8438 * CHOOSE(CONTROL!$C$22, $C$13, 100%, $E$13)</f>
        <v>3.8437999999999999</v>
      </c>
      <c r="K196" s="61">
        <f>3.8439 * CHOOSE(CONTROL!$C$22, $C$13, 100%, $E$13)</f>
        <v>3.8439000000000001</v>
      </c>
    </row>
    <row r="197" spans="1:11" ht="15">
      <c r="A197" s="13">
        <v>47849</v>
      </c>
      <c r="B197" s="60">
        <f>3.7181 * CHOOSE(CONTROL!$C$22, $C$13, 100%, $E$13)</f>
        <v>3.7181000000000002</v>
      </c>
      <c r="C197" s="60">
        <f>3.7181 * CHOOSE(CONTROL!$C$22, $C$13, 100%, $E$13)</f>
        <v>3.7181000000000002</v>
      </c>
      <c r="D197" s="60">
        <f>3.7357 * CHOOSE(CONTROL!$C$22, $C$13, 100%, $E$13)</f>
        <v>3.7357</v>
      </c>
      <c r="E197" s="61">
        <f>3.9078 * CHOOSE(CONTROL!$C$22, $C$13, 100%, $E$13)</f>
        <v>3.9077999999999999</v>
      </c>
      <c r="F197" s="61">
        <f>3.9078 * CHOOSE(CONTROL!$C$22, $C$13, 100%, $E$13)</f>
        <v>3.9077999999999999</v>
      </c>
      <c r="G197" s="61">
        <f>3.908 * CHOOSE(CONTROL!$C$22, $C$13, 100%, $E$13)</f>
        <v>3.9079999999999999</v>
      </c>
      <c r="H197" s="61">
        <f>7.5048* CHOOSE(CONTROL!$C$22, $C$13, 100%, $E$13)</f>
        <v>7.5048000000000004</v>
      </c>
      <c r="I197" s="61">
        <f>7.505 * CHOOSE(CONTROL!$C$22, $C$13, 100%, $E$13)</f>
        <v>7.5049999999999999</v>
      </c>
      <c r="J197" s="61">
        <f>3.9078 * CHOOSE(CONTROL!$C$22, $C$13, 100%, $E$13)</f>
        <v>3.9077999999999999</v>
      </c>
      <c r="K197" s="61">
        <f>3.908 * CHOOSE(CONTROL!$C$22, $C$13, 100%, $E$13)</f>
        <v>3.9079999999999999</v>
      </c>
    </row>
    <row r="198" spans="1:11" ht="15">
      <c r="A198" s="13">
        <v>47880</v>
      </c>
      <c r="B198" s="60">
        <f>3.715 * CHOOSE(CONTROL!$C$22, $C$13, 100%, $E$13)</f>
        <v>3.7149999999999999</v>
      </c>
      <c r="C198" s="60">
        <f>3.715 * CHOOSE(CONTROL!$C$22, $C$13, 100%, $E$13)</f>
        <v>3.7149999999999999</v>
      </c>
      <c r="D198" s="60">
        <f>3.7327 * CHOOSE(CONTROL!$C$22, $C$13, 100%, $E$13)</f>
        <v>3.7326999999999999</v>
      </c>
      <c r="E198" s="61">
        <f>3.8497 * CHOOSE(CONTROL!$C$22, $C$13, 100%, $E$13)</f>
        <v>3.8496999999999999</v>
      </c>
      <c r="F198" s="61">
        <f>3.8497 * CHOOSE(CONTROL!$C$22, $C$13, 100%, $E$13)</f>
        <v>3.8496999999999999</v>
      </c>
      <c r="G198" s="61">
        <f>3.8498 * CHOOSE(CONTROL!$C$22, $C$13, 100%, $E$13)</f>
        <v>3.8498000000000001</v>
      </c>
      <c r="H198" s="61">
        <f>7.5205* CHOOSE(CONTROL!$C$22, $C$13, 100%, $E$13)</f>
        <v>7.5205000000000002</v>
      </c>
      <c r="I198" s="61">
        <f>7.5206 * CHOOSE(CONTROL!$C$22, $C$13, 100%, $E$13)</f>
        <v>7.5206</v>
      </c>
      <c r="J198" s="61">
        <f>3.8497 * CHOOSE(CONTROL!$C$22, $C$13, 100%, $E$13)</f>
        <v>3.8496999999999999</v>
      </c>
      <c r="K198" s="61">
        <f>3.8498 * CHOOSE(CONTROL!$C$22, $C$13, 100%, $E$13)</f>
        <v>3.8498000000000001</v>
      </c>
    </row>
    <row r="199" spans="1:11" ht="15">
      <c r="A199" s="13">
        <v>47908</v>
      </c>
      <c r="B199" s="60">
        <f>3.712 * CHOOSE(CONTROL!$C$22, $C$13, 100%, $E$13)</f>
        <v>3.7120000000000002</v>
      </c>
      <c r="C199" s="60">
        <f>3.712 * CHOOSE(CONTROL!$C$22, $C$13, 100%, $E$13)</f>
        <v>3.7120000000000002</v>
      </c>
      <c r="D199" s="60">
        <f>3.7297 * CHOOSE(CONTROL!$C$22, $C$13, 100%, $E$13)</f>
        <v>3.7296999999999998</v>
      </c>
      <c r="E199" s="61">
        <f>3.8917 * CHOOSE(CONTROL!$C$22, $C$13, 100%, $E$13)</f>
        <v>3.8917000000000002</v>
      </c>
      <c r="F199" s="61">
        <f>3.8917 * CHOOSE(CONTROL!$C$22, $C$13, 100%, $E$13)</f>
        <v>3.8917000000000002</v>
      </c>
      <c r="G199" s="61">
        <f>3.8919 * CHOOSE(CONTROL!$C$22, $C$13, 100%, $E$13)</f>
        <v>3.8919000000000001</v>
      </c>
      <c r="H199" s="61">
        <f>7.5361* CHOOSE(CONTROL!$C$22, $C$13, 100%, $E$13)</f>
        <v>7.5361000000000002</v>
      </c>
      <c r="I199" s="61">
        <f>7.5363 * CHOOSE(CONTROL!$C$22, $C$13, 100%, $E$13)</f>
        <v>7.5362999999999998</v>
      </c>
      <c r="J199" s="61">
        <f>3.8917 * CHOOSE(CONTROL!$C$22, $C$13, 100%, $E$13)</f>
        <v>3.8917000000000002</v>
      </c>
      <c r="K199" s="61">
        <f>3.8919 * CHOOSE(CONTROL!$C$22, $C$13, 100%, $E$13)</f>
        <v>3.8919000000000001</v>
      </c>
    </row>
    <row r="200" spans="1:11" ht="15">
      <c r="A200" s="13">
        <v>47939</v>
      </c>
      <c r="B200" s="60">
        <f>3.7094 * CHOOSE(CONTROL!$C$22, $C$13, 100%, $E$13)</f>
        <v>3.7094</v>
      </c>
      <c r="C200" s="60">
        <f>3.7094 * CHOOSE(CONTROL!$C$22, $C$13, 100%, $E$13)</f>
        <v>3.7094</v>
      </c>
      <c r="D200" s="60">
        <f>3.7271 * CHOOSE(CONTROL!$C$22, $C$13, 100%, $E$13)</f>
        <v>3.7271000000000001</v>
      </c>
      <c r="E200" s="61">
        <f>3.9349 * CHOOSE(CONTROL!$C$22, $C$13, 100%, $E$13)</f>
        <v>3.9348999999999998</v>
      </c>
      <c r="F200" s="61">
        <f>3.9349 * CHOOSE(CONTROL!$C$22, $C$13, 100%, $E$13)</f>
        <v>3.9348999999999998</v>
      </c>
      <c r="G200" s="61">
        <f>3.9351 * CHOOSE(CONTROL!$C$22, $C$13, 100%, $E$13)</f>
        <v>3.9350999999999998</v>
      </c>
      <c r="H200" s="61">
        <f>7.5518* CHOOSE(CONTROL!$C$22, $C$13, 100%, $E$13)</f>
        <v>7.5518000000000001</v>
      </c>
      <c r="I200" s="61">
        <f>7.552 * CHOOSE(CONTROL!$C$22, $C$13, 100%, $E$13)</f>
        <v>7.5519999999999996</v>
      </c>
      <c r="J200" s="61">
        <f>3.9349 * CHOOSE(CONTROL!$C$22, $C$13, 100%, $E$13)</f>
        <v>3.9348999999999998</v>
      </c>
      <c r="K200" s="61">
        <f>3.9351 * CHOOSE(CONTROL!$C$22, $C$13, 100%, $E$13)</f>
        <v>3.9350999999999998</v>
      </c>
    </row>
    <row r="201" spans="1:11" ht="15">
      <c r="A201" s="13">
        <v>47969</v>
      </c>
      <c r="B201" s="60">
        <f>3.7094 * CHOOSE(CONTROL!$C$22, $C$13, 100%, $E$13)</f>
        <v>3.7094</v>
      </c>
      <c r="C201" s="60">
        <f>3.7094 * CHOOSE(CONTROL!$C$22, $C$13, 100%, $E$13)</f>
        <v>3.7094</v>
      </c>
      <c r="D201" s="60">
        <f>3.7447 * CHOOSE(CONTROL!$C$22, $C$13, 100%, $E$13)</f>
        <v>3.7446999999999999</v>
      </c>
      <c r="E201" s="61">
        <f>3.9527 * CHOOSE(CONTROL!$C$22, $C$13, 100%, $E$13)</f>
        <v>3.9527000000000001</v>
      </c>
      <c r="F201" s="61">
        <f>3.9527 * CHOOSE(CONTROL!$C$22, $C$13, 100%, $E$13)</f>
        <v>3.9527000000000001</v>
      </c>
      <c r="G201" s="61">
        <f>3.9549 * CHOOSE(CONTROL!$C$22, $C$13, 100%, $E$13)</f>
        <v>3.9548999999999999</v>
      </c>
      <c r="H201" s="61">
        <f>7.5676* CHOOSE(CONTROL!$C$22, $C$13, 100%, $E$13)</f>
        <v>7.5675999999999997</v>
      </c>
      <c r="I201" s="61">
        <f>7.5697 * CHOOSE(CONTROL!$C$22, $C$13, 100%, $E$13)</f>
        <v>7.5697000000000001</v>
      </c>
      <c r="J201" s="61">
        <f>3.9527 * CHOOSE(CONTROL!$C$22, $C$13, 100%, $E$13)</f>
        <v>3.9527000000000001</v>
      </c>
      <c r="K201" s="61">
        <f>3.9549 * CHOOSE(CONTROL!$C$22, $C$13, 100%, $E$13)</f>
        <v>3.9548999999999999</v>
      </c>
    </row>
    <row r="202" spans="1:11" ht="15">
      <c r="A202" s="13">
        <v>48000</v>
      </c>
      <c r="B202" s="60">
        <f>3.7155 * CHOOSE(CONTROL!$C$22, $C$13, 100%, $E$13)</f>
        <v>3.7155</v>
      </c>
      <c r="C202" s="60">
        <f>3.7155 * CHOOSE(CONTROL!$C$22, $C$13, 100%, $E$13)</f>
        <v>3.7155</v>
      </c>
      <c r="D202" s="60">
        <f>3.7508 * CHOOSE(CONTROL!$C$22, $C$13, 100%, $E$13)</f>
        <v>3.7507999999999999</v>
      </c>
      <c r="E202" s="61">
        <f>3.9392 * CHOOSE(CONTROL!$C$22, $C$13, 100%, $E$13)</f>
        <v>3.9392</v>
      </c>
      <c r="F202" s="61">
        <f>3.9392 * CHOOSE(CONTROL!$C$22, $C$13, 100%, $E$13)</f>
        <v>3.9392</v>
      </c>
      <c r="G202" s="61">
        <f>3.9414 * CHOOSE(CONTROL!$C$22, $C$13, 100%, $E$13)</f>
        <v>3.9413999999999998</v>
      </c>
      <c r="H202" s="61">
        <f>7.5833* CHOOSE(CONTROL!$C$22, $C$13, 100%, $E$13)</f>
        <v>7.5833000000000004</v>
      </c>
      <c r="I202" s="61">
        <f>7.5855 * CHOOSE(CONTROL!$C$22, $C$13, 100%, $E$13)</f>
        <v>7.5854999999999997</v>
      </c>
      <c r="J202" s="61">
        <f>3.9392 * CHOOSE(CONTROL!$C$22, $C$13, 100%, $E$13)</f>
        <v>3.9392</v>
      </c>
      <c r="K202" s="61">
        <f>3.9414 * CHOOSE(CONTROL!$C$22, $C$13, 100%, $E$13)</f>
        <v>3.9413999999999998</v>
      </c>
    </row>
    <row r="203" spans="1:11" ht="15">
      <c r="A203" s="13">
        <v>48030</v>
      </c>
      <c r="B203" s="60">
        <f>3.7619 * CHOOSE(CONTROL!$C$22, $C$13, 100%, $E$13)</f>
        <v>3.7618999999999998</v>
      </c>
      <c r="C203" s="60">
        <f>3.7619 * CHOOSE(CONTROL!$C$22, $C$13, 100%, $E$13)</f>
        <v>3.7618999999999998</v>
      </c>
      <c r="D203" s="60">
        <f>3.7972 * CHOOSE(CONTROL!$C$22, $C$13, 100%, $E$13)</f>
        <v>3.7972000000000001</v>
      </c>
      <c r="E203" s="61">
        <f>4.0315 * CHOOSE(CONTROL!$C$22, $C$13, 100%, $E$13)</f>
        <v>4.0315000000000003</v>
      </c>
      <c r="F203" s="61">
        <f>4.0315 * CHOOSE(CONTROL!$C$22, $C$13, 100%, $E$13)</f>
        <v>4.0315000000000003</v>
      </c>
      <c r="G203" s="61">
        <f>4.0337 * CHOOSE(CONTROL!$C$22, $C$13, 100%, $E$13)</f>
        <v>4.0336999999999996</v>
      </c>
      <c r="H203" s="61">
        <f>7.5991* CHOOSE(CONTROL!$C$22, $C$13, 100%, $E$13)</f>
        <v>7.5991</v>
      </c>
      <c r="I203" s="61">
        <f>7.6013 * CHOOSE(CONTROL!$C$22, $C$13, 100%, $E$13)</f>
        <v>7.6013000000000002</v>
      </c>
      <c r="J203" s="61">
        <f>4.0315 * CHOOSE(CONTROL!$C$22, $C$13, 100%, $E$13)</f>
        <v>4.0315000000000003</v>
      </c>
      <c r="K203" s="61">
        <f>4.0337 * CHOOSE(CONTROL!$C$22, $C$13, 100%, $E$13)</f>
        <v>4.0336999999999996</v>
      </c>
    </row>
    <row r="204" spans="1:11" ht="15">
      <c r="A204" s="13">
        <v>48061</v>
      </c>
      <c r="B204" s="60">
        <f>3.7686 * CHOOSE(CONTROL!$C$22, $C$13, 100%, $E$13)</f>
        <v>3.7686000000000002</v>
      </c>
      <c r="C204" s="60">
        <f>3.7686 * CHOOSE(CONTROL!$C$22, $C$13, 100%, $E$13)</f>
        <v>3.7686000000000002</v>
      </c>
      <c r="D204" s="60">
        <f>3.8039 * CHOOSE(CONTROL!$C$22, $C$13, 100%, $E$13)</f>
        <v>3.8039000000000001</v>
      </c>
      <c r="E204" s="61">
        <f>3.9828 * CHOOSE(CONTROL!$C$22, $C$13, 100%, $E$13)</f>
        <v>3.9828000000000001</v>
      </c>
      <c r="F204" s="61">
        <f>3.9828 * CHOOSE(CONTROL!$C$22, $C$13, 100%, $E$13)</f>
        <v>3.9828000000000001</v>
      </c>
      <c r="G204" s="61">
        <f>3.985 * CHOOSE(CONTROL!$C$22, $C$13, 100%, $E$13)</f>
        <v>3.9849999999999999</v>
      </c>
      <c r="H204" s="61">
        <f>7.615* CHOOSE(CONTROL!$C$22, $C$13, 100%, $E$13)</f>
        <v>7.6150000000000002</v>
      </c>
      <c r="I204" s="61">
        <f>7.6171 * CHOOSE(CONTROL!$C$22, $C$13, 100%, $E$13)</f>
        <v>7.6170999999999998</v>
      </c>
      <c r="J204" s="61">
        <f>3.9828 * CHOOSE(CONTROL!$C$22, $C$13, 100%, $E$13)</f>
        <v>3.9828000000000001</v>
      </c>
      <c r="K204" s="61">
        <f>3.985 * CHOOSE(CONTROL!$C$22, $C$13, 100%, $E$13)</f>
        <v>3.9849999999999999</v>
      </c>
    </row>
    <row r="205" spans="1:11" ht="15">
      <c r="A205" s="13">
        <v>48092</v>
      </c>
      <c r="B205" s="60">
        <f>3.7655 * CHOOSE(CONTROL!$C$22, $C$13, 100%, $E$13)</f>
        <v>3.7654999999999998</v>
      </c>
      <c r="C205" s="60">
        <f>3.7655 * CHOOSE(CONTROL!$C$22, $C$13, 100%, $E$13)</f>
        <v>3.7654999999999998</v>
      </c>
      <c r="D205" s="60">
        <f>3.8008 * CHOOSE(CONTROL!$C$22, $C$13, 100%, $E$13)</f>
        <v>3.8008000000000002</v>
      </c>
      <c r="E205" s="61">
        <f>3.9748 * CHOOSE(CONTROL!$C$22, $C$13, 100%, $E$13)</f>
        <v>3.9748000000000001</v>
      </c>
      <c r="F205" s="61">
        <f>3.9748 * CHOOSE(CONTROL!$C$22, $C$13, 100%, $E$13)</f>
        <v>3.9748000000000001</v>
      </c>
      <c r="G205" s="61">
        <f>3.9769 * CHOOSE(CONTROL!$C$22, $C$13, 100%, $E$13)</f>
        <v>3.9769000000000001</v>
      </c>
      <c r="H205" s="61">
        <f>7.6308* CHOOSE(CONTROL!$C$22, $C$13, 100%, $E$13)</f>
        <v>7.6307999999999998</v>
      </c>
      <c r="I205" s="61">
        <f>7.633 * CHOOSE(CONTROL!$C$22, $C$13, 100%, $E$13)</f>
        <v>7.633</v>
      </c>
      <c r="J205" s="61">
        <f>3.9748 * CHOOSE(CONTROL!$C$22, $C$13, 100%, $E$13)</f>
        <v>3.9748000000000001</v>
      </c>
      <c r="K205" s="61">
        <f>3.9769 * CHOOSE(CONTROL!$C$22, $C$13, 100%, $E$13)</f>
        <v>3.9769000000000001</v>
      </c>
    </row>
    <row r="206" spans="1:11" ht="15">
      <c r="A206" s="13">
        <v>48122</v>
      </c>
      <c r="B206" s="60">
        <f>3.7598 * CHOOSE(CONTROL!$C$22, $C$13, 100%, $E$13)</f>
        <v>3.7597999999999998</v>
      </c>
      <c r="C206" s="60">
        <f>3.7598 * CHOOSE(CONTROL!$C$22, $C$13, 100%, $E$13)</f>
        <v>3.7597999999999998</v>
      </c>
      <c r="D206" s="60">
        <f>3.7775 * CHOOSE(CONTROL!$C$22, $C$13, 100%, $E$13)</f>
        <v>3.7774999999999999</v>
      </c>
      <c r="E206" s="61">
        <f>3.9851 * CHOOSE(CONTROL!$C$22, $C$13, 100%, $E$13)</f>
        <v>3.9851000000000001</v>
      </c>
      <c r="F206" s="61">
        <f>3.9851 * CHOOSE(CONTROL!$C$22, $C$13, 100%, $E$13)</f>
        <v>3.9851000000000001</v>
      </c>
      <c r="G206" s="61">
        <f>3.9852 * CHOOSE(CONTROL!$C$22, $C$13, 100%, $E$13)</f>
        <v>3.9851999999999999</v>
      </c>
      <c r="H206" s="61">
        <f>7.6467* CHOOSE(CONTROL!$C$22, $C$13, 100%, $E$13)</f>
        <v>7.6467000000000001</v>
      </c>
      <c r="I206" s="61">
        <f>7.6469 * CHOOSE(CONTROL!$C$22, $C$13, 100%, $E$13)</f>
        <v>7.6468999999999996</v>
      </c>
      <c r="J206" s="61">
        <f>3.9851 * CHOOSE(CONTROL!$C$22, $C$13, 100%, $E$13)</f>
        <v>3.9851000000000001</v>
      </c>
      <c r="K206" s="61">
        <f>3.9852 * CHOOSE(CONTROL!$C$22, $C$13, 100%, $E$13)</f>
        <v>3.9851999999999999</v>
      </c>
    </row>
    <row r="207" spans="1:11" ht="15">
      <c r="A207" s="13">
        <v>48153</v>
      </c>
      <c r="B207" s="60">
        <f>3.7628 * CHOOSE(CONTROL!$C$22, $C$13, 100%, $E$13)</f>
        <v>3.7627999999999999</v>
      </c>
      <c r="C207" s="60">
        <f>3.7628 * CHOOSE(CONTROL!$C$22, $C$13, 100%, $E$13)</f>
        <v>3.7627999999999999</v>
      </c>
      <c r="D207" s="60">
        <f>3.7805 * CHOOSE(CONTROL!$C$22, $C$13, 100%, $E$13)</f>
        <v>3.7805</v>
      </c>
      <c r="E207" s="61">
        <f>3.9991 * CHOOSE(CONTROL!$C$22, $C$13, 100%, $E$13)</f>
        <v>3.9990999999999999</v>
      </c>
      <c r="F207" s="61">
        <f>3.9991 * CHOOSE(CONTROL!$C$22, $C$13, 100%, $E$13)</f>
        <v>3.9990999999999999</v>
      </c>
      <c r="G207" s="61">
        <f>3.9992 * CHOOSE(CONTROL!$C$22, $C$13, 100%, $E$13)</f>
        <v>3.9992000000000001</v>
      </c>
      <c r="H207" s="61">
        <f>7.6627* CHOOSE(CONTROL!$C$22, $C$13, 100%, $E$13)</f>
        <v>7.6627000000000001</v>
      </c>
      <c r="I207" s="61">
        <f>7.6628 * CHOOSE(CONTROL!$C$22, $C$13, 100%, $E$13)</f>
        <v>7.6627999999999998</v>
      </c>
      <c r="J207" s="61">
        <f>3.9991 * CHOOSE(CONTROL!$C$22, $C$13, 100%, $E$13)</f>
        <v>3.9990999999999999</v>
      </c>
      <c r="K207" s="61">
        <f>3.9992 * CHOOSE(CONTROL!$C$22, $C$13, 100%, $E$13)</f>
        <v>3.9992000000000001</v>
      </c>
    </row>
    <row r="208" spans="1:11" ht="15">
      <c r="A208" s="13">
        <v>48183</v>
      </c>
      <c r="B208" s="60">
        <f>3.7628 * CHOOSE(CONTROL!$C$22, $C$13, 100%, $E$13)</f>
        <v>3.7627999999999999</v>
      </c>
      <c r="C208" s="60">
        <f>3.7628 * CHOOSE(CONTROL!$C$22, $C$13, 100%, $E$13)</f>
        <v>3.7627999999999999</v>
      </c>
      <c r="D208" s="60">
        <f>3.7805 * CHOOSE(CONTROL!$C$22, $C$13, 100%, $E$13)</f>
        <v>3.7805</v>
      </c>
      <c r="E208" s="61">
        <f>3.9694 * CHOOSE(CONTROL!$C$22, $C$13, 100%, $E$13)</f>
        <v>3.9693999999999998</v>
      </c>
      <c r="F208" s="61">
        <f>3.9694 * CHOOSE(CONTROL!$C$22, $C$13, 100%, $E$13)</f>
        <v>3.9693999999999998</v>
      </c>
      <c r="G208" s="61">
        <f>3.9696 * CHOOSE(CONTROL!$C$22, $C$13, 100%, $E$13)</f>
        <v>3.9695999999999998</v>
      </c>
      <c r="H208" s="61">
        <f>7.6786* CHOOSE(CONTROL!$C$22, $C$13, 100%, $E$13)</f>
        <v>7.6786000000000003</v>
      </c>
      <c r="I208" s="61">
        <f>7.6788 * CHOOSE(CONTROL!$C$22, $C$13, 100%, $E$13)</f>
        <v>7.6787999999999998</v>
      </c>
      <c r="J208" s="61">
        <f>3.9694 * CHOOSE(CONTROL!$C$22, $C$13, 100%, $E$13)</f>
        <v>3.9693999999999998</v>
      </c>
      <c r="K208" s="61">
        <f>3.9696 * CHOOSE(CONTROL!$C$22, $C$13, 100%, $E$13)</f>
        <v>3.9695999999999998</v>
      </c>
    </row>
    <row r="209" spans="1:11" ht="15">
      <c r="A209" s="13">
        <v>48214</v>
      </c>
      <c r="B209" s="60">
        <f>3.7955 * CHOOSE(CONTROL!$C$22, $C$13, 100%, $E$13)</f>
        <v>3.7955000000000001</v>
      </c>
      <c r="C209" s="60">
        <f>3.7955 * CHOOSE(CONTROL!$C$22, $C$13, 100%, $E$13)</f>
        <v>3.7955000000000001</v>
      </c>
      <c r="D209" s="60">
        <f>3.8131 * CHOOSE(CONTROL!$C$22, $C$13, 100%, $E$13)</f>
        <v>3.8130999999999999</v>
      </c>
      <c r="E209" s="61">
        <f>4.0264 * CHOOSE(CONTROL!$C$22, $C$13, 100%, $E$13)</f>
        <v>4.0263999999999998</v>
      </c>
      <c r="F209" s="61">
        <f>4.0264 * CHOOSE(CONTROL!$C$22, $C$13, 100%, $E$13)</f>
        <v>4.0263999999999998</v>
      </c>
      <c r="G209" s="61">
        <f>4.0266 * CHOOSE(CONTROL!$C$22, $C$13, 100%, $E$13)</f>
        <v>4.0266000000000002</v>
      </c>
      <c r="H209" s="61">
        <f>7.6946* CHOOSE(CONTROL!$C$22, $C$13, 100%, $E$13)</f>
        <v>7.6946000000000003</v>
      </c>
      <c r="I209" s="61">
        <f>7.6948 * CHOOSE(CONTROL!$C$22, $C$13, 100%, $E$13)</f>
        <v>7.6947999999999999</v>
      </c>
      <c r="J209" s="61">
        <f>4.0264 * CHOOSE(CONTROL!$C$22, $C$13, 100%, $E$13)</f>
        <v>4.0263999999999998</v>
      </c>
      <c r="K209" s="61">
        <f>4.0266 * CHOOSE(CONTROL!$C$22, $C$13, 100%, $E$13)</f>
        <v>4.0266000000000002</v>
      </c>
    </row>
    <row r="210" spans="1:11" ht="15">
      <c r="A210" s="13">
        <v>48245</v>
      </c>
      <c r="B210" s="60">
        <f>3.7924 * CHOOSE(CONTROL!$C$22, $C$13, 100%, $E$13)</f>
        <v>3.7924000000000002</v>
      </c>
      <c r="C210" s="60">
        <f>3.7924 * CHOOSE(CONTROL!$C$22, $C$13, 100%, $E$13)</f>
        <v>3.7924000000000002</v>
      </c>
      <c r="D210" s="60">
        <f>3.8101 * CHOOSE(CONTROL!$C$22, $C$13, 100%, $E$13)</f>
        <v>3.8100999999999998</v>
      </c>
      <c r="E210" s="61">
        <f>3.9666 * CHOOSE(CONTROL!$C$22, $C$13, 100%, $E$13)</f>
        <v>3.9666000000000001</v>
      </c>
      <c r="F210" s="61">
        <f>3.9666 * CHOOSE(CONTROL!$C$22, $C$13, 100%, $E$13)</f>
        <v>3.9666000000000001</v>
      </c>
      <c r="G210" s="61">
        <f>3.9668 * CHOOSE(CONTROL!$C$22, $C$13, 100%, $E$13)</f>
        <v>3.9668000000000001</v>
      </c>
      <c r="H210" s="61">
        <f>7.7106* CHOOSE(CONTROL!$C$22, $C$13, 100%, $E$13)</f>
        <v>7.7106000000000003</v>
      </c>
      <c r="I210" s="61">
        <f>7.7108 * CHOOSE(CONTROL!$C$22, $C$13, 100%, $E$13)</f>
        <v>7.7107999999999999</v>
      </c>
      <c r="J210" s="61">
        <f>3.9666 * CHOOSE(CONTROL!$C$22, $C$13, 100%, $E$13)</f>
        <v>3.9666000000000001</v>
      </c>
      <c r="K210" s="61">
        <f>3.9668 * CHOOSE(CONTROL!$C$22, $C$13, 100%, $E$13)</f>
        <v>3.9668000000000001</v>
      </c>
    </row>
    <row r="211" spans="1:11" ht="15">
      <c r="A211" s="13">
        <v>48274</v>
      </c>
      <c r="B211" s="60">
        <f>3.7894 * CHOOSE(CONTROL!$C$22, $C$13, 100%, $E$13)</f>
        <v>3.7894000000000001</v>
      </c>
      <c r="C211" s="60">
        <f>3.7894 * CHOOSE(CONTROL!$C$22, $C$13, 100%, $E$13)</f>
        <v>3.7894000000000001</v>
      </c>
      <c r="D211" s="60">
        <f>3.8071 * CHOOSE(CONTROL!$C$22, $C$13, 100%, $E$13)</f>
        <v>3.8071000000000002</v>
      </c>
      <c r="E211" s="61">
        <f>4.01 * CHOOSE(CONTROL!$C$22, $C$13, 100%, $E$13)</f>
        <v>4.01</v>
      </c>
      <c r="F211" s="61">
        <f>4.01 * CHOOSE(CONTROL!$C$22, $C$13, 100%, $E$13)</f>
        <v>4.01</v>
      </c>
      <c r="G211" s="61">
        <f>4.0101 * CHOOSE(CONTROL!$C$22, $C$13, 100%, $E$13)</f>
        <v>4.0101000000000004</v>
      </c>
      <c r="H211" s="61">
        <f>7.7267* CHOOSE(CONTROL!$C$22, $C$13, 100%, $E$13)</f>
        <v>7.7267000000000001</v>
      </c>
      <c r="I211" s="61">
        <f>7.7269 * CHOOSE(CONTROL!$C$22, $C$13, 100%, $E$13)</f>
        <v>7.7268999999999997</v>
      </c>
      <c r="J211" s="61">
        <f>4.01 * CHOOSE(CONTROL!$C$22, $C$13, 100%, $E$13)</f>
        <v>4.01</v>
      </c>
      <c r="K211" s="61">
        <f>4.0101 * CHOOSE(CONTROL!$C$22, $C$13, 100%, $E$13)</f>
        <v>4.0101000000000004</v>
      </c>
    </row>
    <row r="212" spans="1:11" ht="15">
      <c r="A212" s="13">
        <v>48305</v>
      </c>
      <c r="B212" s="60">
        <f>3.7869 * CHOOSE(CONTROL!$C$22, $C$13, 100%, $E$13)</f>
        <v>3.7869000000000002</v>
      </c>
      <c r="C212" s="60">
        <f>3.7869 * CHOOSE(CONTROL!$C$22, $C$13, 100%, $E$13)</f>
        <v>3.7869000000000002</v>
      </c>
      <c r="D212" s="60">
        <f>3.8045 * CHOOSE(CONTROL!$C$22, $C$13, 100%, $E$13)</f>
        <v>3.8045</v>
      </c>
      <c r="E212" s="61">
        <f>4.0546 * CHOOSE(CONTROL!$C$22, $C$13, 100%, $E$13)</f>
        <v>4.0545999999999998</v>
      </c>
      <c r="F212" s="61">
        <f>4.0546 * CHOOSE(CONTROL!$C$22, $C$13, 100%, $E$13)</f>
        <v>4.0545999999999998</v>
      </c>
      <c r="G212" s="61">
        <f>4.0548 * CHOOSE(CONTROL!$C$22, $C$13, 100%, $E$13)</f>
        <v>4.0548000000000002</v>
      </c>
      <c r="H212" s="61">
        <f>7.7428* CHOOSE(CONTROL!$C$22, $C$13, 100%, $E$13)</f>
        <v>7.7427999999999999</v>
      </c>
      <c r="I212" s="61">
        <f>7.743 * CHOOSE(CONTROL!$C$22, $C$13, 100%, $E$13)</f>
        <v>7.7430000000000003</v>
      </c>
      <c r="J212" s="61">
        <f>4.0546 * CHOOSE(CONTROL!$C$22, $C$13, 100%, $E$13)</f>
        <v>4.0545999999999998</v>
      </c>
      <c r="K212" s="61">
        <f>4.0548 * CHOOSE(CONTROL!$C$22, $C$13, 100%, $E$13)</f>
        <v>4.0548000000000002</v>
      </c>
    </row>
    <row r="213" spans="1:11" ht="15">
      <c r="A213" s="13">
        <v>48335</v>
      </c>
      <c r="B213" s="60">
        <f>3.7869 * CHOOSE(CONTROL!$C$22, $C$13, 100%, $E$13)</f>
        <v>3.7869000000000002</v>
      </c>
      <c r="C213" s="60">
        <f>3.7869 * CHOOSE(CONTROL!$C$22, $C$13, 100%, $E$13)</f>
        <v>3.7869000000000002</v>
      </c>
      <c r="D213" s="60">
        <f>3.8222 * CHOOSE(CONTROL!$C$22, $C$13, 100%, $E$13)</f>
        <v>3.8222</v>
      </c>
      <c r="E213" s="61">
        <f>4.0729 * CHOOSE(CONTROL!$C$22, $C$13, 100%, $E$13)</f>
        <v>4.0728999999999997</v>
      </c>
      <c r="F213" s="61">
        <f>4.0729 * CHOOSE(CONTROL!$C$22, $C$13, 100%, $E$13)</f>
        <v>4.0728999999999997</v>
      </c>
      <c r="G213" s="61">
        <f>4.0751 * CHOOSE(CONTROL!$C$22, $C$13, 100%, $E$13)</f>
        <v>4.0750999999999999</v>
      </c>
      <c r="H213" s="61">
        <f>7.7589* CHOOSE(CONTROL!$C$22, $C$13, 100%, $E$13)</f>
        <v>7.7588999999999997</v>
      </c>
      <c r="I213" s="61">
        <f>7.7611 * CHOOSE(CONTROL!$C$22, $C$13, 100%, $E$13)</f>
        <v>7.7610999999999999</v>
      </c>
      <c r="J213" s="61">
        <f>4.0729 * CHOOSE(CONTROL!$C$22, $C$13, 100%, $E$13)</f>
        <v>4.0728999999999997</v>
      </c>
      <c r="K213" s="61">
        <f>4.0751 * CHOOSE(CONTROL!$C$22, $C$13, 100%, $E$13)</f>
        <v>4.0750999999999999</v>
      </c>
    </row>
    <row r="214" spans="1:11" ht="15">
      <c r="A214" s="13">
        <v>48366</v>
      </c>
      <c r="B214" s="60">
        <f>3.793 * CHOOSE(CONTROL!$C$22, $C$13, 100%, $E$13)</f>
        <v>3.7930000000000001</v>
      </c>
      <c r="C214" s="60">
        <f>3.793 * CHOOSE(CONTROL!$C$22, $C$13, 100%, $E$13)</f>
        <v>3.7930000000000001</v>
      </c>
      <c r="D214" s="60">
        <f>3.8283 * CHOOSE(CONTROL!$C$22, $C$13, 100%, $E$13)</f>
        <v>3.8283</v>
      </c>
      <c r="E214" s="61">
        <f>4.0588 * CHOOSE(CONTROL!$C$22, $C$13, 100%, $E$13)</f>
        <v>4.0587999999999997</v>
      </c>
      <c r="F214" s="61">
        <f>4.0588 * CHOOSE(CONTROL!$C$22, $C$13, 100%, $E$13)</f>
        <v>4.0587999999999997</v>
      </c>
      <c r="G214" s="61">
        <f>4.061 * CHOOSE(CONTROL!$C$22, $C$13, 100%, $E$13)</f>
        <v>4.0609999999999999</v>
      </c>
      <c r="H214" s="61">
        <f>7.7751* CHOOSE(CONTROL!$C$22, $C$13, 100%, $E$13)</f>
        <v>7.7751000000000001</v>
      </c>
      <c r="I214" s="61">
        <f>7.7773 * CHOOSE(CONTROL!$C$22, $C$13, 100%, $E$13)</f>
        <v>7.7773000000000003</v>
      </c>
      <c r="J214" s="61">
        <f>4.0588 * CHOOSE(CONTROL!$C$22, $C$13, 100%, $E$13)</f>
        <v>4.0587999999999997</v>
      </c>
      <c r="K214" s="61">
        <f>4.061 * CHOOSE(CONTROL!$C$22, $C$13, 100%, $E$13)</f>
        <v>4.0609999999999999</v>
      </c>
    </row>
    <row r="215" spans="1:11" ht="15">
      <c r="A215" s="13">
        <v>48396</v>
      </c>
      <c r="B215" s="60">
        <f>3.8532 * CHOOSE(CONTROL!$C$22, $C$13, 100%, $E$13)</f>
        <v>3.8532000000000002</v>
      </c>
      <c r="C215" s="60">
        <f>3.8532 * CHOOSE(CONTROL!$C$22, $C$13, 100%, $E$13)</f>
        <v>3.8532000000000002</v>
      </c>
      <c r="D215" s="60">
        <f>3.8885 * CHOOSE(CONTROL!$C$22, $C$13, 100%, $E$13)</f>
        <v>3.8885000000000001</v>
      </c>
      <c r="E215" s="61">
        <f>4.1344 * CHOOSE(CONTROL!$C$22, $C$13, 100%, $E$13)</f>
        <v>4.1344000000000003</v>
      </c>
      <c r="F215" s="61">
        <f>4.1344 * CHOOSE(CONTROL!$C$22, $C$13, 100%, $E$13)</f>
        <v>4.1344000000000003</v>
      </c>
      <c r="G215" s="61">
        <f>4.1366 * CHOOSE(CONTROL!$C$22, $C$13, 100%, $E$13)</f>
        <v>4.1365999999999996</v>
      </c>
      <c r="H215" s="61">
        <f>7.7913* CHOOSE(CONTROL!$C$22, $C$13, 100%, $E$13)</f>
        <v>7.7912999999999997</v>
      </c>
      <c r="I215" s="61">
        <f>7.7935 * CHOOSE(CONTROL!$C$22, $C$13, 100%, $E$13)</f>
        <v>7.7934999999999999</v>
      </c>
      <c r="J215" s="61">
        <f>4.1344 * CHOOSE(CONTROL!$C$22, $C$13, 100%, $E$13)</f>
        <v>4.1344000000000003</v>
      </c>
      <c r="K215" s="61">
        <f>4.1366 * CHOOSE(CONTROL!$C$22, $C$13, 100%, $E$13)</f>
        <v>4.1365999999999996</v>
      </c>
    </row>
    <row r="216" spans="1:11" ht="15">
      <c r="A216" s="13">
        <v>48427</v>
      </c>
      <c r="B216" s="60">
        <f>3.8599 * CHOOSE(CONTROL!$C$22, $C$13, 100%, $E$13)</f>
        <v>3.8599000000000001</v>
      </c>
      <c r="C216" s="60">
        <f>3.8599 * CHOOSE(CONTROL!$C$22, $C$13, 100%, $E$13)</f>
        <v>3.8599000000000001</v>
      </c>
      <c r="D216" s="60">
        <f>3.8952 * CHOOSE(CONTROL!$C$22, $C$13, 100%, $E$13)</f>
        <v>3.8952</v>
      </c>
      <c r="E216" s="61">
        <f>4.0841 * CHOOSE(CONTROL!$C$22, $C$13, 100%, $E$13)</f>
        <v>4.0841000000000003</v>
      </c>
      <c r="F216" s="61">
        <f>4.0841 * CHOOSE(CONTROL!$C$22, $C$13, 100%, $E$13)</f>
        <v>4.0841000000000003</v>
      </c>
      <c r="G216" s="61">
        <f>4.0862 * CHOOSE(CONTROL!$C$22, $C$13, 100%, $E$13)</f>
        <v>4.0861999999999998</v>
      </c>
      <c r="H216" s="61">
        <f>7.8075* CHOOSE(CONTROL!$C$22, $C$13, 100%, $E$13)</f>
        <v>7.8075000000000001</v>
      </c>
      <c r="I216" s="61">
        <f>7.8097 * CHOOSE(CONTROL!$C$22, $C$13, 100%, $E$13)</f>
        <v>7.8097000000000003</v>
      </c>
      <c r="J216" s="61">
        <f>4.0841 * CHOOSE(CONTROL!$C$22, $C$13, 100%, $E$13)</f>
        <v>4.0841000000000003</v>
      </c>
      <c r="K216" s="61">
        <f>4.0862 * CHOOSE(CONTROL!$C$22, $C$13, 100%, $E$13)</f>
        <v>4.0861999999999998</v>
      </c>
    </row>
    <row r="217" spans="1:11" ht="15">
      <c r="A217" s="13">
        <v>48458</v>
      </c>
      <c r="B217" s="60">
        <f>3.8569 * CHOOSE(CONTROL!$C$22, $C$13, 100%, $E$13)</f>
        <v>3.8569</v>
      </c>
      <c r="C217" s="60">
        <f>3.8569 * CHOOSE(CONTROL!$C$22, $C$13, 100%, $E$13)</f>
        <v>3.8569</v>
      </c>
      <c r="D217" s="60">
        <f>3.8922 * CHOOSE(CONTROL!$C$22, $C$13, 100%, $E$13)</f>
        <v>3.8921999999999999</v>
      </c>
      <c r="E217" s="61">
        <f>4.0758 * CHOOSE(CONTROL!$C$22, $C$13, 100%, $E$13)</f>
        <v>4.0758000000000001</v>
      </c>
      <c r="F217" s="61">
        <f>4.0758 * CHOOSE(CONTROL!$C$22, $C$13, 100%, $E$13)</f>
        <v>4.0758000000000001</v>
      </c>
      <c r="G217" s="61">
        <f>4.078 * CHOOSE(CONTROL!$C$22, $C$13, 100%, $E$13)</f>
        <v>4.0780000000000003</v>
      </c>
      <c r="H217" s="61">
        <f>7.8238* CHOOSE(CONTROL!$C$22, $C$13, 100%, $E$13)</f>
        <v>7.8238000000000003</v>
      </c>
      <c r="I217" s="61">
        <f>7.826 * CHOOSE(CONTROL!$C$22, $C$13, 100%, $E$13)</f>
        <v>7.8259999999999996</v>
      </c>
      <c r="J217" s="61">
        <f>4.0758 * CHOOSE(CONTROL!$C$22, $C$13, 100%, $E$13)</f>
        <v>4.0758000000000001</v>
      </c>
      <c r="K217" s="61">
        <f>4.078 * CHOOSE(CONTROL!$C$22, $C$13, 100%, $E$13)</f>
        <v>4.0780000000000003</v>
      </c>
    </row>
    <row r="218" spans="1:11" ht="15">
      <c r="A218" s="13">
        <v>48488</v>
      </c>
      <c r="B218" s="60">
        <f>3.8515 * CHOOSE(CONTROL!$C$22, $C$13, 100%, $E$13)</f>
        <v>3.8515000000000001</v>
      </c>
      <c r="C218" s="60">
        <f>3.8515 * CHOOSE(CONTROL!$C$22, $C$13, 100%, $E$13)</f>
        <v>3.8515000000000001</v>
      </c>
      <c r="D218" s="60">
        <f>3.8691 * CHOOSE(CONTROL!$C$22, $C$13, 100%, $E$13)</f>
        <v>3.8691</v>
      </c>
      <c r="E218" s="61">
        <f>4.0868 * CHOOSE(CONTROL!$C$22, $C$13, 100%, $E$13)</f>
        <v>4.0868000000000002</v>
      </c>
      <c r="F218" s="61">
        <f>4.0868 * CHOOSE(CONTROL!$C$22, $C$13, 100%, $E$13)</f>
        <v>4.0868000000000002</v>
      </c>
      <c r="G218" s="61">
        <f>4.087 * CHOOSE(CONTROL!$C$22, $C$13, 100%, $E$13)</f>
        <v>4.0869999999999997</v>
      </c>
      <c r="H218" s="61">
        <f>7.8401* CHOOSE(CONTROL!$C$22, $C$13, 100%, $E$13)</f>
        <v>7.8400999999999996</v>
      </c>
      <c r="I218" s="61">
        <f>7.8403 * CHOOSE(CONTROL!$C$22, $C$13, 100%, $E$13)</f>
        <v>7.8403</v>
      </c>
      <c r="J218" s="61">
        <f>4.0868 * CHOOSE(CONTROL!$C$22, $C$13, 100%, $E$13)</f>
        <v>4.0868000000000002</v>
      </c>
      <c r="K218" s="61">
        <f>4.087 * CHOOSE(CONTROL!$C$22, $C$13, 100%, $E$13)</f>
        <v>4.0869999999999997</v>
      </c>
    </row>
    <row r="219" spans="1:11" ht="15">
      <c r="A219" s="13">
        <v>48519</v>
      </c>
      <c r="B219" s="60">
        <f>3.8545 * CHOOSE(CONTROL!$C$22, $C$13, 100%, $E$13)</f>
        <v>3.8544999999999998</v>
      </c>
      <c r="C219" s="60">
        <f>3.8545 * CHOOSE(CONTROL!$C$22, $C$13, 100%, $E$13)</f>
        <v>3.8544999999999998</v>
      </c>
      <c r="D219" s="60">
        <f>3.8722 * CHOOSE(CONTROL!$C$22, $C$13, 100%, $E$13)</f>
        <v>3.8721999999999999</v>
      </c>
      <c r="E219" s="61">
        <f>4.1012 * CHOOSE(CONTROL!$C$22, $C$13, 100%, $E$13)</f>
        <v>4.1012000000000004</v>
      </c>
      <c r="F219" s="61">
        <f>4.1012 * CHOOSE(CONTROL!$C$22, $C$13, 100%, $E$13)</f>
        <v>4.1012000000000004</v>
      </c>
      <c r="G219" s="61">
        <f>4.1014 * CHOOSE(CONTROL!$C$22, $C$13, 100%, $E$13)</f>
        <v>4.1013999999999999</v>
      </c>
      <c r="H219" s="61">
        <f>7.8564* CHOOSE(CONTROL!$C$22, $C$13, 100%, $E$13)</f>
        <v>7.8563999999999998</v>
      </c>
      <c r="I219" s="61">
        <f>7.8566 * CHOOSE(CONTROL!$C$22, $C$13, 100%, $E$13)</f>
        <v>7.8566000000000003</v>
      </c>
      <c r="J219" s="61">
        <f>4.1012 * CHOOSE(CONTROL!$C$22, $C$13, 100%, $E$13)</f>
        <v>4.1012000000000004</v>
      </c>
      <c r="K219" s="61">
        <f>4.1014 * CHOOSE(CONTROL!$C$22, $C$13, 100%, $E$13)</f>
        <v>4.1013999999999999</v>
      </c>
    </row>
    <row r="220" spans="1:11" ht="15">
      <c r="A220" s="13">
        <v>48549</v>
      </c>
      <c r="B220" s="60">
        <f>3.8545 * CHOOSE(CONTROL!$C$22, $C$13, 100%, $E$13)</f>
        <v>3.8544999999999998</v>
      </c>
      <c r="C220" s="60">
        <f>3.8545 * CHOOSE(CONTROL!$C$22, $C$13, 100%, $E$13)</f>
        <v>3.8544999999999998</v>
      </c>
      <c r="D220" s="60">
        <f>3.8722 * CHOOSE(CONTROL!$C$22, $C$13, 100%, $E$13)</f>
        <v>3.8721999999999999</v>
      </c>
      <c r="E220" s="61">
        <f>4.0706 * CHOOSE(CONTROL!$C$22, $C$13, 100%, $E$13)</f>
        <v>4.0705999999999998</v>
      </c>
      <c r="F220" s="61">
        <f>4.0706 * CHOOSE(CONTROL!$C$22, $C$13, 100%, $E$13)</f>
        <v>4.0705999999999998</v>
      </c>
      <c r="G220" s="61">
        <f>4.0708 * CHOOSE(CONTROL!$C$22, $C$13, 100%, $E$13)</f>
        <v>4.0708000000000002</v>
      </c>
      <c r="H220" s="61">
        <f>7.8728* CHOOSE(CONTROL!$C$22, $C$13, 100%, $E$13)</f>
        <v>7.8727999999999998</v>
      </c>
      <c r="I220" s="61">
        <f>7.873 * CHOOSE(CONTROL!$C$22, $C$13, 100%, $E$13)</f>
        <v>7.8730000000000002</v>
      </c>
      <c r="J220" s="61">
        <f>4.0706 * CHOOSE(CONTROL!$C$22, $C$13, 100%, $E$13)</f>
        <v>4.0705999999999998</v>
      </c>
      <c r="K220" s="61">
        <f>4.0708 * CHOOSE(CONTROL!$C$22, $C$13, 100%, $E$13)</f>
        <v>4.0708000000000002</v>
      </c>
    </row>
    <row r="221" spans="1:11" ht="15">
      <c r="A221" s="13">
        <v>48580</v>
      </c>
      <c r="B221" s="60">
        <f>3.8808 * CHOOSE(CONTROL!$C$22, $C$13, 100%, $E$13)</f>
        <v>3.8807999999999998</v>
      </c>
      <c r="C221" s="60">
        <f>3.8808 * CHOOSE(CONTROL!$C$22, $C$13, 100%, $E$13)</f>
        <v>3.8807999999999998</v>
      </c>
      <c r="D221" s="60">
        <f>3.8985 * CHOOSE(CONTROL!$C$22, $C$13, 100%, $E$13)</f>
        <v>3.8984999999999999</v>
      </c>
      <c r="E221" s="61">
        <f>4.1331 * CHOOSE(CONTROL!$C$22, $C$13, 100%, $E$13)</f>
        <v>4.1330999999999998</v>
      </c>
      <c r="F221" s="61">
        <f>4.1331 * CHOOSE(CONTROL!$C$22, $C$13, 100%, $E$13)</f>
        <v>4.1330999999999998</v>
      </c>
      <c r="G221" s="61">
        <f>4.1333 * CHOOSE(CONTROL!$C$22, $C$13, 100%, $E$13)</f>
        <v>4.1333000000000002</v>
      </c>
      <c r="H221" s="61">
        <f>7.8892* CHOOSE(CONTROL!$C$22, $C$13, 100%, $E$13)</f>
        <v>7.8891999999999998</v>
      </c>
      <c r="I221" s="61">
        <f>7.8894 * CHOOSE(CONTROL!$C$22, $C$13, 100%, $E$13)</f>
        <v>7.8894000000000002</v>
      </c>
      <c r="J221" s="61">
        <f>4.1331 * CHOOSE(CONTROL!$C$22, $C$13, 100%, $E$13)</f>
        <v>4.1330999999999998</v>
      </c>
      <c r="K221" s="61">
        <f>4.1333 * CHOOSE(CONTROL!$C$22, $C$13, 100%, $E$13)</f>
        <v>4.1333000000000002</v>
      </c>
    </row>
    <row r="222" spans="1:11" ht="15">
      <c r="A222" s="13">
        <v>48611</v>
      </c>
      <c r="B222" s="60">
        <f>3.8778 * CHOOSE(CONTROL!$C$22, $C$13, 100%, $E$13)</f>
        <v>3.8778000000000001</v>
      </c>
      <c r="C222" s="60">
        <f>3.8778 * CHOOSE(CONTROL!$C$22, $C$13, 100%, $E$13)</f>
        <v>3.8778000000000001</v>
      </c>
      <c r="D222" s="60">
        <f>3.8954 * CHOOSE(CONTROL!$C$22, $C$13, 100%, $E$13)</f>
        <v>3.8954</v>
      </c>
      <c r="E222" s="61">
        <f>4.0716 * CHOOSE(CONTROL!$C$22, $C$13, 100%, $E$13)</f>
        <v>4.0716000000000001</v>
      </c>
      <c r="F222" s="61">
        <f>4.0716 * CHOOSE(CONTROL!$C$22, $C$13, 100%, $E$13)</f>
        <v>4.0716000000000001</v>
      </c>
      <c r="G222" s="61">
        <f>4.0718 * CHOOSE(CONTROL!$C$22, $C$13, 100%, $E$13)</f>
        <v>4.0717999999999996</v>
      </c>
      <c r="H222" s="61">
        <f>7.9056* CHOOSE(CONTROL!$C$22, $C$13, 100%, $E$13)</f>
        <v>7.9055999999999997</v>
      </c>
      <c r="I222" s="61">
        <f>7.9058 * CHOOSE(CONTROL!$C$22, $C$13, 100%, $E$13)</f>
        <v>7.9058000000000002</v>
      </c>
      <c r="J222" s="61">
        <f>4.0716 * CHOOSE(CONTROL!$C$22, $C$13, 100%, $E$13)</f>
        <v>4.0716000000000001</v>
      </c>
      <c r="K222" s="61">
        <f>4.0718 * CHOOSE(CONTROL!$C$22, $C$13, 100%, $E$13)</f>
        <v>4.0717999999999996</v>
      </c>
    </row>
    <row r="223" spans="1:11" ht="15">
      <c r="A223" s="13">
        <v>48639</v>
      </c>
      <c r="B223" s="60">
        <f>3.8747 * CHOOSE(CONTROL!$C$22, $C$13, 100%, $E$13)</f>
        <v>3.8746999999999998</v>
      </c>
      <c r="C223" s="60">
        <f>3.8747 * CHOOSE(CONTROL!$C$22, $C$13, 100%, $E$13)</f>
        <v>3.8746999999999998</v>
      </c>
      <c r="D223" s="60">
        <f>3.8924 * CHOOSE(CONTROL!$C$22, $C$13, 100%, $E$13)</f>
        <v>3.8923999999999999</v>
      </c>
      <c r="E223" s="61">
        <f>4.1163 * CHOOSE(CONTROL!$C$22, $C$13, 100%, $E$13)</f>
        <v>4.1162999999999998</v>
      </c>
      <c r="F223" s="61">
        <f>4.1163 * CHOOSE(CONTROL!$C$22, $C$13, 100%, $E$13)</f>
        <v>4.1162999999999998</v>
      </c>
      <c r="G223" s="61">
        <f>4.1165 * CHOOSE(CONTROL!$C$22, $C$13, 100%, $E$13)</f>
        <v>4.1165000000000003</v>
      </c>
      <c r="H223" s="61">
        <f>7.9221* CHOOSE(CONTROL!$C$22, $C$13, 100%, $E$13)</f>
        <v>7.9221000000000004</v>
      </c>
      <c r="I223" s="61">
        <f>7.9223 * CHOOSE(CONTROL!$C$22, $C$13, 100%, $E$13)</f>
        <v>7.9222999999999999</v>
      </c>
      <c r="J223" s="61">
        <f>4.1163 * CHOOSE(CONTROL!$C$22, $C$13, 100%, $E$13)</f>
        <v>4.1162999999999998</v>
      </c>
      <c r="K223" s="61">
        <f>4.1165 * CHOOSE(CONTROL!$C$22, $C$13, 100%, $E$13)</f>
        <v>4.1165000000000003</v>
      </c>
    </row>
    <row r="224" spans="1:11" ht="15">
      <c r="A224" s="13">
        <v>48670</v>
      </c>
      <c r="B224" s="60">
        <f>3.8723 * CHOOSE(CONTROL!$C$22, $C$13, 100%, $E$13)</f>
        <v>3.8723000000000001</v>
      </c>
      <c r="C224" s="60">
        <f>3.8723 * CHOOSE(CONTROL!$C$22, $C$13, 100%, $E$13)</f>
        <v>3.8723000000000001</v>
      </c>
      <c r="D224" s="60">
        <f>3.89 * CHOOSE(CONTROL!$C$22, $C$13, 100%, $E$13)</f>
        <v>3.89</v>
      </c>
      <c r="E224" s="61">
        <f>4.1624 * CHOOSE(CONTROL!$C$22, $C$13, 100%, $E$13)</f>
        <v>4.1623999999999999</v>
      </c>
      <c r="F224" s="61">
        <f>4.1624 * CHOOSE(CONTROL!$C$22, $C$13, 100%, $E$13)</f>
        <v>4.1623999999999999</v>
      </c>
      <c r="G224" s="61">
        <f>4.1625 * CHOOSE(CONTROL!$C$22, $C$13, 100%, $E$13)</f>
        <v>4.1624999999999996</v>
      </c>
      <c r="H224" s="61">
        <f>7.9386* CHOOSE(CONTROL!$C$22, $C$13, 100%, $E$13)</f>
        <v>7.9386000000000001</v>
      </c>
      <c r="I224" s="61">
        <f>7.9388 * CHOOSE(CONTROL!$C$22, $C$13, 100%, $E$13)</f>
        <v>7.9387999999999996</v>
      </c>
      <c r="J224" s="61">
        <f>4.1624 * CHOOSE(CONTROL!$C$22, $C$13, 100%, $E$13)</f>
        <v>4.1623999999999999</v>
      </c>
      <c r="K224" s="61">
        <f>4.1625 * CHOOSE(CONTROL!$C$22, $C$13, 100%, $E$13)</f>
        <v>4.1624999999999996</v>
      </c>
    </row>
    <row r="225" spans="1:11" ht="15">
      <c r="A225" s="13">
        <v>48700</v>
      </c>
      <c r="B225" s="60">
        <f>3.8723 * CHOOSE(CONTROL!$C$22, $C$13, 100%, $E$13)</f>
        <v>3.8723000000000001</v>
      </c>
      <c r="C225" s="60">
        <f>3.8723 * CHOOSE(CONTROL!$C$22, $C$13, 100%, $E$13)</f>
        <v>3.8723000000000001</v>
      </c>
      <c r="D225" s="60">
        <f>3.9076 * CHOOSE(CONTROL!$C$22, $C$13, 100%, $E$13)</f>
        <v>3.9076</v>
      </c>
      <c r="E225" s="61">
        <f>4.1812 * CHOOSE(CONTROL!$C$22, $C$13, 100%, $E$13)</f>
        <v>4.1811999999999996</v>
      </c>
      <c r="F225" s="61">
        <f>4.1812 * CHOOSE(CONTROL!$C$22, $C$13, 100%, $E$13)</f>
        <v>4.1811999999999996</v>
      </c>
      <c r="G225" s="61">
        <f>4.1834 * CHOOSE(CONTROL!$C$22, $C$13, 100%, $E$13)</f>
        <v>4.1833999999999998</v>
      </c>
      <c r="H225" s="61">
        <f>7.9551* CHOOSE(CONTROL!$C$22, $C$13, 100%, $E$13)</f>
        <v>7.9550999999999998</v>
      </c>
      <c r="I225" s="61">
        <f>7.9573 * CHOOSE(CONTROL!$C$22, $C$13, 100%, $E$13)</f>
        <v>7.9573</v>
      </c>
      <c r="J225" s="61">
        <f>4.1812 * CHOOSE(CONTROL!$C$22, $C$13, 100%, $E$13)</f>
        <v>4.1811999999999996</v>
      </c>
      <c r="K225" s="61">
        <f>4.1834 * CHOOSE(CONTROL!$C$22, $C$13, 100%, $E$13)</f>
        <v>4.1833999999999998</v>
      </c>
    </row>
    <row r="226" spans="1:11" ht="15">
      <c r="A226" s="13">
        <v>48731</v>
      </c>
      <c r="B226" s="60">
        <f>3.8784 * CHOOSE(CONTROL!$C$22, $C$13, 100%, $E$13)</f>
        <v>3.8784000000000001</v>
      </c>
      <c r="C226" s="60">
        <f>3.8784 * CHOOSE(CONTROL!$C$22, $C$13, 100%, $E$13)</f>
        <v>3.8784000000000001</v>
      </c>
      <c r="D226" s="60">
        <f>3.9137 * CHOOSE(CONTROL!$C$22, $C$13, 100%, $E$13)</f>
        <v>3.9137</v>
      </c>
      <c r="E226" s="61">
        <f>4.1666 * CHOOSE(CONTROL!$C$22, $C$13, 100%, $E$13)</f>
        <v>4.1665999999999999</v>
      </c>
      <c r="F226" s="61">
        <f>4.1666 * CHOOSE(CONTROL!$C$22, $C$13, 100%, $E$13)</f>
        <v>4.1665999999999999</v>
      </c>
      <c r="G226" s="61">
        <f>4.1688 * CHOOSE(CONTROL!$C$22, $C$13, 100%, $E$13)</f>
        <v>4.1688000000000001</v>
      </c>
      <c r="H226" s="61">
        <f>7.9717* CHOOSE(CONTROL!$C$22, $C$13, 100%, $E$13)</f>
        <v>7.9717000000000002</v>
      </c>
      <c r="I226" s="61">
        <f>7.9739 * CHOOSE(CONTROL!$C$22, $C$13, 100%, $E$13)</f>
        <v>7.9739000000000004</v>
      </c>
      <c r="J226" s="61">
        <f>4.1666 * CHOOSE(CONTROL!$C$22, $C$13, 100%, $E$13)</f>
        <v>4.1665999999999999</v>
      </c>
      <c r="K226" s="61">
        <f>4.1688 * CHOOSE(CONTROL!$C$22, $C$13, 100%, $E$13)</f>
        <v>4.1688000000000001</v>
      </c>
    </row>
    <row r="227" spans="1:11" ht="15">
      <c r="A227" s="13">
        <v>48761</v>
      </c>
      <c r="B227" s="60">
        <f>3.9231 * CHOOSE(CONTROL!$C$22, $C$13, 100%, $E$13)</f>
        <v>3.9230999999999998</v>
      </c>
      <c r="C227" s="60">
        <f>3.9231 * CHOOSE(CONTROL!$C$22, $C$13, 100%, $E$13)</f>
        <v>3.9230999999999998</v>
      </c>
      <c r="D227" s="60">
        <f>3.9584 * CHOOSE(CONTROL!$C$22, $C$13, 100%, $E$13)</f>
        <v>3.9584000000000001</v>
      </c>
      <c r="E227" s="61">
        <f>4.2544 * CHOOSE(CONTROL!$C$22, $C$13, 100%, $E$13)</f>
        <v>4.2544000000000004</v>
      </c>
      <c r="F227" s="61">
        <f>4.2544 * CHOOSE(CONTROL!$C$22, $C$13, 100%, $E$13)</f>
        <v>4.2544000000000004</v>
      </c>
      <c r="G227" s="61">
        <f>4.2566 * CHOOSE(CONTROL!$C$22, $C$13, 100%, $E$13)</f>
        <v>4.2565999999999997</v>
      </c>
      <c r="H227" s="61">
        <f>7.9883* CHOOSE(CONTROL!$C$22, $C$13, 100%, $E$13)</f>
        <v>7.9882999999999997</v>
      </c>
      <c r="I227" s="61">
        <f>7.9905 * CHOOSE(CONTROL!$C$22, $C$13, 100%, $E$13)</f>
        <v>7.9904999999999999</v>
      </c>
      <c r="J227" s="61">
        <f>4.2544 * CHOOSE(CONTROL!$C$22, $C$13, 100%, $E$13)</f>
        <v>4.2544000000000004</v>
      </c>
      <c r="K227" s="61">
        <f>4.2566 * CHOOSE(CONTROL!$C$22, $C$13, 100%, $E$13)</f>
        <v>4.2565999999999997</v>
      </c>
    </row>
    <row r="228" spans="1:11" ht="15">
      <c r="A228" s="13">
        <v>48792</v>
      </c>
      <c r="B228" s="60">
        <f>3.9298 * CHOOSE(CONTROL!$C$22, $C$13, 100%, $E$13)</f>
        <v>3.9298000000000002</v>
      </c>
      <c r="C228" s="60">
        <f>3.9298 * CHOOSE(CONTROL!$C$22, $C$13, 100%, $E$13)</f>
        <v>3.9298000000000002</v>
      </c>
      <c r="D228" s="60">
        <f>3.9651 * CHOOSE(CONTROL!$C$22, $C$13, 100%, $E$13)</f>
        <v>3.9651000000000001</v>
      </c>
      <c r="E228" s="61">
        <f>4.2025 * CHOOSE(CONTROL!$C$22, $C$13, 100%, $E$13)</f>
        <v>4.2024999999999997</v>
      </c>
      <c r="F228" s="61">
        <f>4.2025 * CHOOSE(CONTROL!$C$22, $C$13, 100%, $E$13)</f>
        <v>4.2024999999999997</v>
      </c>
      <c r="G228" s="61">
        <f>4.2046 * CHOOSE(CONTROL!$C$22, $C$13, 100%, $E$13)</f>
        <v>4.2046000000000001</v>
      </c>
      <c r="H228" s="61">
        <f>8.005* CHOOSE(CONTROL!$C$22, $C$13, 100%, $E$13)</f>
        <v>8.0050000000000008</v>
      </c>
      <c r="I228" s="61">
        <f>8.0072 * CHOOSE(CONTROL!$C$22, $C$13, 100%, $E$13)</f>
        <v>8.0071999999999992</v>
      </c>
      <c r="J228" s="61">
        <f>4.2025 * CHOOSE(CONTROL!$C$22, $C$13, 100%, $E$13)</f>
        <v>4.2024999999999997</v>
      </c>
      <c r="K228" s="61">
        <f>4.2046 * CHOOSE(CONTROL!$C$22, $C$13, 100%, $E$13)</f>
        <v>4.2046000000000001</v>
      </c>
    </row>
    <row r="229" spans="1:11" ht="15">
      <c r="A229" s="13">
        <v>48823</v>
      </c>
      <c r="B229" s="60">
        <f>3.9268 * CHOOSE(CONTROL!$C$22, $C$13, 100%, $E$13)</f>
        <v>3.9268000000000001</v>
      </c>
      <c r="C229" s="60">
        <f>3.9268 * CHOOSE(CONTROL!$C$22, $C$13, 100%, $E$13)</f>
        <v>3.9268000000000001</v>
      </c>
      <c r="D229" s="60">
        <f>3.9621 * CHOOSE(CONTROL!$C$22, $C$13, 100%, $E$13)</f>
        <v>3.9621</v>
      </c>
      <c r="E229" s="61">
        <f>4.1941 * CHOOSE(CONTROL!$C$22, $C$13, 100%, $E$13)</f>
        <v>4.1940999999999997</v>
      </c>
      <c r="F229" s="61">
        <f>4.1941 * CHOOSE(CONTROL!$C$22, $C$13, 100%, $E$13)</f>
        <v>4.1940999999999997</v>
      </c>
      <c r="G229" s="61">
        <f>4.1962 * CHOOSE(CONTROL!$C$22, $C$13, 100%, $E$13)</f>
        <v>4.1962000000000002</v>
      </c>
      <c r="H229" s="61">
        <f>8.0216* CHOOSE(CONTROL!$C$22, $C$13, 100%, $E$13)</f>
        <v>8.0215999999999994</v>
      </c>
      <c r="I229" s="61">
        <f>8.0238 * CHOOSE(CONTROL!$C$22, $C$13, 100%, $E$13)</f>
        <v>8.0237999999999996</v>
      </c>
      <c r="J229" s="61">
        <f>4.1941 * CHOOSE(CONTROL!$C$22, $C$13, 100%, $E$13)</f>
        <v>4.1940999999999997</v>
      </c>
      <c r="K229" s="61">
        <f>4.1962 * CHOOSE(CONTROL!$C$22, $C$13, 100%, $E$13)</f>
        <v>4.1962000000000002</v>
      </c>
    </row>
    <row r="230" spans="1:11" ht="15">
      <c r="A230" s="13">
        <v>48853</v>
      </c>
      <c r="B230" s="60">
        <f>3.9217 * CHOOSE(CONTROL!$C$22, $C$13, 100%, $E$13)</f>
        <v>3.9217</v>
      </c>
      <c r="C230" s="60">
        <f>3.9217 * CHOOSE(CONTROL!$C$22, $C$13, 100%, $E$13)</f>
        <v>3.9217</v>
      </c>
      <c r="D230" s="60">
        <f>3.9394 * CHOOSE(CONTROL!$C$22, $C$13, 100%, $E$13)</f>
        <v>3.9394</v>
      </c>
      <c r="E230" s="61">
        <f>4.2058 * CHOOSE(CONTROL!$C$22, $C$13, 100%, $E$13)</f>
        <v>4.2058</v>
      </c>
      <c r="F230" s="61">
        <f>4.2058 * CHOOSE(CONTROL!$C$22, $C$13, 100%, $E$13)</f>
        <v>4.2058</v>
      </c>
      <c r="G230" s="61">
        <f>4.206 * CHOOSE(CONTROL!$C$22, $C$13, 100%, $E$13)</f>
        <v>4.2060000000000004</v>
      </c>
      <c r="H230" s="61">
        <f>8.0384* CHOOSE(CONTROL!$C$22, $C$13, 100%, $E$13)</f>
        <v>8.0383999999999993</v>
      </c>
      <c r="I230" s="61">
        <f>8.0385 * CHOOSE(CONTROL!$C$22, $C$13, 100%, $E$13)</f>
        <v>8.0385000000000009</v>
      </c>
      <c r="J230" s="61">
        <f>4.2058 * CHOOSE(CONTROL!$C$22, $C$13, 100%, $E$13)</f>
        <v>4.2058</v>
      </c>
      <c r="K230" s="61">
        <f>4.206 * CHOOSE(CONTROL!$C$22, $C$13, 100%, $E$13)</f>
        <v>4.2060000000000004</v>
      </c>
    </row>
    <row r="231" spans="1:11" ht="15">
      <c r="A231" s="13">
        <v>48884</v>
      </c>
      <c r="B231" s="60">
        <f>3.9248 * CHOOSE(CONTROL!$C$22, $C$13, 100%, $E$13)</f>
        <v>3.9247999999999998</v>
      </c>
      <c r="C231" s="60">
        <f>3.9248 * CHOOSE(CONTROL!$C$22, $C$13, 100%, $E$13)</f>
        <v>3.9247999999999998</v>
      </c>
      <c r="D231" s="60">
        <f>3.9424 * CHOOSE(CONTROL!$C$22, $C$13, 100%, $E$13)</f>
        <v>3.9424000000000001</v>
      </c>
      <c r="E231" s="61">
        <f>4.2205 * CHOOSE(CONTROL!$C$22, $C$13, 100%, $E$13)</f>
        <v>4.2205000000000004</v>
      </c>
      <c r="F231" s="61">
        <f>4.2205 * CHOOSE(CONTROL!$C$22, $C$13, 100%, $E$13)</f>
        <v>4.2205000000000004</v>
      </c>
      <c r="G231" s="61">
        <f>4.2207 * CHOOSE(CONTROL!$C$22, $C$13, 100%, $E$13)</f>
        <v>4.2206999999999999</v>
      </c>
      <c r="H231" s="61">
        <f>8.0551* CHOOSE(CONTROL!$C$22, $C$13, 100%, $E$13)</f>
        <v>8.0550999999999995</v>
      </c>
      <c r="I231" s="61">
        <f>8.0553 * CHOOSE(CONTROL!$C$22, $C$13, 100%, $E$13)</f>
        <v>8.0553000000000008</v>
      </c>
      <c r="J231" s="61">
        <f>4.2205 * CHOOSE(CONTROL!$C$22, $C$13, 100%, $E$13)</f>
        <v>4.2205000000000004</v>
      </c>
      <c r="K231" s="61">
        <f>4.2207 * CHOOSE(CONTROL!$C$22, $C$13, 100%, $E$13)</f>
        <v>4.2206999999999999</v>
      </c>
    </row>
    <row r="232" spans="1:11" ht="15">
      <c r="A232" s="13">
        <v>48914</v>
      </c>
      <c r="B232" s="60">
        <f>3.9248 * CHOOSE(CONTROL!$C$22, $C$13, 100%, $E$13)</f>
        <v>3.9247999999999998</v>
      </c>
      <c r="C232" s="60">
        <f>3.9248 * CHOOSE(CONTROL!$C$22, $C$13, 100%, $E$13)</f>
        <v>3.9247999999999998</v>
      </c>
      <c r="D232" s="60">
        <f>3.9424 * CHOOSE(CONTROL!$C$22, $C$13, 100%, $E$13)</f>
        <v>3.9424000000000001</v>
      </c>
      <c r="E232" s="61">
        <f>4.189 * CHOOSE(CONTROL!$C$22, $C$13, 100%, $E$13)</f>
        <v>4.1890000000000001</v>
      </c>
      <c r="F232" s="61">
        <f>4.189 * CHOOSE(CONTROL!$C$22, $C$13, 100%, $E$13)</f>
        <v>4.1890000000000001</v>
      </c>
      <c r="G232" s="61">
        <f>4.1892 * CHOOSE(CONTROL!$C$22, $C$13, 100%, $E$13)</f>
        <v>4.1891999999999996</v>
      </c>
      <c r="H232" s="61">
        <f>8.0719* CHOOSE(CONTROL!$C$22, $C$13, 100%, $E$13)</f>
        <v>8.0718999999999994</v>
      </c>
      <c r="I232" s="61">
        <f>8.0721 * CHOOSE(CONTROL!$C$22, $C$13, 100%, $E$13)</f>
        <v>8.0721000000000007</v>
      </c>
      <c r="J232" s="61">
        <f>4.189 * CHOOSE(CONTROL!$C$22, $C$13, 100%, $E$13)</f>
        <v>4.1890000000000001</v>
      </c>
      <c r="K232" s="61">
        <f>4.1892 * CHOOSE(CONTROL!$C$22, $C$13, 100%, $E$13)</f>
        <v>4.1891999999999996</v>
      </c>
    </row>
    <row r="233" spans="1:11" ht="15">
      <c r="A233" s="13">
        <v>48945</v>
      </c>
      <c r="B233" s="60">
        <f>3.9588 * CHOOSE(CONTROL!$C$22, $C$13, 100%, $E$13)</f>
        <v>3.9588000000000001</v>
      </c>
      <c r="C233" s="60">
        <f>3.9588 * CHOOSE(CONTROL!$C$22, $C$13, 100%, $E$13)</f>
        <v>3.9588000000000001</v>
      </c>
      <c r="D233" s="60">
        <f>3.9765 * CHOOSE(CONTROL!$C$22, $C$13, 100%, $E$13)</f>
        <v>3.9765000000000001</v>
      </c>
      <c r="E233" s="61">
        <f>4.2511 * CHOOSE(CONTROL!$C$22, $C$13, 100%, $E$13)</f>
        <v>4.2511000000000001</v>
      </c>
      <c r="F233" s="61">
        <f>4.2511 * CHOOSE(CONTROL!$C$22, $C$13, 100%, $E$13)</f>
        <v>4.2511000000000001</v>
      </c>
      <c r="G233" s="61">
        <f>4.2513 * CHOOSE(CONTROL!$C$22, $C$13, 100%, $E$13)</f>
        <v>4.2512999999999996</v>
      </c>
      <c r="H233" s="61">
        <f>8.0887* CHOOSE(CONTROL!$C$22, $C$13, 100%, $E$13)</f>
        <v>8.0886999999999993</v>
      </c>
      <c r="I233" s="61">
        <f>8.0889 * CHOOSE(CONTROL!$C$22, $C$13, 100%, $E$13)</f>
        <v>8.0889000000000006</v>
      </c>
      <c r="J233" s="61">
        <f>4.2511 * CHOOSE(CONTROL!$C$22, $C$13, 100%, $E$13)</f>
        <v>4.2511000000000001</v>
      </c>
      <c r="K233" s="61">
        <f>4.2513 * CHOOSE(CONTROL!$C$22, $C$13, 100%, $E$13)</f>
        <v>4.2512999999999996</v>
      </c>
    </row>
    <row r="234" spans="1:11" ht="15">
      <c r="A234" s="13">
        <v>48976</v>
      </c>
      <c r="B234" s="60">
        <f>3.9558 * CHOOSE(CONTROL!$C$22, $C$13, 100%, $E$13)</f>
        <v>3.9558</v>
      </c>
      <c r="C234" s="60">
        <f>3.9558 * CHOOSE(CONTROL!$C$22, $C$13, 100%, $E$13)</f>
        <v>3.9558</v>
      </c>
      <c r="D234" s="60">
        <f>3.9734 * CHOOSE(CONTROL!$C$22, $C$13, 100%, $E$13)</f>
        <v>3.9733999999999998</v>
      </c>
      <c r="E234" s="61">
        <f>4.1879 * CHOOSE(CONTROL!$C$22, $C$13, 100%, $E$13)</f>
        <v>4.1879</v>
      </c>
      <c r="F234" s="61">
        <f>4.1879 * CHOOSE(CONTROL!$C$22, $C$13, 100%, $E$13)</f>
        <v>4.1879</v>
      </c>
      <c r="G234" s="61">
        <f>4.188 * CHOOSE(CONTROL!$C$22, $C$13, 100%, $E$13)</f>
        <v>4.1879999999999997</v>
      </c>
      <c r="H234" s="61">
        <f>8.1056* CHOOSE(CONTROL!$C$22, $C$13, 100%, $E$13)</f>
        <v>8.1056000000000008</v>
      </c>
      <c r="I234" s="61">
        <f>8.1057 * CHOOSE(CONTROL!$C$22, $C$13, 100%, $E$13)</f>
        <v>8.1057000000000006</v>
      </c>
      <c r="J234" s="61">
        <f>4.1879 * CHOOSE(CONTROL!$C$22, $C$13, 100%, $E$13)</f>
        <v>4.1879</v>
      </c>
      <c r="K234" s="61">
        <f>4.188 * CHOOSE(CONTROL!$C$22, $C$13, 100%, $E$13)</f>
        <v>4.1879999999999997</v>
      </c>
    </row>
    <row r="235" spans="1:11" ht="15">
      <c r="A235" s="13">
        <v>49004</v>
      </c>
      <c r="B235" s="60">
        <f>3.9527 * CHOOSE(CONTROL!$C$22, $C$13, 100%, $E$13)</f>
        <v>3.9527000000000001</v>
      </c>
      <c r="C235" s="60">
        <f>3.9527 * CHOOSE(CONTROL!$C$22, $C$13, 100%, $E$13)</f>
        <v>3.9527000000000001</v>
      </c>
      <c r="D235" s="60">
        <f>3.9704 * CHOOSE(CONTROL!$C$22, $C$13, 100%, $E$13)</f>
        <v>3.9704000000000002</v>
      </c>
      <c r="E235" s="61">
        <f>4.234 * CHOOSE(CONTROL!$C$22, $C$13, 100%, $E$13)</f>
        <v>4.234</v>
      </c>
      <c r="F235" s="61">
        <f>4.234 * CHOOSE(CONTROL!$C$22, $C$13, 100%, $E$13)</f>
        <v>4.234</v>
      </c>
      <c r="G235" s="61">
        <f>4.2341 * CHOOSE(CONTROL!$C$22, $C$13, 100%, $E$13)</f>
        <v>4.2340999999999998</v>
      </c>
      <c r="H235" s="61">
        <f>8.1224* CHOOSE(CONTROL!$C$22, $C$13, 100%, $E$13)</f>
        <v>8.1224000000000007</v>
      </c>
      <c r="I235" s="61">
        <f>8.1226 * CHOOSE(CONTROL!$C$22, $C$13, 100%, $E$13)</f>
        <v>8.1226000000000003</v>
      </c>
      <c r="J235" s="61">
        <f>4.234 * CHOOSE(CONTROL!$C$22, $C$13, 100%, $E$13)</f>
        <v>4.234</v>
      </c>
      <c r="K235" s="61">
        <f>4.2341 * CHOOSE(CONTROL!$C$22, $C$13, 100%, $E$13)</f>
        <v>4.2340999999999998</v>
      </c>
    </row>
    <row r="236" spans="1:11" ht="15">
      <c r="A236" s="13">
        <v>49035</v>
      </c>
      <c r="B236" s="60">
        <f>3.9504 * CHOOSE(CONTROL!$C$22, $C$13, 100%, $E$13)</f>
        <v>3.9504000000000001</v>
      </c>
      <c r="C236" s="60">
        <f>3.9504 * CHOOSE(CONTROL!$C$22, $C$13, 100%, $E$13)</f>
        <v>3.9504000000000001</v>
      </c>
      <c r="D236" s="60">
        <f>3.9681 * CHOOSE(CONTROL!$C$22, $C$13, 100%, $E$13)</f>
        <v>3.9681000000000002</v>
      </c>
      <c r="E236" s="61">
        <f>4.2815 * CHOOSE(CONTROL!$C$22, $C$13, 100%, $E$13)</f>
        <v>4.2815000000000003</v>
      </c>
      <c r="F236" s="61">
        <f>4.2815 * CHOOSE(CONTROL!$C$22, $C$13, 100%, $E$13)</f>
        <v>4.2815000000000003</v>
      </c>
      <c r="G236" s="61">
        <f>4.2817 * CHOOSE(CONTROL!$C$22, $C$13, 100%, $E$13)</f>
        <v>4.2816999999999998</v>
      </c>
      <c r="H236" s="61">
        <f>8.1394* CHOOSE(CONTROL!$C$22, $C$13, 100%, $E$13)</f>
        <v>8.1394000000000002</v>
      </c>
      <c r="I236" s="61">
        <f>8.1395 * CHOOSE(CONTROL!$C$22, $C$13, 100%, $E$13)</f>
        <v>8.1395</v>
      </c>
      <c r="J236" s="61">
        <f>4.2815 * CHOOSE(CONTROL!$C$22, $C$13, 100%, $E$13)</f>
        <v>4.2815000000000003</v>
      </c>
      <c r="K236" s="61">
        <f>4.2817 * CHOOSE(CONTROL!$C$22, $C$13, 100%, $E$13)</f>
        <v>4.2816999999999998</v>
      </c>
    </row>
    <row r="237" spans="1:11" ht="15">
      <c r="A237" s="13">
        <v>49065</v>
      </c>
      <c r="B237" s="60">
        <f>3.9504 * CHOOSE(CONTROL!$C$22, $C$13, 100%, $E$13)</f>
        <v>3.9504000000000001</v>
      </c>
      <c r="C237" s="60">
        <f>3.9504 * CHOOSE(CONTROL!$C$22, $C$13, 100%, $E$13)</f>
        <v>3.9504000000000001</v>
      </c>
      <c r="D237" s="60">
        <f>3.9857 * CHOOSE(CONTROL!$C$22, $C$13, 100%, $E$13)</f>
        <v>3.9857</v>
      </c>
      <c r="E237" s="61">
        <f>4.3009 * CHOOSE(CONTROL!$C$22, $C$13, 100%, $E$13)</f>
        <v>4.3009000000000004</v>
      </c>
      <c r="F237" s="61">
        <f>4.3009 * CHOOSE(CONTROL!$C$22, $C$13, 100%, $E$13)</f>
        <v>4.3009000000000004</v>
      </c>
      <c r="G237" s="61">
        <f>4.3031 * CHOOSE(CONTROL!$C$22, $C$13, 100%, $E$13)</f>
        <v>4.3030999999999997</v>
      </c>
      <c r="H237" s="61">
        <f>8.1563* CHOOSE(CONTROL!$C$22, $C$13, 100%, $E$13)</f>
        <v>8.1562999999999999</v>
      </c>
      <c r="I237" s="61">
        <f>8.1585 * CHOOSE(CONTROL!$C$22, $C$13, 100%, $E$13)</f>
        <v>8.1585000000000001</v>
      </c>
      <c r="J237" s="61">
        <f>4.3009 * CHOOSE(CONTROL!$C$22, $C$13, 100%, $E$13)</f>
        <v>4.3009000000000004</v>
      </c>
      <c r="K237" s="61">
        <f>4.3031 * CHOOSE(CONTROL!$C$22, $C$13, 100%, $E$13)</f>
        <v>4.3030999999999997</v>
      </c>
    </row>
    <row r="238" spans="1:11" ht="15">
      <c r="A238" s="13">
        <v>49096</v>
      </c>
      <c r="B238" s="60">
        <f>3.9565 * CHOOSE(CONTROL!$C$22, $C$13, 100%, $E$13)</f>
        <v>3.9565000000000001</v>
      </c>
      <c r="C238" s="60">
        <f>3.9565 * CHOOSE(CONTROL!$C$22, $C$13, 100%, $E$13)</f>
        <v>3.9565000000000001</v>
      </c>
      <c r="D238" s="60">
        <f>3.9918 * CHOOSE(CONTROL!$C$22, $C$13, 100%, $E$13)</f>
        <v>3.9918</v>
      </c>
      <c r="E238" s="61">
        <f>4.2857 * CHOOSE(CONTROL!$C$22, $C$13, 100%, $E$13)</f>
        <v>4.2857000000000003</v>
      </c>
      <c r="F238" s="61">
        <f>4.2857 * CHOOSE(CONTROL!$C$22, $C$13, 100%, $E$13)</f>
        <v>4.2857000000000003</v>
      </c>
      <c r="G238" s="61">
        <f>4.2879 * CHOOSE(CONTROL!$C$22, $C$13, 100%, $E$13)</f>
        <v>4.2878999999999996</v>
      </c>
      <c r="H238" s="61">
        <f>8.1733* CHOOSE(CONTROL!$C$22, $C$13, 100%, $E$13)</f>
        <v>8.1732999999999993</v>
      </c>
      <c r="I238" s="61">
        <f>8.1755 * CHOOSE(CONTROL!$C$22, $C$13, 100%, $E$13)</f>
        <v>8.1754999999999995</v>
      </c>
      <c r="J238" s="61">
        <f>4.2857 * CHOOSE(CONTROL!$C$22, $C$13, 100%, $E$13)</f>
        <v>4.2857000000000003</v>
      </c>
      <c r="K238" s="61">
        <f>4.2879 * CHOOSE(CONTROL!$C$22, $C$13, 100%, $E$13)</f>
        <v>4.2878999999999996</v>
      </c>
    </row>
    <row r="239" spans="1:11" ht="15">
      <c r="A239" s="13">
        <v>49126</v>
      </c>
      <c r="B239" s="60">
        <f>4.0191 * CHOOSE(CONTROL!$C$22, $C$13, 100%, $E$13)</f>
        <v>4.0190999999999999</v>
      </c>
      <c r="C239" s="60">
        <f>4.0191 * CHOOSE(CONTROL!$C$22, $C$13, 100%, $E$13)</f>
        <v>4.0190999999999999</v>
      </c>
      <c r="D239" s="60">
        <f>4.0544 * CHOOSE(CONTROL!$C$22, $C$13, 100%, $E$13)</f>
        <v>4.0544000000000002</v>
      </c>
      <c r="E239" s="61">
        <f>4.3698 * CHOOSE(CONTROL!$C$22, $C$13, 100%, $E$13)</f>
        <v>4.3697999999999997</v>
      </c>
      <c r="F239" s="61">
        <f>4.3698 * CHOOSE(CONTROL!$C$22, $C$13, 100%, $E$13)</f>
        <v>4.3697999999999997</v>
      </c>
      <c r="G239" s="61">
        <f>4.372 * CHOOSE(CONTROL!$C$22, $C$13, 100%, $E$13)</f>
        <v>4.3719999999999999</v>
      </c>
      <c r="H239" s="61">
        <f>8.1903* CHOOSE(CONTROL!$C$22, $C$13, 100%, $E$13)</f>
        <v>8.1903000000000006</v>
      </c>
      <c r="I239" s="61">
        <f>8.1925 * CHOOSE(CONTROL!$C$22, $C$13, 100%, $E$13)</f>
        <v>8.1925000000000008</v>
      </c>
      <c r="J239" s="61">
        <f>4.3698 * CHOOSE(CONTROL!$C$22, $C$13, 100%, $E$13)</f>
        <v>4.3697999999999997</v>
      </c>
      <c r="K239" s="61">
        <f>4.372 * CHOOSE(CONTROL!$C$22, $C$13, 100%, $E$13)</f>
        <v>4.3719999999999999</v>
      </c>
    </row>
    <row r="240" spans="1:11" ht="15">
      <c r="A240" s="13">
        <v>49157</v>
      </c>
      <c r="B240" s="60">
        <f>4.0258 * CHOOSE(CONTROL!$C$22, $C$13, 100%, $E$13)</f>
        <v>4.0258000000000003</v>
      </c>
      <c r="C240" s="60">
        <f>4.0258 * CHOOSE(CONTROL!$C$22, $C$13, 100%, $E$13)</f>
        <v>4.0258000000000003</v>
      </c>
      <c r="D240" s="60">
        <f>4.0611 * CHOOSE(CONTROL!$C$22, $C$13, 100%, $E$13)</f>
        <v>4.0610999999999997</v>
      </c>
      <c r="E240" s="61">
        <f>4.3162 * CHOOSE(CONTROL!$C$22, $C$13, 100%, $E$13)</f>
        <v>4.3162000000000003</v>
      </c>
      <c r="F240" s="61">
        <f>4.3162 * CHOOSE(CONTROL!$C$22, $C$13, 100%, $E$13)</f>
        <v>4.3162000000000003</v>
      </c>
      <c r="G240" s="61">
        <f>4.3184 * CHOOSE(CONTROL!$C$22, $C$13, 100%, $E$13)</f>
        <v>4.3183999999999996</v>
      </c>
      <c r="H240" s="61">
        <f>8.2074* CHOOSE(CONTROL!$C$22, $C$13, 100%, $E$13)</f>
        <v>8.2073999999999998</v>
      </c>
      <c r="I240" s="61">
        <f>8.2096 * CHOOSE(CONTROL!$C$22, $C$13, 100%, $E$13)</f>
        <v>8.2096</v>
      </c>
      <c r="J240" s="61">
        <f>4.3162 * CHOOSE(CONTROL!$C$22, $C$13, 100%, $E$13)</f>
        <v>4.3162000000000003</v>
      </c>
      <c r="K240" s="61">
        <f>4.3184 * CHOOSE(CONTROL!$C$22, $C$13, 100%, $E$13)</f>
        <v>4.3183999999999996</v>
      </c>
    </row>
    <row r="241" spans="1:11" ht="15">
      <c r="A241" s="13">
        <v>49188</v>
      </c>
      <c r="B241" s="60">
        <f>4.0227 * CHOOSE(CONTROL!$C$22, $C$13, 100%, $E$13)</f>
        <v>4.0227000000000004</v>
      </c>
      <c r="C241" s="60">
        <f>4.0227 * CHOOSE(CONTROL!$C$22, $C$13, 100%, $E$13)</f>
        <v>4.0227000000000004</v>
      </c>
      <c r="D241" s="60">
        <f>4.0581 * CHOOSE(CONTROL!$C$22, $C$13, 100%, $E$13)</f>
        <v>4.0580999999999996</v>
      </c>
      <c r="E241" s="61">
        <f>4.3077 * CHOOSE(CONTROL!$C$22, $C$13, 100%, $E$13)</f>
        <v>4.3076999999999996</v>
      </c>
      <c r="F241" s="61">
        <f>4.3077 * CHOOSE(CONTROL!$C$22, $C$13, 100%, $E$13)</f>
        <v>4.3076999999999996</v>
      </c>
      <c r="G241" s="61">
        <f>4.3098 * CHOOSE(CONTROL!$C$22, $C$13, 100%, $E$13)</f>
        <v>4.3098000000000001</v>
      </c>
      <c r="H241" s="61">
        <f>8.2245* CHOOSE(CONTROL!$C$22, $C$13, 100%, $E$13)</f>
        <v>8.2245000000000008</v>
      </c>
      <c r="I241" s="61">
        <f>8.2267 * CHOOSE(CONTROL!$C$22, $C$13, 100%, $E$13)</f>
        <v>8.2266999999999992</v>
      </c>
      <c r="J241" s="61">
        <f>4.3077 * CHOOSE(CONTROL!$C$22, $C$13, 100%, $E$13)</f>
        <v>4.3076999999999996</v>
      </c>
      <c r="K241" s="61">
        <f>4.3098 * CHOOSE(CONTROL!$C$22, $C$13, 100%, $E$13)</f>
        <v>4.3098000000000001</v>
      </c>
    </row>
    <row r="242" spans="1:11" ht="15">
      <c r="A242" s="13">
        <v>49218</v>
      </c>
      <c r="B242" s="60">
        <f>4.0181 * CHOOSE(CONTROL!$C$22, $C$13, 100%, $E$13)</f>
        <v>4.0180999999999996</v>
      </c>
      <c r="C242" s="60">
        <f>4.0181 * CHOOSE(CONTROL!$C$22, $C$13, 100%, $E$13)</f>
        <v>4.0180999999999996</v>
      </c>
      <c r="D242" s="60">
        <f>4.0357 * CHOOSE(CONTROL!$C$22, $C$13, 100%, $E$13)</f>
        <v>4.0357000000000003</v>
      </c>
      <c r="E242" s="61">
        <f>4.3201 * CHOOSE(CONTROL!$C$22, $C$13, 100%, $E$13)</f>
        <v>4.3201000000000001</v>
      </c>
      <c r="F242" s="61">
        <f>4.3201 * CHOOSE(CONTROL!$C$22, $C$13, 100%, $E$13)</f>
        <v>4.3201000000000001</v>
      </c>
      <c r="G242" s="61">
        <f>4.3203 * CHOOSE(CONTROL!$C$22, $C$13, 100%, $E$13)</f>
        <v>4.3202999999999996</v>
      </c>
      <c r="H242" s="61">
        <f>8.2416* CHOOSE(CONTROL!$C$22, $C$13, 100%, $E$13)</f>
        <v>8.2416</v>
      </c>
      <c r="I242" s="61">
        <f>8.2418 * CHOOSE(CONTROL!$C$22, $C$13, 100%, $E$13)</f>
        <v>8.2417999999999996</v>
      </c>
      <c r="J242" s="61">
        <f>4.3201 * CHOOSE(CONTROL!$C$22, $C$13, 100%, $E$13)</f>
        <v>4.3201000000000001</v>
      </c>
      <c r="K242" s="61">
        <f>4.3203 * CHOOSE(CONTROL!$C$22, $C$13, 100%, $E$13)</f>
        <v>4.3202999999999996</v>
      </c>
    </row>
    <row r="243" spans="1:11" ht="15">
      <c r="A243" s="13">
        <v>49249</v>
      </c>
      <c r="B243" s="60">
        <f>4.0211 * CHOOSE(CONTROL!$C$22, $C$13, 100%, $E$13)</f>
        <v>4.0210999999999997</v>
      </c>
      <c r="C243" s="60">
        <f>4.0211 * CHOOSE(CONTROL!$C$22, $C$13, 100%, $E$13)</f>
        <v>4.0210999999999997</v>
      </c>
      <c r="D243" s="60">
        <f>4.0388 * CHOOSE(CONTROL!$C$22, $C$13, 100%, $E$13)</f>
        <v>4.0388000000000002</v>
      </c>
      <c r="E243" s="61">
        <f>4.3352 * CHOOSE(CONTROL!$C$22, $C$13, 100%, $E$13)</f>
        <v>4.3352000000000004</v>
      </c>
      <c r="F243" s="61">
        <f>4.3352 * CHOOSE(CONTROL!$C$22, $C$13, 100%, $E$13)</f>
        <v>4.3352000000000004</v>
      </c>
      <c r="G243" s="61">
        <f>4.3354 * CHOOSE(CONTROL!$C$22, $C$13, 100%, $E$13)</f>
        <v>4.3353999999999999</v>
      </c>
      <c r="H243" s="61">
        <f>8.2588* CHOOSE(CONTROL!$C$22, $C$13, 100%, $E$13)</f>
        <v>8.2588000000000008</v>
      </c>
      <c r="I243" s="61">
        <f>8.259 * CHOOSE(CONTROL!$C$22, $C$13, 100%, $E$13)</f>
        <v>8.2590000000000003</v>
      </c>
      <c r="J243" s="61">
        <f>4.3352 * CHOOSE(CONTROL!$C$22, $C$13, 100%, $E$13)</f>
        <v>4.3352000000000004</v>
      </c>
      <c r="K243" s="61">
        <f>4.3354 * CHOOSE(CONTROL!$C$22, $C$13, 100%, $E$13)</f>
        <v>4.3353999999999999</v>
      </c>
    </row>
    <row r="244" spans="1:11" ht="15">
      <c r="A244" s="13">
        <v>49279</v>
      </c>
      <c r="B244" s="60">
        <f>4.0211 * CHOOSE(CONTROL!$C$22, $C$13, 100%, $E$13)</f>
        <v>4.0210999999999997</v>
      </c>
      <c r="C244" s="60">
        <f>4.0211 * CHOOSE(CONTROL!$C$22, $C$13, 100%, $E$13)</f>
        <v>4.0210999999999997</v>
      </c>
      <c r="D244" s="60">
        <f>4.0388 * CHOOSE(CONTROL!$C$22, $C$13, 100%, $E$13)</f>
        <v>4.0388000000000002</v>
      </c>
      <c r="E244" s="61">
        <f>4.3028 * CHOOSE(CONTROL!$C$22, $C$13, 100%, $E$13)</f>
        <v>4.3028000000000004</v>
      </c>
      <c r="F244" s="61">
        <f>4.3028 * CHOOSE(CONTROL!$C$22, $C$13, 100%, $E$13)</f>
        <v>4.3028000000000004</v>
      </c>
      <c r="G244" s="61">
        <f>4.303 * CHOOSE(CONTROL!$C$22, $C$13, 100%, $E$13)</f>
        <v>4.3029999999999999</v>
      </c>
      <c r="H244" s="61">
        <f>8.276* CHOOSE(CONTROL!$C$22, $C$13, 100%, $E$13)</f>
        <v>8.2759999999999998</v>
      </c>
      <c r="I244" s="61">
        <f>8.2762 * CHOOSE(CONTROL!$C$22, $C$13, 100%, $E$13)</f>
        <v>8.2761999999999993</v>
      </c>
      <c r="J244" s="61">
        <f>4.3028 * CHOOSE(CONTROL!$C$22, $C$13, 100%, $E$13)</f>
        <v>4.3028000000000004</v>
      </c>
      <c r="K244" s="61">
        <f>4.303 * CHOOSE(CONTROL!$C$22, $C$13, 100%, $E$13)</f>
        <v>4.3029999999999999</v>
      </c>
    </row>
    <row r="245" spans="1:11" ht="15">
      <c r="A245" s="13">
        <v>49310</v>
      </c>
      <c r="B245" s="60">
        <f>4.0548 * CHOOSE(CONTROL!$C$22, $C$13, 100%, $E$13)</f>
        <v>4.0548000000000002</v>
      </c>
      <c r="C245" s="60">
        <f>4.0548 * CHOOSE(CONTROL!$C$22, $C$13, 100%, $E$13)</f>
        <v>4.0548000000000002</v>
      </c>
      <c r="D245" s="60">
        <f>4.0724 * CHOOSE(CONTROL!$C$22, $C$13, 100%, $E$13)</f>
        <v>4.0724</v>
      </c>
      <c r="E245" s="61">
        <f>4.3682 * CHOOSE(CONTROL!$C$22, $C$13, 100%, $E$13)</f>
        <v>4.3681999999999999</v>
      </c>
      <c r="F245" s="61">
        <f>4.3682 * CHOOSE(CONTROL!$C$22, $C$13, 100%, $E$13)</f>
        <v>4.3681999999999999</v>
      </c>
      <c r="G245" s="61">
        <f>4.3683 * CHOOSE(CONTROL!$C$22, $C$13, 100%, $E$13)</f>
        <v>4.3682999999999996</v>
      </c>
      <c r="H245" s="61">
        <f>8.2933* CHOOSE(CONTROL!$C$22, $C$13, 100%, $E$13)</f>
        <v>8.2933000000000003</v>
      </c>
      <c r="I245" s="61">
        <f>8.2934 * CHOOSE(CONTROL!$C$22, $C$13, 100%, $E$13)</f>
        <v>8.2934000000000001</v>
      </c>
      <c r="J245" s="61">
        <f>4.3682 * CHOOSE(CONTROL!$C$22, $C$13, 100%, $E$13)</f>
        <v>4.3681999999999999</v>
      </c>
      <c r="K245" s="61">
        <f>4.3683 * CHOOSE(CONTROL!$C$22, $C$13, 100%, $E$13)</f>
        <v>4.3682999999999996</v>
      </c>
    </row>
    <row r="246" spans="1:11" ht="15">
      <c r="A246" s="13">
        <v>49341</v>
      </c>
      <c r="B246" s="60">
        <f>4.0517 * CHOOSE(CONTROL!$C$22, $C$13, 100%, $E$13)</f>
        <v>4.0517000000000003</v>
      </c>
      <c r="C246" s="60">
        <f>4.0517 * CHOOSE(CONTROL!$C$22, $C$13, 100%, $E$13)</f>
        <v>4.0517000000000003</v>
      </c>
      <c r="D246" s="60">
        <f>4.0694 * CHOOSE(CONTROL!$C$22, $C$13, 100%, $E$13)</f>
        <v>4.0693999999999999</v>
      </c>
      <c r="E246" s="61">
        <f>4.3031 * CHOOSE(CONTROL!$C$22, $C$13, 100%, $E$13)</f>
        <v>4.3030999999999997</v>
      </c>
      <c r="F246" s="61">
        <f>4.3031 * CHOOSE(CONTROL!$C$22, $C$13, 100%, $E$13)</f>
        <v>4.3030999999999997</v>
      </c>
      <c r="G246" s="61">
        <f>4.3032 * CHOOSE(CONTROL!$C$22, $C$13, 100%, $E$13)</f>
        <v>4.3032000000000004</v>
      </c>
      <c r="H246" s="61">
        <f>8.3105* CHOOSE(CONTROL!$C$22, $C$13, 100%, $E$13)</f>
        <v>8.3104999999999993</v>
      </c>
      <c r="I246" s="61">
        <f>8.3107 * CHOOSE(CONTROL!$C$22, $C$13, 100%, $E$13)</f>
        <v>8.3107000000000006</v>
      </c>
      <c r="J246" s="61">
        <f>4.3031 * CHOOSE(CONTROL!$C$22, $C$13, 100%, $E$13)</f>
        <v>4.3030999999999997</v>
      </c>
      <c r="K246" s="61">
        <f>4.3032 * CHOOSE(CONTROL!$C$22, $C$13, 100%, $E$13)</f>
        <v>4.3032000000000004</v>
      </c>
    </row>
    <row r="247" spans="1:11" ht="15">
      <c r="A247" s="13">
        <v>49369</v>
      </c>
      <c r="B247" s="60">
        <f>4.0487 * CHOOSE(CONTROL!$C$22, $C$13, 100%, $E$13)</f>
        <v>4.0487000000000002</v>
      </c>
      <c r="C247" s="60">
        <f>4.0487 * CHOOSE(CONTROL!$C$22, $C$13, 100%, $E$13)</f>
        <v>4.0487000000000002</v>
      </c>
      <c r="D247" s="60">
        <f>4.0664 * CHOOSE(CONTROL!$C$22, $C$13, 100%, $E$13)</f>
        <v>4.0663999999999998</v>
      </c>
      <c r="E247" s="61">
        <f>4.3506 * CHOOSE(CONTROL!$C$22, $C$13, 100%, $E$13)</f>
        <v>4.3506</v>
      </c>
      <c r="F247" s="61">
        <f>4.3506 * CHOOSE(CONTROL!$C$22, $C$13, 100%, $E$13)</f>
        <v>4.3506</v>
      </c>
      <c r="G247" s="61">
        <f>4.3508 * CHOOSE(CONTROL!$C$22, $C$13, 100%, $E$13)</f>
        <v>4.3507999999999996</v>
      </c>
      <c r="H247" s="61">
        <f>8.3278* CHOOSE(CONTROL!$C$22, $C$13, 100%, $E$13)</f>
        <v>8.3277999999999999</v>
      </c>
      <c r="I247" s="61">
        <f>8.328 * CHOOSE(CONTROL!$C$22, $C$13, 100%, $E$13)</f>
        <v>8.3279999999999994</v>
      </c>
      <c r="J247" s="61">
        <f>4.3506 * CHOOSE(CONTROL!$C$22, $C$13, 100%, $E$13)</f>
        <v>4.3506</v>
      </c>
      <c r="K247" s="61">
        <f>4.3508 * CHOOSE(CONTROL!$C$22, $C$13, 100%, $E$13)</f>
        <v>4.3507999999999996</v>
      </c>
    </row>
    <row r="248" spans="1:11" ht="15">
      <c r="A248" s="13">
        <v>49400</v>
      </c>
      <c r="B248" s="60">
        <f>4.0465 * CHOOSE(CONTROL!$C$22, $C$13, 100%, $E$13)</f>
        <v>4.0465</v>
      </c>
      <c r="C248" s="60">
        <f>4.0465 * CHOOSE(CONTROL!$C$22, $C$13, 100%, $E$13)</f>
        <v>4.0465</v>
      </c>
      <c r="D248" s="60">
        <f>4.0641 * CHOOSE(CONTROL!$C$22, $C$13, 100%, $E$13)</f>
        <v>4.0640999999999998</v>
      </c>
      <c r="E248" s="61">
        <f>4.3997 * CHOOSE(CONTROL!$C$22, $C$13, 100%, $E$13)</f>
        <v>4.3997000000000002</v>
      </c>
      <c r="F248" s="61">
        <f>4.3997 * CHOOSE(CONTROL!$C$22, $C$13, 100%, $E$13)</f>
        <v>4.3997000000000002</v>
      </c>
      <c r="G248" s="61">
        <f>4.3999 * CHOOSE(CONTROL!$C$22, $C$13, 100%, $E$13)</f>
        <v>4.3998999999999997</v>
      </c>
      <c r="H248" s="61">
        <f>8.3452* CHOOSE(CONTROL!$C$22, $C$13, 100%, $E$13)</f>
        <v>8.3452000000000002</v>
      </c>
      <c r="I248" s="61">
        <f>8.3454 * CHOOSE(CONTROL!$C$22, $C$13, 100%, $E$13)</f>
        <v>8.3453999999999997</v>
      </c>
      <c r="J248" s="61">
        <f>4.3997 * CHOOSE(CONTROL!$C$22, $C$13, 100%, $E$13)</f>
        <v>4.3997000000000002</v>
      </c>
      <c r="K248" s="61">
        <f>4.3999 * CHOOSE(CONTROL!$C$22, $C$13, 100%, $E$13)</f>
        <v>4.3998999999999997</v>
      </c>
    </row>
    <row r="249" spans="1:11" ht="15">
      <c r="A249" s="13">
        <v>49430</v>
      </c>
      <c r="B249" s="60">
        <f>4.0465 * CHOOSE(CONTROL!$C$22, $C$13, 100%, $E$13)</f>
        <v>4.0465</v>
      </c>
      <c r="C249" s="60">
        <f>4.0465 * CHOOSE(CONTROL!$C$22, $C$13, 100%, $E$13)</f>
        <v>4.0465</v>
      </c>
      <c r="D249" s="60">
        <f>4.0818 * CHOOSE(CONTROL!$C$22, $C$13, 100%, $E$13)</f>
        <v>4.0818000000000003</v>
      </c>
      <c r="E249" s="61">
        <f>4.4197 * CHOOSE(CONTROL!$C$22, $C$13, 100%, $E$13)</f>
        <v>4.4196999999999997</v>
      </c>
      <c r="F249" s="61">
        <f>4.4197 * CHOOSE(CONTROL!$C$22, $C$13, 100%, $E$13)</f>
        <v>4.4196999999999997</v>
      </c>
      <c r="G249" s="61">
        <f>4.4219 * CHOOSE(CONTROL!$C$22, $C$13, 100%, $E$13)</f>
        <v>4.4218999999999999</v>
      </c>
      <c r="H249" s="61">
        <f>8.3626* CHOOSE(CONTROL!$C$22, $C$13, 100%, $E$13)</f>
        <v>8.3626000000000005</v>
      </c>
      <c r="I249" s="61">
        <f>8.3648 * CHOOSE(CONTROL!$C$22, $C$13, 100%, $E$13)</f>
        <v>8.3648000000000007</v>
      </c>
      <c r="J249" s="61">
        <f>4.4197 * CHOOSE(CONTROL!$C$22, $C$13, 100%, $E$13)</f>
        <v>4.4196999999999997</v>
      </c>
      <c r="K249" s="61">
        <f>4.4219 * CHOOSE(CONTROL!$C$22, $C$13, 100%, $E$13)</f>
        <v>4.4218999999999999</v>
      </c>
    </row>
    <row r="250" spans="1:11" ht="15">
      <c r="A250" s="13">
        <v>49461</v>
      </c>
      <c r="B250" s="60">
        <f>4.0525 * CHOOSE(CONTROL!$C$22, $C$13, 100%, $E$13)</f>
        <v>4.0525000000000002</v>
      </c>
      <c r="C250" s="60">
        <f>4.0525 * CHOOSE(CONTROL!$C$22, $C$13, 100%, $E$13)</f>
        <v>4.0525000000000002</v>
      </c>
      <c r="D250" s="60">
        <f>4.0878 * CHOOSE(CONTROL!$C$22, $C$13, 100%, $E$13)</f>
        <v>4.0877999999999997</v>
      </c>
      <c r="E250" s="61">
        <f>4.4039 * CHOOSE(CONTROL!$C$22, $C$13, 100%, $E$13)</f>
        <v>4.4039000000000001</v>
      </c>
      <c r="F250" s="61">
        <f>4.4039 * CHOOSE(CONTROL!$C$22, $C$13, 100%, $E$13)</f>
        <v>4.4039000000000001</v>
      </c>
      <c r="G250" s="61">
        <f>4.4061 * CHOOSE(CONTROL!$C$22, $C$13, 100%, $E$13)</f>
        <v>4.4061000000000003</v>
      </c>
      <c r="H250" s="61">
        <f>8.38* CHOOSE(CONTROL!$C$22, $C$13, 100%, $E$13)</f>
        <v>8.3800000000000008</v>
      </c>
      <c r="I250" s="61">
        <f>8.3822 * CHOOSE(CONTROL!$C$22, $C$13, 100%, $E$13)</f>
        <v>8.3821999999999992</v>
      </c>
      <c r="J250" s="61">
        <f>4.4039 * CHOOSE(CONTROL!$C$22, $C$13, 100%, $E$13)</f>
        <v>4.4039000000000001</v>
      </c>
      <c r="K250" s="61">
        <f>4.4061 * CHOOSE(CONTROL!$C$22, $C$13, 100%, $E$13)</f>
        <v>4.4061000000000003</v>
      </c>
    </row>
    <row r="251" spans="1:11" ht="15">
      <c r="A251" s="13">
        <v>49491</v>
      </c>
      <c r="B251" s="60">
        <f>4.1138 * CHOOSE(CONTROL!$C$22, $C$13, 100%, $E$13)</f>
        <v>4.1138000000000003</v>
      </c>
      <c r="C251" s="60">
        <f>4.1138 * CHOOSE(CONTROL!$C$22, $C$13, 100%, $E$13)</f>
        <v>4.1138000000000003</v>
      </c>
      <c r="D251" s="60">
        <f>4.1491 * CHOOSE(CONTROL!$C$22, $C$13, 100%, $E$13)</f>
        <v>4.1490999999999998</v>
      </c>
      <c r="E251" s="61">
        <f>4.4932 * CHOOSE(CONTROL!$C$22, $C$13, 100%, $E$13)</f>
        <v>4.4931999999999999</v>
      </c>
      <c r="F251" s="61">
        <f>4.4932 * CHOOSE(CONTROL!$C$22, $C$13, 100%, $E$13)</f>
        <v>4.4931999999999999</v>
      </c>
      <c r="G251" s="61">
        <f>4.4954 * CHOOSE(CONTROL!$C$22, $C$13, 100%, $E$13)</f>
        <v>4.4954000000000001</v>
      </c>
      <c r="H251" s="61">
        <f>8.3975* CHOOSE(CONTROL!$C$22, $C$13, 100%, $E$13)</f>
        <v>8.3975000000000009</v>
      </c>
      <c r="I251" s="61">
        <f>8.3996 * CHOOSE(CONTROL!$C$22, $C$13, 100%, $E$13)</f>
        <v>8.3995999999999995</v>
      </c>
      <c r="J251" s="61">
        <f>4.4932 * CHOOSE(CONTROL!$C$22, $C$13, 100%, $E$13)</f>
        <v>4.4931999999999999</v>
      </c>
      <c r="K251" s="61">
        <f>4.4954 * CHOOSE(CONTROL!$C$22, $C$13, 100%, $E$13)</f>
        <v>4.4954000000000001</v>
      </c>
    </row>
    <row r="252" spans="1:11" ht="15">
      <c r="A252" s="13">
        <v>49522</v>
      </c>
      <c r="B252" s="60">
        <f>4.1205 * CHOOSE(CONTROL!$C$22, $C$13, 100%, $E$13)</f>
        <v>4.1204999999999998</v>
      </c>
      <c r="C252" s="60">
        <f>4.1205 * CHOOSE(CONTROL!$C$22, $C$13, 100%, $E$13)</f>
        <v>4.1204999999999998</v>
      </c>
      <c r="D252" s="60">
        <f>4.1558 * CHOOSE(CONTROL!$C$22, $C$13, 100%, $E$13)</f>
        <v>4.1558000000000002</v>
      </c>
      <c r="E252" s="61">
        <f>4.4378 * CHOOSE(CONTROL!$C$22, $C$13, 100%, $E$13)</f>
        <v>4.4378000000000002</v>
      </c>
      <c r="F252" s="61">
        <f>4.4378 * CHOOSE(CONTROL!$C$22, $C$13, 100%, $E$13)</f>
        <v>4.4378000000000002</v>
      </c>
      <c r="G252" s="61">
        <f>4.44 * CHOOSE(CONTROL!$C$22, $C$13, 100%, $E$13)</f>
        <v>4.4400000000000004</v>
      </c>
      <c r="H252" s="61">
        <f>8.415* CHOOSE(CONTROL!$C$22, $C$13, 100%, $E$13)</f>
        <v>8.4149999999999991</v>
      </c>
      <c r="I252" s="61">
        <f>8.4171 * CHOOSE(CONTROL!$C$22, $C$13, 100%, $E$13)</f>
        <v>8.4170999999999996</v>
      </c>
      <c r="J252" s="61">
        <f>4.4378 * CHOOSE(CONTROL!$C$22, $C$13, 100%, $E$13)</f>
        <v>4.4378000000000002</v>
      </c>
      <c r="K252" s="61">
        <f>4.44 * CHOOSE(CONTROL!$C$22, $C$13, 100%, $E$13)</f>
        <v>4.4400000000000004</v>
      </c>
    </row>
    <row r="253" spans="1:11" ht="15">
      <c r="A253" s="13">
        <v>49553</v>
      </c>
      <c r="B253" s="60">
        <f>4.1174 * CHOOSE(CONTROL!$C$22, $C$13, 100%, $E$13)</f>
        <v>4.1173999999999999</v>
      </c>
      <c r="C253" s="60">
        <f>4.1174 * CHOOSE(CONTROL!$C$22, $C$13, 100%, $E$13)</f>
        <v>4.1173999999999999</v>
      </c>
      <c r="D253" s="60">
        <f>4.1527 * CHOOSE(CONTROL!$C$22, $C$13, 100%, $E$13)</f>
        <v>4.1527000000000003</v>
      </c>
      <c r="E253" s="61">
        <f>4.4291 * CHOOSE(CONTROL!$C$22, $C$13, 100%, $E$13)</f>
        <v>4.4291</v>
      </c>
      <c r="F253" s="61">
        <f>4.4291 * CHOOSE(CONTROL!$C$22, $C$13, 100%, $E$13)</f>
        <v>4.4291</v>
      </c>
      <c r="G253" s="61">
        <f>4.4312 * CHOOSE(CONTROL!$C$22, $C$13, 100%, $E$13)</f>
        <v>4.4311999999999996</v>
      </c>
      <c r="H253" s="61">
        <f>8.4325* CHOOSE(CONTROL!$C$22, $C$13, 100%, $E$13)</f>
        <v>8.4324999999999992</v>
      </c>
      <c r="I253" s="61">
        <f>8.4347 * CHOOSE(CONTROL!$C$22, $C$13, 100%, $E$13)</f>
        <v>8.4346999999999994</v>
      </c>
      <c r="J253" s="61">
        <f>4.4291 * CHOOSE(CONTROL!$C$22, $C$13, 100%, $E$13)</f>
        <v>4.4291</v>
      </c>
      <c r="K253" s="61">
        <f>4.4312 * CHOOSE(CONTROL!$C$22, $C$13, 100%, $E$13)</f>
        <v>4.4311999999999996</v>
      </c>
    </row>
    <row r="254" spans="1:11" ht="15">
      <c r="A254" s="13">
        <v>49583</v>
      </c>
      <c r="B254" s="60">
        <f>4.1131 * CHOOSE(CONTROL!$C$22, $C$13, 100%, $E$13)</f>
        <v>4.1131000000000002</v>
      </c>
      <c r="C254" s="60">
        <f>4.1131 * CHOOSE(CONTROL!$C$22, $C$13, 100%, $E$13)</f>
        <v>4.1131000000000002</v>
      </c>
      <c r="D254" s="60">
        <f>4.1308 * CHOOSE(CONTROL!$C$22, $C$13, 100%, $E$13)</f>
        <v>4.1307999999999998</v>
      </c>
      <c r="E254" s="61">
        <f>4.4423 * CHOOSE(CONTROL!$C$22, $C$13, 100%, $E$13)</f>
        <v>4.4423000000000004</v>
      </c>
      <c r="F254" s="61">
        <f>4.4423 * CHOOSE(CONTROL!$C$22, $C$13, 100%, $E$13)</f>
        <v>4.4423000000000004</v>
      </c>
      <c r="G254" s="61">
        <f>4.4425 * CHOOSE(CONTROL!$C$22, $C$13, 100%, $E$13)</f>
        <v>4.4424999999999999</v>
      </c>
      <c r="H254" s="61">
        <f>8.4501* CHOOSE(CONTROL!$C$22, $C$13, 100%, $E$13)</f>
        <v>8.4501000000000008</v>
      </c>
      <c r="I254" s="61">
        <f>8.4502 * CHOOSE(CONTROL!$C$22, $C$13, 100%, $E$13)</f>
        <v>8.4502000000000006</v>
      </c>
      <c r="J254" s="61">
        <f>4.4423 * CHOOSE(CONTROL!$C$22, $C$13, 100%, $E$13)</f>
        <v>4.4423000000000004</v>
      </c>
      <c r="K254" s="61">
        <f>4.4425 * CHOOSE(CONTROL!$C$22, $C$13, 100%, $E$13)</f>
        <v>4.4424999999999999</v>
      </c>
    </row>
    <row r="255" spans="1:11" ht="15">
      <c r="A255" s="13">
        <v>49614</v>
      </c>
      <c r="B255" s="60">
        <f>4.1162 * CHOOSE(CONTROL!$C$22, $C$13, 100%, $E$13)</f>
        <v>4.1162000000000001</v>
      </c>
      <c r="C255" s="60">
        <f>4.1162 * CHOOSE(CONTROL!$C$22, $C$13, 100%, $E$13)</f>
        <v>4.1162000000000001</v>
      </c>
      <c r="D255" s="60">
        <f>4.1338 * CHOOSE(CONTROL!$C$22, $C$13, 100%, $E$13)</f>
        <v>4.1337999999999999</v>
      </c>
      <c r="E255" s="61">
        <f>4.4578 * CHOOSE(CONTROL!$C$22, $C$13, 100%, $E$13)</f>
        <v>4.4577999999999998</v>
      </c>
      <c r="F255" s="61">
        <f>4.4578 * CHOOSE(CONTROL!$C$22, $C$13, 100%, $E$13)</f>
        <v>4.4577999999999998</v>
      </c>
      <c r="G255" s="61">
        <f>4.4579 * CHOOSE(CONTROL!$C$22, $C$13, 100%, $E$13)</f>
        <v>4.4579000000000004</v>
      </c>
      <c r="H255" s="61">
        <f>8.4677* CHOOSE(CONTROL!$C$22, $C$13, 100%, $E$13)</f>
        <v>8.4677000000000007</v>
      </c>
      <c r="I255" s="61">
        <f>8.4678 * CHOOSE(CONTROL!$C$22, $C$13, 100%, $E$13)</f>
        <v>8.4678000000000004</v>
      </c>
      <c r="J255" s="61">
        <f>4.4578 * CHOOSE(CONTROL!$C$22, $C$13, 100%, $E$13)</f>
        <v>4.4577999999999998</v>
      </c>
      <c r="K255" s="61">
        <f>4.4579 * CHOOSE(CONTROL!$C$22, $C$13, 100%, $E$13)</f>
        <v>4.4579000000000004</v>
      </c>
    </row>
    <row r="256" spans="1:11" ht="15">
      <c r="A256" s="13">
        <v>49644</v>
      </c>
      <c r="B256" s="60">
        <f>4.1162 * CHOOSE(CONTROL!$C$22, $C$13, 100%, $E$13)</f>
        <v>4.1162000000000001</v>
      </c>
      <c r="C256" s="60">
        <f>4.1162 * CHOOSE(CONTROL!$C$22, $C$13, 100%, $E$13)</f>
        <v>4.1162000000000001</v>
      </c>
      <c r="D256" s="60">
        <f>4.1338 * CHOOSE(CONTROL!$C$22, $C$13, 100%, $E$13)</f>
        <v>4.1337999999999999</v>
      </c>
      <c r="E256" s="61">
        <f>4.4244 * CHOOSE(CONTROL!$C$22, $C$13, 100%, $E$13)</f>
        <v>4.4244000000000003</v>
      </c>
      <c r="F256" s="61">
        <f>4.4244 * CHOOSE(CONTROL!$C$22, $C$13, 100%, $E$13)</f>
        <v>4.4244000000000003</v>
      </c>
      <c r="G256" s="61">
        <f>4.4246 * CHOOSE(CONTROL!$C$22, $C$13, 100%, $E$13)</f>
        <v>4.4245999999999999</v>
      </c>
      <c r="H256" s="61">
        <f>8.4853* CHOOSE(CONTROL!$C$22, $C$13, 100%, $E$13)</f>
        <v>8.4853000000000005</v>
      </c>
      <c r="I256" s="61">
        <f>8.4855 * CHOOSE(CONTROL!$C$22, $C$13, 100%, $E$13)</f>
        <v>8.4855</v>
      </c>
      <c r="J256" s="61">
        <f>4.4244 * CHOOSE(CONTROL!$C$22, $C$13, 100%, $E$13)</f>
        <v>4.4244000000000003</v>
      </c>
      <c r="K256" s="61">
        <f>4.4246 * CHOOSE(CONTROL!$C$22, $C$13, 100%, $E$13)</f>
        <v>4.4245999999999999</v>
      </c>
    </row>
    <row r="257" spans="1:11" ht="15">
      <c r="A257" s="13">
        <v>49675</v>
      </c>
      <c r="B257" s="60">
        <f>4.1517 * CHOOSE(CONTROL!$C$22, $C$13, 100%, $E$13)</f>
        <v>4.1516999999999999</v>
      </c>
      <c r="C257" s="60">
        <f>4.1517 * CHOOSE(CONTROL!$C$22, $C$13, 100%, $E$13)</f>
        <v>4.1516999999999999</v>
      </c>
      <c r="D257" s="60">
        <f>4.1693 * CHOOSE(CONTROL!$C$22, $C$13, 100%, $E$13)</f>
        <v>4.1692999999999998</v>
      </c>
      <c r="E257" s="61">
        <f>4.4874 * CHOOSE(CONTROL!$C$22, $C$13, 100%, $E$13)</f>
        <v>4.4874000000000001</v>
      </c>
      <c r="F257" s="61">
        <f>4.4874 * CHOOSE(CONTROL!$C$22, $C$13, 100%, $E$13)</f>
        <v>4.4874000000000001</v>
      </c>
      <c r="G257" s="61">
        <f>4.4876 * CHOOSE(CONTROL!$C$22, $C$13, 100%, $E$13)</f>
        <v>4.4875999999999996</v>
      </c>
      <c r="H257" s="61">
        <f>8.503* CHOOSE(CONTROL!$C$22, $C$13, 100%, $E$13)</f>
        <v>8.5030000000000001</v>
      </c>
      <c r="I257" s="61">
        <f>8.5032 * CHOOSE(CONTROL!$C$22, $C$13, 100%, $E$13)</f>
        <v>8.5031999999999996</v>
      </c>
      <c r="J257" s="61">
        <f>4.4874 * CHOOSE(CONTROL!$C$22, $C$13, 100%, $E$13)</f>
        <v>4.4874000000000001</v>
      </c>
      <c r="K257" s="61">
        <f>4.4876 * CHOOSE(CONTROL!$C$22, $C$13, 100%, $E$13)</f>
        <v>4.4875999999999996</v>
      </c>
    </row>
    <row r="258" spans="1:11" ht="15">
      <c r="A258" s="13">
        <v>49706</v>
      </c>
      <c r="B258" s="60">
        <f>4.1486 * CHOOSE(CONTROL!$C$22, $C$13, 100%, $E$13)</f>
        <v>4.1486000000000001</v>
      </c>
      <c r="C258" s="60">
        <f>4.1486 * CHOOSE(CONTROL!$C$22, $C$13, 100%, $E$13)</f>
        <v>4.1486000000000001</v>
      </c>
      <c r="D258" s="60">
        <f>4.1663 * CHOOSE(CONTROL!$C$22, $C$13, 100%, $E$13)</f>
        <v>4.1662999999999997</v>
      </c>
      <c r="E258" s="61">
        <f>4.4208 * CHOOSE(CONTROL!$C$22, $C$13, 100%, $E$13)</f>
        <v>4.4207999999999998</v>
      </c>
      <c r="F258" s="61">
        <f>4.4208 * CHOOSE(CONTROL!$C$22, $C$13, 100%, $E$13)</f>
        <v>4.4207999999999998</v>
      </c>
      <c r="G258" s="61">
        <f>4.4209 * CHOOSE(CONTROL!$C$22, $C$13, 100%, $E$13)</f>
        <v>4.4208999999999996</v>
      </c>
      <c r="H258" s="61">
        <f>8.5207* CHOOSE(CONTROL!$C$22, $C$13, 100%, $E$13)</f>
        <v>8.5206999999999997</v>
      </c>
      <c r="I258" s="61">
        <f>8.5209 * CHOOSE(CONTROL!$C$22, $C$13, 100%, $E$13)</f>
        <v>8.5208999999999993</v>
      </c>
      <c r="J258" s="61">
        <f>4.4208 * CHOOSE(CONTROL!$C$22, $C$13, 100%, $E$13)</f>
        <v>4.4207999999999998</v>
      </c>
      <c r="K258" s="61">
        <f>4.4209 * CHOOSE(CONTROL!$C$22, $C$13, 100%, $E$13)</f>
        <v>4.4208999999999996</v>
      </c>
    </row>
    <row r="259" spans="1:11" ht="15">
      <c r="A259" s="13">
        <v>49735</v>
      </c>
      <c r="B259" s="60">
        <f>4.1456 * CHOOSE(CONTROL!$C$22, $C$13, 100%, $E$13)</f>
        <v>4.1456</v>
      </c>
      <c r="C259" s="60">
        <f>4.1456 * CHOOSE(CONTROL!$C$22, $C$13, 100%, $E$13)</f>
        <v>4.1456</v>
      </c>
      <c r="D259" s="60">
        <f>4.1633 * CHOOSE(CONTROL!$C$22, $C$13, 100%, $E$13)</f>
        <v>4.1632999999999996</v>
      </c>
      <c r="E259" s="61">
        <f>4.4695 * CHOOSE(CONTROL!$C$22, $C$13, 100%, $E$13)</f>
        <v>4.4695</v>
      </c>
      <c r="F259" s="61">
        <f>4.4695 * CHOOSE(CONTROL!$C$22, $C$13, 100%, $E$13)</f>
        <v>4.4695</v>
      </c>
      <c r="G259" s="61">
        <f>4.4697 * CHOOSE(CONTROL!$C$22, $C$13, 100%, $E$13)</f>
        <v>4.4696999999999996</v>
      </c>
      <c r="H259" s="61">
        <f>8.5384* CHOOSE(CONTROL!$C$22, $C$13, 100%, $E$13)</f>
        <v>8.5383999999999993</v>
      </c>
      <c r="I259" s="61">
        <f>8.5386 * CHOOSE(CONTROL!$C$22, $C$13, 100%, $E$13)</f>
        <v>8.5386000000000006</v>
      </c>
      <c r="J259" s="61">
        <f>4.4695 * CHOOSE(CONTROL!$C$22, $C$13, 100%, $E$13)</f>
        <v>4.4695</v>
      </c>
      <c r="K259" s="61">
        <f>4.4697 * CHOOSE(CONTROL!$C$22, $C$13, 100%, $E$13)</f>
        <v>4.4696999999999996</v>
      </c>
    </row>
    <row r="260" spans="1:11" ht="15">
      <c r="A260" s="13">
        <v>49766</v>
      </c>
      <c r="B260" s="60">
        <f>4.1434 * CHOOSE(CONTROL!$C$22, $C$13, 100%, $E$13)</f>
        <v>4.1433999999999997</v>
      </c>
      <c r="C260" s="60">
        <f>4.1434 * CHOOSE(CONTROL!$C$22, $C$13, 100%, $E$13)</f>
        <v>4.1433999999999997</v>
      </c>
      <c r="D260" s="60">
        <f>4.1611 * CHOOSE(CONTROL!$C$22, $C$13, 100%, $E$13)</f>
        <v>4.1611000000000002</v>
      </c>
      <c r="E260" s="61">
        <f>4.52 * CHOOSE(CONTROL!$C$22, $C$13, 100%, $E$13)</f>
        <v>4.5199999999999996</v>
      </c>
      <c r="F260" s="61">
        <f>4.52 * CHOOSE(CONTROL!$C$22, $C$13, 100%, $E$13)</f>
        <v>4.5199999999999996</v>
      </c>
      <c r="G260" s="61">
        <f>4.5201 * CHOOSE(CONTROL!$C$22, $C$13, 100%, $E$13)</f>
        <v>4.5201000000000002</v>
      </c>
      <c r="H260" s="61">
        <f>8.5562* CHOOSE(CONTROL!$C$22, $C$13, 100%, $E$13)</f>
        <v>8.5562000000000005</v>
      </c>
      <c r="I260" s="61">
        <f>8.5564 * CHOOSE(CONTROL!$C$22, $C$13, 100%, $E$13)</f>
        <v>8.5564</v>
      </c>
      <c r="J260" s="61">
        <f>4.52 * CHOOSE(CONTROL!$C$22, $C$13, 100%, $E$13)</f>
        <v>4.5199999999999996</v>
      </c>
      <c r="K260" s="61">
        <f>4.5201 * CHOOSE(CONTROL!$C$22, $C$13, 100%, $E$13)</f>
        <v>4.5201000000000002</v>
      </c>
    </row>
    <row r="261" spans="1:11" ht="15">
      <c r="A261" s="13">
        <v>49796</v>
      </c>
      <c r="B261" s="60">
        <f>4.1434 * CHOOSE(CONTROL!$C$22, $C$13, 100%, $E$13)</f>
        <v>4.1433999999999997</v>
      </c>
      <c r="C261" s="60">
        <f>4.1434 * CHOOSE(CONTROL!$C$22, $C$13, 100%, $E$13)</f>
        <v>4.1433999999999997</v>
      </c>
      <c r="D261" s="60">
        <f>4.1788 * CHOOSE(CONTROL!$C$22, $C$13, 100%, $E$13)</f>
        <v>4.1787999999999998</v>
      </c>
      <c r="E261" s="61">
        <f>4.5405 * CHOOSE(CONTROL!$C$22, $C$13, 100%, $E$13)</f>
        <v>4.5404999999999998</v>
      </c>
      <c r="F261" s="61">
        <f>4.5405 * CHOOSE(CONTROL!$C$22, $C$13, 100%, $E$13)</f>
        <v>4.5404999999999998</v>
      </c>
      <c r="G261" s="61">
        <f>4.5426 * CHOOSE(CONTROL!$C$22, $C$13, 100%, $E$13)</f>
        <v>4.5426000000000002</v>
      </c>
      <c r="H261" s="61">
        <f>8.5741* CHOOSE(CONTROL!$C$22, $C$13, 100%, $E$13)</f>
        <v>8.5740999999999996</v>
      </c>
      <c r="I261" s="61">
        <f>8.5762 * CHOOSE(CONTROL!$C$22, $C$13, 100%, $E$13)</f>
        <v>8.5762</v>
      </c>
      <c r="J261" s="61">
        <f>4.5405 * CHOOSE(CONTROL!$C$22, $C$13, 100%, $E$13)</f>
        <v>4.5404999999999998</v>
      </c>
      <c r="K261" s="61">
        <f>4.5426 * CHOOSE(CONTROL!$C$22, $C$13, 100%, $E$13)</f>
        <v>4.5426000000000002</v>
      </c>
    </row>
    <row r="262" spans="1:11" ht="15">
      <c r="A262" s="13">
        <v>49827</v>
      </c>
      <c r="B262" s="60">
        <f>4.1495 * CHOOSE(CONTROL!$C$22, $C$13, 100%, $E$13)</f>
        <v>4.1494999999999997</v>
      </c>
      <c r="C262" s="60">
        <f>4.1495 * CHOOSE(CONTROL!$C$22, $C$13, 100%, $E$13)</f>
        <v>4.1494999999999997</v>
      </c>
      <c r="D262" s="60">
        <f>4.1848 * CHOOSE(CONTROL!$C$22, $C$13, 100%, $E$13)</f>
        <v>4.1848000000000001</v>
      </c>
      <c r="E262" s="61">
        <f>4.5242 * CHOOSE(CONTROL!$C$22, $C$13, 100%, $E$13)</f>
        <v>4.5242000000000004</v>
      </c>
      <c r="F262" s="61">
        <f>4.5242 * CHOOSE(CONTROL!$C$22, $C$13, 100%, $E$13)</f>
        <v>4.5242000000000004</v>
      </c>
      <c r="G262" s="61">
        <f>4.5264 * CHOOSE(CONTROL!$C$22, $C$13, 100%, $E$13)</f>
        <v>4.5263999999999998</v>
      </c>
      <c r="H262" s="61">
        <f>8.5919* CHOOSE(CONTROL!$C$22, $C$13, 100%, $E$13)</f>
        <v>8.5919000000000008</v>
      </c>
      <c r="I262" s="61">
        <f>8.5941 * CHOOSE(CONTROL!$C$22, $C$13, 100%, $E$13)</f>
        <v>8.5940999999999992</v>
      </c>
      <c r="J262" s="61">
        <f>4.5242 * CHOOSE(CONTROL!$C$22, $C$13, 100%, $E$13)</f>
        <v>4.5242000000000004</v>
      </c>
      <c r="K262" s="61">
        <f>4.5264 * CHOOSE(CONTROL!$C$22, $C$13, 100%, $E$13)</f>
        <v>4.5263999999999998</v>
      </c>
    </row>
    <row r="263" spans="1:11" ht="15">
      <c r="A263" s="13">
        <v>49857</v>
      </c>
      <c r="B263" s="60">
        <f>4.2149 * CHOOSE(CONTROL!$C$22, $C$13, 100%, $E$13)</f>
        <v>4.2149000000000001</v>
      </c>
      <c r="C263" s="60">
        <f>4.2149 * CHOOSE(CONTROL!$C$22, $C$13, 100%, $E$13)</f>
        <v>4.2149000000000001</v>
      </c>
      <c r="D263" s="60">
        <f>4.2503 * CHOOSE(CONTROL!$C$22, $C$13, 100%, $E$13)</f>
        <v>4.2503000000000002</v>
      </c>
      <c r="E263" s="61">
        <f>4.6138 * CHOOSE(CONTROL!$C$22, $C$13, 100%, $E$13)</f>
        <v>4.6138000000000003</v>
      </c>
      <c r="F263" s="61">
        <f>4.6138 * CHOOSE(CONTROL!$C$22, $C$13, 100%, $E$13)</f>
        <v>4.6138000000000003</v>
      </c>
      <c r="G263" s="61">
        <f>4.616 * CHOOSE(CONTROL!$C$22, $C$13, 100%, $E$13)</f>
        <v>4.6159999999999997</v>
      </c>
      <c r="H263" s="61">
        <f>8.6098* CHOOSE(CONTROL!$C$22, $C$13, 100%, $E$13)</f>
        <v>8.6097999999999999</v>
      </c>
      <c r="I263" s="61">
        <f>8.612 * CHOOSE(CONTROL!$C$22, $C$13, 100%, $E$13)</f>
        <v>8.6120000000000001</v>
      </c>
      <c r="J263" s="61">
        <f>4.6138 * CHOOSE(CONTROL!$C$22, $C$13, 100%, $E$13)</f>
        <v>4.6138000000000003</v>
      </c>
      <c r="K263" s="61">
        <f>4.616 * CHOOSE(CONTROL!$C$22, $C$13, 100%, $E$13)</f>
        <v>4.6159999999999997</v>
      </c>
    </row>
    <row r="264" spans="1:11" ht="15">
      <c r="A264" s="13">
        <v>49888</v>
      </c>
      <c r="B264" s="60">
        <f>4.2216 * CHOOSE(CONTROL!$C$22, $C$13, 100%, $E$13)</f>
        <v>4.2215999999999996</v>
      </c>
      <c r="C264" s="60">
        <f>4.2216 * CHOOSE(CONTROL!$C$22, $C$13, 100%, $E$13)</f>
        <v>4.2215999999999996</v>
      </c>
      <c r="D264" s="60">
        <f>4.2569 * CHOOSE(CONTROL!$C$22, $C$13, 100%, $E$13)</f>
        <v>4.2568999999999999</v>
      </c>
      <c r="E264" s="61">
        <f>4.557 * CHOOSE(CONTROL!$C$22, $C$13, 100%, $E$13)</f>
        <v>4.5570000000000004</v>
      </c>
      <c r="F264" s="61">
        <f>4.557 * CHOOSE(CONTROL!$C$22, $C$13, 100%, $E$13)</f>
        <v>4.5570000000000004</v>
      </c>
      <c r="G264" s="61">
        <f>4.5592 * CHOOSE(CONTROL!$C$22, $C$13, 100%, $E$13)</f>
        <v>4.5591999999999997</v>
      </c>
      <c r="H264" s="61">
        <f>8.6278* CHOOSE(CONTROL!$C$22, $C$13, 100%, $E$13)</f>
        <v>8.6278000000000006</v>
      </c>
      <c r="I264" s="61">
        <f>8.6299 * CHOOSE(CONTROL!$C$22, $C$13, 100%, $E$13)</f>
        <v>8.6298999999999992</v>
      </c>
      <c r="J264" s="61">
        <f>4.557 * CHOOSE(CONTROL!$C$22, $C$13, 100%, $E$13)</f>
        <v>4.5570000000000004</v>
      </c>
      <c r="K264" s="61">
        <f>4.5592 * CHOOSE(CONTROL!$C$22, $C$13, 100%, $E$13)</f>
        <v>4.5591999999999997</v>
      </c>
    </row>
    <row r="265" spans="1:11" ht="15">
      <c r="A265" s="13">
        <v>49919</v>
      </c>
      <c r="B265" s="60">
        <f>4.2186 * CHOOSE(CONTROL!$C$22, $C$13, 100%, $E$13)</f>
        <v>4.2186000000000003</v>
      </c>
      <c r="C265" s="60">
        <f>4.2186 * CHOOSE(CONTROL!$C$22, $C$13, 100%, $E$13)</f>
        <v>4.2186000000000003</v>
      </c>
      <c r="D265" s="60">
        <f>4.2539 * CHOOSE(CONTROL!$C$22, $C$13, 100%, $E$13)</f>
        <v>4.2538999999999998</v>
      </c>
      <c r="E265" s="61">
        <f>4.548 * CHOOSE(CONTROL!$C$22, $C$13, 100%, $E$13)</f>
        <v>4.548</v>
      </c>
      <c r="F265" s="61">
        <f>4.548 * CHOOSE(CONTROL!$C$22, $C$13, 100%, $E$13)</f>
        <v>4.548</v>
      </c>
      <c r="G265" s="61">
        <f>4.5502 * CHOOSE(CONTROL!$C$22, $C$13, 100%, $E$13)</f>
        <v>4.5502000000000002</v>
      </c>
      <c r="H265" s="61">
        <f>8.6457* CHOOSE(CONTROL!$C$22, $C$13, 100%, $E$13)</f>
        <v>8.6456999999999997</v>
      </c>
      <c r="I265" s="61">
        <f>8.6479 * CHOOSE(CONTROL!$C$22, $C$13, 100%, $E$13)</f>
        <v>8.6478999999999999</v>
      </c>
      <c r="J265" s="61">
        <f>4.548 * CHOOSE(CONTROL!$C$22, $C$13, 100%, $E$13)</f>
        <v>4.548</v>
      </c>
      <c r="K265" s="61">
        <f>4.5502 * CHOOSE(CONTROL!$C$22, $C$13, 100%, $E$13)</f>
        <v>4.5502000000000002</v>
      </c>
    </row>
    <row r="266" spans="1:11" ht="15">
      <c r="A266" s="13">
        <v>49949</v>
      </c>
      <c r="B266" s="60">
        <f>4.2146 * CHOOSE(CONTROL!$C$22, $C$13, 100%, $E$13)</f>
        <v>4.2145999999999999</v>
      </c>
      <c r="C266" s="60">
        <f>4.2146 * CHOOSE(CONTROL!$C$22, $C$13, 100%, $E$13)</f>
        <v>4.2145999999999999</v>
      </c>
      <c r="D266" s="60">
        <f>4.2323 * CHOOSE(CONTROL!$C$22, $C$13, 100%, $E$13)</f>
        <v>4.2323000000000004</v>
      </c>
      <c r="E266" s="61">
        <f>4.5619 * CHOOSE(CONTROL!$C$22, $C$13, 100%, $E$13)</f>
        <v>4.5618999999999996</v>
      </c>
      <c r="F266" s="61">
        <f>4.5619 * CHOOSE(CONTROL!$C$22, $C$13, 100%, $E$13)</f>
        <v>4.5618999999999996</v>
      </c>
      <c r="G266" s="61">
        <f>4.5621 * CHOOSE(CONTROL!$C$22, $C$13, 100%, $E$13)</f>
        <v>4.5621</v>
      </c>
      <c r="H266" s="61">
        <f>8.6637* CHOOSE(CONTROL!$C$22, $C$13, 100%, $E$13)</f>
        <v>8.6637000000000004</v>
      </c>
      <c r="I266" s="61">
        <f>8.6639 * CHOOSE(CONTROL!$C$22, $C$13, 100%, $E$13)</f>
        <v>8.6638999999999999</v>
      </c>
      <c r="J266" s="61">
        <f>4.5619 * CHOOSE(CONTROL!$C$22, $C$13, 100%, $E$13)</f>
        <v>4.5618999999999996</v>
      </c>
      <c r="K266" s="61">
        <f>4.5621 * CHOOSE(CONTROL!$C$22, $C$13, 100%, $E$13)</f>
        <v>4.5621</v>
      </c>
    </row>
    <row r="267" spans="1:11" ht="15">
      <c r="A267" s="13">
        <v>49980</v>
      </c>
      <c r="B267" s="60">
        <f>4.2177 * CHOOSE(CONTROL!$C$22, $C$13, 100%, $E$13)</f>
        <v>4.2176999999999998</v>
      </c>
      <c r="C267" s="60">
        <f>4.2177 * CHOOSE(CONTROL!$C$22, $C$13, 100%, $E$13)</f>
        <v>4.2176999999999998</v>
      </c>
      <c r="D267" s="60">
        <f>4.2353 * CHOOSE(CONTROL!$C$22, $C$13, 100%, $E$13)</f>
        <v>4.2352999999999996</v>
      </c>
      <c r="E267" s="61">
        <f>4.5777 * CHOOSE(CONTROL!$C$22, $C$13, 100%, $E$13)</f>
        <v>4.5777000000000001</v>
      </c>
      <c r="F267" s="61">
        <f>4.5777 * CHOOSE(CONTROL!$C$22, $C$13, 100%, $E$13)</f>
        <v>4.5777000000000001</v>
      </c>
      <c r="G267" s="61">
        <f>4.5779 * CHOOSE(CONTROL!$C$22, $C$13, 100%, $E$13)</f>
        <v>4.5778999999999996</v>
      </c>
      <c r="H267" s="61">
        <f>8.6818* CHOOSE(CONTROL!$C$22, $C$13, 100%, $E$13)</f>
        <v>8.6818000000000008</v>
      </c>
      <c r="I267" s="61">
        <f>8.682 * CHOOSE(CONTROL!$C$22, $C$13, 100%, $E$13)</f>
        <v>8.6820000000000004</v>
      </c>
      <c r="J267" s="61">
        <f>4.5777 * CHOOSE(CONTROL!$C$22, $C$13, 100%, $E$13)</f>
        <v>4.5777000000000001</v>
      </c>
      <c r="K267" s="61">
        <f>4.5779 * CHOOSE(CONTROL!$C$22, $C$13, 100%, $E$13)</f>
        <v>4.5778999999999996</v>
      </c>
    </row>
    <row r="268" spans="1:11" ht="15">
      <c r="A268" s="13">
        <v>50010</v>
      </c>
      <c r="B268" s="60">
        <f>4.2177 * CHOOSE(CONTROL!$C$22, $C$13, 100%, $E$13)</f>
        <v>4.2176999999999998</v>
      </c>
      <c r="C268" s="60">
        <f>4.2177 * CHOOSE(CONTROL!$C$22, $C$13, 100%, $E$13)</f>
        <v>4.2176999999999998</v>
      </c>
      <c r="D268" s="60">
        <f>4.2353 * CHOOSE(CONTROL!$C$22, $C$13, 100%, $E$13)</f>
        <v>4.2352999999999996</v>
      </c>
      <c r="E268" s="61">
        <f>4.5436 * CHOOSE(CONTROL!$C$22, $C$13, 100%, $E$13)</f>
        <v>4.5435999999999996</v>
      </c>
      <c r="F268" s="61">
        <f>4.5436 * CHOOSE(CONTROL!$C$22, $C$13, 100%, $E$13)</f>
        <v>4.5435999999999996</v>
      </c>
      <c r="G268" s="61">
        <f>4.5437 * CHOOSE(CONTROL!$C$22, $C$13, 100%, $E$13)</f>
        <v>4.5437000000000003</v>
      </c>
      <c r="H268" s="61">
        <f>8.6999* CHOOSE(CONTROL!$C$22, $C$13, 100%, $E$13)</f>
        <v>8.6998999999999995</v>
      </c>
      <c r="I268" s="61">
        <f>8.7001 * CHOOSE(CONTROL!$C$22, $C$13, 100%, $E$13)</f>
        <v>8.7001000000000008</v>
      </c>
      <c r="J268" s="61">
        <f>4.5436 * CHOOSE(CONTROL!$C$22, $C$13, 100%, $E$13)</f>
        <v>4.5435999999999996</v>
      </c>
      <c r="K268" s="61">
        <f>4.5437 * CHOOSE(CONTROL!$C$22, $C$13, 100%, $E$13)</f>
        <v>4.5437000000000003</v>
      </c>
    </row>
    <row r="269" spans="1:11" ht="15">
      <c r="A269" s="13">
        <v>50041</v>
      </c>
      <c r="B269" s="60">
        <f>4.2529 * CHOOSE(CONTROL!$C$22, $C$13, 100%, $E$13)</f>
        <v>4.2529000000000003</v>
      </c>
      <c r="C269" s="60">
        <f>4.2529 * CHOOSE(CONTROL!$C$22, $C$13, 100%, $E$13)</f>
        <v>4.2529000000000003</v>
      </c>
      <c r="D269" s="60">
        <f>4.2706 * CHOOSE(CONTROL!$C$22, $C$13, 100%, $E$13)</f>
        <v>4.2706</v>
      </c>
      <c r="E269" s="61">
        <f>4.6099 * CHOOSE(CONTROL!$C$22, $C$13, 100%, $E$13)</f>
        <v>4.6098999999999997</v>
      </c>
      <c r="F269" s="61">
        <f>4.6099 * CHOOSE(CONTROL!$C$22, $C$13, 100%, $E$13)</f>
        <v>4.6098999999999997</v>
      </c>
      <c r="G269" s="61">
        <f>4.6101 * CHOOSE(CONTROL!$C$22, $C$13, 100%, $E$13)</f>
        <v>4.6101000000000001</v>
      </c>
      <c r="H269" s="61">
        <f>8.718* CHOOSE(CONTROL!$C$22, $C$13, 100%, $E$13)</f>
        <v>8.718</v>
      </c>
      <c r="I269" s="61">
        <f>8.7182 * CHOOSE(CONTROL!$C$22, $C$13, 100%, $E$13)</f>
        <v>8.7181999999999995</v>
      </c>
      <c r="J269" s="61">
        <f>4.6099 * CHOOSE(CONTROL!$C$22, $C$13, 100%, $E$13)</f>
        <v>4.6098999999999997</v>
      </c>
      <c r="K269" s="61">
        <f>4.6101 * CHOOSE(CONTROL!$C$22, $C$13, 100%, $E$13)</f>
        <v>4.6101000000000001</v>
      </c>
    </row>
    <row r="270" spans="1:11" ht="15">
      <c r="A270" s="13">
        <v>50072</v>
      </c>
      <c r="B270" s="60">
        <f>4.2499 * CHOOSE(CONTROL!$C$22, $C$13, 100%, $E$13)</f>
        <v>4.2499000000000002</v>
      </c>
      <c r="C270" s="60">
        <f>4.2499 * CHOOSE(CONTROL!$C$22, $C$13, 100%, $E$13)</f>
        <v>4.2499000000000002</v>
      </c>
      <c r="D270" s="60">
        <f>4.2675 * CHOOSE(CONTROL!$C$22, $C$13, 100%, $E$13)</f>
        <v>4.2675000000000001</v>
      </c>
      <c r="E270" s="61">
        <f>4.5415 * CHOOSE(CONTROL!$C$22, $C$13, 100%, $E$13)</f>
        <v>4.5415000000000001</v>
      </c>
      <c r="F270" s="61">
        <f>4.5415 * CHOOSE(CONTROL!$C$22, $C$13, 100%, $E$13)</f>
        <v>4.5415000000000001</v>
      </c>
      <c r="G270" s="61">
        <f>4.5416 * CHOOSE(CONTROL!$C$22, $C$13, 100%, $E$13)</f>
        <v>4.5415999999999999</v>
      </c>
      <c r="H270" s="61">
        <f>8.7362* CHOOSE(CONTROL!$C$22, $C$13, 100%, $E$13)</f>
        <v>8.7362000000000002</v>
      </c>
      <c r="I270" s="61">
        <f>8.7363 * CHOOSE(CONTROL!$C$22, $C$13, 100%, $E$13)</f>
        <v>8.7363</v>
      </c>
      <c r="J270" s="61">
        <f>4.5415 * CHOOSE(CONTROL!$C$22, $C$13, 100%, $E$13)</f>
        <v>4.5415000000000001</v>
      </c>
      <c r="K270" s="61">
        <f>4.5416 * CHOOSE(CONTROL!$C$22, $C$13, 100%, $E$13)</f>
        <v>4.5415999999999999</v>
      </c>
    </row>
    <row r="271" spans="1:11" ht="15">
      <c r="A271" s="13">
        <v>50100</v>
      </c>
      <c r="B271" s="60">
        <f>4.2468 * CHOOSE(CONTROL!$C$22, $C$13, 100%, $E$13)</f>
        <v>4.2468000000000004</v>
      </c>
      <c r="C271" s="60">
        <f>4.2468 * CHOOSE(CONTROL!$C$22, $C$13, 100%, $E$13)</f>
        <v>4.2468000000000004</v>
      </c>
      <c r="D271" s="60">
        <f>4.2645 * CHOOSE(CONTROL!$C$22, $C$13, 100%, $E$13)</f>
        <v>4.2645</v>
      </c>
      <c r="E271" s="61">
        <f>4.5916 * CHOOSE(CONTROL!$C$22, $C$13, 100%, $E$13)</f>
        <v>4.5915999999999997</v>
      </c>
      <c r="F271" s="61">
        <f>4.5916 * CHOOSE(CONTROL!$C$22, $C$13, 100%, $E$13)</f>
        <v>4.5915999999999997</v>
      </c>
      <c r="G271" s="61">
        <f>4.5918 * CHOOSE(CONTROL!$C$22, $C$13, 100%, $E$13)</f>
        <v>4.5918000000000001</v>
      </c>
      <c r="H271" s="61">
        <f>8.7544* CHOOSE(CONTROL!$C$22, $C$13, 100%, $E$13)</f>
        <v>8.7544000000000004</v>
      </c>
      <c r="I271" s="61">
        <f>8.7545 * CHOOSE(CONTROL!$C$22, $C$13, 100%, $E$13)</f>
        <v>8.7545000000000002</v>
      </c>
      <c r="J271" s="61">
        <f>4.5916 * CHOOSE(CONTROL!$C$22, $C$13, 100%, $E$13)</f>
        <v>4.5915999999999997</v>
      </c>
      <c r="K271" s="61">
        <f>4.5918 * CHOOSE(CONTROL!$C$22, $C$13, 100%, $E$13)</f>
        <v>4.5918000000000001</v>
      </c>
    </row>
    <row r="272" spans="1:11" ht="15">
      <c r="A272" s="13">
        <v>50131</v>
      </c>
      <c r="B272" s="60">
        <f>4.2448 * CHOOSE(CONTROL!$C$22, $C$13, 100%, $E$13)</f>
        <v>4.2447999999999997</v>
      </c>
      <c r="C272" s="60">
        <f>4.2448 * CHOOSE(CONTROL!$C$22, $C$13, 100%, $E$13)</f>
        <v>4.2447999999999997</v>
      </c>
      <c r="D272" s="60">
        <f>4.2624 * CHOOSE(CONTROL!$C$22, $C$13, 100%, $E$13)</f>
        <v>4.2624000000000004</v>
      </c>
      <c r="E272" s="61">
        <f>4.6435 * CHOOSE(CONTROL!$C$22, $C$13, 100%, $E$13)</f>
        <v>4.6435000000000004</v>
      </c>
      <c r="F272" s="61">
        <f>4.6435 * CHOOSE(CONTROL!$C$22, $C$13, 100%, $E$13)</f>
        <v>4.6435000000000004</v>
      </c>
      <c r="G272" s="61">
        <f>4.6437 * CHOOSE(CONTROL!$C$22, $C$13, 100%, $E$13)</f>
        <v>4.6436999999999999</v>
      </c>
      <c r="H272" s="61">
        <f>8.7726* CHOOSE(CONTROL!$C$22, $C$13, 100%, $E$13)</f>
        <v>8.7726000000000006</v>
      </c>
      <c r="I272" s="61">
        <f>8.7728 * CHOOSE(CONTROL!$C$22, $C$13, 100%, $E$13)</f>
        <v>8.7728000000000002</v>
      </c>
      <c r="J272" s="61">
        <f>4.6435 * CHOOSE(CONTROL!$C$22, $C$13, 100%, $E$13)</f>
        <v>4.6435000000000004</v>
      </c>
      <c r="K272" s="61">
        <f>4.6437 * CHOOSE(CONTROL!$C$22, $C$13, 100%, $E$13)</f>
        <v>4.6436999999999999</v>
      </c>
    </row>
    <row r="273" spans="1:11" ht="15">
      <c r="A273" s="13">
        <v>50161</v>
      </c>
      <c r="B273" s="60">
        <f>4.2448 * CHOOSE(CONTROL!$C$22, $C$13, 100%, $E$13)</f>
        <v>4.2447999999999997</v>
      </c>
      <c r="C273" s="60">
        <f>4.2448 * CHOOSE(CONTROL!$C$22, $C$13, 100%, $E$13)</f>
        <v>4.2447999999999997</v>
      </c>
      <c r="D273" s="60">
        <f>4.2801 * CHOOSE(CONTROL!$C$22, $C$13, 100%, $E$13)</f>
        <v>4.2801</v>
      </c>
      <c r="E273" s="61">
        <f>4.6646 * CHOOSE(CONTROL!$C$22, $C$13, 100%, $E$13)</f>
        <v>4.6646000000000001</v>
      </c>
      <c r="F273" s="61">
        <f>4.6646 * CHOOSE(CONTROL!$C$22, $C$13, 100%, $E$13)</f>
        <v>4.6646000000000001</v>
      </c>
      <c r="G273" s="61">
        <f>4.6667 * CHOOSE(CONTROL!$C$22, $C$13, 100%, $E$13)</f>
        <v>4.6666999999999996</v>
      </c>
      <c r="H273" s="61">
        <f>8.7909* CHOOSE(CONTROL!$C$22, $C$13, 100%, $E$13)</f>
        <v>8.7909000000000006</v>
      </c>
      <c r="I273" s="61">
        <f>8.7931 * CHOOSE(CONTROL!$C$22, $C$13, 100%, $E$13)</f>
        <v>8.7931000000000008</v>
      </c>
      <c r="J273" s="61">
        <f>4.6646 * CHOOSE(CONTROL!$C$22, $C$13, 100%, $E$13)</f>
        <v>4.6646000000000001</v>
      </c>
      <c r="K273" s="61">
        <f>4.6667 * CHOOSE(CONTROL!$C$22, $C$13, 100%, $E$13)</f>
        <v>4.6666999999999996</v>
      </c>
    </row>
    <row r="274" spans="1:11" ht="15">
      <c r="A274" s="13">
        <v>50192</v>
      </c>
      <c r="B274" s="60">
        <f>4.2509 * CHOOSE(CONTROL!$C$22, $C$13, 100%, $E$13)</f>
        <v>4.2508999999999997</v>
      </c>
      <c r="C274" s="60">
        <f>4.2509 * CHOOSE(CONTROL!$C$22, $C$13, 100%, $E$13)</f>
        <v>4.2508999999999997</v>
      </c>
      <c r="D274" s="60">
        <f>4.2862 * CHOOSE(CONTROL!$C$22, $C$13, 100%, $E$13)</f>
        <v>4.2862</v>
      </c>
      <c r="E274" s="61">
        <f>4.6477 * CHOOSE(CONTROL!$C$22, $C$13, 100%, $E$13)</f>
        <v>4.6477000000000004</v>
      </c>
      <c r="F274" s="61">
        <f>4.6477 * CHOOSE(CONTROL!$C$22, $C$13, 100%, $E$13)</f>
        <v>4.6477000000000004</v>
      </c>
      <c r="G274" s="61">
        <f>4.6499 * CHOOSE(CONTROL!$C$22, $C$13, 100%, $E$13)</f>
        <v>4.6498999999999997</v>
      </c>
      <c r="H274" s="61">
        <f>8.8092* CHOOSE(CONTROL!$C$22, $C$13, 100%, $E$13)</f>
        <v>8.8092000000000006</v>
      </c>
      <c r="I274" s="61">
        <f>8.8114 * CHOOSE(CONTROL!$C$22, $C$13, 100%, $E$13)</f>
        <v>8.8114000000000008</v>
      </c>
      <c r="J274" s="61">
        <f>4.6477 * CHOOSE(CONTROL!$C$22, $C$13, 100%, $E$13)</f>
        <v>4.6477000000000004</v>
      </c>
      <c r="K274" s="61">
        <f>4.6499 * CHOOSE(CONTROL!$C$22, $C$13, 100%, $E$13)</f>
        <v>4.6498999999999997</v>
      </c>
    </row>
    <row r="275" spans="1:11" ht="15">
      <c r="A275" s="13">
        <v>50222</v>
      </c>
      <c r="B275" s="60">
        <f>4.315 * CHOOSE(CONTROL!$C$22, $C$13, 100%, $E$13)</f>
        <v>4.3150000000000004</v>
      </c>
      <c r="C275" s="60">
        <f>4.315 * CHOOSE(CONTROL!$C$22, $C$13, 100%, $E$13)</f>
        <v>4.3150000000000004</v>
      </c>
      <c r="D275" s="60">
        <f>4.3503 * CHOOSE(CONTROL!$C$22, $C$13, 100%, $E$13)</f>
        <v>4.3502999999999998</v>
      </c>
      <c r="E275" s="61">
        <f>4.7404 * CHOOSE(CONTROL!$C$22, $C$13, 100%, $E$13)</f>
        <v>4.7404000000000002</v>
      </c>
      <c r="F275" s="61">
        <f>4.7404 * CHOOSE(CONTROL!$C$22, $C$13, 100%, $E$13)</f>
        <v>4.7404000000000002</v>
      </c>
      <c r="G275" s="61">
        <f>4.7426 * CHOOSE(CONTROL!$C$22, $C$13, 100%, $E$13)</f>
        <v>4.7426000000000004</v>
      </c>
      <c r="H275" s="61">
        <f>8.8275* CHOOSE(CONTROL!$C$22, $C$13, 100%, $E$13)</f>
        <v>8.8275000000000006</v>
      </c>
      <c r="I275" s="61">
        <f>8.8297 * CHOOSE(CONTROL!$C$22, $C$13, 100%, $E$13)</f>
        <v>8.8297000000000008</v>
      </c>
      <c r="J275" s="61">
        <f>4.7404 * CHOOSE(CONTROL!$C$22, $C$13, 100%, $E$13)</f>
        <v>4.7404000000000002</v>
      </c>
      <c r="K275" s="61">
        <f>4.7426 * CHOOSE(CONTROL!$C$22, $C$13, 100%, $E$13)</f>
        <v>4.7426000000000004</v>
      </c>
    </row>
    <row r="276" spans="1:11" ht="15">
      <c r="A276" s="13">
        <v>50253</v>
      </c>
      <c r="B276" s="60">
        <f>4.3217 * CHOOSE(CONTROL!$C$22, $C$13, 100%, $E$13)</f>
        <v>4.3216999999999999</v>
      </c>
      <c r="C276" s="60">
        <f>4.3217 * CHOOSE(CONTROL!$C$22, $C$13, 100%, $E$13)</f>
        <v>4.3216999999999999</v>
      </c>
      <c r="D276" s="60">
        <f>4.357 * CHOOSE(CONTROL!$C$22, $C$13, 100%, $E$13)</f>
        <v>4.3570000000000002</v>
      </c>
      <c r="E276" s="61">
        <f>4.6819 * CHOOSE(CONTROL!$C$22, $C$13, 100%, $E$13)</f>
        <v>4.6818999999999997</v>
      </c>
      <c r="F276" s="61">
        <f>4.6819 * CHOOSE(CONTROL!$C$22, $C$13, 100%, $E$13)</f>
        <v>4.6818999999999997</v>
      </c>
      <c r="G276" s="61">
        <f>4.6841 * CHOOSE(CONTROL!$C$22, $C$13, 100%, $E$13)</f>
        <v>4.6840999999999999</v>
      </c>
      <c r="H276" s="61">
        <f>8.8459* CHOOSE(CONTROL!$C$22, $C$13, 100%, $E$13)</f>
        <v>8.8459000000000003</v>
      </c>
      <c r="I276" s="61">
        <f>8.8481 * CHOOSE(CONTROL!$C$22, $C$13, 100%, $E$13)</f>
        <v>8.8481000000000005</v>
      </c>
      <c r="J276" s="61">
        <f>4.6819 * CHOOSE(CONTROL!$C$22, $C$13, 100%, $E$13)</f>
        <v>4.6818999999999997</v>
      </c>
      <c r="K276" s="61">
        <f>4.6841 * CHOOSE(CONTROL!$C$22, $C$13, 100%, $E$13)</f>
        <v>4.6840999999999999</v>
      </c>
    </row>
    <row r="277" spans="1:11" ht="15">
      <c r="A277" s="13">
        <v>50284</v>
      </c>
      <c r="B277" s="60">
        <f>4.3187 * CHOOSE(CONTROL!$C$22, $C$13, 100%, $E$13)</f>
        <v>4.3186999999999998</v>
      </c>
      <c r="C277" s="60">
        <f>4.3187 * CHOOSE(CONTROL!$C$22, $C$13, 100%, $E$13)</f>
        <v>4.3186999999999998</v>
      </c>
      <c r="D277" s="60">
        <f>4.354 * CHOOSE(CONTROL!$C$22, $C$13, 100%, $E$13)</f>
        <v>4.3540000000000001</v>
      </c>
      <c r="E277" s="61">
        <f>4.6728 * CHOOSE(CONTROL!$C$22, $C$13, 100%, $E$13)</f>
        <v>4.6727999999999996</v>
      </c>
      <c r="F277" s="61">
        <f>4.6728 * CHOOSE(CONTROL!$C$22, $C$13, 100%, $E$13)</f>
        <v>4.6727999999999996</v>
      </c>
      <c r="G277" s="61">
        <f>4.675 * CHOOSE(CONTROL!$C$22, $C$13, 100%, $E$13)</f>
        <v>4.6749999999999998</v>
      </c>
      <c r="H277" s="61">
        <f>8.8644* CHOOSE(CONTROL!$C$22, $C$13, 100%, $E$13)</f>
        <v>8.8643999999999998</v>
      </c>
      <c r="I277" s="61">
        <f>8.8666 * CHOOSE(CONTROL!$C$22, $C$13, 100%, $E$13)</f>
        <v>8.8666</v>
      </c>
      <c r="J277" s="61">
        <f>4.6728 * CHOOSE(CONTROL!$C$22, $C$13, 100%, $E$13)</f>
        <v>4.6727999999999996</v>
      </c>
      <c r="K277" s="61">
        <f>4.675 * CHOOSE(CONTROL!$C$22, $C$13, 100%, $E$13)</f>
        <v>4.6749999999999998</v>
      </c>
    </row>
    <row r="278" spans="1:11" ht="15">
      <c r="A278" s="13">
        <v>50314</v>
      </c>
      <c r="B278" s="60">
        <f>4.3151 * CHOOSE(CONTROL!$C$22, $C$13, 100%, $E$13)</f>
        <v>4.3151000000000002</v>
      </c>
      <c r="C278" s="60">
        <f>4.3151 * CHOOSE(CONTROL!$C$22, $C$13, 100%, $E$13)</f>
        <v>4.3151000000000002</v>
      </c>
      <c r="D278" s="60">
        <f>4.3328 * CHOOSE(CONTROL!$C$22, $C$13, 100%, $E$13)</f>
        <v>4.3327999999999998</v>
      </c>
      <c r="E278" s="61">
        <f>4.6875 * CHOOSE(CONTROL!$C$22, $C$13, 100%, $E$13)</f>
        <v>4.6875</v>
      </c>
      <c r="F278" s="61">
        <f>4.6875 * CHOOSE(CONTROL!$C$22, $C$13, 100%, $E$13)</f>
        <v>4.6875</v>
      </c>
      <c r="G278" s="61">
        <f>4.6876 * CHOOSE(CONTROL!$C$22, $C$13, 100%, $E$13)</f>
        <v>4.6875999999999998</v>
      </c>
      <c r="H278" s="61">
        <f>8.8828* CHOOSE(CONTROL!$C$22, $C$13, 100%, $E$13)</f>
        <v>8.8827999999999996</v>
      </c>
      <c r="I278" s="61">
        <f>8.883 * CHOOSE(CONTROL!$C$22, $C$13, 100%, $E$13)</f>
        <v>8.8829999999999991</v>
      </c>
      <c r="J278" s="61">
        <f>4.6875 * CHOOSE(CONTROL!$C$22, $C$13, 100%, $E$13)</f>
        <v>4.6875</v>
      </c>
      <c r="K278" s="61">
        <f>4.6876 * CHOOSE(CONTROL!$C$22, $C$13, 100%, $E$13)</f>
        <v>4.6875999999999998</v>
      </c>
    </row>
    <row r="279" spans="1:11" ht="15">
      <c r="A279" s="13">
        <v>50345</v>
      </c>
      <c r="B279" s="60">
        <f>4.3181 * CHOOSE(CONTROL!$C$22, $C$13, 100%, $E$13)</f>
        <v>4.3181000000000003</v>
      </c>
      <c r="C279" s="60">
        <f>4.3181 * CHOOSE(CONTROL!$C$22, $C$13, 100%, $E$13)</f>
        <v>4.3181000000000003</v>
      </c>
      <c r="D279" s="60">
        <f>4.3358 * CHOOSE(CONTROL!$C$22, $C$13, 100%, $E$13)</f>
        <v>4.3357999999999999</v>
      </c>
      <c r="E279" s="61">
        <f>4.7036 * CHOOSE(CONTROL!$C$22, $C$13, 100%, $E$13)</f>
        <v>4.7035999999999998</v>
      </c>
      <c r="F279" s="61">
        <f>4.7036 * CHOOSE(CONTROL!$C$22, $C$13, 100%, $E$13)</f>
        <v>4.7035999999999998</v>
      </c>
      <c r="G279" s="61">
        <f>4.7038 * CHOOSE(CONTROL!$C$22, $C$13, 100%, $E$13)</f>
        <v>4.7038000000000002</v>
      </c>
      <c r="H279" s="61">
        <f>8.9013* CHOOSE(CONTROL!$C$22, $C$13, 100%, $E$13)</f>
        <v>8.9013000000000009</v>
      </c>
      <c r="I279" s="61">
        <f>8.9015 * CHOOSE(CONTROL!$C$22, $C$13, 100%, $E$13)</f>
        <v>8.9015000000000004</v>
      </c>
      <c r="J279" s="61">
        <f>4.7036 * CHOOSE(CONTROL!$C$22, $C$13, 100%, $E$13)</f>
        <v>4.7035999999999998</v>
      </c>
      <c r="K279" s="61">
        <f>4.7038 * CHOOSE(CONTROL!$C$22, $C$13, 100%, $E$13)</f>
        <v>4.7038000000000002</v>
      </c>
    </row>
    <row r="280" spans="1:11" ht="15">
      <c r="A280" s="13">
        <v>50375</v>
      </c>
      <c r="B280" s="60">
        <f>4.3181 * CHOOSE(CONTROL!$C$22, $C$13, 100%, $E$13)</f>
        <v>4.3181000000000003</v>
      </c>
      <c r="C280" s="60">
        <f>4.3181 * CHOOSE(CONTROL!$C$22, $C$13, 100%, $E$13)</f>
        <v>4.3181000000000003</v>
      </c>
      <c r="D280" s="60">
        <f>4.3358 * CHOOSE(CONTROL!$C$22, $C$13, 100%, $E$13)</f>
        <v>4.3357999999999999</v>
      </c>
      <c r="E280" s="61">
        <f>4.6685 * CHOOSE(CONTROL!$C$22, $C$13, 100%, $E$13)</f>
        <v>4.6684999999999999</v>
      </c>
      <c r="F280" s="61">
        <f>4.6685 * CHOOSE(CONTROL!$C$22, $C$13, 100%, $E$13)</f>
        <v>4.6684999999999999</v>
      </c>
      <c r="G280" s="61">
        <f>4.6687 * CHOOSE(CONTROL!$C$22, $C$13, 100%, $E$13)</f>
        <v>4.6687000000000003</v>
      </c>
      <c r="H280" s="61">
        <f>8.9199* CHOOSE(CONTROL!$C$22, $C$13, 100%, $E$13)</f>
        <v>8.9199000000000002</v>
      </c>
      <c r="I280" s="61">
        <f>8.9201 * CHOOSE(CONTROL!$C$22, $C$13, 100%, $E$13)</f>
        <v>8.9200999999999997</v>
      </c>
      <c r="J280" s="61">
        <f>4.6685 * CHOOSE(CONTROL!$C$22, $C$13, 100%, $E$13)</f>
        <v>4.6684999999999999</v>
      </c>
      <c r="K280" s="61">
        <f>4.6687 * CHOOSE(CONTROL!$C$22, $C$13, 100%, $E$13)</f>
        <v>4.6687000000000003</v>
      </c>
    </row>
    <row r="281" spans="1:11" ht="15">
      <c r="A281" s="13">
        <v>50406</v>
      </c>
      <c r="B281" s="60">
        <f>4.3559 * CHOOSE(CONTROL!$C$22, $C$13, 100%, $E$13)</f>
        <v>4.3559000000000001</v>
      </c>
      <c r="C281" s="60">
        <f>4.3559 * CHOOSE(CONTROL!$C$22, $C$13, 100%, $E$13)</f>
        <v>4.3559000000000001</v>
      </c>
      <c r="D281" s="60">
        <f>4.3735 * CHOOSE(CONTROL!$C$22, $C$13, 100%, $E$13)</f>
        <v>4.3734999999999999</v>
      </c>
      <c r="E281" s="61">
        <f>4.7413 * CHOOSE(CONTROL!$C$22, $C$13, 100%, $E$13)</f>
        <v>4.7412999999999998</v>
      </c>
      <c r="F281" s="61">
        <f>4.7413 * CHOOSE(CONTROL!$C$22, $C$13, 100%, $E$13)</f>
        <v>4.7412999999999998</v>
      </c>
      <c r="G281" s="61">
        <f>4.7415 * CHOOSE(CONTROL!$C$22, $C$13, 100%, $E$13)</f>
        <v>4.7415000000000003</v>
      </c>
      <c r="H281" s="61">
        <f>8.9385* CHOOSE(CONTROL!$C$22, $C$13, 100%, $E$13)</f>
        <v>8.9384999999999994</v>
      </c>
      <c r="I281" s="61">
        <f>8.9386 * CHOOSE(CONTROL!$C$22, $C$13, 100%, $E$13)</f>
        <v>8.9385999999999992</v>
      </c>
      <c r="J281" s="61">
        <f>4.7413 * CHOOSE(CONTROL!$C$22, $C$13, 100%, $E$13)</f>
        <v>4.7412999999999998</v>
      </c>
      <c r="K281" s="61">
        <f>4.7415 * CHOOSE(CONTROL!$C$22, $C$13, 100%, $E$13)</f>
        <v>4.7415000000000003</v>
      </c>
    </row>
    <row r="282" spans="1:11" ht="15">
      <c r="A282" s="13">
        <v>50437</v>
      </c>
      <c r="B282" s="60">
        <f>4.3528 * CHOOSE(CONTROL!$C$22, $C$13, 100%, $E$13)</f>
        <v>4.3528000000000002</v>
      </c>
      <c r="C282" s="60">
        <f>4.3528 * CHOOSE(CONTROL!$C$22, $C$13, 100%, $E$13)</f>
        <v>4.3528000000000002</v>
      </c>
      <c r="D282" s="60">
        <f>4.3705 * CHOOSE(CONTROL!$C$22, $C$13, 100%, $E$13)</f>
        <v>4.3704999999999998</v>
      </c>
      <c r="E282" s="61">
        <f>4.6706 * CHOOSE(CONTROL!$C$22, $C$13, 100%, $E$13)</f>
        <v>4.6706000000000003</v>
      </c>
      <c r="F282" s="61">
        <f>4.6706 * CHOOSE(CONTROL!$C$22, $C$13, 100%, $E$13)</f>
        <v>4.6706000000000003</v>
      </c>
      <c r="G282" s="61">
        <f>4.6708 * CHOOSE(CONTROL!$C$22, $C$13, 100%, $E$13)</f>
        <v>4.6707999999999998</v>
      </c>
      <c r="H282" s="61">
        <f>8.9571* CHOOSE(CONTROL!$C$22, $C$13, 100%, $E$13)</f>
        <v>8.9571000000000005</v>
      </c>
      <c r="I282" s="61">
        <f>8.9573 * CHOOSE(CONTROL!$C$22, $C$13, 100%, $E$13)</f>
        <v>8.9573</v>
      </c>
      <c r="J282" s="61">
        <f>4.6706 * CHOOSE(CONTROL!$C$22, $C$13, 100%, $E$13)</f>
        <v>4.6706000000000003</v>
      </c>
      <c r="K282" s="61">
        <f>4.6708 * CHOOSE(CONTROL!$C$22, $C$13, 100%, $E$13)</f>
        <v>4.6707999999999998</v>
      </c>
    </row>
    <row r="283" spans="1:11" ht="15">
      <c r="A283" s="13">
        <v>50465</v>
      </c>
      <c r="B283" s="60">
        <f>4.3498 * CHOOSE(CONTROL!$C$22, $C$13, 100%, $E$13)</f>
        <v>4.3498000000000001</v>
      </c>
      <c r="C283" s="60">
        <f>4.3498 * CHOOSE(CONTROL!$C$22, $C$13, 100%, $E$13)</f>
        <v>4.3498000000000001</v>
      </c>
      <c r="D283" s="60">
        <f>4.3675 * CHOOSE(CONTROL!$C$22, $C$13, 100%, $E$13)</f>
        <v>4.3674999999999997</v>
      </c>
      <c r="E283" s="61">
        <f>4.7225 * CHOOSE(CONTROL!$C$22, $C$13, 100%, $E$13)</f>
        <v>4.7225000000000001</v>
      </c>
      <c r="F283" s="61">
        <f>4.7225 * CHOOSE(CONTROL!$C$22, $C$13, 100%, $E$13)</f>
        <v>4.7225000000000001</v>
      </c>
      <c r="G283" s="61">
        <f>4.7227 * CHOOSE(CONTROL!$C$22, $C$13, 100%, $E$13)</f>
        <v>4.7226999999999997</v>
      </c>
      <c r="H283" s="61">
        <f>8.9758* CHOOSE(CONTROL!$C$22, $C$13, 100%, $E$13)</f>
        <v>8.9757999999999996</v>
      </c>
      <c r="I283" s="61">
        <f>8.9759 * CHOOSE(CONTROL!$C$22, $C$13, 100%, $E$13)</f>
        <v>8.9758999999999993</v>
      </c>
      <c r="J283" s="61">
        <f>4.7225 * CHOOSE(CONTROL!$C$22, $C$13, 100%, $E$13)</f>
        <v>4.7225000000000001</v>
      </c>
      <c r="K283" s="61">
        <f>4.7227 * CHOOSE(CONTROL!$C$22, $C$13, 100%, $E$13)</f>
        <v>4.7226999999999997</v>
      </c>
    </row>
    <row r="284" spans="1:11" ht="15">
      <c r="A284" s="13">
        <v>50496</v>
      </c>
      <c r="B284" s="60">
        <f>4.3478 * CHOOSE(CONTROL!$C$22, $C$13, 100%, $E$13)</f>
        <v>4.3478000000000003</v>
      </c>
      <c r="C284" s="60">
        <f>4.3478 * CHOOSE(CONTROL!$C$22, $C$13, 100%, $E$13)</f>
        <v>4.3478000000000003</v>
      </c>
      <c r="D284" s="60">
        <f>4.3655 * CHOOSE(CONTROL!$C$22, $C$13, 100%, $E$13)</f>
        <v>4.3654999999999999</v>
      </c>
      <c r="E284" s="61">
        <f>4.7763 * CHOOSE(CONTROL!$C$22, $C$13, 100%, $E$13)</f>
        <v>4.7763</v>
      </c>
      <c r="F284" s="61">
        <f>4.7763 * CHOOSE(CONTROL!$C$22, $C$13, 100%, $E$13)</f>
        <v>4.7763</v>
      </c>
      <c r="G284" s="61">
        <f>4.7765 * CHOOSE(CONTROL!$C$22, $C$13, 100%, $E$13)</f>
        <v>4.7765000000000004</v>
      </c>
      <c r="H284" s="61">
        <f>8.9945* CHOOSE(CONTROL!$C$22, $C$13, 100%, $E$13)</f>
        <v>8.9945000000000004</v>
      </c>
      <c r="I284" s="61">
        <f>8.9946 * CHOOSE(CONTROL!$C$22, $C$13, 100%, $E$13)</f>
        <v>8.9946000000000002</v>
      </c>
      <c r="J284" s="61">
        <f>4.7763 * CHOOSE(CONTROL!$C$22, $C$13, 100%, $E$13)</f>
        <v>4.7763</v>
      </c>
      <c r="K284" s="61">
        <f>4.7765 * CHOOSE(CONTROL!$C$22, $C$13, 100%, $E$13)</f>
        <v>4.7765000000000004</v>
      </c>
    </row>
    <row r="285" spans="1:11" ht="15">
      <c r="A285" s="13">
        <v>50526</v>
      </c>
      <c r="B285" s="60">
        <f>4.3478 * CHOOSE(CONTROL!$C$22, $C$13, 100%, $E$13)</f>
        <v>4.3478000000000003</v>
      </c>
      <c r="C285" s="60">
        <f>4.3478 * CHOOSE(CONTROL!$C$22, $C$13, 100%, $E$13)</f>
        <v>4.3478000000000003</v>
      </c>
      <c r="D285" s="60">
        <f>4.3831 * CHOOSE(CONTROL!$C$22, $C$13, 100%, $E$13)</f>
        <v>4.3830999999999998</v>
      </c>
      <c r="E285" s="61">
        <f>4.7981 * CHOOSE(CONTROL!$C$22, $C$13, 100%, $E$13)</f>
        <v>4.7980999999999998</v>
      </c>
      <c r="F285" s="61">
        <f>4.7981 * CHOOSE(CONTROL!$C$22, $C$13, 100%, $E$13)</f>
        <v>4.7980999999999998</v>
      </c>
      <c r="G285" s="61">
        <f>4.8003 * CHOOSE(CONTROL!$C$22, $C$13, 100%, $E$13)</f>
        <v>4.8003</v>
      </c>
      <c r="H285" s="61">
        <f>9.0132* CHOOSE(CONTROL!$C$22, $C$13, 100%, $E$13)</f>
        <v>9.0131999999999994</v>
      </c>
      <c r="I285" s="61">
        <f>9.0154 * CHOOSE(CONTROL!$C$22, $C$13, 100%, $E$13)</f>
        <v>9.0153999999999996</v>
      </c>
      <c r="J285" s="61">
        <f>4.7981 * CHOOSE(CONTROL!$C$22, $C$13, 100%, $E$13)</f>
        <v>4.7980999999999998</v>
      </c>
      <c r="K285" s="61">
        <f>4.8003 * CHOOSE(CONTROL!$C$22, $C$13, 100%, $E$13)</f>
        <v>4.8003</v>
      </c>
    </row>
    <row r="286" spans="1:11" ht="15">
      <c r="A286" s="13">
        <v>50557</v>
      </c>
      <c r="B286" s="60">
        <f>4.3539 * CHOOSE(CONTROL!$C$22, $C$13, 100%, $E$13)</f>
        <v>4.3539000000000003</v>
      </c>
      <c r="C286" s="60">
        <f>4.3539 * CHOOSE(CONTROL!$C$22, $C$13, 100%, $E$13)</f>
        <v>4.3539000000000003</v>
      </c>
      <c r="D286" s="60">
        <f>4.3892 * CHOOSE(CONTROL!$C$22, $C$13, 100%, $E$13)</f>
        <v>4.3891999999999998</v>
      </c>
      <c r="E286" s="61">
        <f>4.7806 * CHOOSE(CONTROL!$C$22, $C$13, 100%, $E$13)</f>
        <v>4.7805999999999997</v>
      </c>
      <c r="F286" s="61">
        <f>4.7806 * CHOOSE(CONTROL!$C$22, $C$13, 100%, $E$13)</f>
        <v>4.7805999999999997</v>
      </c>
      <c r="G286" s="61">
        <f>4.7828 * CHOOSE(CONTROL!$C$22, $C$13, 100%, $E$13)</f>
        <v>4.7827999999999999</v>
      </c>
      <c r="H286" s="61">
        <f>9.032* CHOOSE(CONTROL!$C$22, $C$13, 100%, $E$13)</f>
        <v>9.032</v>
      </c>
      <c r="I286" s="61">
        <f>9.0342 * CHOOSE(CONTROL!$C$22, $C$13, 100%, $E$13)</f>
        <v>9.0342000000000002</v>
      </c>
      <c r="J286" s="61">
        <f>4.7806 * CHOOSE(CONTROL!$C$22, $C$13, 100%, $E$13)</f>
        <v>4.7805999999999997</v>
      </c>
      <c r="K286" s="61">
        <f>4.7828 * CHOOSE(CONTROL!$C$22, $C$13, 100%, $E$13)</f>
        <v>4.7827999999999999</v>
      </c>
    </row>
    <row r="287" spans="1:11" ht="15">
      <c r="A287" s="13">
        <v>50587</v>
      </c>
      <c r="B287" s="60">
        <f>4.4232 * CHOOSE(CONTROL!$C$22, $C$13, 100%, $E$13)</f>
        <v>4.4231999999999996</v>
      </c>
      <c r="C287" s="60">
        <f>4.4232 * CHOOSE(CONTROL!$C$22, $C$13, 100%, $E$13)</f>
        <v>4.4231999999999996</v>
      </c>
      <c r="D287" s="60">
        <f>4.4585 * CHOOSE(CONTROL!$C$22, $C$13, 100%, $E$13)</f>
        <v>4.4584999999999999</v>
      </c>
      <c r="E287" s="61">
        <f>4.875 * CHOOSE(CONTROL!$C$22, $C$13, 100%, $E$13)</f>
        <v>4.875</v>
      </c>
      <c r="F287" s="61">
        <f>4.875 * CHOOSE(CONTROL!$C$22, $C$13, 100%, $E$13)</f>
        <v>4.875</v>
      </c>
      <c r="G287" s="61">
        <f>4.8772 * CHOOSE(CONTROL!$C$22, $C$13, 100%, $E$13)</f>
        <v>4.8772000000000002</v>
      </c>
      <c r="H287" s="61">
        <f>9.0508* CHOOSE(CONTROL!$C$22, $C$13, 100%, $E$13)</f>
        <v>9.0508000000000006</v>
      </c>
      <c r="I287" s="61">
        <f>9.053 * CHOOSE(CONTROL!$C$22, $C$13, 100%, $E$13)</f>
        <v>9.0530000000000008</v>
      </c>
      <c r="J287" s="61">
        <f>4.875 * CHOOSE(CONTROL!$C$22, $C$13, 100%, $E$13)</f>
        <v>4.875</v>
      </c>
      <c r="K287" s="61">
        <f>4.8772 * CHOOSE(CONTROL!$C$22, $C$13, 100%, $E$13)</f>
        <v>4.8772000000000002</v>
      </c>
    </row>
    <row r="288" spans="1:11" ht="15">
      <c r="A288" s="13">
        <v>50618</v>
      </c>
      <c r="B288" s="60">
        <f>4.4299 * CHOOSE(CONTROL!$C$22, $C$13, 100%, $E$13)</f>
        <v>4.4298999999999999</v>
      </c>
      <c r="C288" s="60">
        <f>4.4299 * CHOOSE(CONTROL!$C$22, $C$13, 100%, $E$13)</f>
        <v>4.4298999999999999</v>
      </c>
      <c r="D288" s="60">
        <f>4.4652 * CHOOSE(CONTROL!$C$22, $C$13, 100%, $E$13)</f>
        <v>4.4652000000000003</v>
      </c>
      <c r="E288" s="61">
        <f>4.8143 * CHOOSE(CONTROL!$C$22, $C$13, 100%, $E$13)</f>
        <v>4.8143000000000002</v>
      </c>
      <c r="F288" s="61">
        <f>4.8143 * CHOOSE(CONTROL!$C$22, $C$13, 100%, $E$13)</f>
        <v>4.8143000000000002</v>
      </c>
      <c r="G288" s="61">
        <f>4.8165 * CHOOSE(CONTROL!$C$22, $C$13, 100%, $E$13)</f>
        <v>4.8164999999999996</v>
      </c>
      <c r="H288" s="61">
        <f>9.0696* CHOOSE(CONTROL!$C$22, $C$13, 100%, $E$13)</f>
        <v>9.0695999999999994</v>
      </c>
      <c r="I288" s="61">
        <f>9.0718 * CHOOSE(CONTROL!$C$22, $C$13, 100%, $E$13)</f>
        <v>9.0717999999999996</v>
      </c>
      <c r="J288" s="61">
        <f>4.8143 * CHOOSE(CONTROL!$C$22, $C$13, 100%, $E$13)</f>
        <v>4.8143000000000002</v>
      </c>
      <c r="K288" s="61">
        <f>4.8165 * CHOOSE(CONTROL!$C$22, $C$13, 100%, $E$13)</f>
        <v>4.8164999999999996</v>
      </c>
    </row>
    <row r="289" spans="1:11" ht="15">
      <c r="A289" s="13">
        <v>50649</v>
      </c>
      <c r="B289" s="60">
        <f>4.4269 * CHOOSE(CONTROL!$C$22, $C$13, 100%, $E$13)</f>
        <v>4.4268999999999998</v>
      </c>
      <c r="C289" s="60">
        <f>4.4269 * CHOOSE(CONTROL!$C$22, $C$13, 100%, $E$13)</f>
        <v>4.4268999999999998</v>
      </c>
      <c r="D289" s="60">
        <f>4.4622 * CHOOSE(CONTROL!$C$22, $C$13, 100%, $E$13)</f>
        <v>4.4622000000000002</v>
      </c>
      <c r="E289" s="61">
        <f>4.805 * CHOOSE(CONTROL!$C$22, $C$13, 100%, $E$13)</f>
        <v>4.8049999999999997</v>
      </c>
      <c r="F289" s="61">
        <f>4.805 * CHOOSE(CONTROL!$C$22, $C$13, 100%, $E$13)</f>
        <v>4.8049999999999997</v>
      </c>
      <c r="G289" s="61">
        <f>4.8072 * CHOOSE(CONTROL!$C$22, $C$13, 100%, $E$13)</f>
        <v>4.8071999999999999</v>
      </c>
      <c r="H289" s="61">
        <f>9.0885* CHOOSE(CONTROL!$C$22, $C$13, 100%, $E$13)</f>
        <v>9.0884999999999998</v>
      </c>
      <c r="I289" s="61">
        <f>9.0907 * CHOOSE(CONTROL!$C$22, $C$13, 100%, $E$13)</f>
        <v>9.0907</v>
      </c>
      <c r="J289" s="61">
        <f>4.805 * CHOOSE(CONTROL!$C$22, $C$13, 100%, $E$13)</f>
        <v>4.8049999999999997</v>
      </c>
      <c r="K289" s="61">
        <f>4.8072 * CHOOSE(CONTROL!$C$22, $C$13, 100%, $E$13)</f>
        <v>4.8071999999999999</v>
      </c>
    </row>
    <row r="290" spans="1:11" ht="15">
      <c r="A290" s="13">
        <v>50679</v>
      </c>
      <c r="B290" s="60">
        <f>4.4237 * CHOOSE(CONTROL!$C$22, $C$13, 100%, $E$13)</f>
        <v>4.4237000000000002</v>
      </c>
      <c r="C290" s="60">
        <f>4.4237 * CHOOSE(CONTROL!$C$22, $C$13, 100%, $E$13)</f>
        <v>4.4237000000000002</v>
      </c>
      <c r="D290" s="60">
        <f>4.4413 * CHOOSE(CONTROL!$C$22, $C$13, 100%, $E$13)</f>
        <v>4.4413</v>
      </c>
      <c r="E290" s="61">
        <f>4.8206 * CHOOSE(CONTROL!$C$22, $C$13, 100%, $E$13)</f>
        <v>4.8205999999999998</v>
      </c>
      <c r="F290" s="61">
        <f>4.8206 * CHOOSE(CONTROL!$C$22, $C$13, 100%, $E$13)</f>
        <v>4.8205999999999998</v>
      </c>
      <c r="G290" s="61">
        <f>4.8207 * CHOOSE(CONTROL!$C$22, $C$13, 100%, $E$13)</f>
        <v>4.8207000000000004</v>
      </c>
      <c r="H290" s="61">
        <f>9.1075* CHOOSE(CONTROL!$C$22, $C$13, 100%, $E$13)</f>
        <v>9.1074999999999999</v>
      </c>
      <c r="I290" s="61">
        <f>9.1076 * CHOOSE(CONTROL!$C$22, $C$13, 100%, $E$13)</f>
        <v>9.1075999999999997</v>
      </c>
      <c r="J290" s="61">
        <f>4.8206 * CHOOSE(CONTROL!$C$22, $C$13, 100%, $E$13)</f>
        <v>4.8205999999999998</v>
      </c>
      <c r="K290" s="61">
        <f>4.8207 * CHOOSE(CONTROL!$C$22, $C$13, 100%, $E$13)</f>
        <v>4.8207000000000004</v>
      </c>
    </row>
    <row r="291" spans="1:11" ht="15">
      <c r="A291" s="13">
        <v>50710</v>
      </c>
      <c r="B291" s="60">
        <f>4.4267 * CHOOSE(CONTROL!$C$22, $C$13, 100%, $E$13)</f>
        <v>4.4267000000000003</v>
      </c>
      <c r="C291" s="60">
        <f>4.4267 * CHOOSE(CONTROL!$C$22, $C$13, 100%, $E$13)</f>
        <v>4.4267000000000003</v>
      </c>
      <c r="D291" s="60">
        <f>4.4444 * CHOOSE(CONTROL!$C$22, $C$13, 100%, $E$13)</f>
        <v>4.4443999999999999</v>
      </c>
      <c r="E291" s="61">
        <f>4.8372 * CHOOSE(CONTROL!$C$22, $C$13, 100%, $E$13)</f>
        <v>4.8372000000000002</v>
      </c>
      <c r="F291" s="61">
        <f>4.8372 * CHOOSE(CONTROL!$C$22, $C$13, 100%, $E$13)</f>
        <v>4.8372000000000002</v>
      </c>
      <c r="G291" s="61">
        <f>4.8374 * CHOOSE(CONTROL!$C$22, $C$13, 100%, $E$13)</f>
        <v>4.8373999999999997</v>
      </c>
      <c r="H291" s="61">
        <f>9.1264* CHOOSE(CONTROL!$C$22, $C$13, 100%, $E$13)</f>
        <v>9.1264000000000003</v>
      </c>
      <c r="I291" s="61">
        <f>9.1266 * CHOOSE(CONTROL!$C$22, $C$13, 100%, $E$13)</f>
        <v>9.1265999999999998</v>
      </c>
      <c r="J291" s="61">
        <f>4.8372 * CHOOSE(CONTROL!$C$22, $C$13, 100%, $E$13)</f>
        <v>4.8372000000000002</v>
      </c>
      <c r="K291" s="61">
        <f>4.8374 * CHOOSE(CONTROL!$C$22, $C$13, 100%, $E$13)</f>
        <v>4.8373999999999997</v>
      </c>
    </row>
    <row r="292" spans="1:11" ht="15">
      <c r="A292" s="13">
        <v>50740</v>
      </c>
      <c r="B292" s="60">
        <f>4.4267 * CHOOSE(CONTROL!$C$22, $C$13, 100%, $E$13)</f>
        <v>4.4267000000000003</v>
      </c>
      <c r="C292" s="60">
        <f>4.4267 * CHOOSE(CONTROL!$C$22, $C$13, 100%, $E$13)</f>
        <v>4.4267000000000003</v>
      </c>
      <c r="D292" s="60">
        <f>4.4444 * CHOOSE(CONTROL!$C$22, $C$13, 100%, $E$13)</f>
        <v>4.4443999999999999</v>
      </c>
      <c r="E292" s="61">
        <f>4.8206 * CHOOSE(CONTROL!$C$22, $C$13, 100%, $E$13)</f>
        <v>4.8205999999999998</v>
      </c>
      <c r="F292" s="61">
        <f>4.8206 * CHOOSE(CONTROL!$C$22, $C$13, 100%, $E$13)</f>
        <v>4.8205999999999998</v>
      </c>
      <c r="G292" s="61">
        <f>4.8208 * CHOOSE(CONTROL!$C$22, $C$13, 100%, $E$13)</f>
        <v>4.8208000000000002</v>
      </c>
      <c r="H292" s="61">
        <f>9.1455* CHOOSE(CONTROL!$C$22, $C$13, 100%, $E$13)</f>
        <v>9.1455000000000002</v>
      </c>
      <c r="I292" s="61">
        <f>9.1456 * CHOOSE(CONTROL!$C$22, $C$13, 100%, $E$13)</f>
        <v>9.1456</v>
      </c>
      <c r="J292" s="61">
        <f>4.8206 * CHOOSE(CONTROL!$C$22, $C$13, 100%, $E$13)</f>
        <v>4.8205999999999998</v>
      </c>
      <c r="K292" s="61">
        <f>4.8208 * CHOOSE(CONTROL!$C$22, $C$13, 100%, $E$13)</f>
        <v>4.8208000000000002</v>
      </c>
    </row>
    <row r="293" spans="1:11" ht="15">
      <c r="A293" s="13">
        <v>50771</v>
      </c>
      <c r="B293" s="60">
        <f>4.464 * CHOOSE(CONTROL!$C$22, $C$13, 100%, $E$13)</f>
        <v>4.4640000000000004</v>
      </c>
      <c r="C293" s="60">
        <f>4.464 * CHOOSE(CONTROL!$C$22, $C$13, 100%, $E$13)</f>
        <v>4.4640000000000004</v>
      </c>
      <c r="D293" s="60">
        <f>4.4817 * CHOOSE(CONTROL!$C$22, $C$13, 100%, $E$13)</f>
        <v>4.4817</v>
      </c>
      <c r="E293" s="61">
        <f>4.8715 * CHOOSE(CONTROL!$C$22, $C$13, 100%, $E$13)</f>
        <v>4.8715000000000002</v>
      </c>
      <c r="F293" s="61">
        <f>4.8715 * CHOOSE(CONTROL!$C$22, $C$13, 100%, $E$13)</f>
        <v>4.8715000000000002</v>
      </c>
      <c r="G293" s="61">
        <f>4.8717 * CHOOSE(CONTROL!$C$22, $C$13, 100%, $E$13)</f>
        <v>4.8716999999999997</v>
      </c>
      <c r="H293" s="61">
        <f>9.1645* CHOOSE(CONTROL!$C$22, $C$13, 100%, $E$13)</f>
        <v>9.1645000000000003</v>
      </c>
      <c r="I293" s="61">
        <f>9.1647 * CHOOSE(CONTROL!$C$22, $C$13, 100%, $E$13)</f>
        <v>9.1646999999999998</v>
      </c>
      <c r="J293" s="61">
        <f>4.8715 * CHOOSE(CONTROL!$C$22, $C$13, 100%, $E$13)</f>
        <v>4.8715000000000002</v>
      </c>
      <c r="K293" s="61">
        <f>4.8717 * CHOOSE(CONTROL!$C$22, $C$13, 100%, $E$13)</f>
        <v>4.8716999999999997</v>
      </c>
    </row>
    <row r="294" spans="1:11" ht="15">
      <c r="A294" s="13">
        <v>50802</v>
      </c>
      <c r="B294" s="60">
        <f>4.461 * CHOOSE(CONTROL!$C$22, $C$13, 100%, $E$13)</f>
        <v>4.4610000000000003</v>
      </c>
      <c r="C294" s="60">
        <f>4.461 * CHOOSE(CONTROL!$C$22, $C$13, 100%, $E$13)</f>
        <v>4.4610000000000003</v>
      </c>
      <c r="D294" s="60">
        <f>4.4787 * CHOOSE(CONTROL!$C$22, $C$13, 100%, $E$13)</f>
        <v>4.4786999999999999</v>
      </c>
      <c r="E294" s="61">
        <f>4.7989 * CHOOSE(CONTROL!$C$22, $C$13, 100%, $E$13)</f>
        <v>4.7988999999999997</v>
      </c>
      <c r="F294" s="61">
        <f>4.7989 * CHOOSE(CONTROL!$C$22, $C$13, 100%, $E$13)</f>
        <v>4.7988999999999997</v>
      </c>
      <c r="G294" s="61">
        <f>4.7991 * CHOOSE(CONTROL!$C$22, $C$13, 100%, $E$13)</f>
        <v>4.7991000000000001</v>
      </c>
      <c r="H294" s="61">
        <f>9.1836* CHOOSE(CONTROL!$C$22, $C$13, 100%, $E$13)</f>
        <v>9.1836000000000002</v>
      </c>
      <c r="I294" s="61">
        <f>9.1838 * CHOOSE(CONTROL!$C$22, $C$13, 100%, $E$13)</f>
        <v>9.1837999999999997</v>
      </c>
      <c r="J294" s="61">
        <f>4.7989 * CHOOSE(CONTROL!$C$22, $C$13, 100%, $E$13)</f>
        <v>4.7988999999999997</v>
      </c>
      <c r="K294" s="61">
        <f>4.7991 * CHOOSE(CONTROL!$C$22, $C$13, 100%, $E$13)</f>
        <v>4.7991000000000001</v>
      </c>
    </row>
    <row r="295" spans="1:11" ht="15">
      <c r="A295" s="13">
        <v>50830</v>
      </c>
      <c r="B295" s="60">
        <f>4.458 * CHOOSE(CONTROL!$C$22, $C$13, 100%, $E$13)</f>
        <v>4.4580000000000002</v>
      </c>
      <c r="C295" s="60">
        <f>4.458 * CHOOSE(CONTROL!$C$22, $C$13, 100%, $E$13)</f>
        <v>4.4580000000000002</v>
      </c>
      <c r="D295" s="60">
        <f>4.4756 * CHOOSE(CONTROL!$C$22, $C$13, 100%, $E$13)</f>
        <v>4.4756</v>
      </c>
      <c r="E295" s="61">
        <f>4.8524 * CHOOSE(CONTROL!$C$22, $C$13, 100%, $E$13)</f>
        <v>4.8524000000000003</v>
      </c>
      <c r="F295" s="61">
        <f>4.8524 * CHOOSE(CONTROL!$C$22, $C$13, 100%, $E$13)</f>
        <v>4.8524000000000003</v>
      </c>
      <c r="G295" s="61">
        <f>4.8525 * CHOOSE(CONTROL!$C$22, $C$13, 100%, $E$13)</f>
        <v>4.8525</v>
      </c>
      <c r="H295" s="61">
        <f>9.2027* CHOOSE(CONTROL!$C$22, $C$13, 100%, $E$13)</f>
        <v>9.2027000000000001</v>
      </c>
      <c r="I295" s="61">
        <f>9.2029 * CHOOSE(CONTROL!$C$22, $C$13, 100%, $E$13)</f>
        <v>9.2028999999999996</v>
      </c>
      <c r="J295" s="61">
        <f>4.8524 * CHOOSE(CONTROL!$C$22, $C$13, 100%, $E$13)</f>
        <v>4.8524000000000003</v>
      </c>
      <c r="K295" s="61">
        <f>4.8525 * CHOOSE(CONTROL!$C$22, $C$13, 100%, $E$13)</f>
        <v>4.8525</v>
      </c>
    </row>
    <row r="296" spans="1:11" ht="15">
      <c r="A296" s="13">
        <v>50861</v>
      </c>
      <c r="B296" s="60">
        <f>4.4561 * CHOOSE(CONTROL!$C$22, $C$13, 100%, $E$13)</f>
        <v>4.4561000000000002</v>
      </c>
      <c r="C296" s="60">
        <f>4.4561 * CHOOSE(CONTROL!$C$22, $C$13, 100%, $E$13)</f>
        <v>4.4561000000000002</v>
      </c>
      <c r="D296" s="60">
        <f>4.4738 * CHOOSE(CONTROL!$C$22, $C$13, 100%, $E$13)</f>
        <v>4.4737999999999998</v>
      </c>
      <c r="E296" s="61">
        <f>4.9078 * CHOOSE(CONTROL!$C$22, $C$13, 100%, $E$13)</f>
        <v>4.9077999999999999</v>
      </c>
      <c r="F296" s="61">
        <f>4.9078 * CHOOSE(CONTROL!$C$22, $C$13, 100%, $E$13)</f>
        <v>4.9077999999999999</v>
      </c>
      <c r="G296" s="61">
        <f>4.908 * CHOOSE(CONTROL!$C$22, $C$13, 100%, $E$13)</f>
        <v>4.9080000000000004</v>
      </c>
      <c r="H296" s="61">
        <f>9.2219* CHOOSE(CONTROL!$C$22, $C$13, 100%, $E$13)</f>
        <v>9.2218999999999998</v>
      </c>
      <c r="I296" s="61">
        <f>9.2221 * CHOOSE(CONTROL!$C$22, $C$13, 100%, $E$13)</f>
        <v>9.2220999999999993</v>
      </c>
      <c r="J296" s="61">
        <f>4.9078 * CHOOSE(CONTROL!$C$22, $C$13, 100%, $E$13)</f>
        <v>4.9077999999999999</v>
      </c>
      <c r="K296" s="61">
        <f>4.908 * CHOOSE(CONTROL!$C$22, $C$13, 100%, $E$13)</f>
        <v>4.9080000000000004</v>
      </c>
    </row>
    <row r="297" spans="1:11" ht="15">
      <c r="A297" s="13">
        <v>50891</v>
      </c>
      <c r="B297" s="60">
        <f>4.4561 * CHOOSE(CONTROL!$C$22, $C$13, 100%, $E$13)</f>
        <v>4.4561000000000002</v>
      </c>
      <c r="C297" s="60">
        <f>4.4561 * CHOOSE(CONTROL!$C$22, $C$13, 100%, $E$13)</f>
        <v>4.4561000000000002</v>
      </c>
      <c r="D297" s="60">
        <f>4.4914 * CHOOSE(CONTROL!$C$22, $C$13, 100%, $E$13)</f>
        <v>4.4913999999999996</v>
      </c>
      <c r="E297" s="61">
        <f>4.9302 * CHOOSE(CONTROL!$C$22, $C$13, 100%, $E$13)</f>
        <v>4.9302000000000001</v>
      </c>
      <c r="F297" s="61">
        <f>4.9302 * CHOOSE(CONTROL!$C$22, $C$13, 100%, $E$13)</f>
        <v>4.9302000000000001</v>
      </c>
      <c r="G297" s="61">
        <f>4.9324 * CHOOSE(CONTROL!$C$22, $C$13, 100%, $E$13)</f>
        <v>4.9324000000000003</v>
      </c>
      <c r="H297" s="61">
        <f>9.2411* CHOOSE(CONTROL!$C$22, $C$13, 100%, $E$13)</f>
        <v>9.2410999999999994</v>
      </c>
      <c r="I297" s="61">
        <f>9.2433 * CHOOSE(CONTROL!$C$22, $C$13, 100%, $E$13)</f>
        <v>9.2432999999999996</v>
      </c>
      <c r="J297" s="61">
        <f>4.9302 * CHOOSE(CONTROL!$C$22, $C$13, 100%, $E$13)</f>
        <v>4.9302000000000001</v>
      </c>
      <c r="K297" s="61">
        <f>4.9324 * CHOOSE(CONTROL!$C$22, $C$13, 100%, $E$13)</f>
        <v>4.9324000000000003</v>
      </c>
    </row>
    <row r="298" spans="1:11" ht="15">
      <c r="A298" s="13">
        <v>50922</v>
      </c>
      <c r="B298" s="60">
        <f>4.4622 * CHOOSE(CONTROL!$C$22, $C$13, 100%, $E$13)</f>
        <v>4.4622000000000002</v>
      </c>
      <c r="C298" s="60">
        <f>4.4622 * CHOOSE(CONTROL!$C$22, $C$13, 100%, $E$13)</f>
        <v>4.4622000000000002</v>
      </c>
      <c r="D298" s="60">
        <f>4.4975 * CHOOSE(CONTROL!$C$22, $C$13, 100%, $E$13)</f>
        <v>4.4974999999999996</v>
      </c>
      <c r="E298" s="61">
        <f>4.912 * CHOOSE(CONTROL!$C$22, $C$13, 100%, $E$13)</f>
        <v>4.9119999999999999</v>
      </c>
      <c r="F298" s="61">
        <f>4.912 * CHOOSE(CONTROL!$C$22, $C$13, 100%, $E$13)</f>
        <v>4.9119999999999999</v>
      </c>
      <c r="G298" s="61">
        <f>4.9142 * CHOOSE(CONTROL!$C$22, $C$13, 100%, $E$13)</f>
        <v>4.9142000000000001</v>
      </c>
      <c r="H298" s="61">
        <f>9.2604* CHOOSE(CONTROL!$C$22, $C$13, 100%, $E$13)</f>
        <v>9.2604000000000006</v>
      </c>
      <c r="I298" s="61">
        <f>9.2626 * CHOOSE(CONTROL!$C$22, $C$13, 100%, $E$13)</f>
        <v>9.2626000000000008</v>
      </c>
      <c r="J298" s="61">
        <f>4.912 * CHOOSE(CONTROL!$C$22, $C$13, 100%, $E$13)</f>
        <v>4.9119999999999999</v>
      </c>
      <c r="K298" s="61">
        <f>4.9142 * CHOOSE(CONTROL!$C$22, $C$13, 100%, $E$13)</f>
        <v>4.9142000000000001</v>
      </c>
    </row>
    <row r="299" spans="1:11" ht="15">
      <c r="A299" s="13">
        <v>50952</v>
      </c>
      <c r="B299" s="60">
        <f>4.53 * CHOOSE(CONTROL!$C$22, $C$13, 100%, $E$13)</f>
        <v>4.53</v>
      </c>
      <c r="C299" s="60">
        <f>4.53 * CHOOSE(CONTROL!$C$22, $C$13, 100%, $E$13)</f>
        <v>4.53</v>
      </c>
      <c r="D299" s="60">
        <f>4.5654 * CHOOSE(CONTROL!$C$22, $C$13, 100%, $E$13)</f>
        <v>4.5654000000000003</v>
      </c>
      <c r="E299" s="61">
        <f>5.009 * CHOOSE(CONTROL!$C$22, $C$13, 100%, $E$13)</f>
        <v>5.0090000000000003</v>
      </c>
      <c r="F299" s="61">
        <f>5.009 * CHOOSE(CONTROL!$C$22, $C$13, 100%, $E$13)</f>
        <v>5.0090000000000003</v>
      </c>
      <c r="G299" s="61">
        <f>5.0112 * CHOOSE(CONTROL!$C$22, $C$13, 100%, $E$13)</f>
        <v>5.0111999999999997</v>
      </c>
      <c r="H299" s="61">
        <f>9.2797* CHOOSE(CONTROL!$C$22, $C$13, 100%, $E$13)</f>
        <v>9.2797000000000001</v>
      </c>
      <c r="I299" s="61">
        <f>9.2818 * CHOOSE(CONTROL!$C$22, $C$13, 100%, $E$13)</f>
        <v>9.2818000000000005</v>
      </c>
      <c r="J299" s="61">
        <f>5.009 * CHOOSE(CONTROL!$C$22, $C$13, 100%, $E$13)</f>
        <v>5.0090000000000003</v>
      </c>
      <c r="K299" s="61">
        <f>5.0112 * CHOOSE(CONTROL!$C$22, $C$13, 100%, $E$13)</f>
        <v>5.0111999999999997</v>
      </c>
    </row>
    <row r="300" spans="1:11" ht="15">
      <c r="A300" s="13">
        <v>50983</v>
      </c>
      <c r="B300" s="60">
        <f>4.5367 * CHOOSE(CONTROL!$C$22, $C$13, 100%, $E$13)</f>
        <v>4.5366999999999997</v>
      </c>
      <c r="C300" s="60">
        <f>4.5367 * CHOOSE(CONTROL!$C$22, $C$13, 100%, $E$13)</f>
        <v>4.5366999999999997</v>
      </c>
      <c r="D300" s="60">
        <f>4.572 * CHOOSE(CONTROL!$C$22, $C$13, 100%, $E$13)</f>
        <v>4.5720000000000001</v>
      </c>
      <c r="E300" s="61">
        <f>4.9465 * CHOOSE(CONTROL!$C$22, $C$13, 100%, $E$13)</f>
        <v>4.9465000000000003</v>
      </c>
      <c r="F300" s="61">
        <f>4.9465 * CHOOSE(CONTROL!$C$22, $C$13, 100%, $E$13)</f>
        <v>4.9465000000000003</v>
      </c>
      <c r="G300" s="61">
        <f>4.9487 * CHOOSE(CONTROL!$C$22, $C$13, 100%, $E$13)</f>
        <v>4.9486999999999997</v>
      </c>
      <c r="H300" s="61">
        <f>9.299* CHOOSE(CONTROL!$C$22, $C$13, 100%, $E$13)</f>
        <v>9.2989999999999995</v>
      </c>
      <c r="I300" s="61">
        <f>9.3012 * CHOOSE(CONTROL!$C$22, $C$13, 100%, $E$13)</f>
        <v>9.3011999999999997</v>
      </c>
      <c r="J300" s="61">
        <f>4.9465 * CHOOSE(CONTROL!$C$22, $C$13, 100%, $E$13)</f>
        <v>4.9465000000000003</v>
      </c>
      <c r="K300" s="61">
        <f>4.9487 * CHOOSE(CONTROL!$C$22, $C$13, 100%, $E$13)</f>
        <v>4.9486999999999997</v>
      </c>
    </row>
    <row r="301" spans="1:11" ht="15">
      <c r="A301" s="13">
        <v>51014</v>
      </c>
      <c r="B301" s="60">
        <f>4.5337 * CHOOSE(CONTROL!$C$22, $C$13, 100%, $E$13)</f>
        <v>4.5336999999999996</v>
      </c>
      <c r="C301" s="60">
        <f>4.5337 * CHOOSE(CONTROL!$C$22, $C$13, 100%, $E$13)</f>
        <v>4.5336999999999996</v>
      </c>
      <c r="D301" s="60">
        <f>4.569 * CHOOSE(CONTROL!$C$22, $C$13, 100%, $E$13)</f>
        <v>4.569</v>
      </c>
      <c r="E301" s="61">
        <f>4.9369 * CHOOSE(CONTROL!$C$22, $C$13, 100%, $E$13)</f>
        <v>4.9368999999999996</v>
      </c>
      <c r="F301" s="61">
        <f>4.9369 * CHOOSE(CONTROL!$C$22, $C$13, 100%, $E$13)</f>
        <v>4.9368999999999996</v>
      </c>
      <c r="G301" s="61">
        <f>4.9391 * CHOOSE(CONTROL!$C$22, $C$13, 100%, $E$13)</f>
        <v>4.9390999999999998</v>
      </c>
      <c r="H301" s="61">
        <f>9.3184* CHOOSE(CONTROL!$C$22, $C$13, 100%, $E$13)</f>
        <v>9.3184000000000005</v>
      </c>
      <c r="I301" s="61">
        <f>9.3206 * CHOOSE(CONTROL!$C$22, $C$13, 100%, $E$13)</f>
        <v>9.3206000000000007</v>
      </c>
      <c r="J301" s="61">
        <f>4.9369 * CHOOSE(CONTROL!$C$22, $C$13, 100%, $E$13)</f>
        <v>4.9368999999999996</v>
      </c>
      <c r="K301" s="61">
        <f>4.9391 * CHOOSE(CONTROL!$C$22, $C$13, 100%, $E$13)</f>
        <v>4.9390999999999998</v>
      </c>
    </row>
    <row r="302" spans="1:11" ht="15">
      <c r="A302" s="13">
        <v>51044</v>
      </c>
      <c r="B302" s="60">
        <f>4.5309 * CHOOSE(CONTROL!$C$22, $C$13, 100%, $E$13)</f>
        <v>4.5308999999999999</v>
      </c>
      <c r="C302" s="60">
        <f>4.5309 * CHOOSE(CONTROL!$C$22, $C$13, 100%, $E$13)</f>
        <v>4.5308999999999999</v>
      </c>
      <c r="D302" s="60">
        <f>4.5486 * CHOOSE(CONTROL!$C$22, $C$13, 100%, $E$13)</f>
        <v>4.5486000000000004</v>
      </c>
      <c r="E302" s="61">
        <f>4.9534 * CHOOSE(CONTROL!$C$22, $C$13, 100%, $E$13)</f>
        <v>4.9534000000000002</v>
      </c>
      <c r="F302" s="61">
        <f>4.9534 * CHOOSE(CONTROL!$C$22, $C$13, 100%, $E$13)</f>
        <v>4.9534000000000002</v>
      </c>
      <c r="G302" s="61">
        <f>4.9535 * CHOOSE(CONTROL!$C$22, $C$13, 100%, $E$13)</f>
        <v>4.9535</v>
      </c>
      <c r="H302" s="61">
        <f>9.3378* CHOOSE(CONTROL!$C$22, $C$13, 100%, $E$13)</f>
        <v>9.3377999999999997</v>
      </c>
      <c r="I302" s="61">
        <f>9.338 * CHOOSE(CONTROL!$C$22, $C$13, 100%, $E$13)</f>
        <v>9.3379999999999992</v>
      </c>
      <c r="J302" s="61">
        <f>4.9534 * CHOOSE(CONTROL!$C$22, $C$13, 100%, $E$13)</f>
        <v>4.9534000000000002</v>
      </c>
      <c r="K302" s="61">
        <f>4.9535 * CHOOSE(CONTROL!$C$22, $C$13, 100%, $E$13)</f>
        <v>4.9535</v>
      </c>
    </row>
    <row r="303" spans="1:11" ht="15">
      <c r="A303" s="13">
        <v>51075</v>
      </c>
      <c r="B303" s="60">
        <f>4.534 * CHOOSE(CONTROL!$C$22, $C$13, 100%, $E$13)</f>
        <v>4.5339999999999998</v>
      </c>
      <c r="C303" s="60">
        <f>4.534 * CHOOSE(CONTROL!$C$22, $C$13, 100%, $E$13)</f>
        <v>4.5339999999999998</v>
      </c>
      <c r="D303" s="60">
        <f>4.5516 * CHOOSE(CONTROL!$C$22, $C$13, 100%, $E$13)</f>
        <v>4.5515999999999996</v>
      </c>
      <c r="E303" s="61">
        <f>4.9704 * CHOOSE(CONTROL!$C$22, $C$13, 100%, $E$13)</f>
        <v>4.9703999999999997</v>
      </c>
      <c r="F303" s="61">
        <f>4.9704 * CHOOSE(CONTROL!$C$22, $C$13, 100%, $E$13)</f>
        <v>4.9703999999999997</v>
      </c>
      <c r="G303" s="61">
        <f>4.9706 * CHOOSE(CONTROL!$C$22, $C$13, 100%, $E$13)</f>
        <v>4.9706000000000001</v>
      </c>
      <c r="H303" s="61">
        <f>9.3572* CHOOSE(CONTROL!$C$22, $C$13, 100%, $E$13)</f>
        <v>9.3572000000000006</v>
      </c>
      <c r="I303" s="61">
        <f>9.3574 * CHOOSE(CONTROL!$C$22, $C$13, 100%, $E$13)</f>
        <v>9.3574000000000002</v>
      </c>
      <c r="J303" s="61">
        <f>4.9704 * CHOOSE(CONTROL!$C$22, $C$13, 100%, $E$13)</f>
        <v>4.9703999999999997</v>
      </c>
      <c r="K303" s="61">
        <f>4.9706 * CHOOSE(CONTROL!$C$22, $C$13, 100%, $E$13)</f>
        <v>4.9706000000000001</v>
      </c>
    </row>
    <row r="304" spans="1:11" ht="15">
      <c r="A304" s="13">
        <v>51105</v>
      </c>
      <c r="B304" s="60">
        <f>4.534 * CHOOSE(CONTROL!$C$22, $C$13, 100%, $E$13)</f>
        <v>4.5339999999999998</v>
      </c>
      <c r="C304" s="60">
        <f>4.534 * CHOOSE(CONTROL!$C$22, $C$13, 100%, $E$13)</f>
        <v>4.5339999999999998</v>
      </c>
      <c r="D304" s="60">
        <f>4.5516 * CHOOSE(CONTROL!$C$22, $C$13, 100%, $E$13)</f>
        <v>4.5515999999999996</v>
      </c>
      <c r="E304" s="61">
        <f>4.9331 * CHOOSE(CONTROL!$C$22, $C$13, 100%, $E$13)</f>
        <v>4.9330999999999996</v>
      </c>
      <c r="F304" s="61">
        <f>4.9331 * CHOOSE(CONTROL!$C$22, $C$13, 100%, $E$13)</f>
        <v>4.9330999999999996</v>
      </c>
      <c r="G304" s="61">
        <f>4.9333 * CHOOSE(CONTROL!$C$22, $C$13, 100%, $E$13)</f>
        <v>4.9333</v>
      </c>
      <c r="H304" s="61">
        <f>9.3767* CHOOSE(CONTROL!$C$22, $C$13, 100%, $E$13)</f>
        <v>9.3766999999999996</v>
      </c>
      <c r="I304" s="61">
        <f>9.3769 * CHOOSE(CONTROL!$C$22, $C$13, 100%, $E$13)</f>
        <v>9.3768999999999991</v>
      </c>
      <c r="J304" s="61">
        <f>4.9331 * CHOOSE(CONTROL!$C$22, $C$13, 100%, $E$13)</f>
        <v>4.9330999999999996</v>
      </c>
      <c r="K304" s="61">
        <f>4.9333 * CHOOSE(CONTROL!$C$22, $C$13, 100%, $E$13)</f>
        <v>4.9333</v>
      </c>
    </row>
    <row r="305" spans="1:11" ht="15">
      <c r="A305" s="13">
        <v>51136</v>
      </c>
      <c r="B305" s="60">
        <f>4.5746 * CHOOSE(CONTROL!$C$22, $C$13, 100%, $E$13)</f>
        <v>4.5746000000000002</v>
      </c>
      <c r="C305" s="60">
        <f>4.5746 * CHOOSE(CONTROL!$C$22, $C$13, 100%, $E$13)</f>
        <v>4.5746000000000002</v>
      </c>
      <c r="D305" s="60">
        <f>4.5923 * CHOOSE(CONTROL!$C$22, $C$13, 100%, $E$13)</f>
        <v>4.5922999999999998</v>
      </c>
      <c r="E305" s="61">
        <f>5.0083 * CHOOSE(CONTROL!$C$22, $C$13, 100%, $E$13)</f>
        <v>5.0083000000000002</v>
      </c>
      <c r="F305" s="61">
        <f>5.0083 * CHOOSE(CONTROL!$C$22, $C$13, 100%, $E$13)</f>
        <v>5.0083000000000002</v>
      </c>
      <c r="G305" s="61">
        <f>5.0085 * CHOOSE(CONTROL!$C$22, $C$13, 100%, $E$13)</f>
        <v>5.0084999999999997</v>
      </c>
      <c r="H305" s="61">
        <f>9.3963* CHOOSE(CONTROL!$C$22, $C$13, 100%, $E$13)</f>
        <v>9.3963000000000001</v>
      </c>
      <c r="I305" s="61">
        <f>9.3964 * CHOOSE(CONTROL!$C$22, $C$13, 100%, $E$13)</f>
        <v>9.3963999999999999</v>
      </c>
      <c r="J305" s="61">
        <f>5.0083 * CHOOSE(CONTROL!$C$22, $C$13, 100%, $E$13)</f>
        <v>5.0083000000000002</v>
      </c>
      <c r="K305" s="61">
        <f>5.0085 * CHOOSE(CONTROL!$C$22, $C$13, 100%, $E$13)</f>
        <v>5.0084999999999997</v>
      </c>
    </row>
    <row r="306" spans="1:11" ht="15">
      <c r="A306" s="13">
        <v>51167</v>
      </c>
      <c r="B306" s="60">
        <f>4.5716 * CHOOSE(CONTROL!$C$22, $C$13, 100%, $E$13)</f>
        <v>4.5716000000000001</v>
      </c>
      <c r="C306" s="60">
        <f>4.5716 * CHOOSE(CONTROL!$C$22, $C$13, 100%, $E$13)</f>
        <v>4.5716000000000001</v>
      </c>
      <c r="D306" s="60">
        <f>4.5892 * CHOOSE(CONTROL!$C$22, $C$13, 100%, $E$13)</f>
        <v>4.5891999999999999</v>
      </c>
      <c r="E306" s="61">
        <f>4.9335 * CHOOSE(CONTROL!$C$22, $C$13, 100%, $E$13)</f>
        <v>4.9335000000000004</v>
      </c>
      <c r="F306" s="61">
        <f>4.9335 * CHOOSE(CONTROL!$C$22, $C$13, 100%, $E$13)</f>
        <v>4.9335000000000004</v>
      </c>
      <c r="G306" s="61">
        <f>4.9336 * CHOOSE(CONTROL!$C$22, $C$13, 100%, $E$13)</f>
        <v>4.9336000000000002</v>
      </c>
      <c r="H306" s="61">
        <f>9.4158* CHOOSE(CONTROL!$C$22, $C$13, 100%, $E$13)</f>
        <v>9.4158000000000008</v>
      </c>
      <c r="I306" s="61">
        <f>9.416 * CHOOSE(CONTROL!$C$22, $C$13, 100%, $E$13)</f>
        <v>9.4160000000000004</v>
      </c>
      <c r="J306" s="61">
        <f>4.9335 * CHOOSE(CONTROL!$C$22, $C$13, 100%, $E$13)</f>
        <v>4.9335000000000004</v>
      </c>
      <c r="K306" s="61">
        <f>4.9336 * CHOOSE(CONTROL!$C$22, $C$13, 100%, $E$13)</f>
        <v>4.9336000000000002</v>
      </c>
    </row>
    <row r="307" spans="1:11" ht="15">
      <c r="A307" s="13">
        <v>51196</v>
      </c>
      <c r="B307" s="60">
        <f>4.5685 * CHOOSE(CONTROL!$C$22, $C$13, 100%, $E$13)</f>
        <v>4.5685000000000002</v>
      </c>
      <c r="C307" s="60">
        <f>4.5685 * CHOOSE(CONTROL!$C$22, $C$13, 100%, $E$13)</f>
        <v>4.5685000000000002</v>
      </c>
      <c r="D307" s="60">
        <f>4.5862 * CHOOSE(CONTROL!$C$22, $C$13, 100%, $E$13)</f>
        <v>4.5861999999999998</v>
      </c>
      <c r="E307" s="61">
        <f>4.9887 * CHOOSE(CONTROL!$C$22, $C$13, 100%, $E$13)</f>
        <v>4.9886999999999997</v>
      </c>
      <c r="F307" s="61">
        <f>4.9887 * CHOOSE(CONTROL!$C$22, $C$13, 100%, $E$13)</f>
        <v>4.9886999999999997</v>
      </c>
      <c r="G307" s="61">
        <f>4.9888 * CHOOSE(CONTROL!$C$22, $C$13, 100%, $E$13)</f>
        <v>4.9888000000000003</v>
      </c>
      <c r="H307" s="61">
        <f>9.4355* CHOOSE(CONTROL!$C$22, $C$13, 100%, $E$13)</f>
        <v>9.4354999999999993</v>
      </c>
      <c r="I307" s="61">
        <f>9.4356 * CHOOSE(CONTROL!$C$22, $C$13, 100%, $E$13)</f>
        <v>9.4356000000000009</v>
      </c>
      <c r="J307" s="61">
        <f>4.9887 * CHOOSE(CONTROL!$C$22, $C$13, 100%, $E$13)</f>
        <v>4.9886999999999997</v>
      </c>
      <c r="K307" s="61">
        <f>4.9888 * CHOOSE(CONTROL!$C$22, $C$13, 100%, $E$13)</f>
        <v>4.9888000000000003</v>
      </c>
    </row>
    <row r="308" spans="1:11" ht="15">
      <c r="A308" s="13">
        <v>51227</v>
      </c>
      <c r="B308" s="60">
        <f>4.5668 * CHOOSE(CONTROL!$C$22, $C$13, 100%, $E$13)</f>
        <v>4.5667999999999997</v>
      </c>
      <c r="C308" s="60">
        <f>4.5668 * CHOOSE(CONTROL!$C$22, $C$13, 100%, $E$13)</f>
        <v>4.5667999999999997</v>
      </c>
      <c r="D308" s="60">
        <f>4.5844 * CHOOSE(CONTROL!$C$22, $C$13, 100%, $E$13)</f>
        <v>4.5843999999999996</v>
      </c>
      <c r="E308" s="61">
        <f>5.046 * CHOOSE(CONTROL!$C$22, $C$13, 100%, $E$13)</f>
        <v>5.0460000000000003</v>
      </c>
      <c r="F308" s="61">
        <f>5.046 * CHOOSE(CONTROL!$C$22, $C$13, 100%, $E$13)</f>
        <v>5.0460000000000003</v>
      </c>
      <c r="G308" s="61">
        <f>5.0462 * CHOOSE(CONTROL!$C$22, $C$13, 100%, $E$13)</f>
        <v>5.0461999999999998</v>
      </c>
      <c r="H308" s="61">
        <f>9.4551* CHOOSE(CONTROL!$C$22, $C$13, 100%, $E$13)</f>
        <v>9.4550999999999998</v>
      </c>
      <c r="I308" s="61">
        <f>9.4553 * CHOOSE(CONTROL!$C$22, $C$13, 100%, $E$13)</f>
        <v>9.4552999999999994</v>
      </c>
      <c r="J308" s="61">
        <f>5.046 * CHOOSE(CONTROL!$C$22, $C$13, 100%, $E$13)</f>
        <v>5.0460000000000003</v>
      </c>
      <c r="K308" s="61">
        <f>5.0462 * CHOOSE(CONTROL!$C$22, $C$13, 100%, $E$13)</f>
        <v>5.0461999999999998</v>
      </c>
    </row>
    <row r="309" spans="1:11" ht="15">
      <c r="A309" s="13">
        <v>51257</v>
      </c>
      <c r="B309" s="60">
        <f>4.5668 * CHOOSE(CONTROL!$C$22, $C$13, 100%, $E$13)</f>
        <v>4.5667999999999997</v>
      </c>
      <c r="C309" s="60">
        <f>4.5668 * CHOOSE(CONTROL!$C$22, $C$13, 100%, $E$13)</f>
        <v>4.5667999999999997</v>
      </c>
      <c r="D309" s="60">
        <f>4.6021 * CHOOSE(CONTROL!$C$22, $C$13, 100%, $E$13)</f>
        <v>4.6021000000000001</v>
      </c>
      <c r="E309" s="61">
        <f>5.0691 * CHOOSE(CONTROL!$C$22, $C$13, 100%, $E$13)</f>
        <v>5.0690999999999997</v>
      </c>
      <c r="F309" s="61">
        <f>5.0691 * CHOOSE(CONTROL!$C$22, $C$13, 100%, $E$13)</f>
        <v>5.0690999999999997</v>
      </c>
      <c r="G309" s="61">
        <f>5.0713 * CHOOSE(CONTROL!$C$22, $C$13, 100%, $E$13)</f>
        <v>5.0712999999999999</v>
      </c>
      <c r="H309" s="61">
        <f>9.4748* CHOOSE(CONTROL!$C$22, $C$13, 100%, $E$13)</f>
        <v>9.4748000000000001</v>
      </c>
      <c r="I309" s="61">
        <f>9.477 * CHOOSE(CONTROL!$C$22, $C$13, 100%, $E$13)</f>
        <v>9.4770000000000003</v>
      </c>
      <c r="J309" s="61">
        <f>5.0691 * CHOOSE(CONTROL!$C$22, $C$13, 100%, $E$13)</f>
        <v>5.0690999999999997</v>
      </c>
      <c r="K309" s="61">
        <f>5.0713 * CHOOSE(CONTROL!$C$22, $C$13, 100%, $E$13)</f>
        <v>5.0712999999999999</v>
      </c>
    </row>
    <row r="310" spans="1:11" ht="15">
      <c r="A310" s="13">
        <v>51288</v>
      </c>
      <c r="B310" s="60">
        <f>4.5729 * CHOOSE(CONTROL!$C$22, $C$13, 100%, $E$13)</f>
        <v>4.5728999999999997</v>
      </c>
      <c r="C310" s="60">
        <f>4.5729 * CHOOSE(CONTROL!$C$22, $C$13, 100%, $E$13)</f>
        <v>4.5728999999999997</v>
      </c>
      <c r="D310" s="60">
        <f>4.6082 * CHOOSE(CONTROL!$C$22, $C$13, 100%, $E$13)</f>
        <v>4.6082000000000001</v>
      </c>
      <c r="E310" s="61">
        <f>5.0502 * CHOOSE(CONTROL!$C$22, $C$13, 100%, $E$13)</f>
        <v>5.0502000000000002</v>
      </c>
      <c r="F310" s="61">
        <f>5.0502 * CHOOSE(CONTROL!$C$22, $C$13, 100%, $E$13)</f>
        <v>5.0502000000000002</v>
      </c>
      <c r="G310" s="61">
        <f>5.0524 * CHOOSE(CONTROL!$C$22, $C$13, 100%, $E$13)</f>
        <v>5.0523999999999996</v>
      </c>
      <c r="H310" s="61">
        <f>9.4946* CHOOSE(CONTROL!$C$22, $C$13, 100%, $E$13)</f>
        <v>9.4946000000000002</v>
      </c>
      <c r="I310" s="61">
        <f>9.4967 * CHOOSE(CONTROL!$C$22, $C$13, 100%, $E$13)</f>
        <v>9.4967000000000006</v>
      </c>
      <c r="J310" s="61">
        <f>5.0502 * CHOOSE(CONTROL!$C$22, $C$13, 100%, $E$13)</f>
        <v>5.0502000000000002</v>
      </c>
      <c r="K310" s="61">
        <f>5.0524 * CHOOSE(CONTROL!$C$22, $C$13, 100%, $E$13)</f>
        <v>5.0523999999999996</v>
      </c>
    </row>
    <row r="311" spans="1:11" ht="15">
      <c r="A311" s="13">
        <v>51318</v>
      </c>
      <c r="B311" s="60">
        <f>4.6474 * CHOOSE(CONTROL!$C$22, $C$13, 100%, $E$13)</f>
        <v>4.6474000000000002</v>
      </c>
      <c r="C311" s="60">
        <f>4.6474 * CHOOSE(CONTROL!$C$22, $C$13, 100%, $E$13)</f>
        <v>4.6474000000000002</v>
      </c>
      <c r="D311" s="60">
        <f>4.6827 * CHOOSE(CONTROL!$C$22, $C$13, 100%, $E$13)</f>
        <v>4.6826999999999996</v>
      </c>
      <c r="E311" s="61">
        <f>5.1494 * CHOOSE(CONTROL!$C$22, $C$13, 100%, $E$13)</f>
        <v>5.1494</v>
      </c>
      <c r="F311" s="61">
        <f>5.1494 * CHOOSE(CONTROL!$C$22, $C$13, 100%, $E$13)</f>
        <v>5.1494</v>
      </c>
      <c r="G311" s="61">
        <f>5.1515 * CHOOSE(CONTROL!$C$22, $C$13, 100%, $E$13)</f>
        <v>5.1515000000000004</v>
      </c>
      <c r="H311" s="61">
        <f>9.5143* CHOOSE(CONTROL!$C$22, $C$13, 100%, $E$13)</f>
        <v>9.5143000000000004</v>
      </c>
      <c r="I311" s="61">
        <f>9.5165 * CHOOSE(CONTROL!$C$22, $C$13, 100%, $E$13)</f>
        <v>9.5165000000000006</v>
      </c>
      <c r="J311" s="61">
        <f>5.1494 * CHOOSE(CONTROL!$C$22, $C$13, 100%, $E$13)</f>
        <v>5.1494</v>
      </c>
      <c r="K311" s="61">
        <f>5.1515 * CHOOSE(CONTROL!$C$22, $C$13, 100%, $E$13)</f>
        <v>5.1515000000000004</v>
      </c>
    </row>
    <row r="312" spans="1:11" ht="15">
      <c r="A312" s="13">
        <v>51349</v>
      </c>
      <c r="B312" s="60">
        <f>4.6541 * CHOOSE(CONTROL!$C$22, $C$13, 100%, $E$13)</f>
        <v>4.6540999999999997</v>
      </c>
      <c r="C312" s="60">
        <f>4.6541 * CHOOSE(CONTROL!$C$22, $C$13, 100%, $E$13)</f>
        <v>4.6540999999999997</v>
      </c>
      <c r="D312" s="60">
        <f>4.6894 * CHOOSE(CONTROL!$C$22, $C$13, 100%, $E$13)</f>
        <v>4.6894</v>
      </c>
      <c r="E312" s="61">
        <f>5.0848 * CHOOSE(CONTROL!$C$22, $C$13, 100%, $E$13)</f>
        <v>5.0848000000000004</v>
      </c>
      <c r="F312" s="61">
        <f>5.0848 * CHOOSE(CONTROL!$C$22, $C$13, 100%, $E$13)</f>
        <v>5.0848000000000004</v>
      </c>
      <c r="G312" s="61">
        <f>5.0869 * CHOOSE(CONTROL!$C$22, $C$13, 100%, $E$13)</f>
        <v>5.0869</v>
      </c>
      <c r="H312" s="61">
        <f>9.5342* CHOOSE(CONTROL!$C$22, $C$13, 100%, $E$13)</f>
        <v>9.5342000000000002</v>
      </c>
      <c r="I312" s="61">
        <f>9.5363 * CHOOSE(CONTROL!$C$22, $C$13, 100%, $E$13)</f>
        <v>9.5363000000000007</v>
      </c>
      <c r="J312" s="61">
        <f>5.0848 * CHOOSE(CONTROL!$C$22, $C$13, 100%, $E$13)</f>
        <v>5.0848000000000004</v>
      </c>
      <c r="K312" s="61">
        <f>5.0869 * CHOOSE(CONTROL!$C$22, $C$13, 100%, $E$13)</f>
        <v>5.0869</v>
      </c>
    </row>
    <row r="313" spans="1:11" ht="15">
      <c r="A313" s="13">
        <v>51380</v>
      </c>
      <c r="B313" s="60">
        <f>4.651 * CHOOSE(CONTROL!$C$22, $C$13, 100%, $E$13)</f>
        <v>4.6509999999999998</v>
      </c>
      <c r="C313" s="60">
        <f>4.651 * CHOOSE(CONTROL!$C$22, $C$13, 100%, $E$13)</f>
        <v>4.6509999999999998</v>
      </c>
      <c r="D313" s="60">
        <f>4.6863 * CHOOSE(CONTROL!$C$22, $C$13, 100%, $E$13)</f>
        <v>4.6863000000000001</v>
      </c>
      <c r="E313" s="61">
        <f>5.0749 * CHOOSE(CONTROL!$C$22, $C$13, 100%, $E$13)</f>
        <v>5.0749000000000004</v>
      </c>
      <c r="F313" s="61">
        <f>5.0749 * CHOOSE(CONTROL!$C$22, $C$13, 100%, $E$13)</f>
        <v>5.0749000000000004</v>
      </c>
      <c r="G313" s="61">
        <f>5.0771 * CHOOSE(CONTROL!$C$22, $C$13, 100%, $E$13)</f>
        <v>5.0770999999999997</v>
      </c>
      <c r="H313" s="61">
        <f>9.554* CHOOSE(CONTROL!$C$22, $C$13, 100%, $E$13)</f>
        <v>9.5540000000000003</v>
      </c>
      <c r="I313" s="61">
        <f>9.5562 * CHOOSE(CONTROL!$C$22, $C$13, 100%, $E$13)</f>
        <v>9.5562000000000005</v>
      </c>
      <c r="J313" s="61">
        <f>5.0749 * CHOOSE(CONTROL!$C$22, $C$13, 100%, $E$13)</f>
        <v>5.0749000000000004</v>
      </c>
      <c r="K313" s="61">
        <f>5.0771 * CHOOSE(CONTROL!$C$22, $C$13, 100%, $E$13)</f>
        <v>5.0770999999999997</v>
      </c>
    </row>
    <row r="314" spans="1:11" ht="15">
      <c r="A314" s="13">
        <v>51410</v>
      </c>
      <c r="B314" s="60">
        <f>4.6487 * CHOOSE(CONTROL!$C$22, $C$13, 100%, $E$13)</f>
        <v>4.6486999999999998</v>
      </c>
      <c r="C314" s="60">
        <f>4.6487 * CHOOSE(CONTROL!$C$22, $C$13, 100%, $E$13)</f>
        <v>4.6486999999999998</v>
      </c>
      <c r="D314" s="60">
        <f>4.6663 * CHOOSE(CONTROL!$C$22, $C$13, 100%, $E$13)</f>
        <v>4.6662999999999997</v>
      </c>
      <c r="E314" s="61">
        <f>5.0923 * CHOOSE(CONTROL!$C$22, $C$13, 100%, $E$13)</f>
        <v>5.0922999999999998</v>
      </c>
      <c r="F314" s="61">
        <f>5.0923 * CHOOSE(CONTROL!$C$22, $C$13, 100%, $E$13)</f>
        <v>5.0922999999999998</v>
      </c>
      <c r="G314" s="61">
        <f>5.0925 * CHOOSE(CONTROL!$C$22, $C$13, 100%, $E$13)</f>
        <v>5.0925000000000002</v>
      </c>
      <c r="H314" s="61">
        <f>9.5739* CHOOSE(CONTROL!$C$22, $C$13, 100%, $E$13)</f>
        <v>9.5739000000000001</v>
      </c>
      <c r="I314" s="61">
        <f>9.5741 * CHOOSE(CONTROL!$C$22, $C$13, 100%, $E$13)</f>
        <v>9.5740999999999996</v>
      </c>
      <c r="J314" s="61">
        <f>5.0923 * CHOOSE(CONTROL!$C$22, $C$13, 100%, $E$13)</f>
        <v>5.0922999999999998</v>
      </c>
      <c r="K314" s="61">
        <f>5.0925 * CHOOSE(CONTROL!$C$22, $C$13, 100%, $E$13)</f>
        <v>5.0925000000000002</v>
      </c>
    </row>
    <row r="315" spans="1:11" ht="15">
      <c r="A315" s="13">
        <v>51441</v>
      </c>
      <c r="B315" s="60">
        <f>4.6517 * CHOOSE(CONTROL!$C$22, $C$13, 100%, $E$13)</f>
        <v>4.6516999999999999</v>
      </c>
      <c r="C315" s="60">
        <f>4.6517 * CHOOSE(CONTROL!$C$22, $C$13, 100%, $E$13)</f>
        <v>4.6516999999999999</v>
      </c>
      <c r="D315" s="60">
        <f>4.6694 * CHOOSE(CONTROL!$C$22, $C$13, 100%, $E$13)</f>
        <v>4.6694000000000004</v>
      </c>
      <c r="E315" s="61">
        <f>5.1098 * CHOOSE(CONTROL!$C$22, $C$13, 100%, $E$13)</f>
        <v>5.1097999999999999</v>
      </c>
      <c r="F315" s="61">
        <f>5.1098 * CHOOSE(CONTROL!$C$22, $C$13, 100%, $E$13)</f>
        <v>5.1097999999999999</v>
      </c>
      <c r="G315" s="61">
        <f>5.11 * CHOOSE(CONTROL!$C$22, $C$13, 100%, $E$13)</f>
        <v>5.1100000000000003</v>
      </c>
      <c r="H315" s="61">
        <f>9.5939* CHOOSE(CONTROL!$C$22, $C$13, 100%, $E$13)</f>
        <v>9.5938999999999997</v>
      </c>
      <c r="I315" s="61">
        <f>9.594 * CHOOSE(CONTROL!$C$22, $C$13, 100%, $E$13)</f>
        <v>9.5939999999999994</v>
      </c>
      <c r="J315" s="61">
        <f>5.1098 * CHOOSE(CONTROL!$C$22, $C$13, 100%, $E$13)</f>
        <v>5.1097999999999999</v>
      </c>
      <c r="K315" s="61">
        <f>5.11 * CHOOSE(CONTROL!$C$22, $C$13, 100%, $E$13)</f>
        <v>5.1100000000000003</v>
      </c>
    </row>
    <row r="316" spans="1:11" ht="15">
      <c r="A316" s="13">
        <v>51471</v>
      </c>
      <c r="B316" s="60">
        <f>4.6517 * CHOOSE(CONTROL!$C$22, $C$13, 100%, $E$13)</f>
        <v>4.6516999999999999</v>
      </c>
      <c r="C316" s="60">
        <f>4.6517 * CHOOSE(CONTROL!$C$22, $C$13, 100%, $E$13)</f>
        <v>4.6516999999999999</v>
      </c>
      <c r="D316" s="60">
        <f>4.6694 * CHOOSE(CONTROL!$C$22, $C$13, 100%, $E$13)</f>
        <v>4.6694000000000004</v>
      </c>
      <c r="E316" s="61">
        <f>5.0713 * CHOOSE(CONTROL!$C$22, $C$13, 100%, $E$13)</f>
        <v>5.0712999999999999</v>
      </c>
      <c r="F316" s="61">
        <f>5.0713 * CHOOSE(CONTROL!$C$22, $C$13, 100%, $E$13)</f>
        <v>5.0712999999999999</v>
      </c>
      <c r="G316" s="61">
        <f>5.0715 * CHOOSE(CONTROL!$C$22, $C$13, 100%, $E$13)</f>
        <v>5.0715000000000003</v>
      </c>
      <c r="H316" s="61">
        <f>9.6139* CHOOSE(CONTROL!$C$22, $C$13, 100%, $E$13)</f>
        <v>9.6138999999999992</v>
      </c>
      <c r="I316" s="61">
        <f>9.614 * CHOOSE(CONTROL!$C$22, $C$13, 100%, $E$13)</f>
        <v>9.6140000000000008</v>
      </c>
      <c r="J316" s="61">
        <f>5.0713 * CHOOSE(CONTROL!$C$22, $C$13, 100%, $E$13)</f>
        <v>5.0712999999999999</v>
      </c>
      <c r="K316" s="61">
        <f>5.0715 * CHOOSE(CONTROL!$C$22, $C$13, 100%, $E$13)</f>
        <v>5.0715000000000003</v>
      </c>
    </row>
    <row r="317" spans="1:11" ht="15">
      <c r="A317" s="13">
        <v>51502</v>
      </c>
      <c r="B317" s="60">
        <f>4.692 * CHOOSE(CONTROL!$C$22, $C$13, 100%, $E$13)</f>
        <v>4.6920000000000002</v>
      </c>
      <c r="C317" s="60">
        <f>4.692 * CHOOSE(CONTROL!$C$22, $C$13, 100%, $E$13)</f>
        <v>4.6920000000000002</v>
      </c>
      <c r="D317" s="60">
        <f>4.7097 * CHOOSE(CONTROL!$C$22, $C$13, 100%, $E$13)</f>
        <v>4.7096999999999998</v>
      </c>
      <c r="E317" s="61">
        <f>5.1487 * CHOOSE(CONTROL!$C$22, $C$13, 100%, $E$13)</f>
        <v>5.1486999999999998</v>
      </c>
      <c r="F317" s="61">
        <f>5.1487 * CHOOSE(CONTROL!$C$22, $C$13, 100%, $E$13)</f>
        <v>5.1486999999999998</v>
      </c>
      <c r="G317" s="61">
        <f>5.1489 * CHOOSE(CONTROL!$C$22, $C$13, 100%, $E$13)</f>
        <v>5.1489000000000003</v>
      </c>
      <c r="H317" s="61">
        <f>9.6339* CHOOSE(CONTROL!$C$22, $C$13, 100%, $E$13)</f>
        <v>9.6339000000000006</v>
      </c>
      <c r="I317" s="61">
        <f>9.6341 * CHOOSE(CONTROL!$C$22, $C$13, 100%, $E$13)</f>
        <v>9.6341000000000001</v>
      </c>
      <c r="J317" s="61">
        <f>5.1487 * CHOOSE(CONTROL!$C$22, $C$13, 100%, $E$13)</f>
        <v>5.1486999999999998</v>
      </c>
      <c r="K317" s="61">
        <f>5.1489 * CHOOSE(CONTROL!$C$22, $C$13, 100%, $E$13)</f>
        <v>5.1489000000000003</v>
      </c>
    </row>
    <row r="318" spans="1:11" ht="15">
      <c r="A318" s="13">
        <v>51533</v>
      </c>
      <c r="B318" s="60">
        <f>4.689 * CHOOSE(CONTROL!$C$22, $C$13, 100%, $E$13)</f>
        <v>4.6890000000000001</v>
      </c>
      <c r="C318" s="60">
        <f>4.689 * CHOOSE(CONTROL!$C$22, $C$13, 100%, $E$13)</f>
        <v>4.6890000000000001</v>
      </c>
      <c r="D318" s="60">
        <f>4.7066 * CHOOSE(CONTROL!$C$22, $C$13, 100%, $E$13)</f>
        <v>4.7065999999999999</v>
      </c>
      <c r="E318" s="61">
        <f>5.0716 * CHOOSE(CONTROL!$C$22, $C$13, 100%, $E$13)</f>
        <v>5.0716000000000001</v>
      </c>
      <c r="F318" s="61">
        <f>5.0716 * CHOOSE(CONTROL!$C$22, $C$13, 100%, $E$13)</f>
        <v>5.0716000000000001</v>
      </c>
      <c r="G318" s="61">
        <f>5.0718 * CHOOSE(CONTROL!$C$22, $C$13, 100%, $E$13)</f>
        <v>5.0717999999999996</v>
      </c>
      <c r="H318" s="61">
        <f>9.654* CHOOSE(CONTROL!$C$22, $C$13, 100%, $E$13)</f>
        <v>9.6539999999999999</v>
      </c>
      <c r="I318" s="61">
        <f>9.6541 * CHOOSE(CONTROL!$C$22, $C$13, 100%, $E$13)</f>
        <v>9.6540999999999997</v>
      </c>
      <c r="J318" s="61">
        <f>5.0716 * CHOOSE(CONTROL!$C$22, $C$13, 100%, $E$13)</f>
        <v>5.0716000000000001</v>
      </c>
      <c r="K318" s="61">
        <f>5.0718 * CHOOSE(CONTROL!$C$22, $C$13, 100%, $E$13)</f>
        <v>5.0717999999999996</v>
      </c>
    </row>
    <row r="319" spans="1:11" ht="15">
      <c r="A319" s="13">
        <v>51561</v>
      </c>
      <c r="B319" s="60">
        <f>4.6859 * CHOOSE(CONTROL!$C$22, $C$13, 100%, $E$13)</f>
        <v>4.6859000000000002</v>
      </c>
      <c r="C319" s="60">
        <f>4.6859 * CHOOSE(CONTROL!$C$22, $C$13, 100%, $E$13)</f>
        <v>4.6859000000000002</v>
      </c>
      <c r="D319" s="60">
        <f>4.7036 * CHOOSE(CONTROL!$C$22, $C$13, 100%, $E$13)</f>
        <v>4.7035999999999998</v>
      </c>
      <c r="E319" s="61">
        <f>5.1286 * CHOOSE(CONTROL!$C$22, $C$13, 100%, $E$13)</f>
        <v>5.1285999999999996</v>
      </c>
      <c r="F319" s="61">
        <f>5.1286 * CHOOSE(CONTROL!$C$22, $C$13, 100%, $E$13)</f>
        <v>5.1285999999999996</v>
      </c>
      <c r="G319" s="61">
        <f>5.1288 * CHOOSE(CONTROL!$C$22, $C$13, 100%, $E$13)</f>
        <v>5.1288</v>
      </c>
      <c r="H319" s="61">
        <f>9.6741* CHOOSE(CONTROL!$C$22, $C$13, 100%, $E$13)</f>
        <v>9.6740999999999993</v>
      </c>
      <c r="I319" s="61">
        <f>9.6742 * CHOOSE(CONTROL!$C$22, $C$13, 100%, $E$13)</f>
        <v>9.6742000000000008</v>
      </c>
      <c r="J319" s="61">
        <f>5.1286 * CHOOSE(CONTROL!$C$22, $C$13, 100%, $E$13)</f>
        <v>5.1285999999999996</v>
      </c>
      <c r="K319" s="61">
        <f>5.1288 * CHOOSE(CONTROL!$C$22, $C$13, 100%, $E$13)</f>
        <v>5.1288</v>
      </c>
    </row>
    <row r="320" spans="1:11" ht="15">
      <c r="A320" s="13">
        <v>51592</v>
      </c>
      <c r="B320" s="60">
        <f>4.6843 * CHOOSE(CONTROL!$C$22, $C$13, 100%, $E$13)</f>
        <v>4.6843000000000004</v>
      </c>
      <c r="C320" s="60">
        <f>4.6843 * CHOOSE(CONTROL!$C$22, $C$13, 100%, $E$13)</f>
        <v>4.6843000000000004</v>
      </c>
      <c r="D320" s="60">
        <f>4.7019 * CHOOSE(CONTROL!$C$22, $C$13, 100%, $E$13)</f>
        <v>4.7019000000000002</v>
      </c>
      <c r="E320" s="61">
        <f>5.1879 * CHOOSE(CONTROL!$C$22, $C$13, 100%, $E$13)</f>
        <v>5.1879</v>
      </c>
      <c r="F320" s="61">
        <f>5.1879 * CHOOSE(CONTROL!$C$22, $C$13, 100%, $E$13)</f>
        <v>5.1879</v>
      </c>
      <c r="G320" s="61">
        <f>5.1881 * CHOOSE(CONTROL!$C$22, $C$13, 100%, $E$13)</f>
        <v>5.1881000000000004</v>
      </c>
      <c r="H320" s="61">
        <f>9.6942* CHOOSE(CONTROL!$C$22, $C$13, 100%, $E$13)</f>
        <v>9.6942000000000004</v>
      </c>
      <c r="I320" s="61">
        <f>9.6944 * CHOOSE(CONTROL!$C$22, $C$13, 100%, $E$13)</f>
        <v>9.6943999999999999</v>
      </c>
      <c r="J320" s="61">
        <f>5.1879 * CHOOSE(CONTROL!$C$22, $C$13, 100%, $E$13)</f>
        <v>5.1879</v>
      </c>
      <c r="K320" s="61">
        <f>5.1881 * CHOOSE(CONTROL!$C$22, $C$13, 100%, $E$13)</f>
        <v>5.1881000000000004</v>
      </c>
    </row>
    <row r="321" spans="1:11" ht="15">
      <c r="A321" s="13">
        <v>51622</v>
      </c>
      <c r="B321" s="60">
        <f>4.6843 * CHOOSE(CONTROL!$C$22, $C$13, 100%, $E$13)</f>
        <v>4.6843000000000004</v>
      </c>
      <c r="C321" s="60">
        <f>4.6843 * CHOOSE(CONTROL!$C$22, $C$13, 100%, $E$13)</f>
        <v>4.6843000000000004</v>
      </c>
      <c r="D321" s="60">
        <f>4.7196 * CHOOSE(CONTROL!$C$22, $C$13, 100%, $E$13)</f>
        <v>4.7195999999999998</v>
      </c>
      <c r="E321" s="61">
        <f>5.2117 * CHOOSE(CONTROL!$C$22, $C$13, 100%, $E$13)</f>
        <v>5.2117000000000004</v>
      </c>
      <c r="F321" s="61">
        <f>5.2117 * CHOOSE(CONTROL!$C$22, $C$13, 100%, $E$13)</f>
        <v>5.2117000000000004</v>
      </c>
      <c r="G321" s="61">
        <f>5.2139 * CHOOSE(CONTROL!$C$22, $C$13, 100%, $E$13)</f>
        <v>5.2138999999999998</v>
      </c>
      <c r="H321" s="61">
        <f>9.7144* CHOOSE(CONTROL!$C$22, $C$13, 100%, $E$13)</f>
        <v>9.7143999999999995</v>
      </c>
      <c r="I321" s="61">
        <f>9.7166 * CHOOSE(CONTROL!$C$22, $C$13, 100%, $E$13)</f>
        <v>9.7165999999999997</v>
      </c>
      <c r="J321" s="61">
        <f>5.2117 * CHOOSE(CONTROL!$C$22, $C$13, 100%, $E$13)</f>
        <v>5.2117000000000004</v>
      </c>
      <c r="K321" s="61">
        <f>5.2139 * CHOOSE(CONTROL!$C$22, $C$13, 100%, $E$13)</f>
        <v>5.2138999999999998</v>
      </c>
    </row>
    <row r="322" spans="1:11" ht="15">
      <c r="A322" s="13">
        <v>51653</v>
      </c>
      <c r="B322" s="60">
        <f>4.6904 * CHOOSE(CONTROL!$C$22, $C$13, 100%, $E$13)</f>
        <v>4.6904000000000003</v>
      </c>
      <c r="C322" s="60">
        <f>4.6904 * CHOOSE(CONTROL!$C$22, $C$13, 100%, $E$13)</f>
        <v>4.6904000000000003</v>
      </c>
      <c r="D322" s="60">
        <f>4.7257 * CHOOSE(CONTROL!$C$22, $C$13, 100%, $E$13)</f>
        <v>4.7256999999999998</v>
      </c>
      <c r="E322" s="61">
        <f>5.1921 * CHOOSE(CONTROL!$C$22, $C$13, 100%, $E$13)</f>
        <v>5.1920999999999999</v>
      </c>
      <c r="F322" s="61">
        <f>5.1921 * CHOOSE(CONTROL!$C$22, $C$13, 100%, $E$13)</f>
        <v>5.1920999999999999</v>
      </c>
      <c r="G322" s="61">
        <f>5.1943 * CHOOSE(CONTROL!$C$22, $C$13, 100%, $E$13)</f>
        <v>5.1943000000000001</v>
      </c>
      <c r="H322" s="61">
        <f>9.7347* CHOOSE(CONTROL!$C$22, $C$13, 100%, $E$13)</f>
        <v>9.7347000000000001</v>
      </c>
      <c r="I322" s="61">
        <f>9.7368 * CHOOSE(CONTROL!$C$22, $C$13, 100%, $E$13)</f>
        <v>9.7368000000000006</v>
      </c>
      <c r="J322" s="61">
        <f>5.1921 * CHOOSE(CONTROL!$C$22, $C$13, 100%, $E$13)</f>
        <v>5.1920999999999999</v>
      </c>
      <c r="K322" s="61">
        <f>5.1943 * CHOOSE(CONTROL!$C$22, $C$13, 100%, $E$13)</f>
        <v>5.1943000000000001</v>
      </c>
    </row>
    <row r="323" spans="1:11" ht="15">
      <c r="A323" s="13">
        <v>51683</v>
      </c>
      <c r="B323" s="60">
        <f>4.7637 * CHOOSE(CONTROL!$C$22, $C$13, 100%, $E$13)</f>
        <v>4.7637</v>
      </c>
      <c r="C323" s="60">
        <f>4.7637 * CHOOSE(CONTROL!$C$22, $C$13, 100%, $E$13)</f>
        <v>4.7637</v>
      </c>
      <c r="D323" s="60">
        <f>4.799 * CHOOSE(CONTROL!$C$22, $C$13, 100%, $E$13)</f>
        <v>4.7990000000000004</v>
      </c>
      <c r="E323" s="61">
        <f>5.2939 * CHOOSE(CONTROL!$C$22, $C$13, 100%, $E$13)</f>
        <v>5.2938999999999998</v>
      </c>
      <c r="F323" s="61">
        <f>5.2939 * CHOOSE(CONTROL!$C$22, $C$13, 100%, $E$13)</f>
        <v>5.2938999999999998</v>
      </c>
      <c r="G323" s="61">
        <f>5.2961 * CHOOSE(CONTROL!$C$22, $C$13, 100%, $E$13)</f>
        <v>5.2961</v>
      </c>
      <c r="H323" s="61">
        <f>9.7549* CHOOSE(CONTROL!$C$22, $C$13, 100%, $E$13)</f>
        <v>9.7548999999999992</v>
      </c>
      <c r="I323" s="61">
        <f>9.7571 * CHOOSE(CONTROL!$C$22, $C$13, 100%, $E$13)</f>
        <v>9.7570999999999994</v>
      </c>
      <c r="J323" s="61">
        <f>5.2939 * CHOOSE(CONTROL!$C$22, $C$13, 100%, $E$13)</f>
        <v>5.2938999999999998</v>
      </c>
      <c r="K323" s="61">
        <f>5.2961 * CHOOSE(CONTROL!$C$22, $C$13, 100%, $E$13)</f>
        <v>5.2961</v>
      </c>
    </row>
    <row r="324" spans="1:11" ht="15">
      <c r="A324" s="13">
        <v>51714</v>
      </c>
      <c r="B324" s="60">
        <f>4.7704 * CHOOSE(CONTROL!$C$22, $C$13, 100%, $E$13)</f>
        <v>4.7704000000000004</v>
      </c>
      <c r="C324" s="60">
        <f>4.7704 * CHOOSE(CONTROL!$C$22, $C$13, 100%, $E$13)</f>
        <v>4.7704000000000004</v>
      </c>
      <c r="D324" s="60">
        <f>4.8057 * CHOOSE(CONTROL!$C$22, $C$13, 100%, $E$13)</f>
        <v>4.8056999999999999</v>
      </c>
      <c r="E324" s="61">
        <f>5.2271 * CHOOSE(CONTROL!$C$22, $C$13, 100%, $E$13)</f>
        <v>5.2271000000000001</v>
      </c>
      <c r="F324" s="61">
        <f>5.2271 * CHOOSE(CONTROL!$C$22, $C$13, 100%, $E$13)</f>
        <v>5.2271000000000001</v>
      </c>
      <c r="G324" s="61">
        <f>5.2293 * CHOOSE(CONTROL!$C$22, $C$13, 100%, $E$13)</f>
        <v>5.2293000000000003</v>
      </c>
      <c r="H324" s="61">
        <f>9.7753* CHOOSE(CONTROL!$C$22, $C$13, 100%, $E$13)</f>
        <v>9.7752999999999997</v>
      </c>
      <c r="I324" s="61">
        <f>9.7774 * CHOOSE(CONTROL!$C$22, $C$13, 100%, $E$13)</f>
        <v>9.7774000000000001</v>
      </c>
      <c r="J324" s="61">
        <f>5.2271 * CHOOSE(CONTROL!$C$22, $C$13, 100%, $E$13)</f>
        <v>5.2271000000000001</v>
      </c>
      <c r="K324" s="61">
        <f>5.2293 * CHOOSE(CONTROL!$C$22, $C$13, 100%, $E$13)</f>
        <v>5.2293000000000003</v>
      </c>
    </row>
    <row r="325" spans="1:11" ht="15">
      <c r="A325" s="13">
        <v>51745</v>
      </c>
      <c r="B325" s="60">
        <f>4.7673 * CHOOSE(CONTROL!$C$22, $C$13, 100%, $E$13)</f>
        <v>4.7672999999999996</v>
      </c>
      <c r="C325" s="60">
        <f>4.7673 * CHOOSE(CONTROL!$C$22, $C$13, 100%, $E$13)</f>
        <v>4.7672999999999996</v>
      </c>
      <c r="D325" s="60">
        <f>4.8026 * CHOOSE(CONTROL!$C$22, $C$13, 100%, $E$13)</f>
        <v>4.8026</v>
      </c>
      <c r="E325" s="61">
        <f>5.217 * CHOOSE(CONTROL!$C$22, $C$13, 100%, $E$13)</f>
        <v>5.2169999999999996</v>
      </c>
      <c r="F325" s="61">
        <f>5.217 * CHOOSE(CONTROL!$C$22, $C$13, 100%, $E$13)</f>
        <v>5.2169999999999996</v>
      </c>
      <c r="G325" s="61">
        <f>5.2192 * CHOOSE(CONTROL!$C$22, $C$13, 100%, $E$13)</f>
        <v>5.2191999999999998</v>
      </c>
      <c r="H325" s="61">
        <f>9.7956* CHOOSE(CONTROL!$C$22, $C$13, 100%, $E$13)</f>
        <v>9.7956000000000003</v>
      </c>
      <c r="I325" s="61">
        <f>9.7978 * CHOOSE(CONTROL!$C$22, $C$13, 100%, $E$13)</f>
        <v>9.7978000000000005</v>
      </c>
      <c r="J325" s="61">
        <f>5.217 * CHOOSE(CONTROL!$C$22, $C$13, 100%, $E$13)</f>
        <v>5.2169999999999996</v>
      </c>
      <c r="K325" s="61">
        <f>5.2192 * CHOOSE(CONTROL!$C$22, $C$13, 100%, $E$13)</f>
        <v>5.2191999999999998</v>
      </c>
    </row>
    <row r="326" spans="1:11" ht="15">
      <c r="A326" s="13">
        <v>51775</v>
      </c>
      <c r="B326" s="60">
        <f>4.7654 * CHOOSE(CONTROL!$C$22, $C$13, 100%, $E$13)</f>
        <v>4.7653999999999996</v>
      </c>
      <c r="C326" s="60">
        <f>4.7654 * CHOOSE(CONTROL!$C$22, $C$13, 100%, $E$13)</f>
        <v>4.7653999999999996</v>
      </c>
      <c r="D326" s="60">
        <f>4.7831 * CHOOSE(CONTROL!$C$22, $C$13, 100%, $E$13)</f>
        <v>4.7831000000000001</v>
      </c>
      <c r="E326" s="61">
        <f>5.2354 * CHOOSE(CONTROL!$C$22, $C$13, 100%, $E$13)</f>
        <v>5.2354000000000003</v>
      </c>
      <c r="F326" s="61">
        <f>5.2354 * CHOOSE(CONTROL!$C$22, $C$13, 100%, $E$13)</f>
        <v>5.2354000000000003</v>
      </c>
      <c r="G326" s="61">
        <f>5.2355 * CHOOSE(CONTROL!$C$22, $C$13, 100%, $E$13)</f>
        <v>5.2355</v>
      </c>
      <c r="H326" s="61">
        <f>9.816* CHOOSE(CONTROL!$C$22, $C$13, 100%, $E$13)</f>
        <v>9.8160000000000007</v>
      </c>
      <c r="I326" s="61">
        <f>9.8162 * CHOOSE(CONTROL!$C$22, $C$13, 100%, $E$13)</f>
        <v>9.8162000000000003</v>
      </c>
      <c r="J326" s="61">
        <f>5.2354 * CHOOSE(CONTROL!$C$22, $C$13, 100%, $E$13)</f>
        <v>5.2354000000000003</v>
      </c>
      <c r="K326" s="61">
        <f>5.2355 * CHOOSE(CONTROL!$C$22, $C$13, 100%, $E$13)</f>
        <v>5.2355</v>
      </c>
    </row>
    <row r="327" spans="1:11" ht="15">
      <c r="A327" s="13">
        <v>51806</v>
      </c>
      <c r="B327" s="60">
        <f>4.7685 * CHOOSE(CONTROL!$C$22, $C$13, 100%, $E$13)</f>
        <v>4.7685000000000004</v>
      </c>
      <c r="C327" s="60">
        <f>4.7685 * CHOOSE(CONTROL!$C$22, $C$13, 100%, $E$13)</f>
        <v>4.7685000000000004</v>
      </c>
      <c r="D327" s="60">
        <f>4.7861 * CHOOSE(CONTROL!$C$22, $C$13, 100%, $E$13)</f>
        <v>4.7861000000000002</v>
      </c>
      <c r="E327" s="61">
        <f>5.2534 * CHOOSE(CONTROL!$C$22, $C$13, 100%, $E$13)</f>
        <v>5.2534000000000001</v>
      </c>
      <c r="F327" s="61">
        <f>5.2534 * CHOOSE(CONTROL!$C$22, $C$13, 100%, $E$13)</f>
        <v>5.2534000000000001</v>
      </c>
      <c r="G327" s="61">
        <f>5.2535 * CHOOSE(CONTROL!$C$22, $C$13, 100%, $E$13)</f>
        <v>5.2534999999999998</v>
      </c>
      <c r="H327" s="61">
        <f>9.8365* CHOOSE(CONTROL!$C$22, $C$13, 100%, $E$13)</f>
        <v>9.8364999999999991</v>
      </c>
      <c r="I327" s="61">
        <f>9.8367 * CHOOSE(CONTROL!$C$22, $C$13, 100%, $E$13)</f>
        <v>9.8367000000000004</v>
      </c>
      <c r="J327" s="61">
        <f>5.2534 * CHOOSE(CONTROL!$C$22, $C$13, 100%, $E$13)</f>
        <v>5.2534000000000001</v>
      </c>
      <c r="K327" s="61">
        <f>5.2535 * CHOOSE(CONTROL!$C$22, $C$13, 100%, $E$13)</f>
        <v>5.2534999999999998</v>
      </c>
    </row>
    <row r="328" spans="1:11" ht="15">
      <c r="A328" s="13">
        <v>51836</v>
      </c>
      <c r="B328" s="60">
        <f>4.7685 * CHOOSE(CONTROL!$C$22, $C$13, 100%, $E$13)</f>
        <v>4.7685000000000004</v>
      </c>
      <c r="C328" s="60">
        <f>4.7685 * CHOOSE(CONTROL!$C$22, $C$13, 100%, $E$13)</f>
        <v>4.7685000000000004</v>
      </c>
      <c r="D328" s="60">
        <f>4.7861 * CHOOSE(CONTROL!$C$22, $C$13, 100%, $E$13)</f>
        <v>4.7861000000000002</v>
      </c>
      <c r="E328" s="61">
        <f>5.2137 * CHOOSE(CONTROL!$C$22, $C$13, 100%, $E$13)</f>
        <v>5.2137000000000002</v>
      </c>
      <c r="F328" s="61">
        <f>5.2137 * CHOOSE(CONTROL!$C$22, $C$13, 100%, $E$13)</f>
        <v>5.2137000000000002</v>
      </c>
      <c r="G328" s="61">
        <f>5.2138 * CHOOSE(CONTROL!$C$22, $C$13, 100%, $E$13)</f>
        <v>5.2138</v>
      </c>
      <c r="H328" s="61">
        <f>9.857* CHOOSE(CONTROL!$C$22, $C$13, 100%, $E$13)</f>
        <v>9.8569999999999993</v>
      </c>
      <c r="I328" s="61">
        <f>9.8572 * CHOOSE(CONTROL!$C$22, $C$13, 100%, $E$13)</f>
        <v>9.8572000000000006</v>
      </c>
      <c r="J328" s="61">
        <f>5.2137 * CHOOSE(CONTROL!$C$22, $C$13, 100%, $E$13)</f>
        <v>5.2137000000000002</v>
      </c>
      <c r="K328" s="61">
        <f>5.2138 * CHOOSE(CONTROL!$C$22, $C$13, 100%, $E$13)</f>
        <v>5.2138</v>
      </c>
    </row>
    <row r="329" spans="1:11" ht="15">
      <c r="A329" s="13">
        <v>51867</v>
      </c>
      <c r="B329" s="60">
        <f>4.8103 * CHOOSE(CONTROL!$C$22, $C$13, 100%, $E$13)</f>
        <v>4.8102999999999998</v>
      </c>
      <c r="C329" s="60">
        <f>4.8103 * CHOOSE(CONTROL!$C$22, $C$13, 100%, $E$13)</f>
        <v>4.8102999999999998</v>
      </c>
      <c r="D329" s="60">
        <f>4.828 * CHOOSE(CONTROL!$C$22, $C$13, 100%, $E$13)</f>
        <v>4.8280000000000003</v>
      </c>
      <c r="E329" s="61">
        <f>5.2932 * CHOOSE(CONTROL!$C$22, $C$13, 100%, $E$13)</f>
        <v>5.2931999999999997</v>
      </c>
      <c r="F329" s="61">
        <f>5.2932 * CHOOSE(CONTROL!$C$22, $C$13, 100%, $E$13)</f>
        <v>5.2931999999999997</v>
      </c>
      <c r="G329" s="61">
        <f>5.2934 * CHOOSE(CONTROL!$C$22, $C$13, 100%, $E$13)</f>
        <v>5.2934000000000001</v>
      </c>
      <c r="H329" s="61">
        <f>9.8775* CHOOSE(CONTROL!$C$22, $C$13, 100%, $E$13)</f>
        <v>9.8774999999999995</v>
      </c>
      <c r="I329" s="61">
        <f>9.8777 * CHOOSE(CONTROL!$C$22, $C$13, 100%, $E$13)</f>
        <v>9.8777000000000008</v>
      </c>
      <c r="J329" s="61">
        <f>5.2932 * CHOOSE(CONTROL!$C$22, $C$13, 100%, $E$13)</f>
        <v>5.2931999999999997</v>
      </c>
      <c r="K329" s="61">
        <f>5.2934 * CHOOSE(CONTROL!$C$22, $C$13, 100%, $E$13)</f>
        <v>5.2934000000000001</v>
      </c>
    </row>
    <row r="330" spans="1:11" ht="15">
      <c r="A330" s="13">
        <v>51898</v>
      </c>
      <c r="B330" s="60">
        <f>4.8073 * CHOOSE(CONTROL!$C$22, $C$13, 100%, $E$13)</f>
        <v>4.8072999999999997</v>
      </c>
      <c r="C330" s="60">
        <f>4.8073 * CHOOSE(CONTROL!$C$22, $C$13, 100%, $E$13)</f>
        <v>4.8072999999999997</v>
      </c>
      <c r="D330" s="60">
        <f>4.8249 * CHOOSE(CONTROL!$C$22, $C$13, 100%, $E$13)</f>
        <v>4.8249000000000004</v>
      </c>
      <c r="E330" s="61">
        <f>5.2137 * CHOOSE(CONTROL!$C$22, $C$13, 100%, $E$13)</f>
        <v>5.2137000000000002</v>
      </c>
      <c r="F330" s="61">
        <f>5.2137 * CHOOSE(CONTROL!$C$22, $C$13, 100%, $E$13)</f>
        <v>5.2137000000000002</v>
      </c>
      <c r="G330" s="61">
        <f>5.2139 * CHOOSE(CONTROL!$C$22, $C$13, 100%, $E$13)</f>
        <v>5.2138999999999998</v>
      </c>
      <c r="H330" s="61">
        <f>9.8981* CHOOSE(CONTROL!$C$22, $C$13, 100%, $E$13)</f>
        <v>9.8980999999999995</v>
      </c>
      <c r="I330" s="61">
        <f>9.8983 * CHOOSE(CONTROL!$C$22, $C$13, 100%, $E$13)</f>
        <v>9.8983000000000008</v>
      </c>
      <c r="J330" s="61">
        <f>5.2137 * CHOOSE(CONTROL!$C$22, $C$13, 100%, $E$13)</f>
        <v>5.2137000000000002</v>
      </c>
      <c r="K330" s="61">
        <f>5.2139 * CHOOSE(CONTROL!$C$22, $C$13, 100%, $E$13)</f>
        <v>5.2138999999999998</v>
      </c>
    </row>
    <row r="331" spans="1:11" ht="15">
      <c r="A331" s="13">
        <v>51926</v>
      </c>
      <c r="B331" s="60">
        <f>4.8042 * CHOOSE(CONTROL!$C$22, $C$13, 100%, $E$13)</f>
        <v>4.8041999999999998</v>
      </c>
      <c r="C331" s="60">
        <f>4.8042 * CHOOSE(CONTROL!$C$22, $C$13, 100%, $E$13)</f>
        <v>4.8041999999999998</v>
      </c>
      <c r="D331" s="60">
        <f>4.8219 * CHOOSE(CONTROL!$C$22, $C$13, 100%, $E$13)</f>
        <v>4.8219000000000003</v>
      </c>
      <c r="E331" s="61">
        <f>5.2726 * CHOOSE(CONTROL!$C$22, $C$13, 100%, $E$13)</f>
        <v>5.2725999999999997</v>
      </c>
      <c r="F331" s="61">
        <f>5.2726 * CHOOSE(CONTROL!$C$22, $C$13, 100%, $E$13)</f>
        <v>5.2725999999999997</v>
      </c>
      <c r="G331" s="61">
        <f>5.2728 * CHOOSE(CONTROL!$C$22, $C$13, 100%, $E$13)</f>
        <v>5.2728000000000002</v>
      </c>
      <c r="H331" s="61">
        <f>9.9187* CHOOSE(CONTROL!$C$22, $C$13, 100%, $E$13)</f>
        <v>9.9186999999999994</v>
      </c>
      <c r="I331" s="61">
        <f>9.9189 * CHOOSE(CONTROL!$C$22, $C$13, 100%, $E$13)</f>
        <v>9.9189000000000007</v>
      </c>
      <c r="J331" s="61">
        <f>5.2726 * CHOOSE(CONTROL!$C$22, $C$13, 100%, $E$13)</f>
        <v>5.2725999999999997</v>
      </c>
      <c r="K331" s="61">
        <f>5.2728 * CHOOSE(CONTROL!$C$22, $C$13, 100%, $E$13)</f>
        <v>5.2728000000000002</v>
      </c>
    </row>
    <row r="332" spans="1:11" ht="15">
      <c r="A332" s="13">
        <v>51957</v>
      </c>
      <c r="B332" s="60">
        <f>4.8027 * CHOOSE(CONTROL!$C$22, $C$13, 100%, $E$13)</f>
        <v>4.8026999999999997</v>
      </c>
      <c r="C332" s="60">
        <f>4.8027 * CHOOSE(CONTROL!$C$22, $C$13, 100%, $E$13)</f>
        <v>4.8026999999999997</v>
      </c>
      <c r="D332" s="60">
        <f>4.8204 * CHOOSE(CONTROL!$C$22, $C$13, 100%, $E$13)</f>
        <v>4.8204000000000002</v>
      </c>
      <c r="E332" s="61">
        <f>5.3339 * CHOOSE(CONTROL!$C$22, $C$13, 100%, $E$13)</f>
        <v>5.3338999999999999</v>
      </c>
      <c r="F332" s="61">
        <f>5.3339 * CHOOSE(CONTROL!$C$22, $C$13, 100%, $E$13)</f>
        <v>5.3338999999999999</v>
      </c>
      <c r="G332" s="61">
        <f>5.3341 * CHOOSE(CONTROL!$C$22, $C$13, 100%, $E$13)</f>
        <v>5.3341000000000003</v>
      </c>
      <c r="H332" s="61">
        <f>9.9394* CHOOSE(CONTROL!$C$22, $C$13, 100%, $E$13)</f>
        <v>9.9393999999999991</v>
      </c>
      <c r="I332" s="61">
        <f>9.9395 * CHOOSE(CONTROL!$C$22, $C$13, 100%, $E$13)</f>
        <v>9.9395000000000007</v>
      </c>
      <c r="J332" s="61">
        <f>5.3339 * CHOOSE(CONTROL!$C$22, $C$13, 100%, $E$13)</f>
        <v>5.3338999999999999</v>
      </c>
      <c r="K332" s="61">
        <f>5.3341 * CHOOSE(CONTROL!$C$22, $C$13, 100%, $E$13)</f>
        <v>5.3341000000000003</v>
      </c>
    </row>
    <row r="333" spans="1:11" ht="15">
      <c r="A333" s="13">
        <v>51987</v>
      </c>
      <c r="B333" s="60">
        <f>4.8027 * CHOOSE(CONTROL!$C$22, $C$13, 100%, $E$13)</f>
        <v>4.8026999999999997</v>
      </c>
      <c r="C333" s="60">
        <f>4.8027 * CHOOSE(CONTROL!$C$22, $C$13, 100%, $E$13)</f>
        <v>4.8026999999999997</v>
      </c>
      <c r="D333" s="60">
        <f>4.838 * CHOOSE(CONTROL!$C$22, $C$13, 100%, $E$13)</f>
        <v>4.8380000000000001</v>
      </c>
      <c r="E333" s="61">
        <f>5.3585 * CHOOSE(CONTROL!$C$22, $C$13, 100%, $E$13)</f>
        <v>5.3585000000000003</v>
      </c>
      <c r="F333" s="61">
        <f>5.3585 * CHOOSE(CONTROL!$C$22, $C$13, 100%, $E$13)</f>
        <v>5.3585000000000003</v>
      </c>
      <c r="G333" s="61">
        <f>5.3607 * CHOOSE(CONTROL!$C$22, $C$13, 100%, $E$13)</f>
        <v>5.3606999999999996</v>
      </c>
      <c r="H333" s="61">
        <f>9.9601* CHOOSE(CONTROL!$C$22, $C$13, 100%, $E$13)</f>
        <v>9.9601000000000006</v>
      </c>
      <c r="I333" s="61">
        <f>9.9623 * CHOOSE(CONTROL!$C$22, $C$13, 100%, $E$13)</f>
        <v>9.9623000000000008</v>
      </c>
      <c r="J333" s="61">
        <f>5.3585 * CHOOSE(CONTROL!$C$22, $C$13, 100%, $E$13)</f>
        <v>5.3585000000000003</v>
      </c>
      <c r="K333" s="61">
        <f>5.3607 * CHOOSE(CONTROL!$C$22, $C$13, 100%, $E$13)</f>
        <v>5.3606999999999996</v>
      </c>
    </row>
    <row r="334" spans="1:11" ht="15">
      <c r="A334" s="13">
        <v>52018</v>
      </c>
      <c r="B334" s="60">
        <f>4.8088 * CHOOSE(CONTROL!$C$22, $C$13, 100%, $E$13)</f>
        <v>4.8087999999999997</v>
      </c>
      <c r="C334" s="60">
        <f>4.8088 * CHOOSE(CONTROL!$C$22, $C$13, 100%, $E$13)</f>
        <v>4.8087999999999997</v>
      </c>
      <c r="D334" s="60">
        <f>4.8441 * CHOOSE(CONTROL!$C$22, $C$13, 100%, $E$13)</f>
        <v>4.8441000000000001</v>
      </c>
      <c r="E334" s="61">
        <f>5.3382 * CHOOSE(CONTROL!$C$22, $C$13, 100%, $E$13)</f>
        <v>5.3381999999999996</v>
      </c>
      <c r="F334" s="61">
        <f>5.3382 * CHOOSE(CONTROL!$C$22, $C$13, 100%, $E$13)</f>
        <v>5.3381999999999996</v>
      </c>
      <c r="G334" s="61">
        <f>5.3403 * CHOOSE(CONTROL!$C$22, $C$13, 100%, $E$13)</f>
        <v>5.3403</v>
      </c>
      <c r="H334" s="61">
        <f>9.9808* CHOOSE(CONTROL!$C$22, $C$13, 100%, $E$13)</f>
        <v>9.9808000000000003</v>
      </c>
      <c r="I334" s="61">
        <f>9.983 * CHOOSE(CONTROL!$C$22, $C$13, 100%, $E$13)</f>
        <v>9.9830000000000005</v>
      </c>
      <c r="J334" s="61">
        <f>5.3382 * CHOOSE(CONTROL!$C$22, $C$13, 100%, $E$13)</f>
        <v>5.3381999999999996</v>
      </c>
      <c r="K334" s="61">
        <f>5.3403 * CHOOSE(CONTROL!$C$22, $C$13, 100%, $E$13)</f>
        <v>5.3403</v>
      </c>
    </row>
    <row r="335" spans="1:11" ht="15">
      <c r="A335" s="13">
        <v>52048</v>
      </c>
      <c r="B335" s="60">
        <f>4.885 * CHOOSE(CONTROL!$C$22, $C$13, 100%, $E$13)</f>
        <v>4.8849999999999998</v>
      </c>
      <c r="C335" s="60">
        <f>4.885 * CHOOSE(CONTROL!$C$22, $C$13, 100%, $E$13)</f>
        <v>4.8849999999999998</v>
      </c>
      <c r="D335" s="60">
        <f>4.9203 * CHOOSE(CONTROL!$C$22, $C$13, 100%, $E$13)</f>
        <v>4.9203000000000001</v>
      </c>
      <c r="E335" s="61">
        <f>5.4424 * CHOOSE(CONTROL!$C$22, $C$13, 100%, $E$13)</f>
        <v>5.4424000000000001</v>
      </c>
      <c r="F335" s="61">
        <f>5.4424 * CHOOSE(CONTROL!$C$22, $C$13, 100%, $E$13)</f>
        <v>5.4424000000000001</v>
      </c>
      <c r="G335" s="61">
        <f>5.4446 * CHOOSE(CONTROL!$C$22, $C$13, 100%, $E$13)</f>
        <v>5.4446000000000003</v>
      </c>
      <c r="H335" s="61">
        <f>10.0016* CHOOSE(CONTROL!$C$22, $C$13, 100%, $E$13)</f>
        <v>10.0016</v>
      </c>
      <c r="I335" s="61">
        <f>10.0038 * CHOOSE(CONTROL!$C$22, $C$13, 100%, $E$13)</f>
        <v>10.0038</v>
      </c>
      <c r="J335" s="61">
        <f>5.4424 * CHOOSE(CONTROL!$C$22, $C$13, 100%, $E$13)</f>
        <v>5.4424000000000001</v>
      </c>
      <c r="K335" s="61">
        <f>5.4446 * CHOOSE(CONTROL!$C$22, $C$13, 100%, $E$13)</f>
        <v>5.4446000000000003</v>
      </c>
    </row>
    <row r="336" spans="1:11" ht="15">
      <c r="A336" s="13">
        <v>52079</v>
      </c>
      <c r="B336" s="60">
        <f>4.8917 * CHOOSE(CONTROL!$C$22, $C$13, 100%, $E$13)</f>
        <v>4.8917000000000002</v>
      </c>
      <c r="C336" s="60">
        <f>4.8917 * CHOOSE(CONTROL!$C$22, $C$13, 100%, $E$13)</f>
        <v>4.8917000000000002</v>
      </c>
      <c r="D336" s="60">
        <f>4.927 * CHOOSE(CONTROL!$C$22, $C$13, 100%, $E$13)</f>
        <v>4.9269999999999996</v>
      </c>
      <c r="E336" s="61">
        <f>5.3733 * CHOOSE(CONTROL!$C$22, $C$13, 100%, $E$13)</f>
        <v>5.3733000000000004</v>
      </c>
      <c r="F336" s="61">
        <f>5.3733 * CHOOSE(CONTROL!$C$22, $C$13, 100%, $E$13)</f>
        <v>5.3733000000000004</v>
      </c>
      <c r="G336" s="61">
        <f>5.3755 * CHOOSE(CONTROL!$C$22, $C$13, 100%, $E$13)</f>
        <v>5.3754999999999997</v>
      </c>
      <c r="H336" s="61">
        <f>10.0225* CHOOSE(CONTROL!$C$22, $C$13, 100%, $E$13)</f>
        <v>10.022500000000001</v>
      </c>
      <c r="I336" s="61">
        <f>10.0246 * CHOOSE(CONTROL!$C$22, $C$13, 100%, $E$13)</f>
        <v>10.0246</v>
      </c>
      <c r="J336" s="61">
        <f>5.3733 * CHOOSE(CONTROL!$C$22, $C$13, 100%, $E$13)</f>
        <v>5.3733000000000004</v>
      </c>
      <c r="K336" s="61">
        <f>5.3755 * CHOOSE(CONTROL!$C$22, $C$13, 100%, $E$13)</f>
        <v>5.3754999999999997</v>
      </c>
    </row>
    <row r="337" spans="1:11" ht="15">
      <c r="A337" s="13">
        <v>52110</v>
      </c>
      <c r="B337" s="60">
        <f>4.8886 * CHOOSE(CONTROL!$C$22, $C$13, 100%, $E$13)</f>
        <v>4.8886000000000003</v>
      </c>
      <c r="C337" s="60">
        <f>4.8886 * CHOOSE(CONTROL!$C$22, $C$13, 100%, $E$13)</f>
        <v>4.8886000000000003</v>
      </c>
      <c r="D337" s="60">
        <f>4.924 * CHOOSE(CONTROL!$C$22, $C$13, 100%, $E$13)</f>
        <v>4.9240000000000004</v>
      </c>
      <c r="E337" s="61">
        <f>5.363 * CHOOSE(CONTROL!$C$22, $C$13, 100%, $E$13)</f>
        <v>5.3630000000000004</v>
      </c>
      <c r="F337" s="61">
        <f>5.363 * CHOOSE(CONTROL!$C$22, $C$13, 100%, $E$13)</f>
        <v>5.3630000000000004</v>
      </c>
      <c r="G337" s="61">
        <f>5.3652 * CHOOSE(CONTROL!$C$22, $C$13, 100%, $E$13)</f>
        <v>5.3651999999999997</v>
      </c>
      <c r="H337" s="61">
        <f>10.0433* CHOOSE(CONTROL!$C$22, $C$13, 100%, $E$13)</f>
        <v>10.0433</v>
      </c>
      <c r="I337" s="61">
        <f>10.0455 * CHOOSE(CONTROL!$C$22, $C$13, 100%, $E$13)</f>
        <v>10.045500000000001</v>
      </c>
      <c r="J337" s="61">
        <f>5.363 * CHOOSE(CONTROL!$C$22, $C$13, 100%, $E$13)</f>
        <v>5.3630000000000004</v>
      </c>
      <c r="K337" s="61">
        <f>5.3652 * CHOOSE(CONTROL!$C$22, $C$13, 100%, $E$13)</f>
        <v>5.3651999999999997</v>
      </c>
    </row>
    <row r="338" spans="1:11" ht="15">
      <c r="A338" s="13">
        <v>52140</v>
      </c>
      <c r="B338" s="60">
        <f>4.8872 * CHOOSE(CONTROL!$C$22, $C$13, 100%, $E$13)</f>
        <v>4.8872</v>
      </c>
      <c r="C338" s="60">
        <f>4.8872 * CHOOSE(CONTROL!$C$22, $C$13, 100%, $E$13)</f>
        <v>4.8872</v>
      </c>
      <c r="D338" s="60">
        <f>4.9049 * CHOOSE(CONTROL!$C$22, $C$13, 100%, $E$13)</f>
        <v>4.9048999999999996</v>
      </c>
      <c r="E338" s="61">
        <f>5.3823 * CHOOSE(CONTROL!$C$22, $C$13, 100%, $E$13)</f>
        <v>5.3822999999999999</v>
      </c>
      <c r="F338" s="61">
        <f>5.3823 * CHOOSE(CONTROL!$C$22, $C$13, 100%, $E$13)</f>
        <v>5.3822999999999999</v>
      </c>
      <c r="G338" s="61">
        <f>5.3825 * CHOOSE(CONTROL!$C$22, $C$13, 100%, $E$13)</f>
        <v>5.3825000000000003</v>
      </c>
      <c r="H338" s="61">
        <f>10.0643* CHOOSE(CONTROL!$C$22, $C$13, 100%, $E$13)</f>
        <v>10.064299999999999</v>
      </c>
      <c r="I338" s="61">
        <f>10.0644 * CHOOSE(CONTROL!$C$22, $C$13, 100%, $E$13)</f>
        <v>10.064399999999999</v>
      </c>
      <c r="J338" s="61">
        <f>5.3823 * CHOOSE(CONTROL!$C$22, $C$13, 100%, $E$13)</f>
        <v>5.3822999999999999</v>
      </c>
      <c r="K338" s="61">
        <f>5.3825 * CHOOSE(CONTROL!$C$22, $C$13, 100%, $E$13)</f>
        <v>5.3825000000000003</v>
      </c>
    </row>
    <row r="339" spans="1:11" ht="15">
      <c r="A339" s="13">
        <v>52171</v>
      </c>
      <c r="B339" s="60">
        <f>4.8902 * CHOOSE(CONTROL!$C$22, $C$13, 100%, $E$13)</f>
        <v>4.8902000000000001</v>
      </c>
      <c r="C339" s="60">
        <f>4.8902 * CHOOSE(CONTROL!$C$22, $C$13, 100%, $E$13)</f>
        <v>4.8902000000000001</v>
      </c>
      <c r="D339" s="60">
        <f>4.9079 * CHOOSE(CONTROL!$C$22, $C$13, 100%, $E$13)</f>
        <v>4.9078999999999997</v>
      </c>
      <c r="E339" s="61">
        <f>5.4009 * CHOOSE(CONTROL!$C$22, $C$13, 100%, $E$13)</f>
        <v>5.4009</v>
      </c>
      <c r="F339" s="61">
        <f>5.4009 * CHOOSE(CONTROL!$C$22, $C$13, 100%, $E$13)</f>
        <v>5.4009</v>
      </c>
      <c r="G339" s="61">
        <f>5.401 * CHOOSE(CONTROL!$C$22, $C$13, 100%, $E$13)</f>
        <v>5.4009999999999998</v>
      </c>
      <c r="H339" s="61">
        <f>10.0852* CHOOSE(CONTROL!$C$22, $C$13, 100%, $E$13)</f>
        <v>10.0852</v>
      </c>
      <c r="I339" s="61">
        <f>10.0854 * CHOOSE(CONTROL!$C$22, $C$13, 100%, $E$13)</f>
        <v>10.0854</v>
      </c>
      <c r="J339" s="61">
        <f>5.4009 * CHOOSE(CONTROL!$C$22, $C$13, 100%, $E$13)</f>
        <v>5.4009</v>
      </c>
      <c r="K339" s="61">
        <f>5.401 * CHOOSE(CONTROL!$C$22, $C$13, 100%, $E$13)</f>
        <v>5.4009999999999998</v>
      </c>
    </row>
    <row r="340" spans="1:11" ht="15">
      <c r="A340" s="13">
        <v>52201</v>
      </c>
      <c r="B340" s="60">
        <f>4.8902 * CHOOSE(CONTROL!$C$22, $C$13, 100%, $E$13)</f>
        <v>4.8902000000000001</v>
      </c>
      <c r="C340" s="60">
        <f>4.8902 * CHOOSE(CONTROL!$C$22, $C$13, 100%, $E$13)</f>
        <v>4.8902000000000001</v>
      </c>
      <c r="D340" s="60">
        <f>4.9079 * CHOOSE(CONTROL!$C$22, $C$13, 100%, $E$13)</f>
        <v>4.9078999999999997</v>
      </c>
      <c r="E340" s="61">
        <f>5.3599 * CHOOSE(CONTROL!$C$22, $C$13, 100%, $E$13)</f>
        <v>5.3598999999999997</v>
      </c>
      <c r="F340" s="61">
        <f>5.3599 * CHOOSE(CONTROL!$C$22, $C$13, 100%, $E$13)</f>
        <v>5.3598999999999997</v>
      </c>
      <c r="G340" s="61">
        <f>5.3601 * CHOOSE(CONTROL!$C$22, $C$13, 100%, $E$13)</f>
        <v>5.3601000000000001</v>
      </c>
      <c r="H340" s="61">
        <f>10.1062* CHOOSE(CONTROL!$C$22, $C$13, 100%, $E$13)</f>
        <v>10.106199999999999</v>
      </c>
      <c r="I340" s="61">
        <f>10.1064 * CHOOSE(CONTROL!$C$22, $C$13, 100%, $E$13)</f>
        <v>10.106400000000001</v>
      </c>
      <c r="J340" s="61">
        <f>5.3599 * CHOOSE(CONTROL!$C$22, $C$13, 100%, $E$13)</f>
        <v>5.3598999999999997</v>
      </c>
      <c r="K340" s="61">
        <f>5.3601 * CHOOSE(CONTROL!$C$22, $C$13, 100%, $E$13)</f>
        <v>5.3601000000000001</v>
      </c>
    </row>
    <row r="341" spans="1:11" ht="15">
      <c r="A341" s="13">
        <v>52232</v>
      </c>
      <c r="B341" s="60">
        <f>4.9327 * CHOOSE(CONTROL!$C$22, $C$13, 100%, $E$13)</f>
        <v>4.9326999999999996</v>
      </c>
      <c r="C341" s="60">
        <f>4.9327 * CHOOSE(CONTROL!$C$22, $C$13, 100%, $E$13)</f>
        <v>4.9326999999999996</v>
      </c>
      <c r="D341" s="60">
        <f>4.9503 * CHOOSE(CONTROL!$C$22, $C$13, 100%, $E$13)</f>
        <v>4.9503000000000004</v>
      </c>
      <c r="E341" s="61">
        <f>5.4417 * CHOOSE(CONTROL!$C$22, $C$13, 100%, $E$13)</f>
        <v>5.4417</v>
      </c>
      <c r="F341" s="61">
        <f>5.4417 * CHOOSE(CONTROL!$C$22, $C$13, 100%, $E$13)</f>
        <v>5.4417</v>
      </c>
      <c r="G341" s="61">
        <f>5.4419 * CHOOSE(CONTROL!$C$22, $C$13, 100%, $E$13)</f>
        <v>5.4419000000000004</v>
      </c>
      <c r="H341" s="61">
        <f>10.1273* CHOOSE(CONTROL!$C$22, $C$13, 100%, $E$13)</f>
        <v>10.1273</v>
      </c>
      <c r="I341" s="61">
        <f>10.1275 * CHOOSE(CONTROL!$C$22, $C$13, 100%, $E$13)</f>
        <v>10.1275</v>
      </c>
      <c r="J341" s="61">
        <f>5.4417 * CHOOSE(CONTROL!$C$22, $C$13, 100%, $E$13)</f>
        <v>5.4417</v>
      </c>
      <c r="K341" s="61">
        <f>5.4419 * CHOOSE(CONTROL!$C$22, $C$13, 100%, $E$13)</f>
        <v>5.4419000000000004</v>
      </c>
    </row>
    <row r="342" spans="1:11" ht="15">
      <c r="A342" s="13">
        <v>52263</v>
      </c>
      <c r="B342" s="60">
        <f>4.9296 * CHOOSE(CONTROL!$C$22, $C$13, 100%, $E$13)</f>
        <v>4.9295999999999998</v>
      </c>
      <c r="C342" s="60">
        <f>4.9296 * CHOOSE(CONTROL!$C$22, $C$13, 100%, $E$13)</f>
        <v>4.9295999999999998</v>
      </c>
      <c r="D342" s="60">
        <f>4.9473 * CHOOSE(CONTROL!$C$22, $C$13, 100%, $E$13)</f>
        <v>4.9473000000000003</v>
      </c>
      <c r="E342" s="61">
        <f>5.3597 * CHOOSE(CONTROL!$C$22, $C$13, 100%, $E$13)</f>
        <v>5.3597000000000001</v>
      </c>
      <c r="F342" s="61">
        <f>5.3597 * CHOOSE(CONTROL!$C$22, $C$13, 100%, $E$13)</f>
        <v>5.3597000000000001</v>
      </c>
      <c r="G342" s="61">
        <f>5.3599 * CHOOSE(CONTROL!$C$22, $C$13, 100%, $E$13)</f>
        <v>5.3598999999999997</v>
      </c>
      <c r="H342" s="61">
        <f>10.1484* CHOOSE(CONTROL!$C$22, $C$13, 100%, $E$13)</f>
        <v>10.148400000000001</v>
      </c>
      <c r="I342" s="61">
        <f>10.1486 * CHOOSE(CONTROL!$C$22, $C$13, 100%, $E$13)</f>
        <v>10.1486</v>
      </c>
      <c r="J342" s="61">
        <f>5.3597 * CHOOSE(CONTROL!$C$22, $C$13, 100%, $E$13)</f>
        <v>5.3597000000000001</v>
      </c>
      <c r="K342" s="61">
        <f>5.3599 * CHOOSE(CONTROL!$C$22, $C$13, 100%, $E$13)</f>
        <v>5.3598999999999997</v>
      </c>
    </row>
    <row r="343" spans="1:11" ht="15">
      <c r="A343" s="13">
        <v>52291</v>
      </c>
      <c r="B343" s="60">
        <f>4.9266 * CHOOSE(CONTROL!$C$22, $C$13, 100%, $E$13)</f>
        <v>4.9265999999999996</v>
      </c>
      <c r="C343" s="60">
        <f>4.9266 * CHOOSE(CONTROL!$C$22, $C$13, 100%, $E$13)</f>
        <v>4.9265999999999996</v>
      </c>
      <c r="D343" s="60">
        <f>4.9443 * CHOOSE(CONTROL!$C$22, $C$13, 100%, $E$13)</f>
        <v>4.9443000000000001</v>
      </c>
      <c r="E343" s="61">
        <f>5.4206 * CHOOSE(CONTROL!$C$22, $C$13, 100%, $E$13)</f>
        <v>5.4206000000000003</v>
      </c>
      <c r="F343" s="61">
        <f>5.4206 * CHOOSE(CONTROL!$C$22, $C$13, 100%, $E$13)</f>
        <v>5.4206000000000003</v>
      </c>
      <c r="G343" s="61">
        <f>5.4208 * CHOOSE(CONTROL!$C$22, $C$13, 100%, $E$13)</f>
        <v>5.4207999999999998</v>
      </c>
      <c r="H343" s="61">
        <f>10.1695* CHOOSE(CONTROL!$C$22, $C$13, 100%, $E$13)</f>
        <v>10.169499999999999</v>
      </c>
      <c r="I343" s="61">
        <f>10.1697 * CHOOSE(CONTROL!$C$22, $C$13, 100%, $E$13)</f>
        <v>10.169700000000001</v>
      </c>
      <c r="J343" s="61">
        <f>5.4206 * CHOOSE(CONTROL!$C$22, $C$13, 100%, $E$13)</f>
        <v>5.4206000000000003</v>
      </c>
      <c r="K343" s="61">
        <f>5.4208 * CHOOSE(CONTROL!$C$22, $C$13, 100%, $E$13)</f>
        <v>5.4207999999999998</v>
      </c>
    </row>
    <row r="344" spans="1:11" ht="15">
      <c r="A344" s="13">
        <v>52322</v>
      </c>
      <c r="B344" s="60">
        <f>4.9252 * CHOOSE(CONTROL!$C$22, $C$13, 100%, $E$13)</f>
        <v>4.9252000000000002</v>
      </c>
      <c r="C344" s="60">
        <f>4.9252 * CHOOSE(CONTROL!$C$22, $C$13, 100%, $E$13)</f>
        <v>4.9252000000000002</v>
      </c>
      <c r="D344" s="60">
        <f>4.9429 * CHOOSE(CONTROL!$C$22, $C$13, 100%, $E$13)</f>
        <v>4.9428999999999998</v>
      </c>
      <c r="E344" s="61">
        <f>5.484 * CHOOSE(CONTROL!$C$22, $C$13, 100%, $E$13)</f>
        <v>5.484</v>
      </c>
      <c r="F344" s="61">
        <f>5.484 * CHOOSE(CONTROL!$C$22, $C$13, 100%, $E$13)</f>
        <v>5.484</v>
      </c>
      <c r="G344" s="61">
        <f>5.4842 * CHOOSE(CONTROL!$C$22, $C$13, 100%, $E$13)</f>
        <v>5.4842000000000004</v>
      </c>
      <c r="H344" s="61">
        <f>10.1907* CHOOSE(CONTROL!$C$22, $C$13, 100%, $E$13)</f>
        <v>10.1907</v>
      </c>
      <c r="I344" s="61">
        <f>10.1909 * CHOOSE(CONTROL!$C$22, $C$13, 100%, $E$13)</f>
        <v>10.190899999999999</v>
      </c>
      <c r="J344" s="61">
        <f>5.484 * CHOOSE(CONTROL!$C$22, $C$13, 100%, $E$13)</f>
        <v>5.484</v>
      </c>
      <c r="K344" s="61">
        <f>5.4842 * CHOOSE(CONTROL!$C$22, $C$13, 100%, $E$13)</f>
        <v>5.4842000000000004</v>
      </c>
    </row>
    <row r="345" spans="1:11" ht="15">
      <c r="A345" s="13">
        <v>52352</v>
      </c>
      <c r="B345" s="60">
        <f>4.9252 * CHOOSE(CONTROL!$C$22, $C$13, 100%, $E$13)</f>
        <v>4.9252000000000002</v>
      </c>
      <c r="C345" s="60">
        <f>4.9252 * CHOOSE(CONTROL!$C$22, $C$13, 100%, $E$13)</f>
        <v>4.9252000000000002</v>
      </c>
      <c r="D345" s="60">
        <f>4.9605 * CHOOSE(CONTROL!$C$22, $C$13, 100%, $E$13)</f>
        <v>4.9604999999999997</v>
      </c>
      <c r="E345" s="61">
        <f>5.5094 * CHOOSE(CONTROL!$C$22, $C$13, 100%, $E$13)</f>
        <v>5.5094000000000003</v>
      </c>
      <c r="F345" s="61">
        <f>5.5094 * CHOOSE(CONTROL!$C$22, $C$13, 100%, $E$13)</f>
        <v>5.5094000000000003</v>
      </c>
      <c r="G345" s="61">
        <f>5.5115 * CHOOSE(CONTROL!$C$22, $C$13, 100%, $E$13)</f>
        <v>5.5114999999999998</v>
      </c>
      <c r="H345" s="61">
        <f>10.212* CHOOSE(CONTROL!$C$22, $C$13, 100%, $E$13)</f>
        <v>10.212</v>
      </c>
      <c r="I345" s="61">
        <f>10.2141 * CHOOSE(CONTROL!$C$22, $C$13, 100%, $E$13)</f>
        <v>10.2141</v>
      </c>
      <c r="J345" s="61">
        <f>5.5094 * CHOOSE(CONTROL!$C$22, $C$13, 100%, $E$13)</f>
        <v>5.5094000000000003</v>
      </c>
      <c r="K345" s="61">
        <f>5.5115 * CHOOSE(CONTROL!$C$22, $C$13, 100%, $E$13)</f>
        <v>5.5114999999999998</v>
      </c>
    </row>
    <row r="346" spans="1:11" ht="15">
      <c r="A346" s="13">
        <v>52383</v>
      </c>
      <c r="B346" s="60">
        <f>4.9313 * CHOOSE(CONTROL!$C$22, $C$13, 100%, $E$13)</f>
        <v>4.9313000000000002</v>
      </c>
      <c r="C346" s="60">
        <f>4.9313 * CHOOSE(CONTROL!$C$22, $C$13, 100%, $E$13)</f>
        <v>4.9313000000000002</v>
      </c>
      <c r="D346" s="60">
        <f>4.9666 * CHOOSE(CONTROL!$C$22, $C$13, 100%, $E$13)</f>
        <v>4.9665999999999997</v>
      </c>
      <c r="E346" s="61">
        <f>5.4882 * CHOOSE(CONTROL!$C$22, $C$13, 100%, $E$13)</f>
        <v>5.4882</v>
      </c>
      <c r="F346" s="61">
        <f>5.4882 * CHOOSE(CONTROL!$C$22, $C$13, 100%, $E$13)</f>
        <v>5.4882</v>
      </c>
      <c r="G346" s="61">
        <f>5.4904 * CHOOSE(CONTROL!$C$22, $C$13, 100%, $E$13)</f>
        <v>5.4904000000000002</v>
      </c>
      <c r="H346" s="61">
        <f>10.2332* CHOOSE(CONTROL!$C$22, $C$13, 100%, $E$13)</f>
        <v>10.2332</v>
      </c>
      <c r="I346" s="61">
        <f>10.2354 * CHOOSE(CONTROL!$C$22, $C$13, 100%, $E$13)</f>
        <v>10.2354</v>
      </c>
      <c r="J346" s="61">
        <f>5.4882 * CHOOSE(CONTROL!$C$22, $C$13, 100%, $E$13)</f>
        <v>5.4882</v>
      </c>
      <c r="K346" s="61">
        <f>5.4904 * CHOOSE(CONTROL!$C$22, $C$13, 100%, $E$13)</f>
        <v>5.4904000000000002</v>
      </c>
    </row>
    <row r="347" spans="1:11" ht="15">
      <c r="A347" s="13">
        <v>52413</v>
      </c>
      <c r="B347" s="60">
        <f>5.0083 * CHOOSE(CONTROL!$C$22, $C$13, 100%, $E$13)</f>
        <v>5.0083000000000002</v>
      </c>
      <c r="C347" s="60">
        <f>5.0083 * CHOOSE(CONTROL!$C$22, $C$13, 100%, $E$13)</f>
        <v>5.0083000000000002</v>
      </c>
      <c r="D347" s="60">
        <f>5.0436 * CHOOSE(CONTROL!$C$22, $C$13, 100%, $E$13)</f>
        <v>5.0435999999999996</v>
      </c>
      <c r="E347" s="61">
        <f>5.5951 * CHOOSE(CONTROL!$C$22, $C$13, 100%, $E$13)</f>
        <v>5.5951000000000004</v>
      </c>
      <c r="F347" s="61">
        <f>5.5951 * CHOOSE(CONTROL!$C$22, $C$13, 100%, $E$13)</f>
        <v>5.5951000000000004</v>
      </c>
      <c r="G347" s="61">
        <f>5.5973 * CHOOSE(CONTROL!$C$22, $C$13, 100%, $E$13)</f>
        <v>5.5972999999999997</v>
      </c>
      <c r="H347" s="61">
        <f>10.2545* CHOOSE(CONTROL!$C$22, $C$13, 100%, $E$13)</f>
        <v>10.2545</v>
      </c>
      <c r="I347" s="61">
        <f>10.2567 * CHOOSE(CONTROL!$C$22, $C$13, 100%, $E$13)</f>
        <v>10.2567</v>
      </c>
      <c r="J347" s="61">
        <f>5.5951 * CHOOSE(CONTROL!$C$22, $C$13, 100%, $E$13)</f>
        <v>5.5951000000000004</v>
      </c>
      <c r="K347" s="61">
        <f>5.5973 * CHOOSE(CONTROL!$C$22, $C$13, 100%, $E$13)</f>
        <v>5.5972999999999997</v>
      </c>
    </row>
    <row r="348" spans="1:11" ht="15">
      <c r="A348" s="13">
        <v>52444</v>
      </c>
      <c r="B348" s="60">
        <f>5.015 * CHOOSE(CONTROL!$C$22, $C$13, 100%, $E$13)</f>
        <v>5.0149999999999997</v>
      </c>
      <c r="C348" s="60">
        <f>5.015 * CHOOSE(CONTROL!$C$22, $C$13, 100%, $E$13)</f>
        <v>5.0149999999999997</v>
      </c>
      <c r="D348" s="60">
        <f>5.0503 * CHOOSE(CONTROL!$C$22, $C$13, 100%, $E$13)</f>
        <v>5.0503</v>
      </c>
      <c r="E348" s="61">
        <f>5.5237 * CHOOSE(CONTROL!$C$22, $C$13, 100%, $E$13)</f>
        <v>5.5236999999999998</v>
      </c>
      <c r="F348" s="61">
        <f>5.5237 * CHOOSE(CONTROL!$C$22, $C$13, 100%, $E$13)</f>
        <v>5.5236999999999998</v>
      </c>
      <c r="G348" s="61">
        <f>5.5259 * CHOOSE(CONTROL!$C$22, $C$13, 100%, $E$13)</f>
        <v>5.5259</v>
      </c>
      <c r="H348" s="61">
        <f>10.2759* CHOOSE(CONTROL!$C$22, $C$13, 100%, $E$13)</f>
        <v>10.2759</v>
      </c>
      <c r="I348" s="61">
        <f>10.2781 * CHOOSE(CONTROL!$C$22, $C$13, 100%, $E$13)</f>
        <v>10.2781</v>
      </c>
      <c r="J348" s="61">
        <f>5.5237 * CHOOSE(CONTROL!$C$22, $C$13, 100%, $E$13)</f>
        <v>5.5236999999999998</v>
      </c>
      <c r="K348" s="61">
        <f>5.5259 * CHOOSE(CONTROL!$C$22, $C$13, 100%, $E$13)</f>
        <v>5.5259</v>
      </c>
    </row>
    <row r="349" spans="1:11" ht="15">
      <c r="A349" s="13">
        <v>52475</v>
      </c>
      <c r="B349" s="60">
        <f>5.012 * CHOOSE(CONTROL!$C$22, $C$13, 100%, $E$13)</f>
        <v>5.0119999999999996</v>
      </c>
      <c r="C349" s="60">
        <f>5.012 * CHOOSE(CONTROL!$C$22, $C$13, 100%, $E$13)</f>
        <v>5.0119999999999996</v>
      </c>
      <c r="D349" s="60">
        <f>5.0473 * CHOOSE(CONTROL!$C$22, $C$13, 100%, $E$13)</f>
        <v>5.0472999999999999</v>
      </c>
      <c r="E349" s="61">
        <f>5.5131 * CHOOSE(CONTROL!$C$22, $C$13, 100%, $E$13)</f>
        <v>5.5130999999999997</v>
      </c>
      <c r="F349" s="61">
        <f>5.5131 * CHOOSE(CONTROL!$C$22, $C$13, 100%, $E$13)</f>
        <v>5.5130999999999997</v>
      </c>
      <c r="G349" s="61">
        <f>5.5153 * CHOOSE(CONTROL!$C$22, $C$13, 100%, $E$13)</f>
        <v>5.5152999999999999</v>
      </c>
      <c r="H349" s="61">
        <f>10.2973* CHOOSE(CONTROL!$C$22, $C$13, 100%, $E$13)</f>
        <v>10.2973</v>
      </c>
      <c r="I349" s="61">
        <f>10.2995 * CHOOSE(CONTROL!$C$22, $C$13, 100%, $E$13)</f>
        <v>10.2995</v>
      </c>
      <c r="J349" s="61">
        <f>5.5131 * CHOOSE(CONTROL!$C$22, $C$13, 100%, $E$13)</f>
        <v>5.5130999999999997</v>
      </c>
      <c r="K349" s="61">
        <f>5.5153 * CHOOSE(CONTROL!$C$22, $C$13, 100%, $E$13)</f>
        <v>5.5152999999999999</v>
      </c>
    </row>
    <row r="350" spans="1:11" ht="15">
      <c r="A350" s="13">
        <v>52505</v>
      </c>
      <c r="B350" s="60">
        <f>5.011 * CHOOSE(CONTROL!$C$22, $C$13, 100%, $E$13)</f>
        <v>5.0110000000000001</v>
      </c>
      <c r="C350" s="60">
        <f>5.011 * CHOOSE(CONTROL!$C$22, $C$13, 100%, $E$13)</f>
        <v>5.0110000000000001</v>
      </c>
      <c r="D350" s="60">
        <f>5.0286 * CHOOSE(CONTROL!$C$22, $C$13, 100%, $E$13)</f>
        <v>5.0286</v>
      </c>
      <c r="E350" s="61">
        <f>5.5335 * CHOOSE(CONTROL!$C$22, $C$13, 100%, $E$13)</f>
        <v>5.5335000000000001</v>
      </c>
      <c r="F350" s="61">
        <f>5.5335 * CHOOSE(CONTROL!$C$22, $C$13, 100%, $E$13)</f>
        <v>5.5335000000000001</v>
      </c>
      <c r="G350" s="61">
        <f>5.5337 * CHOOSE(CONTROL!$C$22, $C$13, 100%, $E$13)</f>
        <v>5.5336999999999996</v>
      </c>
      <c r="H350" s="61">
        <f>10.3188* CHOOSE(CONTROL!$C$22, $C$13, 100%, $E$13)</f>
        <v>10.3188</v>
      </c>
      <c r="I350" s="61">
        <f>10.319 * CHOOSE(CONTROL!$C$22, $C$13, 100%, $E$13)</f>
        <v>10.319000000000001</v>
      </c>
      <c r="J350" s="61">
        <f>5.5335 * CHOOSE(CONTROL!$C$22, $C$13, 100%, $E$13)</f>
        <v>5.5335000000000001</v>
      </c>
      <c r="K350" s="61">
        <f>5.5337 * CHOOSE(CONTROL!$C$22, $C$13, 100%, $E$13)</f>
        <v>5.5336999999999996</v>
      </c>
    </row>
    <row r="351" spans="1:11" ht="15">
      <c r="A351" s="13">
        <v>52536</v>
      </c>
      <c r="B351" s="60">
        <f>5.014 * CHOOSE(CONTROL!$C$22, $C$13, 100%, $E$13)</f>
        <v>5.0140000000000002</v>
      </c>
      <c r="C351" s="60">
        <f>5.014 * CHOOSE(CONTROL!$C$22, $C$13, 100%, $E$13)</f>
        <v>5.0140000000000002</v>
      </c>
      <c r="D351" s="60">
        <f>5.0317 * CHOOSE(CONTROL!$C$22, $C$13, 100%, $E$13)</f>
        <v>5.0316999999999998</v>
      </c>
      <c r="E351" s="61">
        <f>5.5525 * CHOOSE(CONTROL!$C$22, $C$13, 100%, $E$13)</f>
        <v>5.5525000000000002</v>
      </c>
      <c r="F351" s="61">
        <f>5.5525 * CHOOSE(CONTROL!$C$22, $C$13, 100%, $E$13)</f>
        <v>5.5525000000000002</v>
      </c>
      <c r="G351" s="61">
        <f>5.5527 * CHOOSE(CONTROL!$C$22, $C$13, 100%, $E$13)</f>
        <v>5.5526999999999997</v>
      </c>
      <c r="H351" s="61">
        <f>10.3403* CHOOSE(CONTROL!$C$22, $C$13, 100%, $E$13)</f>
        <v>10.340299999999999</v>
      </c>
      <c r="I351" s="61">
        <f>10.3404 * CHOOSE(CONTROL!$C$22, $C$13, 100%, $E$13)</f>
        <v>10.340400000000001</v>
      </c>
      <c r="J351" s="61">
        <f>5.5525 * CHOOSE(CONTROL!$C$22, $C$13, 100%, $E$13)</f>
        <v>5.5525000000000002</v>
      </c>
      <c r="K351" s="61">
        <f>5.5527 * CHOOSE(CONTROL!$C$22, $C$13, 100%, $E$13)</f>
        <v>5.5526999999999997</v>
      </c>
    </row>
    <row r="352" spans="1:11" ht="15">
      <c r="A352" s="13">
        <v>52566</v>
      </c>
      <c r="B352" s="60">
        <f>5.014 * CHOOSE(CONTROL!$C$22, $C$13, 100%, $E$13)</f>
        <v>5.0140000000000002</v>
      </c>
      <c r="C352" s="60">
        <f>5.014 * CHOOSE(CONTROL!$C$22, $C$13, 100%, $E$13)</f>
        <v>5.0140000000000002</v>
      </c>
      <c r="D352" s="60">
        <f>5.0317 * CHOOSE(CONTROL!$C$22, $C$13, 100%, $E$13)</f>
        <v>5.0316999999999998</v>
      </c>
      <c r="E352" s="61">
        <f>5.5103 * CHOOSE(CONTROL!$C$22, $C$13, 100%, $E$13)</f>
        <v>5.5103</v>
      </c>
      <c r="F352" s="61">
        <f>5.5103 * CHOOSE(CONTROL!$C$22, $C$13, 100%, $E$13)</f>
        <v>5.5103</v>
      </c>
      <c r="G352" s="61">
        <f>5.5105 * CHOOSE(CONTROL!$C$22, $C$13, 100%, $E$13)</f>
        <v>5.5105000000000004</v>
      </c>
      <c r="H352" s="61">
        <f>10.3618* CHOOSE(CONTROL!$C$22, $C$13, 100%, $E$13)</f>
        <v>10.361800000000001</v>
      </c>
      <c r="I352" s="61">
        <f>10.362 * CHOOSE(CONTROL!$C$22, $C$13, 100%, $E$13)</f>
        <v>10.362</v>
      </c>
      <c r="J352" s="61">
        <f>5.5103 * CHOOSE(CONTROL!$C$22, $C$13, 100%, $E$13)</f>
        <v>5.5103</v>
      </c>
      <c r="K352" s="61">
        <f>5.5105 * CHOOSE(CONTROL!$C$22, $C$13, 100%, $E$13)</f>
        <v>5.5105000000000004</v>
      </c>
    </row>
    <row r="353" spans="1:11" ht="15">
      <c r="A353" s="13">
        <v>52597</v>
      </c>
      <c r="B353" s="60">
        <f>5.0576 * CHOOSE(CONTROL!$C$22, $C$13, 100%, $E$13)</f>
        <v>5.0575999999999999</v>
      </c>
      <c r="C353" s="60">
        <f>5.0576 * CHOOSE(CONTROL!$C$22, $C$13, 100%, $E$13)</f>
        <v>5.0575999999999999</v>
      </c>
      <c r="D353" s="60">
        <f>5.0753 * CHOOSE(CONTROL!$C$22, $C$13, 100%, $E$13)</f>
        <v>5.0753000000000004</v>
      </c>
      <c r="E353" s="61">
        <f>5.5945 * CHOOSE(CONTROL!$C$22, $C$13, 100%, $E$13)</f>
        <v>5.5945</v>
      </c>
      <c r="F353" s="61">
        <f>5.5945 * CHOOSE(CONTROL!$C$22, $C$13, 100%, $E$13)</f>
        <v>5.5945</v>
      </c>
      <c r="G353" s="61">
        <f>5.5946 * CHOOSE(CONTROL!$C$22, $C$13, 100%, $E$13)</f>
        <v>5.5945999999999998</v>
      </c>
      <c r="H353" s="61">
        <f>10.3834* CHOOSE(CONTROL!$C$22, $C$13, 100%, $E$13)</f>
        <v>10.3834</v>
      </c>
      <c r="I353" s="61">
        <f>10.3836 * CHOOSE(CONTROL!$C$22, $C$13, 100%, $E$13)</f>
        <v>10.383599999999999</v>
      </c>
      <c r="J353" s="61">
        <f>5.5945 * CHOOSE(CONTROL!$C$22, $C$13, 100%, $E$13)</f>
        <v>5.5945</v>
      </c>
      <c r="K353" s="61">
        <f>5.5946 * CHOOSE(CONTROL!$C$22, $C$13, 100%, $E$13)</f>
        <v>5.5945999999999998</v>
      </c>
    </row>
    <row r="354" spans="1:11" ht="15">
      <c r="A354" s="13">
        <v>52628</v>
      </c>
      <c r="B354" s="60">
        <f>5.0546 * CHOOSE(CONTROL!$C$22, $C$13, 100%, $E$13)</f>
        <v>5.0545999999999998</v>
      </c>
      <c r="C354" s="60">
        <f>5.0546 * CHOOSE(CONTROL!$C$22, $C$13, 100%, $E$13)</f>
        <v>5.0545999999999998</v>
      </c>
      <c r="D354" s="60">
        <f>5.0722 * CHOOSE(CONTROL!$C$22, $C$13, 100%, $E$13)</f>
        <v>5.0721999999999996</v>
      </c>
      <c r="E354" s="61">
        <f>5.5099 * CHOOSE(CONTROL!$C$22, $C$13, 100%, $E$13)</f>
        <v>5.5099</v>
      </c>
      <c r="F354" s="61">
        <f>5.5099 * CHOOSE(CONTROL!$C$22, $C$13, 100%, $E$13)</f>
        <v>5.5099</v>
      </c>
      <c r="G354" s="61">
        <f>5.5101 * CHOOSE(CONTROL!$C$22, $C$13, 100%, $E$13)</f>
        <v>5.5101000000000004</v>
      </c>
      <c r="H354" s="61">
        <f>10.405* CHOOSE(CONTROL!$C$22, $C$13, 100%, $E$13)</f>
        <v>10.404999999999999</v>
      </c>
      <c r="I354" s="61">
        <f>10.4052 * CHOOSE(CONTROL!$C$22, $C$13, 100%, $E$13)</f>
        <v>10.405200000000001</v>
      </c>
      <c r="J354" s="61">
        <f>5.5099 * CHOOSE(CONTROL!$C$22, $C$13, 100%, $E$13)</f>
        <v>5.5099</v>
      </c>
      <c r="K354" s="61">
        <f>5.5101 * CHOOSE(CONTROL!$C$22, $C$13, 100%, $E$13)</f>
        <v>5.5101000000000004</v>
      </c>
    </row>
    <row r="355" spans="1:11" ht="15">
      <c r="A355" s="13">
        <v>52657</v>
      </c>
      <c r="B355" s="60">
        <f>5.0515 * CHOOSE(CONTROL!$C$22, $C$13, 100%, $E$13)</f>
        <v>5.0514999999999999</v>
      </c>
      <c r="C355" s="60">
        <f>5.0515 * CHOOSE(CONTROL!$C$22, $C$13, 100%, $E$13)</f>
        <v>5.0514999999999999</v>
      </c>
      <c r="D355" s="60">
        <f>5.0692 * CHOOSE(CONTROL!$C$22, $C$13, 100%, $E$13)</f>
        <v>5.0692000000000004</v>
      </c>
      <c r="E355" s="61">
        <f>5.5728 * CHOOSE(CONTROL!$C$22, $C$13, 100%, $E$13)</f>
        <v>5.5728</v>
      </c>
      <c r="F355" s="61">
        <f>5.5728 * CHOOSE(CONTROL!$C$22, $C$13, 100%, $E$13)</f>
        <v>5.5728</v>
      </c>
      <c r="G355" s="61">
        <f>5.573 * CHOOSE(CONTROL!$C$22, $C$13, 100%, $E$13)</f>
        <v>5.5730000000000004</v>
      </c>
      <c r="H355" s="61">
        <f>10.4267* CHOOSE(CONTROL!$C$22, $C$13, 100%, $E$13)</f>
        <v>10.4267</v>
      </c>
      <c r="I355" s="61">
        <f>10.4269 * CHOOSE(CONTROL!$C$22, $C$13, 100%, $E$13)</f>
        <v>10.4269</v>
      </c>
      <c r="J355" s="61">
        <f>5.5728 * CHOOSE(CONTROL!$C$22, $C$13, 100%, $E$13)</f>
        <v>5.5728</v>
      </c>
      <c r="K355" s="61">
        <f>5.573 * CHOOSE(CONTROL!$C$22, $C$13, 100%, $E$13)</f>
        <v>5.5730000000000004</v>
      </c>
    </row>
    <row r="356" spans="1:11" ht="15">
      <c r="A356" s="13">
        <v>52688</v>
      </c>
      <c r="B356" s="60">
        <f>5.0502 * CHOOSE(CONTROL!$C$22, $C$13, 100%, $E$13)</f>
        <v>5.0502000000000002</v>
      </c>
      <c r="C356" s="60">
        <f>5.0502 * CHOOSE(CONTROL!$C$22, $C$13, 100%, $E$13)</f>
        <v>5.0502000000000002</v>
      </c>
      <c r="D356" s="60">
        <f>5.0679 * CHOOSE(CONTROL!$C$22, $C$13, 100%, $E$13)</f>
        <v>5.0678999999999998</v>
      </c>
      <c r="E356" s="61">
        <f>5.6383 * CHOOSE(CONTROL!$C$22, $C$13, 100%, $E$13)</f>
        <v>5.6383000000000001</v>
      </c>
      <c r="F356" s="61">
        <f>5.6383 * CHOOSE(CONTROL!$C$22, $C$13, 100%, $E$13)</f>
        <v>5.6383000000000001</v>
      </c>
      <c r="G356" s="61">
        <f>5.6385 * CHOOSE(CONTROL!$C$22, $C$13, 100%, $E$13)</f>
        <v>5.6384999999999996</v>
      </c>
      <c r="H356" s="61">
        <f>10.4484* CHOOSE(CONTROL!$C$22, $C$13, 100%, $E$13)</f>
        <v>10.448399999999999</v>
      </c>
      <c r="I356" s="61">
        <f>10.4486 * CHOOSE(CONTROL!$C$22, $C$13, 100%, $E$13)</f>
        <v>10.448600000000001</v>
      </c>
      <c r="J356" s="61">
        <f>5.6383 * CHOOSE(CONTROL!$C$22, $C$13, 100%, $E$13)</f>
        <v>5.6383000000000001</v>
      </c>
      <c r="K356" s="61">
        <f>5.6385 * CHOOSE(CONTROL!$C$22, $C$13, 100%, $E$13)</f>
        <v>5.6384999999999996</v>
      </c>
    </row>
    <row r="357" spans="1:11" ht="15">
      <c r="A357" s="13">
        <v>52718</v>
      </c>
      <c r="B357" s="60">
        <f>5.0502 * CHOOSE(CONTROL!$C$22, $C$13, 100%, $E$13)</f>
        <v>5.0502000000000002</v>
      </c>
      <c r="C357" s="60">
        <f>5.0502 * CHOOSE(CONTROL!$C$22, $C$13, 100%, $E$13)</f>
        <v>5.0502000000000002</v>
      </c>
      <c r="D357" s="60">
        <f>5.0856 * CHOOSE(CONTROL!$C$22, $C$13, 100%, $E$13)</f>
        <v>5.0856000000000003</v>
      </c>
      <c r="E357" s="61">
        <f>5.6645 * CHOOSE(CONTROL!$C$22, $C$13, 100%, $E$13)</f>
        <v>5.6645000000000003</v>
      </c>
      <c r="F357" s="61">
        <f>5.6645 * CHOOSE(CONTROL!$C$22, $C$13, 100%, $E$13)</f>
        <v>5.6645000000000003</v>
      </c>
      <c r="G357" s="61">
        <f>5.6667 * CHOOSE(CONTROL!$C$22, $C$13, 100%, $E$13)</f>
        <v>5.6666999999999996</v>
      </c>
      <c r="H357" s="61">
        <f>10.4702* CHOOSE(CONTROL!$C$22, $C$13, 100%, $E$13)</f>
        <v>10.4702</v>
      </c>
      <c r="I357" s="61">
        <f>10.4724 * CHOOSE(CONTROL!$C$22, $C$13, 100%, $E$13)</f>
        <v>10.4724</v>
      </c>
      <c r="J357" s="61">
        <f>5.6645 * CHOOSE(CONTROL!$C$22, $C$13, 100%, $E$13)</f>
        <v>5.6645000000000003</v>
      </c>
      <c r="K357" s="61">
        <f>5.6667 * CHOOSE(CONTROL!$C$22, $C$13, 100%, $E$13)</f>
        <v>5.6666999999999996</v>
      </c>
    </row>
    <row r="358" spans="1:11" ht="15">
      <c r="A358" s="13">
        <v>52749</v>
      </c>
      <c r="B358" s="60">
        <f>5.0563 * CHOOSE(CONTROL!$C$22, $C$13, 100%, $E$13)</f>
        <v>5.0563000000000002</v>
      </c>
      <c r="C358" s="60">
        <f>5.0563 * CHOOSE(CONTROL!$C$22, $C$13, 100%, $E$13)</f>
        <v>5.0563000000000002</v>
      </c>
      <c r="D358" s="60">
        <f>5.0916 * CHOOSE(CONTROL!$C$22, $C$13, 100%, $E$13)</f>
        <v>5.0915999999999997</v>
      </c>
      <c r="E358" s="61">
        <f>5.6426 * CHOOSE(CONTROL!$C$22, $C$13, 100%, $E$13)</f>
        <v>5.6425999999999998</v>
      </c>
      <c r="F358" s="61">
        <f>5.6426 * CHOOSE(CONTROL!$C$22, $C$13, 100%, $E$13)</f>
        <v>5.6425999999999998</v>
      </c>
      <c r="G358" s="61">
        <f>5.6447 * CHOOSE(CONTROL!$C$22, $C$13, 100%, $E$13)</f>
        <v>5.6447000000000003</v>
      </c>
      <c r="H358" s="61">
        <f>10.492* CHOOSE(CONTROL!$C$22, $C$13, 100%, $E$13)</f>
        <v>10.492000000000001</v>
      </c>
      <c r="I358" s="61">
        <f>10.4942 * CHOOSE(CONTROL!$C$22, $C$13, 100%, $E$13)</f>
        <v>10.494199999999999</v>
      </c>
      <c r="J358" s="61">
        <f>5.6426 * CHOOSE(CONTROL!$C$22, $C$13, 100%, $E$13)</f>
        <v>5.6425999999999998</v>
      </c>
      <c r="K358" s="61">
        <f>5.6447 * CHOOSE(CONTROL!$C$22, $C$13, 100%, $E$13)</f>
        <v>5.6447000000000003</v>
      </c>
    </row>
    <row r="359" spans="1:11" ht="15">
      <c r="A359" s="13">
        <v>52779</v>
      </c>
      <c r="B359" s="60">
        <f>5.1354 * CHOOSE(CONTROL!$C$22, $C$13, 100%, $E$13)</f>
        <v>5.1353999999999997</v>
      </c>
      <c r="C359" s="60">
        <f>5.1354 * CHOOSE(CONTROL!$C$22, $C$13, 100%, $E$13)</f>
        <v>5.1353999999999997</v>
      </c>
      <c r="D359" s="60">
        <f>5.1707 * CHOOSE(CONTROL!$C$22, $C$13, 100%, $E$13)</f>
        <v>5.1707000000000001</v>
      </c>
      <c r="E359" s="61">
        <f>5.7521 * CHOOSE(CONTROL!$C$22, $C$13, 100%, $E$13)</f>
        <v>5.7521000000000004</v>
      </c>
      <c r="F359" s="61">
        <f>5.7521 * CHOOSE(CONTROL!$C$22, $C$13, 100%, $E$13)</f>
        <v>5.7521000000000004</v>
      </c>
      <c r="G359" s="61">
        <f>5.7543 * CHOOSE(CONTROL!$C$22, $C$13, 100%, $E$13)</f>
        <v>5.7542999999999997</v>
      </c>
      <c r="H359" s="61">
        <f>10.5139* CHOOSE(CONTROL!$C$22, $C$13, 100%, $E$13)</f>
        <v>10.5139</v>
      </c>
      <c r="I359" s="61">
        <f>10.5161 * CHOOSE(CONTROL!$C$22, $C$13, 100%, $E$13)</f>
        <v>10.5161</v>
      </c>
      <c r="J359" s="61">
        <f>5.7521 * CHOOSE(CONTROL!$C$22, $C$13, 100%, $E$13)</f>
        <v>5.7521000000000004</v>
      </c>
      <c r="K359" s="61">
        <f>5.7543 * CHOOSE(CONTROL!$C$22, $C$13, 100%, $E$13)</f>
        <v>5.7542999999999997</v>
      </c>
    </row>
    <row r="360" spans="1:11" ht="15">
      <c r="A360" s="13">
        <v>52810</v>
      </c>
      <c r="B360" s="60">
        <f>5.142 * CHOOSE(CONTROL!$C$22, $C$13, 100%, $E$13)</f>
        <v>5.1420000000000003</v>
      </c>
      <c r="C360" s="60">
        <f>5.142 * CHOOSE(CONTROL!$C$22, $C$13, 100%, $E$13)</f>
        <v>5.1420000000000003</v>
      </c>
      <c r="D360" s="60">
        <f>5.1774 * CHOOSE(CONTROL!$C$22, $C$13, 100%, $E$13)</f>
        <v>5.1773999999999996</v>
      </c>
      <c r="E360" s="61">
        <f>5.6783 * CHOOSE(CONTROL!$C$22, $C$13, 100%, $E$13)</f>
        <v>5.6783000000000001</v>
      </c>
      <c r="F360" s="61">
        <f>5.6783 * CHOOSE(CONTROL!$C$22, $C$13, 100%, $E$13)</f>
        <v>5.6783000000000001</v>
      </c>
      <c r="G360" s="61">
        <f>5.6805 * CHOOSE(CONTROL!$C$22, $C$13, 100%, $E$13)</f>
        <v>5.6805000000000003</v>
      </c>
      <c r="H360" s="61">
        <f>10.5358* CHOOSE(CONTROL!$C$22, $C$13, 100%, $E$13)</f>
        <v>10.5358</v>
      </c>
      <c r="I360" s="61">
        <f>10.538 * CHOOSE(CONTROL!$C$22, $C$13, 100%, $E$13)</f>
        <v>10.538</v>
      </c>
      <c r="J360" s="61">
        <f>5.6783 * CHOOSE(CONTROL!$C$22, $C$13, 100%, $E$13)</f>
        <v>5.6783000000000001</v>
      </c>
      <c r="K360" s="61">
        <f>5.6805 * CHOOSE(CONTROL!$C$22, $C$13, 100%, $E$13)</f>
        <v>5.6805000000000003</v>
      </c>
    </row>
    <row r="361" spans="1:11" ht="15">
      <c r="A361" s="13">
        <v>52841</v>
      </c>
      <c r="B361" s="60">
        <f>5.139 * CHOOSE(CONTROL!$C$22, $C$13, 100%, $E$13)</f>
        <v>5.1390000000000002</v>
      </c>
      <c r="C361" s="60">
        <f>5.139 * CHOOSE(CONTROL!$C$22, $C$13, 100%, $E$13)</f>
        <v>5.1390000000000002</v>
      </c>
      <c r="D361" s="60">
        <f>5.1743 * CHOOSE(CONTROL!$C$22, $C$13, 100%, $E$13)</f>
        <v>5.1742999999999997</v>
      </c>
      <c r="E361" s="61">
        <f>5.6674 * CHOOSE(CONTROL!$C$22, $C$13, 100%, $E$13)</f>
        <v>5.6673999999999998</v>
      </c>
      <c r="F361" s="61">
        <f>5.6674 * CHOOSE(CONTROL!$C$22, $C$13, 100%, $E$13)</f>
        <v>5.6673999999999998</v>
      </c>
      <c r="G361" s="61">
        <f>5.6696 * CHOOSE(CONTROL!$C$22, $C$13, 100%, $E$13)</f>
        <v>5.6696</v>
      </c>
      <c r="H361" s="61">
        <f>10.5577* CHOOSE(CONTROL!$C$22, $C$13, 100%, $E$13)</f>
        <v>10.557700000000001</v>
      </c>
      <c r="I361" s="61">
        <f>10.5599 * CHOOSE(CONTROL!$C$22, $C$13, 100%, $E$13)</f>
        <v>10.559900000000001</v>
      </c>
      <c r="J361" s="61">
        <f>5.6674 * CHOOSE(CONTROL!$C$22, $C$13, 100%, $E$13)</f>
        <v>5.6673999999999998</v>
      </c>
      <c r="K361" s="61">
        <f>5.6696 * CHOOSE(CONTROL!$C$22, $C$13, 100%, $E$13)</f>
        <v>5.6696</v>
      </c>
    </row>
    <row r="362" spans="1:11" ht="15">
      <c r="A362" s="13">
        <v>52871</v>
      </c>
      <c r="B362" s="60">
        <f>5.1385 * CHOOSE(CONTROL!$C$22, $C$13, 100%, $E$13)</f>
        <v>5.1384999999999996</v>
      </c>
      <c r="C362" s="60">
        <f>5.1385 * CHOOSE(CONTROL!$C$22, $C$13, 100%, $E$13)</f>
        <v>5.1384999999999996</v>
      </c>
      <c r="D362" s="60">
        <f>5.1562 * CHOOSE(CONTROL!$C$22, $C$13, 100%, $E$13)</f>
        <v>5.1562000000000001</v>
      </c>
      <c r="E362" s="61">
        <f>5.6889 * CHOOSE(CONTROL!$C$22, $C$13, 100%, $E$13)</f>
        <v>5.6889000000000003</v>
      </c>
      <c r="F362" s="61">
        <f>5.6889 * CHOOSE(CONTROL!$C$22, $C$13, 100%, $E$13)</f>
        <v>5.6889000000000003</v>
      </c>
      <c r="G362" s="61">
        <f>5.6891 * CHOOSE(CONTROL!$C$22, $C$13, 100%, $E$13)</f>
        <v>5.6890999999999998</v>
      </c>
      <c r="H362" s="61">
        <f>10.5797* CHOOSE(CONTROL!$C$22, $C$13, 100%, $E$13)</f>
        <v>10.579700000000001</v>
      </c>
      <c r="I362" s="61">
        <f>10.5799 * CHOOSE(CONTROL!$C$22, $C$13, 100%, $E$13)</f>
        <v>10.5799</v>
      </c>
      <c r="J362" s="61">
        <f>5.6889 * CHOOSE(CONTROL!$C$22, $C$13, 100%, $E$13)</f>
        <v>5.6889000000000003</v>
      </c>
      <c r="K362" s="61">
        <f>5.6891 * CHOOSE(CONTROL!$C$22, $C$13, 100%, $E$13)</f>
        <v>5.6890999999999998</v>
      </c>
    </row>
    <row r="363" spans="1:11" ht="15">
      <c r="A363" s="13">
        <v>52902</v>
      </c>
      <c r="B363" s="60">
        <f>5.1415 * CHOOSE(CONTROL!$C$22, $C$13, 100%, $E$13)</f>
        <v>5.1414999999999997</v>
      </c>
      <c r="C363" s="60">
        <f>5.1415 * CHOOSE(CONTROL!$C$22, $C$13, 100%, $E$13)</f>
        <v>5.1414999999999997</v>
      </c>
      <c r="D363" s="60">
        <f>5.1592 * CHOOSE(CONTROL!$C$22, $C$13, 100%, $E$13)</f>
        <v>5.1592000000000002</v>
      </c>
      <c r="E363" s="61">
        <f>5.7085 * CHOOSE(CONTROL!$C$22, $C$13, 100%, $E$13)</f>
        <v>5.7084999999999999</v>
      </c>
      <c r="F363" s="61">
        <f>5.7085 * CHOOSE(CONTROL!$C$22, $C$13, 100%, $E$13)</f>
        <v>5.7084999999999999</v>
      </c>
      <c r="G363" s="61">
        <f>5.7087 * CHOOSE(CONTROL!$C$22, $C$13, 100%, $E$13)</f>
        <v>5.7087000000000003</v>
      </c>
      <c r="H363" s="61">
        <f>10.6018* CHOOSE(CONTROL!$C$22, $C$13, 100%, $E$13)</f>
        <v>10.601800000000001</v>
      </c>
      <c r="I363" s="61">
        <f>10.6019 * CHOOSE(CONTROL!$C$22, $C$13, 100%, $E$13)</f>
        <v>10.601900000000001</v>
      </c>
      <c r="J363" s="61">
        <f>5.7085 * CHOOSE(CONTROL!$C$22, $C$13, 100%, $E$13)</f>
        <v>5.7084999999999999</v>
      </c>
      <c r="K363" s="61">
        <f>5.7087 * CHOOSE(CONTROL!$C$22, $C$13, 100%, $E$13)</f>
        <v>5.7087000000000003</v>
      </c>
    </row>
    <row r="364" spans="1:11" ht="15">
      <c r="A364" s="13">
        <v>52932</v>
      </c>
      <c r="B364" s="60">
        <f>5.1415 * CHOOSE(CONTROL!$C$22, $C$13, 100%, $E$13)</f>
        <v>5.1414999999999997</v>
      </c>
      <c r="C364" s="60">
        <f>5.1415 * CHOOSE(CONTROL!$C$22, $C$13, 100%, $E$13)</f>
        <v>5.1414999999999997</v>
      </c>
      <c r="D364" s="60">
        <f>5.1592 * CHOOSE(CONTROL!$C$22, $C$13, 100%, $E$13)</f>
        <v>5.1592000000000002</v>
      </c>
      <c r="E364" s="61">
        <f>5.6649 * CHOOSE(CONTROL!$C$22, $C$13, 100%, $E$13)</f>
        <v>5.6649000000000003</v>
      </c>
      <c r="F364" s="61">
        <f>5.6649 * CHOOSE(CONTROL!$C$22, $C$13, 100%, $E$13)</f>
        <v>5.6649000000000003</v>
      </c>
      <c r="G364" s="61">
        <f>5.665 * CHOOSE(CONTROL!$C$22, $C$13, 100%, $E$13)</f>
        <v>5.665</v>
      </c>
      <c r="H364" s="61">
        <f>10.6238* CHOOSE(CONTROL!$C$22, $C$13, 100%, $E$13)</f>
        <v>10.623799999999999</v>
      </c>
      <c r="I364" s="61">
        <f>10.624 * CHOOSE(CONTROL!$C$22, $C$13, 100%, $E$13)</f>
        <v>10.624000000000001</v>
      </c>
      <c r="J364" s="61">
        <f>5.6649 * CHOOSE(CONTROL!$C$22, $C$13, 100%, $E$13)</f>
        <v>5.6649000000000003</v>
      </c>
      <c r="K364" s="61">
        <f>5.665 * CHOOSE(CONTROL!$C$22, $C$13, 100%, $E$13)</f>
        <v>5.665</v>
      </c>
    </row>
    <row r="365" spans="1:11" ht="15">
      <c r="A365" s="13">
        <v>52963</v>
      </c>
      <c r="B365" s="60">
        <f>5.186 * CHOOSE(CONTROL!$C$22, $C$13, 100%, $E$13)</f>
        <v>5.1859999999999999</v>
      </c>
      <c r="C365" s="60">
        <f>5.186 * CHOOSE(CONTROL!$C$22, $C$13, 100%, $E$13)</f>
        <v>5.1859999999999999</v>
      </c>
      <c r="D365" s="60">
        <f>5.2037 * CHOOSE(CONTROL!$C$22, $C$13, 100%, $E$13)</f>
        <v>5.2037000000000004</v>
      </c>
      <c r="E365" s="61">
        <f>5.7515 * CHOOSE(CONTROL!$C$22, $C$13, 100%, $E$13)</f>
        <v>5.7515000000000001</v>
      </c>
      <c r="F365" s="61">
        <f>5.7515 * CHOOSE(CONTROL!$C$22, $C$13, 100%, $E$13)</f>
        <v>5.7515000000000001</v>
      </c>
      <c r="G365" s="61">
        <f>5.7516 * CHOOSE(CONTROL!$C$22, $C$13, 100%, $E$13)</f>
        <v>5.7515999999999998</v>
      </c>
      <c r="H365" s="61">
        <f>10.646* CHOOSE(CONTROL!$C$22, $C$13, 100%, $E$13)</f>
        <v>10.646000000000001</v>
      </c>
      <c r="I365" s="61">
        <f>10.6462 * CHOOSE(CONTROL!$C$22, $C$13, 100%, $E$13)</f>
        <v>10.6462</v>
      </c>
      <c r="J365" s="61">
        <f>5.7515 * CHOOSE(CONTROL!$C$22, $C$13, 100%, $E$13)</f>
        <v>5.7515000000000001</v>
      </c>
      <c r="K365" s="61">
        <f>5.7516 * CHOOSE(CONTROL!$C$22, $C$13, 100%, $E$13)</f>
        <v>5.7515999999999998</v>
      </c>
    </row>
    <row r="366" spans="1:11" ht="15">
      <c r="A366" s="13">
        <v>52994</v>
      </c>
      <c r="B366" s="60">
        <f>5.183 * CHOOSE(CONTROL!$C$22, $C$13, 100%, $E$13)</f>
        <v>5.1829999999999998</v>
      </c>
      <c r="C366" s="60">
        <f>5.183 * CHOOSE(CONTROL!$C$22, $C$13, 100%, $E$13)</f>
        <v>5.1829999999999998</v>
      </c>
      <c r="D366" s="60">
        <f>5.2006 * CHOOSE(CONTROL!$C$22, $C$13, 100%, $E$13)</f>
        <v>5.2005999999999997</v>
      </c>
      <c r="E366" s="61">
        <f>5.6643 * CHOOSE(CONTROL!$C$22, $C$13, 100%, $E$13)</f>
        <v>5.6642999999999999</v>
      </c>
      <c r="F366" s="61">
        <f>5.6643 * CHOOSE(CONTROL!$C$22, $C$13, 100%, $E$13)</f>
        <v>5.6642999999999999</v>
      </c>
      <c r="G366" s="61">
        <f>5.6645 * CHOOSE(CONTROL!$C$22, $C$13, 100%, $E$13)</f>
        <v>5.6645000000000003</v>
      </c>
      <c r="H366" s="61">
        <f>10.6682* CHOOSE(CONTROL!$C$22, $C$13, 100%, $E$13)</f>
        <v>10.668200000000001</v>
      </c>
      <c r="I366" s="61">
        <f>10.6683 * CHOOSE(CONTROL!$C$22, $C$13, 100%, $E$13)</f>
        <v>10.6683</v>
      </c>
      <c r="J366" s="61">
        <f>5.6643 * CHOOSE(CONTROL!$C$22, $C$13, 100%, $E$13)</f>
        <v>5.6642999999999999</v>
      </c>
      <c r="K366" s="61">
        <f>5.6645 * CHOOSE(CONTROL!$C$22, $C$13, 100%, $E$13)</f>
        <v>5.6645000000000003</v>
      </c>
    </row>
    <row r="367" spans="1:11" ht="15">
      <c r="A367" s="13">
        <v>53022</v>
      </c>
      <c r="B367" s="60">
        <f>5.1799 * CHOOSE(CONTROL!$C$22, $C$13, 100%, $E$13)</f>
        <v>5.1798999999999999</v>
      </c>
      <c r="C367" s="60">
        <f>5.1799 * CHOOSE(CONTROL!$C$22, $C$13, 100%, $E$13)</f>
        <v>5.1798999999999999</v>
      </c>
      <c r="D367" s="60">
        <f>5.1976 * CHOOSE(CONTROL!$C$22, $C$13, 100%, $E$13)</f>
        <v>5.1976000000000004</v>
      </c>
      <c r="E367" s="61">
        <f>5.7292 * CHOOSE(CONTROL!$C$22, $C$13, 100%, $E$13)</f>
        <v>5.7291999999999996</v>
      </c>
      <c r="F367" s="61">
        <f>5.7292 * CHOOSE(CONTROL!$C$22, $C$13, 100%, $E$13)</f>
        <v>5.7291999999999996</v>
      </c>
      <c r="G367" s="61">
        <f>5.7294 * CHOOSE(CONTROL!$C$22, $C$13, 100%, $E$13)</f>
        <v>5.7294</v>
      </c>
      <c r="H367" s="61">
        <f>10.6904* CHOOSE(CONTROL!$C$22, $C$13, 100%, $E$13)</f>
        <v>10.6904</v>
      </c>
      <c r="I367" s="61">
        <f>10.6906 * CHOOSE(CONTROL!$C$22, $C$13, 100%, $E$13)</f>
        <v>10.6906</v>
      </c>
      <c r="J367" s="61">
        <f>5.7292 * CHOOSE(CONTROL!$C$22, $C$13, 100%, $E$13)</f>
        <v>5.7291999999999996</v>
      </c>
      <c r="K367" s="61">
        <f>5.7294 * CHOOSE(CONTROL!$C$22, $C$13, 100%, $E$13)</f>
        <v>5.7294</v>
      </c>
    </row>
    <row r="368" spans="1:11" ht="15">
      <c r="A368" s="13">
        <v>53053</v>
      </c>
      <c r="B368" s="60">
        <f>5.1788 * CHOOSE(CONTROL!$C$22, $C$13, 100%, $E$13)</f>
        <v>5.1787999999999998</v>
      </c>
      <c r="C368" s="60">
        <f>5.1788 * CHOOSE(CONTROL!$C$22, $C$13, 100%, $E$13)</f>
        <v>5.1787999999999998</v>
      </c>
      <c r="D368" s="60">
        <f>5.1964 * CHOOSE(CONTROL!$C$22, $C$13, 100%, $E$13)</f>
        <v>5.1963999999999997</v>
      </c>
      <c r="E368" s="61">
        <f>5.797 * CHOOSE(CONTROL!$C$22, $C$13, 100%, $E$13)</f>
        <v>5.7969999999999997</v>
      </c>
      <c r="F368" s="61">
        <f>5.797 * CHOOSE(CONTROL!$C$22, $C$13, 100%, $E$13)</f>
        <v>5.7969999999999997</v>
      </c>
      <c r="G368" s="61">
        <f>5.7972 * CHOOSE(CONTROL!$C$22, $C$13, 100%, $E$13)</f>
        <v>5.7972000000000001</v>
      </c>
      <c r="H368" s="61">
        <f>10.7127* CHOOSE(CONTROL!$C$22, $C$13, 100%, $E$13)</f>
        <v>10.7127</v>
      </c>
      <c r="I368" s="61">
        <f>10.7128 * CHOOSE(CONTROL!$C$22, $C$13, 100%, $E$13)</f>
        <v>10.7128</v>
      </c>
      <c r="J368" s="61">
        <f>5.797 * CHOOSE(CONTROL!$C$22, $C$13, 100%, $E$13)</f>
        <v>5.7969999999999997</v>
      </c>
      <c r="K368" s="61">
        <f>5.7972 * CHOOSE(CONTROL!$C$22, $C$13, 100%, $E$13)</f>
        <v>5.7972000000000001</v>
      </c>
    </row>
    <row r="369" spans="1:11" ht="15">
      <c r="A369" s="13">
        <v>53083</v>
      </c>
      <c r="B369" s="60">
        <f>5.1788 * CHOOSE(CONTROL!$C$22, $C$13, 100%, $E$13)</f>
        <v>5.1787999999999998</v>
      </c>
      <c r="C369" s="60">
        <f>5.1788 * CHOOSE(CONTROL!$C$22, $C$13, 100%, $E$13)</f>
        <v>5.1787999999999998</v>
      </c>
      <c r="D369" s="60">
        <f>5.2141 * CHOOSE(CONTROL!$C$22, $C$13, 100%, $E$13)</f>
        <v>5.2141000000000002</v>
      </c>
      <c r="E369" s="61">
        <f>5.824 * CHOOSE(CONTROL!$C$22, $C$13, 100%, $E$13)</f>
        <v>5.8239999999999998</v>
      </c>
      <c r="F369" s="61">
        <f>5.824 * CHOOSE(CONTROL!$C$22, $C$13, 100%, $E$13)</f>
        <v>5.8239999999999998</v>
      </c>
      <c r="G369" s="61">
        <f>5.8262 * CHOOSE(CONTROL!$C$22, $C$13, 100%, $E$13)</f>
        <v>5.8262</v>
      </c>
      <c r="H369" s="61">
        <f>10.735* CHOOSE(CONTROL!$C$22, $C$13, 100%, $E$13)</f>
        <v>10.734999999999999</v>
      </c>
      <c r="I369" s="61">
        <f>10.7372 * CHOOSE(CONTROL!$C$22, $C$13, 100%, $E$13)</f>
        <v>10.7372</v>
      </c>
      <c r="J369" s="61">
        <f>5.824 * CHOOSE(CONTROL!$C$22, $C$13, 100%, $E$13)</f>
        <v>5.8239999999999998</v>
      </c>
      <c r="K369" s="61">
        <f>5.8262 * CHOOSE(CONTROL!$C$22, $C$13, 100%, $E$13)</f>
        <v>5.8262</v>
      </c>
    </row>
    <row r="370" spans="1:11" ht="15">
      <c r="A370" s="13">
        <v>53114</v>
      </c>
      <c r="B370" s="60">
        <f>5.1848 * CHOOSE(CONTROL!$C$22, $C$13, 100%, $E$13)</f>
        <v>5.1848000000000001</v>
      </c>
      <c r="C370" s="60">
        <f>5.1848 * CHOOSE(CONTROL!$C$22, $C$13, 100%, $E$13)</f>
        <v>5.1848000000000001</v>
      </c>
      <c r="D370" s="60">
        <f>5.2202 * CHOOSE(CONTROL!$C$22, $C$13, 100%, $E$13)</f>
        <v>5.2202000000000002</v>
      </c>
      <c r="E370" s="61">
        <f>5.8012 * CHOOSE(CONTROL!$C$22, $C$13, 100%, $E$13)</f>
        <v>5.8011999999999997</v>
      </c>
      <c r="F370" s="61">
        <f>5.8012 * CHOOSE(CONTROL!$C$22, $C$13, 100%, $E$13)</f>
        <v>5.8011999999999997</v>
      </c>
      <c r="G370" s="61">
        <f>5.8034 * CHOOSE(CONTROL!$C$22, $C$13, 100%, $E$13)</f>
        <v>5.8033999999999999</v>
      </c>
      <c r="H370" s="61">
        <f>10.7573* CHOOSE(CONTROL!$C$22, $C$13, 100%, $E$13)</f>
        <v>10.757300000000001</v>
      </c>
      <c r="I370" s="61">
        <f>10.7595 * CHOOSE(CONTROL!$C$22, $C$13, 100%, $E$13)</f>
        <v>10.759499999999999</v>
      </c>
      <c r="J370" s="61">
        <f>5.8012 * CHOOSE(CONTROL!$C$22, $C$13, 100%, $E$13)</f>
        <v>5.8011999999999997</v>
      </c>
      <c r="K370" s="61">
        <f>5.8034 * CHOOSE(CONTROL!$C$22, $C$13, 100%, $E$13)</f>
        <v>5.8033999999999999</v>
      </c>
    </row>
    <row r="371" spans="1:11" ht="15">
      <c r="A371" s="13">
        <v>53144</v>
      </c>
      <c r="B371" s="60">
        <f>5.2653 * CHOOSE(CONTROL!$C$22, $C$13, 100%, $E$13)</f>
        <v>5.2652999999999999</v>
      </c>
      <c r="C371" s="60">
        <f>5.2653 * CHOOSE(CONTROL!$C$22, $C$13, 100%, $E$13)</f>
        <v>5.2652999999999999</v>
      </c>
      <c r="D371" s="60">
        <f>5.3006 * CHOOSE(CONTROL!$C$22, $C$13, 100%, $E$13)</f>
        <v>5.3006000000000002</v>
      </c>
      <c r="E371" s="61">
        <f>5.9136 * CHOOSE(CONTROL!$C$22, $C$13, 100%, $E$13)</f>
        <v>5.9135999999999997</v>
      </c>
      <c r="F371" s="61">
        <f>5.9136 * CHOOSE(CONTROL!$C$22, $C$13, 100%, $E$13)</f>
        <v>5.9135999999999997</v>
      </c>
      <c r="G371" s="61">
        <f>5.9158 * CHOOSE(CONTROL!$C$22, $C$13, 100%, $E$13)</f>
        <v>5.9157999999999999</v>
      </c>
      <c r="H371" s="61">
        <f>10.7798* CHOOSE(CONTROL!$C$22, $C$13, 100%, $E$13)</f>
        <v>10.7798</v>
      </c>
      <c r="I371" s="61">
        <f>10.7819 * CHOOSE(CONTROL!$C$22, $C$13, 100%, $E$13)</f>
        <v>10.7819</v>
      </c>
      <c r="J371" s="61">
        <f>5.9136 * CHOOSE(CONTROL!$C$22, $C$13, 100%, $E$13)</f>
        <v>5.9135999999999997</v>
      </c>
      <c r="K371" s="61">
        <f>5.9158 * CHOOSE(CONTROL!$C$22, $C$13, 100%, $E$13)</f>
        <v>5.9157999999999999</v>
      </c>
    </row>
    <row r="372" spans="1:11" ht="15">
      <c r="A372" s="13">
        <v>53175</v>
      </c>
      <c r="B372" s="60">
        <f>5.272 * CHOOSE(CONTROL!$C$22, $C$13, 100%, $E$13)</f>
        <v>5.2720000000000002</v>
      </c>
      <c r="C372" s="60">
        <f>5.272 * CHOOSE(CONTROL!$C$22, $C$13, 100%, $E$13)</f>
        <v>5.2720000000000002</v>
      </c>
      <c r="D372" s="60">
        <f>5.3073 * CHOOSE(CONTROL!$C$22, $C$13, 100%, $E$13)</f>
        <v>5.3072999999999997</v>
      </c>
      <c r="E372" s="61">
        <f>5.8372 * CHOOSE(CONTROL!$C$22, $C$13, 100%, $E$13)</f>
        <v>5.8372000000000002</v>
      </c>
      <c r="F372" s="61">
        <f>5.8372 * CHOOSE(CONTROL!$C$22, $C$13, 100%, $E$13)</f>
        <v>5.8372000000000002</v>
      </c>
      <c r="G372" s="61">
        <f>5.8394 * CHOOSE(CONTROL!$C$22, $C$13, 100%, $E$13)</f>
        <v>5.8394000000000004</v>
      </c>
      <c r="H372" s="61">
        <f>10.8022* CHOOSE(CONTROL!$C$22, $C$13, 100%, $E$13)</f>
        <v>10.802199999999999</v>
      </c>
      <c r="I372" s="61">
        <f>10.8044 * CHOOSE(CONTROL!$C$22, $C$13, 100%, $E$13)</f>
        <v>10.804399999999999</v>
      </c>
      <c r="J372" s="61">
        <f>5.8372 * CHOOSE(CONTROL!$C$22, $C$13, 100%, $E$13)</f>
        <v>5.8372000000000002</v>
      </c>
      <c r="K372" s="61">
        <f>5.8394 * CHOOSE(CONTROL!$C$22, $C$13, 100%, $E$13)</f>
        <v>5.8394000000000004</v>
      </c>
    </row>
    <row r="373" spans="1:11" ht="15">
      <c r="A373" s="13">
        <v>53206</v>
      </c>
      <c r="B373" s="60">
        <f>5.269 * CHOOSE(CONTROL!$C$22, $C$13, 100%, $E$13)</f>
        <v>5.2690000000000001</v>
      </c>
      <c r="C373" s="60">
        <f>5.269 * CHOOSE(CONTROL!$C$22, $C$13, 100%, $E$13)</f>
        <v>5.2690000000000001</v>
      </c>
      <c r="D373" s="60">
        <f>5.3043 * CHOOSE(CONTROL!$C$22, $C$13, 100%, $E$13)</f>
        <v>5.3042999999999996</v>
      </c>
      <c r="E373" s="61">
        <f>5.8261 * CHOOSE(CONTROL!$C$22, $C$13, 100%, $E$13)</f>
        <v>5.8261000000000003</v>
      </c>
      <c r="F373" s="61">
        <f>5.8261 * CHOOSE(CONTROL!$C$22, $C$13, 100%, $E$13)</f>
        <v>5.8261000000000003</v>
      </c>
      <c r="G373" s="61">
        <f>5.8283 * CHOOSE(CONTROL!$C$22, $C$13, 100%, $E$13)</f>
        <v>5.8282999999999996</v>
      </c>
      <c r="H373" s="61">
        <f>10.8247* CHOOSE(CONTROL!$C$22, $C$13, 100%, $E$13)</f>
        <v>10.8247</v>
      </c>
      <c r="I373" s="61">
        <f>10.8269 * CHOOSE(CONTROL!$C$22, $C$13, 100%, $E$13)</f>
        <v>10.8269</v>
      </c>
      <c r="J373" s="61">
        <f>5.8261 * CHOOSE(CONTROL!$C$22, $C$13, 100%, $E$13)</f>
        <v>5.8261000000000003</v>
      </c>
      <c r="K373" s="61">
        <f>5.8283 * CHOOSE(CONTROL!$C$22, $C$13, 100%, $E$13)</f>
        <v>5.8282999999999996</v>
      </c>
    </row>
    <row r="374" spans="1:11" ht="15">
      <c r="A374" s="13">
        <v>53236</v>
      </c>
      <c r="B374" s="60">
        <f>5.2689 * CHOOSE(CONTROL!$C$22, $C$13, 100%, $E$13)</f>
        <v>5.2689000000000004</v>
      </c>
      <c r="C374" s="60">
        <f>5.2689 * CHOOSE(CONTROL!$C$22, $C$13, 100%, $E$13)</f>
        <v>5.2689000000000004</v>
      </c>
      <c r="D374" s="60">
        <f>5.2866 * CHOOSE(CONTROL!$C$22, $C$13, 100%, $E$13)</f>
        <v>5.2866</v>
      </c>
      <c r="E374" s="61">
        <f>5.8487 * CHOOSE(CONTROL!$C$22, $C$13, 100%, $E$13)</f>
        <v>5.8487</v>
      </c>
      <c r="F374" s="61">
        <f>5.8487 * CHOOSE(CONTROL!$C$22, $C$13, 100%, $E$13)</f>
        <v>5.8487</v>
      </c>
      <c r="G374" s="61">
        <f>5.8489 * CHOOSE(CONTROL!$C$22, $C$13, 100%, $E$13)</f>
        <v>5.8489000000000004</v>
      </c>
      <c r="H374" s="61">
        <f>10.8473* CHOOSE(CONTROL!$C$22, $C$13, 100%, $E$13)</f>
        <v>10.847300000000001</v>
      </c>
      <c r="I374" s="61">
        <f>10.8474 * CHOOSE(CONTROL!$C$22, $C$13, 100%, $E$13)</f>
        <v>10.8474</v>
      </c>
      <c r="J374" s="61">
        <f>5.8487 * CHOOSE(CONTROL!$C$22, $C$13, 100%, $E$13)</f>
        <v>5.8487</v>
      </c>
      <c r="K374" s="61">
        <f>5.8489 * CHOOSE(CONTROL!$C$22, $C$13, 100%, $E$13)</f>
        <v>5.8489000000000004</v>
      </c>
    </row>
    <row r="375" spans="1:11" ht="15">
      <c r="A375" s="13">
        <v>53267</v>
      </c>
      <c r="B375" s="60">
        <f>5.272 * CHOOSE(CONTROL!$C$22, $C$13, 100%, $E$13)</f>
        <v>5.2720000000000002</v>
      </c>
      <c r="C375" s="60">
        <f>5.272 * CHOOSE(CONTROL!$C$22, $C$13, 100%, $E$13)</f>
        <v>5.2720000000000002</v>
      </c>
      <c r="D375" s="60">
        <f>5.2896 * CHOOSE(CONTROL!$C$22, $C$13, 100%, $E$13)</f>
        <v>5.2896000000000001</v>
      </c>
      <c r="E375" s="61">
        <f>5.8688 * CHOOSE(CONTROL!$C$22, $C$13, 100%, $E$13)</f>
        <v>5.8688000000000002</v>
      </c>
      <c r="F375" s="61">
        <f>5.8688 * CHOOSE(CONTROL!$C$22, $C$13, 100%, $E$13)</f>
        <v>5.8688000000000002</v>
      </c>
      <c r="G375" s="61">
        <f>5.869 * CHOOSE(CONTROL!$C$22, $C$13, 100%, $E$13)</f>
        <v>5.8689999999999998</v>
      </c>
      <c r="H375" s="61">
        <f>10.8699* CHOOSE(CONTROL!$C$22, $C$13, 100%, $E$13)</f>
        <v>10.869899999999999</v>
      </c>
      <c r="I375" s="61">
        <f>10.87 * CHOOSE(CONTROL!$C$22, $C$13, 100%, $E$13)</f>
        <v>10.87</v>
      </c>
      <c r="J375" s="61">
        <f>5.8688 * CHOOSE(CONTROL!$C$22, $C$13, 100%, $E$13)</f>
        <v>5.8688000000000002</v>
      </c>
      <c r="K375" s="61">
        <f>5.869 * CHOOSE(CONTROL!$C$22, $C$13, 100%, $E$13)</f>
        <v>5.8689999999999998</v>
      </c>
    </row>
    <row r="376" spans="1:11" ht="15">
      <c r="A376" s="13">
        <v>53297</v>
      </c>
      <c r="B376" s="60">
        <f>5.272 * CHOOSE(CONTROL!$C$22, $C$13, 100%, $E$13)</f>
        <v>5.2720000000000002</v>
      </c>
      <c r="C376" s="60">
        <f>5.272 * CHOOSE(CONTROL!$C$22, $C$13, 100%, $E$13)</f>
        <v>5.2720000000000002</v>
      </c>
      <c r="D376" s="60">
        <f>5.2896 * CHOOSE(CONTROL!$C$22, $C$13, 100%, $E$13)</f>
        <v>5.2896000000000001</v>
      </c>
      <c r="E376" s="61">
        <f>5.8238 * CHOOSE(CONTROL!$C$22, $C$13, 100%, $E$13)</f>
        <v>5.8238000000000003</v>
      </c>
      <c r="F376" s="61">
        <f>5.8238 * CHOOSE(CONTROL!$C$22, $C$13, 100%, $E$13)</f>
        <v>5.8238000000000003</v>
      </c>
      <c r="G376" s="61">
        <f>5.824 * CHOOSE(CONTROL!$C$22, $C$13, 100%, $E$13)</f>
        <v>5.8239999999999998</v>
      </c>
      <c r="H376" s="61">
        <f>10.8925* CHOOSE(CONTROL!$C$22, $C$13, 100%, $E$13)</f>
        <v>10.8925</v>
      </c>
      <c r="I376" s="61">
        <f>10.8927 * CHOOSE(CONTROL!$C$22, $C$13, 100%, $E$13)</f>
        <v>10.8927</v>
      </c>
      <c r="J376" s="61">
        <f>5.8238 * CHOOSE(CONTROL!$C$22, $C$13, 100%, $E$13)</f>
        <v>5.8238000000000003</v>
      </c>
      <c r="K376" s="61">
        <f>5.824 * CHOOSE(CONTROL!$C$22, $C$13, 100%, $E$13)</f>
        <v>5.8239999999999998</v>
      </c>
    </row>
    <row r="377" spans="1:11" ht="15">
      <c r="A377" s="13">
        <v>53328</v>
      </c>
      <c r="B377" s="60">
        <f>5.3175 * CHOOSE(CONTROL!$C$22, $C$13, 100%, $E$13)</f>
        <v>5.3174999999999999</v>
      </c>
      <c r="C377" s="60">
        <f>5.3175 * CHOOSE(CONTROL!$C$22, $C$13, 100%, $E$13)</f>
        <v>5.3174999999999999</v>
      </c>
      <c r="D377" s="60">
        <f>5.3352 * CHOOSE(CONTROL!$C$22, $C$13, 100%, $E$13)</f>
        <v>5.3352000000000004</v>
      </c>
      <c r="E377" s="61">
        <f>5.9129 * CHOOSE(CONTROL!$C$22, $C$13, 100%, $E$13)</f>
        <v>5.9128999999999996</v>
      </c>
      <c r="F377" s="61">
        <f>5.9129 * CHOOSE(CONTROL!$C$22, $C$13, 100%, $E$13)</f>
        <v>5.9128999999999996</v>
      </c>
      <c r="G377" s="61">
        <f>5.9131 * CHOOSE(CONTROL!$C$22, $C$13, 100%, $E$13)</f>
        <v>5.9131</v>
      </c>
      <c r="H377" s="61">
        <f>10.9152* CHOOSE(CONTROL!$C$22, $C$13, 100%, $E$13)</f>
        <v>10.9152</v>
      </c>
      <c r="I377" s="61">
        <f>10.9154 * CHOOSE(CONTROL!$C$22, $C$13, 100%, $E$13)</f>
        <v>10.9154</v>
      </c>
      <c r="J377" s="61">
        <f>5.9129 * CHOOSE(CONTROL!$C$22, $C$13, 100%, $E$13)</f>
        <v>5.9128999999999996</v>
      </c>
      <c r="K377" s="61">
        <f>5.9131 * CHOOSE(CONTROL!$C$22, $C$13, 100%, $E$13)</f>
        <v>5.9131</v>
      </c>
    </row>
    <row r="378" spans="1:11" ht="15">
      <c r="A378" s="13">
        <v>53359</v>
      </c>
      <c r="B378" s="60">
        <f>5.3145 * CHOOSE(CONTROL!$C$22, $C$13, 100%, $E$13)</f>
        <v>5.3144999999999998</v>
      </c>
      <c r="C378" s="60">
        <f>5.3145 * CHOOSE(CONTROL!$C$22, $C$13, 100%, $E$13)</f>
        <v>5.3144999999999998</v>
      </c>
      <c r="D378" s="60">
        <f>5.3321 * CHOOSE(CONTROL!$C$22, $C$13, 100%, $E$13)</f>
        <v>5.3320999999999996</v>
      </c>
      <c r="E378" s="61">
        <f>5.823 * CHOOSE(CONTROL!$C$22, $C$13, 100%, $E$13)</f>
        <v>5.8230000000000004</v>
      </c>
      <c r="F378" s="61">
        <f>5.823 * CHOOSE(CONTROL!$C$22, $C$13, 100%, $E$13)</f>
        <v>5.8230000000000004</v>
      </c>
      <c r="G378" s="61">
        <f>5.8232 * CHOOSE(CONTROL!$C$22, $C$13, 100%, $E$13)</f>
        <v>5.8231999999999999</v>
      </c>
      <c r="H378" s="61">
        <f>10.9379* CHOOSE(CONTROL!$C$22, $C$13, 100%, $E$13)</f>
        <v>10.937900000000001</v>
      </c>
      <c r="I378" s="61">
        <f>10.9381 * CHOOSE(CONTROL!$C$22, $C$13, 100%, $E$13)</f>
        <v>10.9381</v>
      </c>
      <c r="J378" s="61">
        <f>5.823 * CHOOSE(CONTROL!$C$22, $C$13, 100%, $E$13)</f>
        <v>5.8230000000000004</v>
      </c>
      <c r="K378" s="61">
        <f>5.8232 * CHOOSE(CONTROL!$C$22, $C$13, 100%, $E$13)</f>
        <v>5.8231999999999999</v>
      </c>
    </row>
    <row r="379" spans="1:11" ht="15">
      <c r="A379" s="13">
        <v>53387</v>
      </c>
      <c r="B379" s="60">
        <f>5.3114 * CHOOSE(CONTROL!$C$22, $C$13, 100%, $E$13)</f>
        <v>5.3113999999999999</v>
      </c>
      <c r="C379" s="60">
        <f>5.3114 * CHOOSE(CONTROL!$C$22, $C$13, 100%, $E$13)</f>
        <v>5.3113999999999999</v>
      </c>
      <c r="D379" s="60">
        <f>5.3291 * CHOOSE(CONTROL!$C$22, $C$13, 100%, $E$13)</f>
        <v>5.3291000000000004</v>
      </c>
      <c r="E379" s="61">
        <f>5.8901 * CHOOSE(CONTROL!$C$22, $C$13, 100%, $E$13)</f>
        <v>5.8901000000000003</v>
      </c>
      <c r="F379" s="61">
        <f>5.8901 * CHOOSE(CONTROL!$C$22, $C$13, 100%, $E$13)</f>
        <v>5.8901000000000003</v>
      </c>
      <c r="G379" s="61">
        <f>5.8903 * CHOOSE(CONTROL!$C$22, $C$13, 100%, $E$13)</f>
        <v>5.8902999999999999</v>
      </c>
      <c r="H379" s="61">
        <f>10.9607* CHOOSE(CONTROL!$C$22, $C$13, 100%, $E$13)</f>
        <v>10.960699999999999</v>
      </c>
      <c r="I379" s="61">
        <f>10.9609 * CHOOSE(CONTROL!$C$22, $C$13, 100%, $E$13)</f>
        <v>10.960900000000001</v>
      </c>
      <c r="J379" s="61">
        <f>5.8901 * CHOOSE(CONTROL!$C$22, $C$13, 100%, $E$13)</f>
        <v>5.8901000000000003</v>
      </c>
      <c r="K379" s="61">
        <f>5.8903 * CHOOSE(CONTROL!$C$22, $C$13, 100%, $E$13)</f>
        <v>5.8902999999999999</v>
      </c>
    </row>
    <row r="380" spans="1:11" ht="15">
      <c r="A380" s="13">
        <v>53418</v>
      </c>
      <c r="B380" s="60">
        <f>5.3104 * CHOOSE(CONTROL!$C$22, $C$13, 100%, $E$13)</f>
        <v>5.3103999999999996</v>
      </c>
      <c r="C380" s="60">
        <f>5.3104 * CHOOSE(CONTROL!$C$22, $C$13, 100%, $E$13)</f>
        <v>5.3103999999999996</v>
      </c>
      <c r="D380" s="60">
        <f>5.3281 * CHOOSE(CONTROL!$C$22, $C$13, 100%, $E$13)</f>
        <v>5.3281000000000001</v>
      </c>
      <c r="E380" s="61">
        <f>5.9601 * CHOOSE(CONTROL!$C$22, $C$13, 100%, $E$13)</f>
        <v>5.9600999999999997</v>
      </c>
      <c r="F380" s="61">
        <f>5.9601 * CHOOSE(CONTROL!$C$22, $C$13, 100%, $E$13)</f>
        <v>5.9600999999999997</v>
      </c>
      <c r="G380" s="61">
        <f>5.9603 * CHOOSE(CONTROL!$C$22, $C$13, 100%, $E$13)</f>
        <v>5.9603000000000002</v>
      </c>
      <c r="H380" s="61">
        <f>10.9836* CHOOSE(CONTROL!$C$22, $C$13, 100%, $E$13)</f>
        <v>10.983599999999999</v>
      </c>
      <c r="I380" s="61">
        <f>10.9837 * CHOOSE(CONTROL!$C$22, $C$13, 100%, $E$13)</f>
        <v>10.983700000000001</v>
      </c>
      <c r="J380" s="61">
        <f>5.9601 * CHOOSE(CONTROL!$C$22, $C$13, 100%, $E$13)</f>
        <v>5.9600999999999997</v>
      </c>
      <c r="K380" s="61">
        <f>5.9603 * CHOOSE(CONTROL!$C$22, $C$13, 100%, $E$13)</f>
        <v>5.9603000000000002</v>
      </c>
    </row>
    <row r="381" spans="1:11" ht="15">
      <c r="A381" s="13">
        <v>53448</v>
      </c>
      <c r="B381" s="60">
        <f>5.3104 * CHOOSE(CONTROL!$C$22, $C$13, 100%, $E$13)</f>
        <v>5.3103999999999996</v>
      </c>
      <c r="C381" s="60">
        <f>5.3104 * CHOOSE(CONTROL!$C$22, $C$13, 100%, $E$13)</f>
        <v>5.3103999999999996</v>
      </c>
      <c r="D381" s="60">
        <f>5.3457 * CHOOSE(CONTROL!$C$22, $C$13, 100%, $E$13)</f>
        <v>5.3456999999999999</v>
      </c>
      <c r="E381" s="61">
        <f>5.988 * CHOOSE(CONTROL!$C$22, $C$13, 100%, $E$13)</f>
        <v>5.9880000000000004</v>
      </c>
      <c r="F381" s="61">
        <f>5.988 * CHOOSE(CONTROL!$C$22, $C$13, 100%, $E$13)</f>
        <v>5.9880000000000004</v>
      </c>
      <c r="G381" s="61">
        <f>5.9902 * CHOOSE(CONTROL!$C$22, $C$13, 100%, $E$13)</f>
        <v>5.9901999999999997</v>
      </c>
      <c r="H381" s="61">
        <f>11.0064* CHOOSE(CONTROL!$C$22, $C$13, 100%, $E$13)</f>
        <v>11.006399999999999</v>
      </c>
      <c r="I381" s="61">
        <f>11.0086 * CHOOSE(CONTROL!$C$22, $C$13, 100%, $E$13)</f>
        <v>11.008599999999999</v>
      </c>
      <c r="J381" s="61">
        <f>5.988 * CHOOSE(CONTROL!$C$22, $C$13, 100%, $E$13)</f>
        <v>5.9880000000000004</v>
      </c>
      <c r="K381" s="61">
        <f>5.9902 * CHOOSE(CONTROL!$C$22, $C$13, 100%, $E$13)</f>
        <v>5.9901999999999997</v>
      </c>
    </row>
    <row r="382" spans="1:11" ht="15">
      <c r="A382" s="13">
        <v>53479</v>
      </c>
      <c r="B382" s="60">
        <f>5.3165 * CHOOSE(CONTROL!$C$22, $C$13, 100%, $E$13)</f>
        <v>5.3164999999999996</v>
      </c>
      <c r="C382" s="60">
        <f>5.3165 * CHOOSE(CONTROL!$C$22, $C$13, 100%, $E$13)</f>
        <v>5.3164999999999996</v>
      </c>
      <c r="D382" s="60">
        <f>5.3518 * CHOOSE(CONTROL!$C$22, $C$13, 100%, $E$13)</f>
        <v>5.3517999999999999</v>
      </c>
      <c r="E382" s="61">
        <f>5.9644 * CHOOSE(CONTROL!$C$22, $C$13, 100%, $E$13)</f>
        <v>5.9644000000000004</v>
      </c>
      <c r="F382" s="61">
        <f>5.9644 * CHOOSE(CONTROL!$C$22, $C$13, 100%, $E$13)</f>
        <v>5.9644000000000004</v>
      </c>
      <c r="G382" s="61">
        <f>5.9666 * CHOOSE(CONTROL!$C$22, $C$13, 100%, $E$13)</f>
        <v>5.9665999999999997</v>
      </c>
      <c r="H382" s="61">
        <f>11.0294* CHOOSE(CONTROL!$C$22, $C$13, 100%, $E$13)</f>
        <v>11.029400000000001</v>
      </c>
      <c r="I382" s="61">
        <f>11.0316 * CHOOSE(CONTROL!$C$22, $C$13, 100%, $E$13)</f>
        <v>11.031599999999999</v>
      </c>
      <c r="J382" s="61">
        <f>5.9644 * CHOOSE(CONTROL!$C$22, $C$13, 100%, $E$13)</f>
        <v>5.9644000000000004</v>
      </c>
      <c r="K382" s="61">
        <f>5.9666 * CHOOSE(CONTROL!$C$22, $C$13, 100%, $E$13)</f>
        <v>5.9665999999999997</v>
      </c>
    </row>
    <row r="383" spans="1:11" ht="15">
      <c r="A383" s="13">
        <v>53509</v>
      </c>
      <c r="B383" s="60">
        <f>5.3987 * CHOOSE(CONTROL!$C$22, $C$13, 100%, $E$13)</f>
        <v>5.3986999999999998</v>
      </c>
      <c r="C383" s="60">
        <f>5.3987 * CHOOSE(CONTROL!$C$22, $C$13, 100%, $E$13)</f>
        <v>5.3986999999999998</v>
      </c>
      <c r="D383" s="60">
        <f>5.4341 * CHOOSE(CONTROL!$C$22, $C$13, 100%, $E$13)</f>
        <v>5.4340999999999999</v>
      </c>
      <c r="E383" s="61">
        <f>6.0796 * CHOOSE(CONTROL!$C$22, $C$13, 100%, $E$13)</f>
        <v>6.0796000000000001</v>
      </c>
      <c r="F383" s="61">
        <f>6.0796 * CHOOSE(CONTROL!$C$22, $C$13, 100%, $E$13)</f>
        <v>6.0796000000000001</v>
      </c>
      <c r="G383" s="61">
        <f>6.0818 * CHOOSE(CONTROL!$C$22, $C$13, 100%, $E$13)</f>
        <v>6.0818000000000003</v>
      </c>
      <c r="H383" s="61">
        <f>11.0524* CHOOSE(CONTROL!$C$22, $C$13, 100%, $E$13)</f>
        <v>11.0524</v>
      </c>
      <c r="I383" s="61">
        <f>11.0545 * CHOOSE(CONTROL!$C$22, $C$13, 100%, $E$13)</f>
        <v>11.054500000000001</v>
      </c>
      <c r="J383" s="61">
        <f>6.0796 * CHOOSE(CONTROL!$C$22, $C$13, 100%, $E$13)</f>
        <v>6.0796000000000001</v>
      </c>
      <c r="K383" s="61">
        <f>6.0818 * CHOOSE(CONTROL!$C$22, $C$13, 100%, $E$13)</f>
        <v>6.0818000000000003</v>
      </c>
    </row>
    <row r="384" spans="1:11" ht="15">
      <c r="A384" s="13">
        <v>53540</v>
      </c>
      <c r="B384" s="60">
        <f>5.4054 * CHOOSE(CONTROL!$C$22, $C$13, 100%, $E$13)</f>
        <v>5.4054000000000002</v>
      </c>
      <c r="C384" s="60">
        <f>5.4054 * CHOOSE(CONTROL!$C$22, $C$13, 100%, $E$13)</f>
        <v>5.4054000000000002</v>
      </c>
      <c r="D384" s="60">
        <f>5.4407 * CHOOSE(CONTROL!$C$22, $C$13, 100%, $E$13)</f>
        <v>5.4406999999999996</v>
      </c>
      <c r="E384" s="61">
        <f>6.0007 * CHOOSE(CONTROL!$C$22, $C$13, 100%, $E$13)</f>
        <v>6.0007000000000001</v>
      </c>
      <c r="F384" s="61">
        <f>6.0007 * CHOOSE(CONTROL!$C$22, $C$13, 100%, $E$13)</f>
        <v>6.0007000000000001</v>
      </c>
      <c r="G384" s="61">
        <f>6.0028 * CHOOSE(CONTROL!$C$22, $C$13, 100%, $E$13)</f>
        <v>6.0027999999999997</v>
      </c>
      <c r="H384" s="61">
        <f>11.0754* CHOOSE(CONTROL!$C$22, $C$13, 100%, $E$13)</f>
        <v>11.0754</v>
      </c>
      <c r="I384" s="61">
        <f>11.0776 * CHOOSE(CONTROL!$C$22, $C$13, 100%, $E$13)</f>
        <v>11.0776</v>
      </c>
      <c r="J384" s="61">
        <f>6.0007 * CHOOSE(CONTROL!$C$22, $C$13, 100%, $E$13)</f>
        <v>6.0007000000000001</v>
      </c>
      <c r="K384" s="61">
        <f>6.0028 * CHOOSE(CONTROL!$C$22, $C$13, 100%, $E$13)</f>
        <v>6.0027999999999997</v>
      </c>
    </row>
    <row r="385" spans="1:11" ht="15">
      <c r="A385" s="13">
        <v>53571</v>
      </c>
      <c r="B385" s="60">
        <f>5.4024 * CHOOSE(CONTROL!$C$22, $C$13, 100%, $E$13)</f>
        <v>5.4024000000000001</v>
      </c>
      <c r="C385" s="60">
        <f>5.4024 * CHOOSE(CONTROL!$C$22, $C$13, 100%, $E$13)</f>
        <v>5.4024000000000001</v>
      </c>
      <c r="D385" s="60">
        <f>5.4377 * CHOOSE(CONTROL!$C$22, $C$13, 100%, $E$13)</f>
        <v>5.4377000000000004</v>
      </c>
      <c r="E385" s="61">
        <f>5.9893 * CHOOSE(CONTROL!$C$22, $C$13, 100%, $E$13)</f>
        <v>5.9893000000000001</v>
      </c>
      <c r="F385" s="61">
        <f>5.9893 * CHOOSE(CONTROL!$C$22, $C$13, 100%, $E$13)</f>
        <v>5.9893000000000001</v>
      </c>
      <c r="G385" s="61">
        <f>5.9914 * CHOOSE(CONTROL!$C$22, $C$13, 100%, $E$13)</f>
        <v>5.9913999999999996</v>
      </c>
      <c r="H385" s="61">
        <f>11.0985* CHOOSE(CONTROL!$C$22, $C$13, 100%, $E$13)</f>
        <v>11.0985</v>
      </c>
      <c r="I385" s="61">
        <f>11.1006 * CHOOSE(CONTROL!$C$22, $C$13, 100%, $E$13)</f>
        <v>11.1006</v>
      </c>
      <c r="J385" s="61">
        <f>5.9893 * CHOOSE(CONTROL!$C$22, $C$13, 100%, $E$13)</f>
        <v>5.9893000000000001</v>
      </c>
      <c r="K385" s="61">
        <f>5.9914 * CHOOSE(CONTROL!$C$22, $C$13, 100%, $E$13)</f>
        <v>5.9913999999999996</v>
      </c>
    </row>
    <row r="386" spans="1:11" ht="15">
      <c r="A386" s="13">
        <v>53601</v>
      </c>
      <c r="B386" s="60">
        <f>5.4029 * CHOOSE(CONTROL!$C$22, $C$13, 100%, $E$13)</f>
        <v>5.4028999999999998</v>
      </c>
      <c r="C386" s="60">
        <f>5.4029 * CHOOSE(CONTROL!$C$22, $C$13, 100%, $E$13)</f>
        <v>5.4028999999999998</v>
      </c>
      <c r="D386" s="60">
        <f>5.4205 * CHOOSE(CONTROL!$C$22, $C$13, 100%, $E$13)</f>
        <v>5.4204999999999997</v>
      </c>
      <c r="E386" s="61">
        <f>6.013 * CHOOSE(CONTROL!$C$22, $C$13, 100%, $E$13)</f>
        <v>6.0129999999999999</v>
      </c>
      <c r="F386" s="61">
        <f>6.013 * CHOOSE(CONTROL!$C$22, $C$13, 100%, $E$13)</f>
        <v>6.0129999999999999</v>
      </c>
      <c r="G386" s="61">
        <f>6.0132 * CHOOSE(CONTROL!$C$22, $C$13, 100%, $E$13)</f>
        <v>6.0132000000000003</v>
      </c>
      <c r="H386" s="61">
        <f>11.1216* CHOOSE(CONTROL!$C$22, $C$13, 100%, $E$13)</f>
        <v>11.121600000000001</v>
      </c>
      <c r="I386" s="61">
        <f>11.1218 * CHOOSE(CONTROL!$C$22, $C$13, 100%, $E$13)</f>
        <v>11.1218</v>
      </c>
      <c r="J386" s="61">
        <f>6.013 * CHOOSE(CONTROL!$C$22, $C$13, 100%, $E$13)</f>
        <v>6.0129999999999999</v>
      </c>
      <c r="K386" s="61">
        <f>6.0132 * CHOOSE(CONTROL!$C$22, $C$13, 100%, $E$13)</f>
        <v>6.0132000000000003</v>
      </c>
    </row>
    <row r="387" spans="1:11" ht="15">
      <c r="A387" s="13">
        <v>53632</v>
      </c>
      <c r="B387" s="60">
        <f>5.4059 * CHOOSE(CONTROL!$C$22, $C$13, 100%, $E$13)</f>
        <v>5.4058999999999999</v>
      </c>
      <c r="C387" s="60">
        <f>5.4059 * CHOOSE(CONTROL!$C$22, $C$13, 100%, $E$13)</f>
        <v>5.4058999999999999</v>
      </c>
      <c r="D387" s="60">
        <f>5.4236 * CHOOSE(CONTROL!$C$22, $C$13, 100%, $E$13)</f>
        <v>5.4236000000000004</v>
      </c>
      <c r="E387" s="61">
        <f>6.0337 * CHOOSE(CONTROL!$C$22, $C$13, 100%, $E$13)</f>
        <v>6.0336999999999996</v>
      </c>
      <c r="F387" s="61">
        <f>6.0337 * CHOOSE(CONTROL!$C$22, $C$13, 100%, $E$13)</f>
        <v>6.0336999999999996</v>
      </c>
      <c r="G387" s="61">
        <f>6.0339 * CHOOSE(CONTROL!$C$22, $C$13, 100%, $E$13)</f>
        <v>6.0339</v>
      </c>
      <c r="H387" s="61">
        <f>11.1447* CHOOSE(CONTROL!$C$22, $C$13, 100%, $E$13)</f>
        <v>11.1447</v>
      </c>
      <c r="I387" s="61">
        <f>11.1449 * CHOOSE(CONTROL!$C$22, $C$13, 100%, $E$13)</f>
        <v>11.1449</v>
      </c>
      <c r="J387" s="61">
        <f>6.0337 * CHOOSE(CONTROL!$C$22, $C$13, 100%, $E$13)</f>
        <v>6.0336999999999996</v>
      </c>
      <c r="K387" s="61">
        <f>6.0339 * CHOOSE(CONTROL!$C$22, $C$13, 100%, $E$13)</f>
        <v>6.0339</v>
      </c>
    </row>
    <row r="388" spans="1:11" ht="15">
      <c r="A388" s="13">
        <v>53662</v>
      </c>
      <c r="B388" s="60">
        <f>5.4059 * CHOOSE(CONTROL!$C$22, $C$13, 100%, $E$13)</f>
        <v>5.4058999999999999</v>
      </c>
      <c r="C388" s="60">
        <f>5.4059 * CHOOSE(CONTROL!$C$22, $C$13, 100%, $E$13)</f>
        <v>5.4058999999999999</v>
      </c>
      <c r="D388" s="60">
        <f>5.4236 * CHOOSE(CONTROL!$C$22, $C$13, 100%, $E$13)</f>
        <v>5.4236000000000004</v>
      </c>
      <c r="E388" s="61">
        <f>5.9872 * CHOOSE(CONTROL!$C$22, $C$13, 100%, $E$13)</f>
        <v>5.9871999999999996</v>
      </c>
      <c r="F388" s="61">
        <f>5.9872 * CHOOSE(CONTROL!$C$22, $C$13, 100%, $E$13)</f>
        <v>5.9871999999999996</v>
      </c>
      <c r="G388" s="61">
        <f>5.9874 * CHOOSE(CONTROL!$C$22, $C$13, 100%, $E$13)</f>
        <v>5.9874000000000001</v>
      </c>
      <c r="H388" s="61">
        <f>11.168* CHOOSE(CONTROL!$C$22, $C$13, 100%, $E$13)</f>
        <v>11.167999999999999</v>
      </c>
      <c r="I388" s="61">
        <f>11.1681 * CHOOSE(CONTROL!$C$22, $C$13, 100%, $E$13)</f>
        <v>11.168100000000001</v>
      </c>
      <c r="J388" s="61">
        <f>5.9872 * CHOOSE(CONTROL!$C$22, $C$13, 100%, $E$13)</f>
        <v>5.9871999999999996</v>
      </c>
      <c r="K388" s="61">
        <f>5.9874 * CHOOSE(CONTROL!$C$22, $C$13, 100%, $E$13)</f>
        <v>5.9874000000000001</v>
      </c>
    </row>
    <row r="389" spans="1:11" ht="15">
      <c r="A389" s="13">
        <v>53693</v>
      </c>
      <c r="B389" s="60">
        <f>5.4524 * CHOOSE(CONTROL!$C$22, $C$13, 100%, $E$13)</f>
        <v>5.4523999999999999</v>
      </c>
      <c r="C389" s="60">
        <f>5.4524 * CHOOSE(CONTROL!$C$22, $C$13, 100%, $E$13)</f>
        <v>5.4523999999999999</v>
      </c>
      <c r="D389" s="60">
        <f>5.4701 * CHOOSE(CONTROL!$C$22, $C$13, 100%, $E$13)</f>
        <v>5.4701000000000004</v>
      </c>
      <c r="E389" s="61">
        <f>6.0789 * CHOOSE(CONTROL!$C$22, $C$13, 100%, $E$13)</f>
        <v>6.0789</v>
      </c>
      <c r="F389" s="61">
        <f>6.0789 * CHOOSE(CONTROL!$C$22, $C$13, 100%, $E$13)</f>
        <v>6.0789</v>
      </c>
      <c r="G389" s="61">
        <f>6.079 * CHOOSE(CONTROL!$C$22, $C$13, 100%, $E$13)</f>
        <v>6.0789999999999997</v>
      </c>
      <c r="H389" s="61">
        <f>11.1912* CHOOSE(CONTROL!$C$22, $C$13, 100%, $E$13)</f>
        <v>11.1912</v>
      </c>
      <c r="I389" s="61">
        <f>11.1914 * CHOOSE(CONTROL!$C$22, $C$13, 100%, $E$13)</f>
        <v>11.1914</v>
      </c>
      <c r="J389" s="61">
        <f>6.0789 * CHOOSE(CONTROL!$C$22, $C$13, 100%, $E$13)</f>
        <v>6.0789</v>
      </c>
      <c r="K389" s="61">
        <f>6.079 * CHOOSE(CONTROL!$C$22, $C$13, 100%, $E$13)</f>
        <v>6.0789999999999997</v>
      </c>
    </row>
    <row r="390" spans="1:11" ht="15">
      <c r="A390" s="13">
        <v>53724</v>
      </c>
      <c r="B390" s="60">
        <f>5.4494 * CHOOSE(CONTROL!$C$22, $C$13, 100%, $E$13)</f>
        <v>5.4493999999999998</v>
      </c>
      <c r="C390" s="60">
        <f>5.4494 * CHOOSE(CONTROL!$C$22, $C$13, 100%, $E$13)</f>
        <v>5.4493999999999998</v>
      </c>
      <c r="D390" s="60">
        <f>5.4671 * CHOOSE(CONTROL!$C$22, $C$13, 100%, $E$13)</f>
        <v>5.4671000000000003</v>
      </c>
      <c r="E390" s="61">
        <f>5.9862 * CHOOSE(CONTROL!$C$22, $C$13, 100%, $E$13)</f>
        <v>5.9862000000000002</v>
      </c>
      <c r="F390" s="61">
        <f>5.9862 * CHOOSE(CONTROL!$C$22, $C$13, 100%, $E$13)</f>
        <v>5.9862000000000002</v>
      </c>
      <c r="G390" s="61">
        <f>5.9864 * CHOOSE(CONTROL!$C$22, $C$13, 100%, $E$13)</f>
        <v>5.9863999999999997</v>
      </c>
      <c r="H390" s="61">
        <f>11.2145* CHOOSE(CONTROL!$C$22, $C$13, 100%, $E$13)</f>
        <v>11.214499999999999</v>
      </c>
      <c r="I390" s="61">
        <f>11.2147 * CHOOSE(CONTROL!$C$22, $C$13, 100%, $E$13)</f>
        <v>11.214700000000001</v>
      </c>
      <c r="J390" s="61">
        <f>5.9862 * CHOOSE(CONTROL!$C$22, $C$13, 100%, $E$13)</f>
        <v>5.9862000000000002</v>
      </c>
      <c r="K390" s="61">
        <f>5.9864 * CHOOSE(CONTROL!$C$22, $C$13, 100%, $E$13)</f>
        <v>5.9863999999999997</v>
      </c>
    </row>
    <row r="391" spans="1:11" ht="15">
      <c r="A391" s="13">
        <v>53752</v>
      </c>
      <c r="B391" s="60">
        <f>5.4464 * CHOOSE(CONTROL!$C$22, $C$13, 100%, $E$13)</f>
        <v>5.4463999999999997</v>
      </c>
      <c r="C391" s="60">
        <f>5.4464 * CHOOSE(CONTROL!$C$22, $C$13, 100%, $E$13)</f>
        <v>5.4463999999999997</v>
      </c>
      <c r="D391" s="60">
        <f>5.464 * CHOOSE(CONTROL!$C$22, $C$13, 100%, $E$13)</f>
        <v>5.4640000000000004</v>
      </c>
      <c r="E391" s="61">
        <f>6.0555 * CHOOSE(CONTROL!$C$22, $C$13, 100%, $E$13)</f>
        <v>6.0555000000000003</v>
      </c>
      <c r="F391" s="61">
        <f>6.0555 * CHOOSE(CONTROL!$C$22, $C$13, 100%, $E$13)</f>
        <v>6.0555000000000003</v>
      </c>
      <c r="G391" s="61">
        <f>6.0556 * CHOOSE(CONTROL!$C$22, $C$13, 100%, $E$13)</f>
        <v>6.0556000000000001</v>
      </c>
      <c r="H391" s="61">
        <f>11.2379* CHOOSE(CONTROL!$C$22, $C$13, 100%, $E$13)</f>
        <v>11.2379</v>
      </c>
      <c r="I391" s="61">
        <f>11.2381 * CHOOSE(CONTROL!$C$22, $C$13, 100%, $E$13)</f>
        <v>11.238099999999999</v>
      </c>
      <c r="J391" s="61">
        <f>6.0555 * CHOOSE(CONTROL!$C$22, $C$13, 100%, $E$13)</f>
        <v>6.0555000000000003</v>
      </c>
      <c r="K391" s="61">
        <f>6.0556 * CHOOSE(CONTROL!$C$22, $C$13, 100%, $E$13)</f>
        <v>6.0556000000000001</v>
      </c>
    </row>
    <row r="392" spans="1:11" ht="15">
      <c r="A392" s="13">
        <v>53783</v>
      </c>
      <c r="B392" s="60">
        <f>5.4455 * CHOOSE(CONTROL!$C$22, $C$13, 100%, $E$13)</f>
        <v>5.4455</v>
      </c>
      <c r="C392" s="60">
        <f>5.4455 * CHOOSE(CONTROL!$C$22, $C$13, 100%, $E$13)</f>
        <v>5.4455</v>
      </c>
      <c r="D392" s="60">
        <f>5.4631 * CHOOSE(CONTROL!$C$22, $C$13, 100%, $E$13)</f>
        <v>5.4630999999999998</v>
      </c>
      <c r="E392" s="61">
        <f>6.1279 * CHOOSE(CONTROL!$C$22, $C$13, 100%, $E$13)</f>
        <v>6.1279000000000003</v>
      </c>
      <c r="F392" s="61">
        <f>6.1279 * CHOOSE(CONTROL!$C$22, $C$13, 100%, $E$13)</f>
        <v>6.1279000000000003</v>
      </c>
      <c r="G392" s="61">
        <f>6.1281 * CHOOSE(CONTROL!$C$22, $C$13, 100%, $E$13)</f>
        <v>6.1280999999999999</v>
      </c>
      <c r="H392" s="61">
        <f>11.2613* CHOOSE(CONTROL!$C$22, $C$13, 100%, $E$13)</f>
        <v>11.2613</v>
      </c>
      <c r="I392" s="61">
        <f>11.2615 * CHOOSE(CONTROL!$C$22, $C$13, 100%, $E$13)</f>
        <v>11.2615</v>
      </c>
      <c r="J392" s="61">
        <f>6.1279 * CHOOSE(CONTROL!$C$22, $C$13, 100%, $E$13)</f>
        <v>6.1279000000000003</v>
      </c>
      <c r="K392" s="61">
        <f>6.1281 * CHOOSE(CONTROL!$C$22, $C$13, 100%, $E$13)</f>
        <v>6.1280999999999999</v>
      </c>
    </row>
    <row r="393" spans="1:11" ht="15">
      <c r="A393" s="13">
        <v>53813</v>
      </c>
      <c r="B393" s="60">
        <f>5.4455 * CHOOSE(CONTROL!$C$22, $C$13, 100%, $E$13)</f>
        <v>5.4455</v>
      </c>
      <c r="C393" s="60">
        <f>5.4455 * CHOOSE(CONTROL!$C$22, $C$13, 100%, $E$13)</f>
        <v>5.4455</v>
      </c>
      <c r="D393" s="60">
        <f>5.4808 * CHOOSE(CONTROL!$C$22, $C$13, 100%, $E$13)</f>
        <v>5.4808000000000003</v>
      </c>
      <c r="E393" s="61">
        <f>6.1566 * CHOOSE(CONTROL!$C$22, $C$13, 100%, $E$13)</f>
        <v>6.1566000000000001</v>
      </c>
      <c r="F393" s="61">
        <f>6.1566 * CHOOSE(CONTROL!$C$22, $C$13, 100%, $E$13)</f>
        <v>6.1566000000000001</v>
      </c>
      <c r="G393" s="61">
        <f>6.1588 * CHOOSE(CONTROL!$C$22, $C$13, 100%, $E$13)</f>
        <v>6.1588000000000003</v>
      </c>
      <c r="H393" s="61">
        <f>11.2848* CHOOSE(CONTROL!$C$22, $C$13, 100%, $E$13)</f>
        <v>11.284800000000001</v>
      </c>
      <c r="I393" s="61">
        <f>11.287 * CHOOSE(CONTROL!$C$22, $C$13, 100%, $E$13)</f>
        <v>11.287000000000001</v>
      </c>
      <c r="J393" s="61">
        <f>6.1566 * CHOOSE(CONTROL!$C$22, $C$13, 100%, $E$13)</f>
        <v>6.1566000000000001</v>
      </c>
      <c r="K393" s="61">
        <f>6.1588 * CHOOSE(CONTROL!$C$22, $C$13, 100%, $E$13)</f>
        <v>6.1588000000000003</v>
      </c>
    </row>
    <row r="394" spans="1:11" ht="15">
      <c r="A394" s="13">
        <v>53844</v>
      </c>
      <c r="B394" s="60">
        <f>5.4516 * CHOOSE(CONTROL!$C$22, $C$13, 100%, $E$13)</f>
        <v>5.4516</v>
      </c>
      <c r="C394" s="60">
        <f>5.4516 * CHOOSE(CONTROL!$C$22, $C$13, 100%, $E$13)</f>
        <v>5.4516</v>
      </c>
      <c r="D394" s="60">
        <f>5.4869 * CHOOSE(CONTROL!$C$22, $C$13, 100%, $E$13)</f>
        <v>5.4869000000000003</v>
      </c>
      <c r="E394" s="61">
        <f>6.1321 * CHOOSE(CONTROL!$C$22, $C$13, 100%, $E$13)</f>
        <v>6.1321000000000003</v>
      </c>
      <c r="F394" s="61">
        <f>6.1321 * CHOOSE(CONTROL!$C$22, $C$13, 100%, $E$13)</f>
        <v>6.1321000000000003</v>
      </c>
      <c r="G394" s="61">
        <f>6.1343 * CHOOSE(CONTROL!$C$22, $C$13, 100%, $E$13)</f>
        <v>6.1342999999999996</v>
      </c>
      <c r="H394" s="61">
        <f>11.3083* CHOOSE(CONTROL!$C$22, $C$13, 100%, $E$13)</f>
        <v>11.308299999999999</v>
      </c>
      <c r="I394" s="61">
        <f>11.3105 * CHOOSE(CONTROL!$C$22, $C$13, 100%, $E$13)</f>
        <v>11.310499999999999</v>
      </c>
      <c r="J394" s="61">
        <f>6.1321 * CHOOSE(CONTROL!$C$22, $C$13, 100%, $E$13)</f>
        <v>6.1321000000000003</v>
      </c>
      <c r="K394" s="61">
        <f>6.1343 * CHOOSE(CONTROL!$C$22, $C$13, 100%, $E$13)</f>
        <v>6.1342999999999996</v>
      </c>
    </row>
    <row r="395" spans="1:11" ht="15">
      <c r="A395" s="13">
        <v>53874</v>
      </c>
      <c r="B395" s="60">
        <f>5.5355 * CHOOSE(CONTROL!$C$22, $C$13, 100%, $E$13)</f>
        <v>5.5354999999999999</v>
      </c>
      <c r="C395" s="60">
        <f>5.5355 * CHOOSE(CONTROL!$C$22, $C$13, 100%, $E$13)</f>
        <v>5.5354999999999999</v>
      </c>
      <c r="D395" s="60">
        <f>5.5708 * CHOOSE(CONTROL!$C$22, $C$13, 100%, $E$13)</f>
        <v>5.5708000000000002</v>
      </c>
      <c r="E395" s="61">
        <f>6.2503 * CHOOSE(CONTROL!$C$22, $C$13, 100%, $E$13)</f>
        <v>6.2503000000000002</v>
      </c>
      <c r="F395" s="61">
        <f>6.2503 * CHOOSE(CONTROL!$C$22, $C$13, 100%, $E$13)</f>
        <v>6.2503000000000002</v>
      </c>
      <c r="G395" s="61">
        <f>6.2525 * CHOOSE(CONTROL!$C$22, $C$13, 100%, $E$13)</f>
        <v>6.2525000000000004</v>
      </c>
      <c r="H395" s="61">
        <f>11.3319* CHOOSE(CONTROL!$C$22, $C$13, 100%, $E$13)</f>
        <v>11.331899999999999</v>
      </c>
      <c r="I395" s="61">
        <f>11.334 * CHOOSE(CONTROL!$C$22, $C$13, 100%, $E$13)</f>
        <v>11.334</v>
      </c>
      <c r="J395" s="61">
        <f>6.2503 * CHOOSE(CONTROL!$C$22, $C$13, 100%, $E$13)</f>
        <v>6.2503000000000002</v>
      </c>
      <c r="K395" s="61">
        <f>6.2525 * CHOOSE(CONTROL!$C$22, $C$13, 100%, $E$13)</f>
        <v>6.2525000000000004</v>
      </c>
    </row>
    <row r="396" spans="1:11" ht="15">
      <c r="A396" s="13">
        <v>53905</v>
      </c>
      <c r="B396" s="60">
        <f>5.5422 * CHOOSE(CONTROL!$C$22, $C$13, 100%, $E$13)</f>
        <v>5.5422000000000002</v>
      </c>
      <c r="C396" s="60">
        <f>5.5422 * CHOOSE(CONTROL!$C$22, $C$13, 100%, $E$13)</f>
        <v>5.5422000000000002</v>
      </c>
      <c r="D396" s="60">
        <f>5.5775 * CHOOSE(CONTROL!$C$22, $C$13, 100%, $E$13)</f>
        <v>5.5774999999999997</v>
      </c>
      <c r="E396" s="61">
        <f>6.1687 * CHOOSE(CONTROL!$C$22, $C$13, 100%, $E$13)</f>
        <v>6.1687000000000003</v>
      </c>
      <c r="F396" s="61">
        <f>6.1687 * CHOOSE(CONTROL!$C$22, $C$13, 100%, $E$13)</f>
        <v>6.1687000000000003</v>
      </c>
      <c r="G396" s="61">
        <f>6.1709 * CHOOSE(CONTROL!$C$22, $C$13, 100%, $E$13)</f>
        <v>6.1708999999999996</v>
      </c>
      <c r="H396" s="61">
        <f>11.3555* CHOOSE(CONTROL!$C$22, $C$13, 100%, $E$13)</f>
        <v>11.355499999999999</v>
      </c>
      <c r="I396" s="61">
        <f>11.3576 * CHOOSE(CONTROL!$C$22, $C$13, 100%, $E$13)</f>
        <v>11.3576</v>
      </c>
      <c r="J396" s="61">
        <f>6.1687 * CHOOSE(CONTROL!$C$22, $C$13, 100%, $E$13)</f>
        <v>6.1687000000000003</v>
      </c>
      <c r="K396" s="61">
        <f>6.1709 * CHOOSE(CONTROL!$C$22, $C$13, 100%, $E$13)</f>
        <v>6.1708999999999996</v>
      </c>
    </row>
    <row r="397" spans="1:11" ht="15">
      <c r="A397" s="13">
        <v>53936</v>
      </c>
      <c r="B397" s="60">
        <f>5.5391 * CHOOSE(CONTROL!$C$22, $C$13, 100%, $E$13)</f>
        <v>5.5391000000000004</v>
      </c>
      <c r="C397" s="60">
        <f>5.5391 * CHOOSE(CONTROL!$C$22, $C$13, 100%, $E$13)</f>
        <v>5.5391000000000004</v>
      </c>
      <c r="D397" s="60">
        <f>5.5744 * CHOOSE(CONTROL!$C$22, $C$13, 100%, $E$13)</f>
        <v>5.5743999999999998</v>
      </c>
      <c r="E397" s="61">
        <f>6.157 * CHOOSE(CONTROL!$C$22, $C$13, 100%, $E$13)</f>
        <v>6.157</v>
      </c>
      <c r="F397" s="61">
        <f>6.157 * CHOOSE(CONTROL!$C$22, $C$13, 100%, $E$13)</f>
        <v>6.157</v>
      </c>
      <c r="G397" s="61">
        <f>6.1592 * CHOOSE(CONTROL!$C$22, $C$13, 100%, $E$13)</f>
        <v>6.1592000000000002</v>
      </c>
      <c r="H397" s="61">
        <f>11.3791* CHOOSE(CONTROL!$C$22, $C$13, 100%, $E$13)</f>
        <v>11.379099999999999</v>
      </c>
      <c r="I397" s="61">
        <f>11.3813 * CHOOSE(CONTROL!$C$22, $C$13, 100%, $E$13)</f>
        <v>11.3813</v>
      </c>
      <c r="J397" s="61">
        <f>6.157 * CHOOSE(CONTROL!$C$22, $C$13, 100%, $E$13)</f>
        <v>6.157</v>
      </c>
      <c r="K397" s="61">
        <f>6.1592 * CHOOSE(CONTROL!$C$22, $C$13, 100%, $E$13)</f>
        <v>6.1592000000000002</v>
      </c>
    </row>
    <row r="398" spans="1:11" ht="15">
      <c r="A398" s="13">
        <v>53966</v>
      </c>
      <c r="B398" s="60">
        <f>5.5401 * CHOOSE(CONTROL!$C$22, $C$13, 100%, $E$13)</f>
        <v>5.5400999999999998</v>
      </c>
      <c r="C398" s="60">
        <f>5.5401 * CHOOSE(CONTROL!$C$22, $C$13, 100%, $E$13)</f>
        <v>5.5400999999999998</v>
      </c>
      <c r="D398" s="60">
        <f>5.5578 * CHOOSE(CONTROL!$C$22, $C$13, 100%, $E$13)</f>
        <v>5.5578000000000003</v>
      </c>
      <c r="E398" s="61">
        <f>6.1819 * CHOOSE(CONTROL!$C$22, $C$13, 100%, $E$13)</f>
        <v>6.1818999999999997</v>
      </c>
      <c r="F398" s="61">
        <f>6.1819 * CHOOSE(CONTROL!$C$22, $C$13, 100%, $E$13)</f>
        <v>6.1818999999999997</v>
      </c>
      <c r="G398" s="61">
        <f>6.1821 * CHOOSE(CONTROL!$C$22, $C$13, 100%, $E$13)</f>
        <v>6.1821000000000002</v>
      </c>
      <c r="H398" s="61">
        <f>11.4028* CHOOSE(CONTROL!$C$22, $C$13, 100%, $E$13)</f>
        <v>11.402799999999999</v>
      </c>
      <c r="I398" s="61">
        <f>11.403 * CHOOSE(CONTROL!$C$22, $C$13, 100%, $E$13)</f>
        <v>11.403</v>
      </c>
      <c r="J398" s="61">
        <f>6.1819 * CHOOSE(CONTROL!$C$22, $C$13, 100%, $E$13)</f>
        <v>6.1818999999999997</v>
      </c>
      <c r="K398" s="61">
        <f>6.1821 * CHOOSE(CONTROL!$C$22, $C$13, 100%, $E$13)</f>
        <v>6.1821000000000002</v>
      </c>
    </row>
    <row r="399" spans="1:11" ht="15">
      <c r="A399" s="13">
        <v>53997</v>
      </c>
      <c r="B399" s="60">
        <f>5.5432 * CHOOSE(CONTROL!$C$22, $C$13, 100%, $E$13)</f>
        <v>5.5431999999999997</v>
      </c>
      <c r="C399" s="60">
        <f>5.5432 * CHOOSE(CONTROL!$C$22, $C$13, 100%, $E$13)</f>
        <v>5.5431999999999997</v>
      </c>
      <c r="D399" s="60">
        <f>5.5608 * CHOOSE(CONTROL!$C$22, $C$13, 100%, $E$13)</f>
        <v>5.5608000000000004</v>
      </c>
      <c r="E399" s="61">
        <f>6.2032 * CHOOSE(CONTROL!$C$22, $C$13, 100%, $E$13)</f>
        <v>6.2031999999999998</v>
      </c>
      <c r="F399" s="61">
        <f>6.2032 * CHOOSE(CONTROL!$C$22, $C$13, 100%, $E$13)</f>
        <v>6.2031999999999998</v>
      </c>
      <c r="G399" s="61">
        <f>6.2034 * CHOOSE(CONTROL!$C$22, $C$13, 100%, $E$13)</f>
        <v>6.2034000000000002</v>
      </c>
      <c r="H399" s="61">
        <f>11.4266* CHOOSE(CONTROL!$C$22, $C$13, 100%, $E$13)</f>
        <v>11.426600000000001</v>
      </c>
      <c r="I399" s="61">
        <f>11.4268 * CHOOSE(CONTROL!$C$22, $C$13, 100%, $E$13)</f>
        <v>11.4268</v>
      </c>
      <c r="J399" s="61">
        <f>6.2032 * CHOOSE(CONTROL!$C$22, $C$13, 100%, $E$13)</f>
        <v>6.2031999999999998</v>
      </c>
      <c r="K399" s="61">
        <f>6.2034 * CHOOSE(CONTROL!$C$22, $C$13, 100%, $E$13)</f>
        <v>6.2034000000000002</v>
      </c>
    </row>
    <row r="400" spans="1:11" ht="15">
      <c r="A400" s="13">
        <v>54027</v>
      </c>
      <c r="B400" s="60">
        <f>5.5432 * CHOOSE(CONTROL!$C$22, $C$13, 100%, $E$13)</f>
        <v>5.5431999999999997</v>
      </c>
      <c r="C400" s="60">
        <f>5.5432 * CHOOSE(CONTROL!$C$22, $C$13, 100%, $E$13)</f>
        <v>5.5431999999999997</v>
      </c>
      <c r="D400" s="60">
        <f>5.5608 * CHOOSE(CONTROL!$C$22, $C$13, 100%, $E$13)</f>
        <v>5.5608000000000004</v>
      </c>
      <c r="E400" s="61">
        <f>6.1553 * CHOOSE(CONTROL!$C$22, $C$13, 100%, $E$13)</f>
        <v>6.1553000000000004</v>
      </c>
      <c r="F400" s="61">
        <f>6.1553 * CHOOSE(CONTROL!$C$22, $C$13, 100%, $E$13)</f>
        <v>6.1553000000000004</v>
      </c>
      <c r="G400" s="61">
        <f>6.1554 * CHOOSE(CONTROL!$C$22, $C$13, 100%, $E$13)</f>
        <v>6.1554000000000002</v>
      </c>
      <c r="H400" s="61">
        <f>11.4504* CHOOSE(CONTROL!$C$22, $C$13, 100%, $E$13)</f>
        <v>11.4504</v>
      </c>
      <c r="I400" s="61">
        <f>11.4506 * CHOOSE(CONTROL!$C$22, $C$13, 100%, $E$13)</f>
        <v>11.4506</v>
      </c>
      <c r="J400" s="61">
        <f>6.1553 * CHOOSE(CONTROL!$C$22, $C$13, 100%, $E$13)</f>
        <v>6.1553000000000004</v>
      </c>
      <c r="K400" s="61">
        <f>6.1554 * CHOOSE(CONTROL!$C$22, $C$13, 100%, $E$13)</f>
        <v>6.1554000000000002</v>
      </c>
    </row>
    <row r="401" spans="1:11" ht="15">
      <c r="A401" s="13">
        <v>54058</v>
      </c>
      <c r="B401" s="60">
        <f>5.5908 * CHOOSE(CONTROL!$C$22, $C$13, 100%, $E$13)</f>
        <v>5.5907999999999998</v>
      </c>
      <c r="C401" s="60">
        <f>5.5908 * CHOOSE(CONTROL!$C$22, $C$13, 100%, $E$13)</f>
        <v>5.5907999999999998</v>
      </c>
      <c r="D401" s="60">
        <f>5.6084 * CHOOSE(CONTROL!$C$22, $C$13, 100%, $E$13)</f>
        <v>5.6083999999999996</v>
      </c>
      <c r="E401" s="61">
        <f>6.2495 * CHOOSE(CONTROL!$C$22, $C$13, 100%, $E$13)</f>
        <v>6.2495000000000003</v>
      </c>
      <c r="F401" s="61">
        <f>6.2495 * CHOOSE(CONTROL!$C$22, $C$13, 100%, $E$13)</f>
        <v>6.2495000000000003</v>
      </c>
      <c r="G401" s="61">
        <f>6.2497 * CHOOSE(CONTROL!$C$22, $C$13, 100%, $E$13)</f>
        <v>6.2496999999999998</v>
      </c>
      <c r="H401" s="61">
        <f>11.4742* CHOOSE(CONTROL!$C$22, $C$13, 100%, $E$13)</f>
        <v>11.4742</v>
      </c>
      <c r="I401" s="61">
        <f>11.4744 * CHOOSE(CONTROL!$C$22, $C$13, 100%, $E$13)</f>
        <v>11.474399999999999</v>
      </c>
      <c r="J401" s="61">
        <f>6.2495 * CHOOSE(CONTROL!$C$22, $C$13, 100%, $E$13)</f>
        <v>6.2495000000000003</v>
      </c>
      <c r="K401" s="61">
        <f>6.2497 * CHOOSE(CONTROL!$C$22, $C$13, 100%, $E$13)</f>
        <v>6.2496999999999998</v>
      </c>
    </row>
    <row r="402" spans="1:11" ht="15">
      <c r="A402" s="13">
        <v>54089</v>
      </c>
      <c r="B402" s="60">
        <f>5.5877 * CHOOSE(CONTROL!$C$22, $C$13, 100%, $E$13)</f>
        <v>5.5876999999999999</v>
      </c>
      <c r="C402" s="60">
        <f>5.5877 * CHOOSE(CONTROL!$C$22, $C$13, 100%, $E$13)</f>
        <v>5.5876999999999999</v>
      </c>
      <c r="D402" s="60">
        <f>5.6054 * CHOOSE(CONTROL!$C$22, $C$13, 100%, $E$13)</f>
        <v>5.6054000000000004</v>
      </c>
      <c r="E402" s="61">
        <f>6.154 * CHOOSE(CONTROL!$C$22, $C$13, 100%, $E$13)</f>
        <v>6.1539999999999999</v>
      </c>
      <c r="F402" s="61">
        <f>6.154 * CHOOSE(CONTROL!$C$22, $C$13, 100%, $E$13)</f>
        <v>6.1539999999999999</v>
      </c>
      <c r="G402" s="61">
        <f>6.1541 * CHOOSE(CONTROL!$C$22, $C$13, 100%, $E$13)</f>
        <v>6.1540999999999997</v>
      </c>
      <c r="H402" s="61">
        <f>11.4981* CHOOSE(CONTROL!$C$22, $C$13, 100%, $E$13)</f>
        <v>11.498100000000001</v>
      </c>
      <c r="I402" s="61">
        <f>11.4983 * CHOOSE(CONTROL!$C$22, $C$13, 100%, $E$13)</f>
        <v>11.4983</v>
      </c>
      <c r="J402" s="61">
        <f>6.154 * CHOOSE(CONTROL!$C$22, $C$13, 100%, $E$13)</f>
        <v>6.1539999999999999</v>
      </c>
      <c r="K402" s="61">
        <f>6.1541 * CHOOSE(CONTROL!$C$22, $C$13, 100%, $E$13)</f>
        <v>6.1540999999999997</v>
      </c>
    </row>
    <row r="403" spans="1:11" ht="15">
      <c r="A403" s="13">
        <v>54118</v>
      </c>
      <c r="B403" s="60">
        <f>5.5847 * CHOOSE(CONTROL!$C$22, $C$13, 100%, $E$13)</f>
        <v>5.5846999999999998</v>
      </c>
      <c r="C403" s="60">
        <f>5.5847 * CHOOSE(CONTROL!$C$22, $C$13, 100%, $E$13)</f>
        <v>5.5846999999999998</v>
      </c>
      <c r="D403" s="60">
        <f>5.6023 * CHOOSE(CONTROL!$C$22, $C$13, 100%, $E$13)</f>
        <v>5.6022999999999996</v>
      </c>
      <c r="E403" s="61">
        <f>6.2255 * CHOOSE(CONTROL!$C$22, $C$13, 100%, $E$13)</f>
        <v>6.2255000000000003</v>
      </c>
      <c r="F403" s="61">
        <f>6.2255 * CHOOSE(CONTROL!$C$22, $C$13, 100%, $E$13)</f>
        <v>6.2255000000000003</v>
      </c>
      <c r="G403" s="61">
        <f>6.2257 * CHOOSE(CONTROL!$C$22, $C$13, 100%, $E$13)</f>
        <v>6.2256999999999998</v>
      </c>
      <c r="H403" s="61">
        <f>11.5221* CHOOSE(CONTROL!$C$22, $C$13, 100%, $E$13)</f>
        <v>11.5221</v>
      </c>
      <c r="I403" s="61">
        <f>11.5223 * CHOOSE(CONTROL!$C$22, $C$13, 100%, $E$13)</f>
        <v>11.5223</v>
      </c>
      <c r="J403" s="61">
        <f>6.2255 * CHOOSE(CONTROL!$C$22, $C$13, 100%, $E$13)</f>
        <v>6.2255000000000003</v>
      </c>
      <c r="K403" s="61">
        <f>6.2257 * CHOOSE(CONTROL!$C$22, $C$13, 100%, $E$13)</f>
        <v>6.2256999999999998</v>
      </c>
    </row>
    <row r="404" spans="1:11" ht="15">
      <c r="A404" s="13">
        <v>54149</v>
      </c>
      <c r="B404" s="60">
        <f>5.5839 * CHOOSE(CONTROL!$C$22, $C$13, 100%, $E$13)</f>
        <v>5.5838999999999999</v>
      </c>
      <c r="C404" s="60">
        <f>5.5839 * CHOOSE(CONTROL!$C$22, $C$13, 100%, $E$13)</f>
        <v>5.5838999999999999</v>
      </c>
      <c r="D404" s="60">
        <f>5.6016 * CHOOSE(CONTROL!$C$22, $C$13, 100%, $E$13)</f>
        <v>5.6016000000000004</v>
      </c>
      <c r="E404" s="61">
        <f>6.3004 * CHOOSE(CONTROL!$C$22, $C$13, 100%, $E$13)</f>
        <v>6.3003999999999998</v>
      </c>
      <c r="F404" s="61">
        <f>6.3004 * CHOOSE(CONTROL!$C$22, $C$13, 100%, $E$13)</f>
        <v>6.3003999999999998</v>
      </c>
      <c r="G404" s="61">
        <f>6.3006 * CHOOSE(CONTROL!$C$22, $C$13, 100%, $E$13)</f>
        <v>6.3006000000000002</v>
      </c>
      <c r="H404" s="61">
        <f>11.5461* CHOOSE(CONTROL!$C$22, $C$13, 100%, $E$13)</f>
        <v>11.546099999999999</v>
      </c>
      <c r="I404" s="61">
        <f>11.5463 * CHOOSE(CONTROL!$C$22, $C$13, 100%, $E$13)</f>
        <v>11.5463</v>
      </c>
      <c r="J404" s="61">
        <f>6.3004 * CHOOSE(CONTROL!$C$22, $C$13, 100%, $E$13)</f>
        <v>6.3003999999999998</v>
      </c>
      <c r="K404" s="61">
        <f>6.3006 * CHOOSE(CONTROL!$C$22, $C$13, 100%, $E$13)</f>
        <v>6.3006000000000002</v>
      </c>
    </row>
    <row r="405" spans="1:11" ht="15">
      <c r="A405" s="13">
        <v>54179</v>
      </c>
      <c r="B405" s="60">
        <f>5.5839 * CHOOSE(CONTROL!$C$22, $C$13, 100%, $E$13)</f>
        <v>5.5838999999999999</v>
      </c>
      <c r="C405" s="60">
        <f>5.5839 * CHOOSE(CONTROL!$C$22, $C$13, 100%, $E$13)</f>
        <v>5.5838999999999999</v>
      </c>
      <c r="D405" s="60">
        <f>5.6192 * CHOOSE(CONTROL!$C$22, $C$13, 100%, $E$13)</f>
        <v>5.6192000000000002</v>
      </c>
      <c r="E405" s="61">
        <f>6.33 * CHOOSE(CONTROL!$C$22, $C$13, 100%, $E$13)</f>
        <v>6.33</v>
      </c>
      <c r="F405" s="61">
        <f>6.33 * CHOOSE(CONTROL!$C$22, $C$13, 100%, $E$13)</f>
        <v>6.33</v>
      </c>
      <c r="G405" s="61">
        <f>6.3322 * CHOOSE(CONTROL!$C$22, $C$13, 100%, $E$13)</f>
        <v>6.3322000000000003</v>
      </c>
      <c r="H405" s="61">
        <f>11.5702* CHOOSE(CONTROL!$C$22, $C$13, 100%, $E$13)</f>
        <v>11.5702</v>
      </c>
      <c r="I405" s="61">
        <f>11.5723 * CHOOSE(CONTROL!$C$22, $C$13, 100%, $E$13)</f>
        <v>11.5723</v>
      </c>
      <c r="J405" s="61">
        <f>6.33 * CHOOSE(CONTROL!$C$22, $C$13, 100%, $E$13)</f>
        <v>6.33</v>
      </c>
      <c r="K405" s="61">
        <f>6.3322 * CHOOSE(CONTROL!$C$22, $C$13, 100%, $E$13)</f>
        <v>6.3322000000000003</v>
      </c>
    </row>
    <row r="406" spans="1:11" ht="15">
      <c r="A406" s="13">
        <v>54210</v>
      </c>
      <c r="B406" s="60">
        <f>5.59 * CHOOSE(CONTROL!$C$22, $C$13, 100%, $E$13)</f>
        <v>5.59</v>
      </c>
      <c r="C406" s="60">
        <f>5.59 * CHOOSE(CONTROL!$C$22, $C$13, 100%, $E$13)</f>
        <v>5.59</v>
      </c>
      <c r="D406" s="60">
        <f>5.6253 * CHOOSE(CONTROL!$C$22, $C$13, 100%, $E$13)</f>
        <v>5.6253000000000002</v>
      </c>
      <c r="E406" s="61">
        <f>6.3046 * CHOOSE(CONTROL!$C$22, $C$13, 100%, $E$13)</f>
        <v>6.3045999999999998</v>
      </c>
      <c r="F406" s="61">
        <f>6.3046 * CHOOSE(CONTROL!$C$22, $C$13, 100%, $E$13)</f>
        <v>6.3045999999999998</v>
      </c>
      <c r="G406" s="61">
        <f>6.3068 * CHOOSE(CONTROL!$C$22, $C$13, 100%, $E$13)</f>
        <v>6.3068</v>
      </c>
      <c r="H406" s="61">
        <f>11.5943* CHOOSE(CONTROL!$C$22, $C$13, 100%, $E$13)</f>
        <v>11.5943</v>
      </c>
      <c r="I406" s="61">
        <f>11.5964 * CHOOSE(CONTROL!$C$22, $C$13, 100%, $E$13)</f>
        <v>11.596399999999999</v>
      </c>
      <c r="J406" s="61">
        <f>6.3046 * CHOOSE(CONTROL!$C$22, $C$13, 100%, $E$13)</f>
        <v>6.3045999999999998</v>
      </c>
      <c r="K406" s="61">
        <f>6.3068 * CHOOSE(CONTROL!$C$22, $C$13, 100%, $E$13)</f>
        <v>6.3068</v>
      </c>
    </row>
    <row r="407" spans="1:11" ht="15">
      <c r="A407" s="13">
        <v>54240</v>
      </c>
      <c r="B407" s="60">
        <f>5.6757 * CHOOSE(CONTROL!$C$22, $C$13, 100%, $E$13)</f>
        <v>5.6757</v>
      </c>
      <c r="C407" s="60">
        <f>5.6757 * CHOOSE(CONTROL!$C$22, $C$13, 100%, $E$13)</f>
        <v>5.6757</v>
      </c>
      <c r="D407" s="60">
        <f>5.711 * CHOOSE(CONTROL!$C$22, $C$13, 100%, $E$13)</f>
        <v>5.7110000000000003</v>
      </c>
      <c r="E407" s="61">
        <f>6.4258 * CHOOSE(CONTROL!$C$22, $C$13, 100%, $E$13)</f>
        <v>6.4257999999999997</v>
      </c>
      <c r="F407" s="61">
        <f>6.4258 * CHOOSE(CONTROL!$C$22, $C$13, 100%, $E$13)</f>
        <v>6.4257999999999997</v>
      </c>
      <c r="G407" s="61">
        <f>6.4279 * CHOOSE(CONTROL!$C$22, $C$13, 100%, $E$13)</f>
        <v>6.4279000000000002</v>
      </c>
      <c r="H407" s="61">
        <f>11.6184* CHOOSE(CONTROL!$C$22, $C$13, 100%, $E$13)</f>
        <v>11.618399999999999</v>
      </c>
      <c r="I407" s="61">
        <f>11.6206 * CHOOSE(CONTROL!$C$22, $C$13, 100%, $E$13)</f>
        <v>11.6206</v>
      </c>
      <c r="J407" s="61">
        <f>6.4258 * CHOOSE(CONTROL!$C$22, $C$13, 100%, $E$13)</f>
        <v>6.4257999999999997</v>
      </c>
      <c r="K407" s="61">
        <f>6.4279 * CHOOSE(CONTROL!$C$22, $C$13, 100%, $E$13)</f>
        <v>6.4279000000000002</v>
      </c>
    </row>
    <row r="408" spans="1:11" ht="15">
      <c r="A408" s="13">
        <v>54271</v>
      </c>
      <c r="B408" s="60">
        <f>5.6824 * CHOOSE(CONTROL!$C$22, $C$13, 100%, $E$13)</f>
        <v>5.6824000000000003</v>
      </c>
      <c r="C408" s="60">
        <f>5.6824 * CHOOSE(CONTROL!$C$22, $C$13, 100%, $E$13)</f>
        <v>5.6824000000000003</v>
      </c>
      <c r="D408" s="60">
        <f>5.7177 * CHOOSE(CONTROL!$C$22, $C$13, 100%, $E$13)</f>
        <v>5.7176999999999998</v>
      </c>
      <c r="E408" s="61">
        <f>6.3414 * CHOOSE(CONTROL!$C$22, $C$13, 100%, $E$13)</f>
        <v>6.3414000000000001</v>
      </c>
      <c r="F408" s="61">
        <f>6.3414 * CHOOSE(CONTROL!$C$22, $C$13, 100%, $E$13)</f>
        <v>6.3414000000000001</v>
      </c>
      <c r="G408" s="61">
        <f>6.3436 * CHOOSE(CONTROL!$C$22, $C$13, 100%, $E$13)</f>
        <v>6.3436000000000003</v>
      </c>
      <c r="H408" s="61">
        <f>11.6426* CHOOSE(CONTROL!$C$22, $C$13, 100%, $E$13)</f>
        <v>11.6426</v>
      </c>
      <c r="I408" s="61">
        <f>11.6448 * CHOOSE(CONTROL!$C$22, $C$13, 100%, $E$13)</f>
        <v>11.6448</v>
      </c>
      <c r="J408" s="61">
        <f>6.3414 * CHOOSE(CONTROL!$C$22, $C$13, 100%, $E$13)</f>
        <v>6.3414000000000001</v>
      </c>
      <c r="K408" s="61">
        <f>6.3436 * CHOOSE(CONTROL!$C$22, $C$13, 100%, $E$13)</f>
        <v>6.3436000000000003</v>
      </c>
    </row>
    <row r="409" spans="1:11" ht="15">
      <c r="A409" s="13">
        <v>54302</v>
      </c>
      <c r="B409" s="60">
        <f>5.6794 * CHOOSE(CONTROL!$C$22, $C$13, 100%, $E$13)</f>
        <v>5.6794000000000002</v>
      </c>
      <c r="C409" s="60">
        <f>5.6794 * CHOOSE(CONTROL!$C$22, $C$13, 100%, $E$13)</f>
        <v>5.6794000000000002</v>
      </c>
      <c r="D409" s="60">
        <f>5.7147 * CHOOSE(CONTROL!$C$22, $C$13, 100%, $E$13)</f>
        <v>5.7146999999999997</v>
      </c>
      <c r="E409" s="61">
        <f>6.3294 * CHOOSE(CONTROL!$C$22, $C$13, 100%, $E$13)</f>
        <v>6.3293999999999997</v>
      </c>
      <c r="F409" s="61">
        <f>6.3294 * CHOOSE(CONTROL!$C$22, $C$13, 100%, $E$13)</f>
        <v>6.3293999999999997</v>
      </c>
      <c r="G409" s="61">
        <f>6.3316 * CHOOSE(CONTROL!$C$22, $C$13, 100%, $E$13)</f>
        <v>6.3315999999999999</v>
      </c>
      <c r="H409" s="61">
        <f>11.6669* CHOOSE(CONTROL!$C$22, $C$13, 100%, $E$13)</f>
        <v>11.6669</v>
      </c>
      <c r="I409" s="61">
        <f>11.6691 * CHOOSE(CONTROL!$C$22, $C$13, 100%, $E$13)</f>
        <v>11.6691</v>
      </c>
      <c r="J409" s="61">
        <f>6.3294 * CHOOSE(CONTROL!$C$22, $C$13, 100%, $E$13)</f>
        <v>6.3293999999999997</v>
      </c>
      <c r="K409" s="61">
        <f>6.3316 * CHOOSE(CONTROL!$C$22, $C$13, 100%, $E$13)</f>
        <v>6.3315999999999999</v>
      </c>
    </row>
    <row r="410" spans="1:11" ht="15">
      <c r="A410" s="13">
        <v>54332</v>
      </c>
      <c r="B410" s="60">
        <f>5.6809 * CHOOSE(CONTROL!$C$22, $C$13, 100%, $E$13)</f>
        <v>5.6809000000000003</v>
      </c>
      <c r="C410" s="60">
        <f>5.6809 * CHOOSE(CONTROL!$C$22, $C$13, 100%, $E$13)</f>
        <v>5.6809000000000003</v>
      </c>
      <c r="D410" s="60">
        <f>5.6985 * CHOOSE(CONTROL!$C$22, $C$13, 100%, $E$13)</f>
        <v>5.6985000000000001</v>
      </c>
      <c r="E410" s="61">
        <f>6.3556 * CHOOSE(CONTROL!$C$22, $C$13, 100%, $E$13)</f>
        <v>6.3555999999999999</v>
      </c>
      <c r="F410" s="61">
        <f>6.3556 * CHOOSE(CONTROL!$C$22, $C$13, 100%, $E$13)</f>
        <v>6.3555999999999999</v>
      </c>
      <c r="G410" s="61">
        <f>6.3557 * CHOOSE(CONTROL!$C$22, $C$13, 100%, $E$13)</f>
        <v>6.3556999999999997</v>
      </c>
      <c r="H410" s="61">
        <f>11.6912* CHOOSE(CONTROL!$C$22, $C$13, 100%, $E$13)</f>
        <v>11.6912</v>
      </c>
      <c r="I410" s="61">
        <f>11.6914 * CHOOSE(CONTROL!$C$22, $C$13, 100%, $E$13)</f>
        <v>11.6914</v>
      </c>
      <c r="J410" s="61">
        <f>6.3556 * CHOOSE(CONTROL!$C$22, $C$13, 100%, $E$13)</f>
        <v>6.3555999999999999</v>
      </c>
      <c r="K410" s="61">
        <f>6.3557 * CHOOSE(CONTROL!$C$22, $C$13, 100%, $E$13)</f>
        <v>6.3556999999999997</v>
      </c>
    </row>
    <row r="411" spans="1:11" ht="15">
      <c r="A411" s="13">
        <v>54363</v>
      </c>
      <c r="B411" s="60">
        <f>5.6839 * CHOOSE(CONTROL!$C$22, $C$13, 100%, $E$13)</f>
        <v>5.6839000000000004</v>
      </c>
      <c r="C411" s="60">
        <f>5.6839 * CHOOSE(CONTROL!$C$22, $C$13, 100%, $E$13)</f>
        <v>5.6839000000000004</v>
      </c>
      <c r="D411" s="60">
        <f>5.7016 * CHOOSE(CONTROL!$C$22, $C$13, 100%, $E$13)</f>
        <v>5.7016</v>
      </c>
      <c r="E411" s="61">
        <f>6.3775 * CHOOSE(CONTROL!$C$22, $C$13, 100%, $E$13)</f>
        <v>6.3775000000000004</v>
      </c>
      <c r="F411" s="61">
        <f>6.3775 * CHOOSE(CONTROL!$C$22, $C$13, 100%, $E$13)</f>
        <v>6.3775000000000004</v>
      </c>
      <c r="G411" s="61">
        <f>6.3776 * CHOOSE(CONTROL!$C$22, $C$13, 100%, $E$13)</f>
        <v>6.3776000000000002</v>
      </c>
      <c r="H411" s="61">
        <f>11.7155* CHOOSE(CONTROL!$C$22, $C$13, 100%, $E$13)</f>
        <v>11.7155</v>
      </c>
      <c r="I411" s="61">
        <f>11.7157 * CHOOSE(CONTROL!$C$22, $C$13, 100%, $E$13)</f>
        <v>11.7157</v>
      </c>
      <c r="J411" s="61">
        <f>6.3775 * CHOOSE(CONTROL!$C$22, $C$13, 100%, $E$13)</f>
        <v>6.3775000000000004</v>
      </c>
      <c r="K411" s="61">
        <f>6.3776 * CHOOSE(CONTROL!$C$22, $C$13, 100%, $E$13)</f>
        <v>6.3776000000000002</v>
      </c>
    </row>
    <row r="412" spans="1:11" ht="15">
      <c r="A412" s="13">
        <v>54393</v>
      </c>
      <c r="B412" s="60">
        <f>5.6839 * CHOOSE(CONTROL!$C$22, $C$13, 100%, $E$13)</f>
        <v>5.6839000000000004</v>
      </c>
      <c r="C412" s="60">
        <f>5.6839 * CHOOSE(CONTROL!$C$22, $C$13, 100%, $E$13)</f>
        <v>5.6839000000000004</v>
      </c>
      <c r="D412" s="60">
        <f>5.7016 * CHOOSE(CONTROL!$C$22, $C$13, 100%, $E$13)</f>
        <v>5.7016</v>
      </c>
      <c r="E412" s="61">
        <f>6.328 * CHOOSE(CONTROL!$C$22, $C$13, 100%, $E$13)</f>
        <v>6.3280000000000003</v>
      </c>
      <c r="F412" s="61">
        <f>6.328 * CHOOSE(CONTROL!$C$22, $C$13, 100%, $E$13)</f>
        <v>6.3280000000000003</v>
      </c>
      <c r="G412" s="61">
        <f>6.3282 * CHOOSE(CONTROL!$C$22, $C$13, 100%, $E$13)</f>
        <v>6.3281999999999998</v>
      </c>
      <c r="H412" s="61">
        <f>11.7399* CHOOSE(CONTROL!$C$22, $C$13, 100%, $E$13)</f>
        <v>11.7399</v>
      </c>
      <c r="I412" s="61">
        <f>11.7401 * CHOOSE(CONTROL!$C$22, $C$13, 100%, $E$13)</f>
        <v>11.7401</v>
      </c>
      <c r="J412" s="61">
        <f>6.328 * CHOOSE(CONTROL!$C$22, $C$13, 100%, $E$13)</f>
        <v>6.3280000000000003</v>
      </c>
      <c r="K412" s="61">
        <f>6.3282 * CHOOSE(CONTROL!$C$22, $C$13, 100%, $E$13)</f>
        <v>6.3281999999999998</v>
      </c>
    </row>
    <row r="413" spans="1:11" ht="15">
      <c r="A413" s="13">
        <v>54424</v>
      </c>
      <c r="B413" s="60">
        <f>5.7326 * CHOOSE(CONTROL!$C$22, $C$13, 100%, $E$13)</f>
        <v>5.7325999999999997</v>
      </c>
      <c r="C413" s="60">
        <f>5.7326 * CHOOSE(CONTROL!$C$22, $C$13, 100%, $E$13)</f>
        <v>5.7325999999999997</v>
      </c>
      <c r="D413" s="60">
        <f>5.7503 * CHOOSE(CONTROL!$C$22, $C$13, 100%, $E$13)</f>
        <v>5.7503000000000002</v>
      </c>
      <c r="E413" s="61">
        <f>6.425 * CHOOSE(CONTROL!$C$22, $C$13, 100%, $E$13)</f>
        <v>6.4249999999999998</v>
      </c>
      <c r="F413" s="61">
        <f>6.425 * CHOOSE(CONTROL!$C$22, $C$13, 100%, $E$13)</f>
        <v>6.4249999999999998</v>
      </c>
      <c r="G413" s="61">
        <f>6.4252 * CHOOSE(CONTROL!$C$22, $C$13, 100%, $E$13)</f>
        <v>6.4252000000000002</v>
      </c>
      <c r="H413" s="61">
        <f>11.7644* CHOOSE(CONTROL!$C$22, $C$13, 100%, $E$13)</f>
        <v>11.7644</v>
      </c>
      <c r="I413" s="61">
        <f>11.7646 * CHOOSE(CONTROL!$C$22, $C$13, 100%, $E$13)</f>
        <v>11.7646</v>
      </c>
      <c r="J413" s="61">
        <f>6.425 * CHOOSE(CONTROL!$C$22, $C$13, 100%, $E$13)</f>
        <v>6.4249999999999998</v>
      </c>
      <c r="K413" s="61">
        <f>6.4252 * CHOOSE(CONTROL!$C$22, $C$13, 100%, $E$13)</f>
        <v>6.4252000000000002</v>
      </c>
    </row>
    <row r="414" spans="1:11" ht="15">
      <c r="A414" s="13">
        <v>54455</v>
      </c>
      <c r="B414" s="60">
        <f>5.7296 * CHOOSE(CONTROL!$C$22, $C$13, 100%, $E$13)</f>
        <v>5.7295999999999996</v>
      </c>
      <c r="C414" s="60">
        <f>5.7296 * CHOOSE(CONTROL!$C$22, $C$13, 100%, $E$13)</f>
        <v>5.7295999999999996</v>
      </c>
      <c r="D414" s="60">
        <f>5.7472 * CHOOSE(CONTROL!$C$22, $C$13, 100%, $E$13)</f>
        <v>5.7472000000000003</v>
      </c>
      <c r="E414" s="61">
        <f>6.3265 * CHOOSE(CONTROL!$C$22, $C$13, 100%, $E$13)</f>
        <v>6.3265000000000002</v>
      </c>
      <c r="F414" s="61">
        <f>6.3265 * CHOOSE(CONTROL!$C$22, $C$13, 100%, $E$13)</f>
        <v>6.3265000000000002</v>
      </c>
      <c r="G414" s="61">
        <f>6.3266 * CHOOSE(CONTROL!$C$22, $C$13, 100%, $E$13)</f>
        <v>6.3266</v>
      </c>
      <c r="H414" s="61">
        <f>11.7889* CHOOSE(CONTROL!$C$22, $C$13, 100%, $E$13)</f>
        <v>11.7889</v>
      </c>
      <c r="I414" s="61">
        <f>11.7891 * CHOOSE(CONTROL!$C$22, $C$13, 100%, $E$13)</f>
        <v>11.789099999999999</v>
      </c>
      <c r="J414" s="61">
        <f>6.3265 * CHOOSE(CONTROL!$C$22, $C$13, 100%, $E$13)</f>
        <v>6.3265000000000002</v>
      </c>
      <c r="K414" s="61">
        <f>6.3266 * CHOOSE(CONTROL!$C$22, $C$13, 100%, $E$13)</f>
        <v>6.3266</v>
      </c>
    </row>
    <row r="415" spans="1:11" ht="15">
      <c r="A415" s="13">
        <v>54483</v>
      </c>
      <c r="B415" s="60">
        <f>5.7266 * CHOOSE(CONTROL!$C$22, $C$13, 100%, $E$13)</f>
        <v>5.7266000000000004</v>
      </c>
      <c r="C415" s="60">
        <f>5.7266 * CHOOSE(CONTROL!$C$22, $C$13, 100%, $E$13)</f>
        <v>5.7266000000000004</v>
      </c>
      <c r="D415" s="60">
        <f>5.7442 * CHOOSE(CONTROL!$C$22, $C$13, 100%, $E$13)</f>
        <v>5.7442000000000002</v>
      </c>
      <c r="E415" s="61">
        <f>6.4003 * CHOOSE(CONTROL!$C$22, $C$13, 100%, $E$13)</f>
        <v>6.4002999999999997</v>
      </c>
      <c r="F415" s="61">
        <f>6.4003 * CHOOSE(CONTROL!$C$22, $C$13, 100%, $E$13)</f>
        <v>6.4002999999999997</v>
      </c>
      <c r="G415" s="61">
        <f>6.4005 * CHOOSE(CONTROL!$C$22, $C$13, 100%, $E$13)</f>
        <v>6.4005000000000001</v>
      </c>
      <c r="H415" s="61">
        <f>11.8135* CHOOSE(CONTROL!$C$22, $C$13, 100%, $E$13)</f>
        <v>11.813499999999999</v>
      </c>
      <c r="I415" s="61">
        <f>11.8137 * CHOOSE(CONTROL!$C$22, $C$13, 100%, $E$13)</f>
        <v>11.813700000000001</v>
      </c>
      <c r="J415" s="61">
        <f>6.4003 * CHOOSE(CONTROL!$C$22, $C$13, 100%, $E$13)</f>
        <v>6.4002999999999997</v>
      </c>
      <c r="K415" s="61">
        <f>6.4005 * CHOOSE(CONTROL!$C$22, $C$13, 100%, $E$13)</f>
        <v>6.4005000000000001</v>
      </c>
    </row>
    <row r="416" spans="1:11" ht="15">
      <c r="A416" s="13">
        <v>54514</v>
      </c>
      <c r="B416" s="60">
        <f>5.7259 * CHOOSE(CONTROL!$C$22, $C$13, 100%, $E$13)</f>
        <v>5.7259000000000002</v>
      </c>
      <c r="C416" s="60">
        <f>5.7259 * CHOOSE(CONTROL!$C$22, $C$13, 100%, $E$13)</f>
        <v>5.7259000000000002</v>
      </c>
      <c r="D416" s="60">
        <f>5.7436 * CHOOSE(CONTROL!$C$22, $C$13, 100%, $E$13)</f>
        <v>5.7435999999999998</v>
      </c>
      <c r="E416" s="61">
        <f>6.4777 * CHOOSE(CONTROL!$C$22, $C$13, 100%, $E$13)</f>
        <v>6.4776999999999996</v>
      </c>
      <c r="F416" s="61">
        <f>6.4777 * CHOOSE(CONTROL!$C$22, $C$13, 100%, $E$13)</f>
        <v>6.4776999999999996</v>
      </c>
      <c r="G416" s="61">
        <f>6.4779 * CHOOSE(CONTROL!$C$22, $C$13, 100%, $E$13)</f>
        <v>6.4779</v>
      </c>
      <c r="H416" s="61">
        <f>11.8381* CHOOSE(CONTROL!$C$22, $C$13, 100%, $E$13)</f>
        <v>11.838100000000001</v>
      </c>
      <c r="I416" s="61">
        <f>11.8383 * CHOOSE(CONTROL!$C$22, $C$13, 100%, $E$13)</f>
        <v>11.8383</v>
      </c>
      <c r="J416" s="61">
        <f>6.4777 * CHOOSE(CONTROL!$C$22, $C$13, 100%, $E$13)</f>
        <v>6.4776999999999996</v>
      </c>
      <c r="K416" s="61">
        <f>6.4779 * CHOOSE(CONTROL!$C$22, $C$13, 100%, $E$13)</f>
        <v>6.4779</v>
      </c>
    </row>
    <row r="417" spans="1:11" ht="15">
      <c r="A417" s="13">
        <v>54544</v>
      </c>
      <c r="B417" s="60">
        <f>5.7259 * CHOOSE(CONTROL!$C$22, $C$13, 100%, $E$13)</f>
        <v>5.7259000000000002</v>
      </c>
      <c r="C417" s="60">
        <f>5.7259 * CHOOSE(CONTROL!$C$22, $C$13, 100%, $E$13)</f>
        <v>5.7259000000000002</v>
      </c>
      <c r="D417" s="60">
        <f>5.7612 * CHOOSE(CONTROL!$C$22, $C$13, 100%, $E$13)</f>
        <v>5.7611999999999997</v>
      </c>
      <c r="E417" s="61">
        <f>6.5083 * CHOOSE(CONTROL!$C$22, $C$13, 100%, $E$13)</f>
        <v>6.5083000000000002</v>
      </c>
      <c r="F417" s="61">
        <f>6.5083 * CHOOSE(CONTROL!$C$22, $C$13, 100%, $E$13)</f>
        <v>6.5083000000000002</v>
      </c>
      <c r="G417" s="61">
        <f>6.5105 * CHOOSE(CONTROL!$C$22, $C$13, 100%, $E$13)</f>
        <v>6.5105000000000004</v>
      </c>
      <c r="H417" s="61">
        <f>11.8627* CHOOSE(CONTROL!$C$22, $C$13, 100%, $E$13)</f>
        <v>11.8627</v>
      </c>
      <c r="I417" s="61">
        <f>11.8649 * CHOOSE(CONTROL!$C$22, $C$13, 100%, $E$13)</f>
        <v>11.8649</v>
      </c>
      <c r="J417" s="61">
        <f>6.5083 * CHOOSE(CONTROL!$C$22, $C$13, 100%, $E$13)</f>
        <v>6.5083000000000002</v>
      </c>
      <c r="K417" s="61">
        <f>6.5105 * CHOOSE(CONTROL!$C$22, $C$13, 100%, $E$13)</f>
        <v>6.5105000000000004</v>
      </c>
    </row>
    <row r="418" spans="1:11" ht="15">
      <c r="A418" s="13">
        <v>54575</v>
      </c>
      <c r="B418" s="60">
        <f>5.732 * CHOOSE(CONTROL!$C$22, $C$13, 100%, $E$13)</f>
        <v>5.7320000000000002</v>
      </c>
      <c r="C418" s="60">
        <f>5.732 * CHOOSE(CONTROL!$C$22, $C$13, 100%, $E$13)</f>
        <v>5.7320000000000002</v>
      </c>
      <c r="D418" s="60">
        <f>5.7673 * CHOOSE(CONTROL!$C$22, $C$13, 100%, $E$13)</f>
        <v>5.7672999999999996</v>
      </c>
      <c r="E418" s="61">
        <f>6.482 * CHOOSE(CONTROL!$C$22, $C$13, 100%, $E$13)</f>
        <v>6.4820000000000002</v>
      </c>
      <c r="F418" s="61">
        <f>6.482 * CHOOSE(CONTROL!$C$22, $C$13, 100%, $E$13)</f>
        <v>6.4820000000000002</v>
      </c>
      <c r="G418" s="61">
        <f>6.4841 * CHOOSE(CONTROL!$C$22, $C$13, 100%, $E$13)</f>
        <v>6.4840999999999998</v>
      </c>
      <c r="H418" s="61">
        <f>11.8875* CHOOSE(CONTROL!$C$22, $C$13, 100%, $E$13)</f>
        <v>11.887499999999999</v>
      </c>
      <c r="I418" s="61">
        <f>11.8896 * CHOOSE(CONTROL!$C$22, $C$13, 100%, $E$13)</f>
        <v>11.8896</v>
      </c>
      <c r="J418" s="61">
        <f>6.482 * CHOOSE(CONTROL!$C$22, $C$13, 100%, $E$13)</f>
        <v>6.4820000000000002</v>
      </c>
      <c r="K418" s="61">
        <f>6.4841 * CHOOSE(CONTROL!$C$22, $C$13, 100%, $E$13)</f>
        <v>6.4840999999999998</v>
      </c>
    </row>
    <row r="419" spans="1:11" ht="15">
      <c r="A419" s="13">
        <v>54605</v>
      </c>
      <c r="B419" s="60">
        <f>5.8195 * CHOOSE(CONTROL!$C$22, $C$13, 100%, $E$13)</f>
        <v>5.8194999999999997</v>
      </c>
      <c r="C419" s="60">
        <f>5.8195 * CHOOSE(CONTROL!$C$22, $C$13, 100%, $E$13)</f>
        <v>5.8194999999999997</v>
      </c>
      <c r="D419" s="60">
        <f>5.8548 * CHOOSE(CONTROL!$C$22, $C$13, 100%, $E$13)</f>
        <v>5.8548</v>
      </c>
      <c r="E419" s="61">
        <f>6.6062 * CHOOSE(CONTROL!$C$22, $C$13, 100%, $E$13)</f>
        <v>6.6062000000000003</v>
      </c>
      <c r="F419" s="61">
        <f>6.6062 * CHOOSE(CONTROL!$C$22, $C$13, 100%, $E$13)</f>
        <v>6.6062000000000003</v>
      </c>
      <c r="G419" s="61">
        <f>6.6084 * CHOOSE(CONTROL!$C$22, $C$13, 100%, $E$13)</f>
        <v>6.6083999999999996</v>
      </c>
      <c r="H419" s="61">
        <f>11.9122* CHOOSE(CONTROL!$C$22, $C$13, 100%, $E$13)</f>
        <v>11.9122</v>
      </c>
      <c r="I419" s="61">
        <f>11.9144 * CHOOSE(CONTROL!$C$22, $C$13, 100%, $E$13)</f>
        <v>11.914400000000001</v>
      </c>
      <c r="J419" s="61">
        <f>6.6062 * CHOOSE(CONTROL!$C$22, $C$13, 100%, $E$13)</f>
        <v>6.6062000000000003</v>
      </c>
      <c r="K419" s="61">
        <f>6.6084 * CHOOSE(CONTROL!$C$22, $C$13, 100%, $E$13)</f>
        <v>6.6083999999999996</v>
      </c>
    </row>
    <row r="420" spans="1:11" ht="15">
      <c r="A420" s="13">
        <v>54636</v>
      </c>
      <c r="B420" s="60">
        <f>5.8262 * CHOOSE(CONTROL!$C$22, $C$13, 100%, $E$13)</f>
        <v>5.8262</v>
      </c>
      <c r="C420" s="60">
        <f>5.8262 * CHOOSE(CONTROL!$C$22, $C$13, 100%, $E$13)</f>
        <v>5.8262</v>
      </c>
      <c r="D420" s="60">
        <f>5.8615 * CHOOSE(CONTROL!$C$22, $C$13, 100%, $E$13)</f>
        <v>5.8615000000000004</v>
      </c>
      <c r="E420" s="61">
        <f>6.519 * CHOOSE(CONTROL!$C$22, $C$13, 100%, $E$13)</f>
        <v>6.5190000000000001</v>
      </c>
      <c r="F420" s="61">
        <f>6.519 * CHOOSE(CONTROL!$C$22, $C$13, 100%, $E$13)</f>
        <v>6.5190000000000001</v>
      </c>
      <c r="G420" s="61">
        <f>6.5212 * CHOOSE(CONTROL!$C$22, $C$13, 100%, $E$13)</f>
        <v>6.5212000000000003</v>
      </c>
      <c r="H420" s="61">
        <f>11.937* CHOOSE(CONTROL!$C$22, $C$13, 100%, $E$13)</f>
        <v>11.936999999999999</v>
      </c>
      <c r="I420" s="61">
        <f>11.9392 * CHOOSE(CONTROL!$C$22, $C$13, 100%, $E$13)</f>
        <v>11.9392</v>
      </c>
      <c r="J420" s="61">
        <f>6.519 * CHOOSE(CONTROL!$C$22, $C$13, 100%, $E$13)</f>
        <v>6.5190000000000001</v>
      </c>
      <c r="K420" s="61">
        <f>6.5212 * CHOOSE(CONTROL!$C$22, $C$13, 100%, $E$13)</f>
        <v>6.5212000000000003</v>
      </c>
    </row>
    <row r="421" spans="1:11" ht="15">
      <c r="A421" s="13">
        <v>54667</v>
      </c>
      <c r="B421" s="60">
        <f>5.8232 * CHOOSE(CONTROL!$C$22, $C$13, 100%, $E$13)</f>
        <v>5.8231999999999999</v>
      </c>
      <c r="C421" s="60">
        <f>5.8232 * CHOOSE(CONTROL!$C$22, $C$13, 100%, $E$13)</f>
        <v>5.8231999999999999</v>
      </c>
      <c r="D421" s="60">
        <f>5.8585 * CHOOSE(CONTROL!$C$22, $C$13, 100%, $E$13)</f>
        <v>5.8585000000000003</v>
      </c>
      <c r="E421" s="61">
        <f>6.5067 * CHOOSE(CONTROL!$C$22, $C$13, 100%, $E$13)</f>
        <v>6.5067000000000004</v>
      </c>
      <c r="F421" s="61">
        <f>6.5067 * CHOOSE(CONTROL!$C$22, $C$13, 100%, $E$13)</f>
        <v>6.5067000000000004</v>
      </c>
      <c r="G421" s="61">
        <f>6.5089 * CHOOSE(CONTROL!$C$22, $C$13, 100%, $E$13)</f>
        <v>6.5088999999999997</v>
      </c>
      <c r="H421" s="61">
        <f>11.9619* CHOOSE(CONTROL!$C$22, $C$13, 100%, $E$13)</f>
        <v>11.9619</v>
      </c>
      <c r="I421" s="61">
        <f>11.9641 * CHOOSE(CONTROL!$C$22, $C$13, 100%, $E$13)</f>
        <v>11.9641</v>
      </c>
      <c r="J421" s="61">
        <f>6.5067 * CHOOSE(CONTROL!$C$22, $C$13, 100%, $E$13)</f>
        <v>6.5067000000000004</v>
      </c>
      <c r="K421" s="61">
        <f>6.5089 * CHOOSE(CONTROL!$C$22, $C$13, 100%, $E$13)</f>
        <v>6.5088999999999997</v>
      </c>
    </row>
    <row r="422" spans="1:11" ht="15">
      <c r="A422" s="13">
        <v>54697</v>
      </c>
      <c r="B422" s="60">
        <f>5.8252 * CHOOSE(CONTROL!$C$22, $C$13, 100%, $E$13)</f>
        <v>5.8251999999999997</v>
      </c>
      <c r="C422" s="60">
        <f>5.8252 * CHOOSE(CONTROL!$C$22, $C$13, 100%, $E$13)</f>
        <v>5.8251999999999997</v>
      </c>
      <c r="D422" s="60">
        <f>5.8429 * CHOOSE(CONTROL!$C$22, $C$13, 100%, $E$13)</f>
        <v>5.8429000000000002</v>
      </c>
      <c r="E422" s="61">
        <f>6.5341 * CHOOSE(CONTROL!$C$22, $C$13, 100%, $E$13)</f>
        <v>6.5340999999999996</v>
      </c>
      <c r="F422" s="61">
        <f>6.5341 * CHOOSE(CONTROL!$C$22, $C$13, 100%, $E$13)</f>
        <v>6.5340999999999996</v>
      </c>
      <c r="G422" s="61">
        <f>6.5343 * CHOOSE(CONTROL!$C$22, $C$13, 100%, $E$13)</f>
        <v>6.5343</v>
      </c>
      <c r="H422" s="61">
        <f>11.9868* CHOOSE(CONTROL!$C$22, $C$13, 100%, $E$13)</f>
        <v>11.986800000000001</v>
      </c>
      <c r="I422" s="61">
        <f>11.987 * CHOOSE(CONTROL!$C$22, $C$13, 100%, $E$13)</f>
        <v>11.987</v>
      </c>
      <c r="J422" s="61">
        <f>6.5341 * CHOOSE(CONTROL!$C$22, $C$13, 100%, $E$13)</f>
        <v>6.5340999999999996</v>
      </c>
      <c r="K422" s="61">
        <f>6.5343 * CHOOSE(CONTROL!$C$22, $C$13, 100%, $E$13)</f>
        <v>6.5343</v>
      </c>
    </row>
    <row r="423" spans="1:11" ht="15">
      <c r="A423" s="13">
        <v>54728</v>
      </c>
      <c r="B423" s="60">
        <f>5.8283 * CHOOSE(CONTROL!$C$22, $C$13, 100%, $E$13)</f>
        <v>5.8282999999999996</v>
      </c>
      <c r="C423" s="60">
        <f>5.8283 * CHOOSE(CONTROL!$C$22, $C$13, 100%, $E$13)</f>
        <v>5.8282999999999996</v>
      </c>
      <c r="D423" s="60">
        <f>5.8459 * CHOOSE(CONTROL!$C$22, $C$13, 100%, $E$13)</f>
        <v>5.8459000000000003</v>
      </c>
      <c r="E423" s="61">
        <f>6.5566 * CHOOSE(CONTROL!$C$22, $C$13, 100%, $E$13)</f>
        <v>6.5566000000000004</v>
      </c>
      <c r="F423" s="61">
        <f>6.5566 * CHOOSE(CONTROL!$C$22, $C$13, 100%, $E$13)</f>
        <v>6.5566000000000004</v>
      </c>
      <c r="G423" s="61">
        <f>6.5568 * CHOOSE(CONTROL!$C$22, $C$13, 100%, $E$13)</f>
        <v>6.5568</v>
      </c>
      <c r="H423" s="61">
        <f>12.0118* CHOOSE(CONTROL!$C$22, $C$13, 100%, $E$13)</f>
        <v>12.011799999999999</v>
      </c>
      <c r="I423" s="61">
        <f>12.012 * CHOOSE(CONTROL!$C$22, $C$13, 100%, $E$13)</f>
        <v>12.012</v>
      </c>
      <c r="J423" s="61">
        <f>6.5566 * CHOOSE(CONTROL!$C$22, $C$13, 100%, $E$13)</f>
        <v>6.5566000000000004</v>
      </c>
      <c r="K423" s="61">
        <f>6.5568 * CHOOSE(CONTROL!$C$22, $C$13, 100%, $E$13)</f>
        <v>6.5568</v>
      </c>
    </row>
    <row r="424" spans="1:11" ht="15">
      <c r="A424" s="13">
        <v>54758</v>
      </c>
      <c r="B424" s="60">
        <f>5.8283 * CHOOSE(CONTROL!$C$22, $C$13, 100%, $E$13)</f>
        <v>5.8282999999999996</v>
      </c>
      <c r="C424" s="60">
        <f>5.8283 * CHOOSE(CONTROL!$C$22, $C$13, 100%, $E$13)</f>
        <v>5.8282999999999996</v>
      </c>
      <c r="D424" s="60">
        <f>5.8459 * CHOOSE(CONTROL!$C$22, $C$13, 100%, $E$13)</f>
        <v>5.8459000000000003</v>
      </c>
      <c r="E424" s="61">
        <f>6.5056 * CHOOSE(CONTROL!$C$22, $C$13, 100%, $E$13)</f>
        <v>6.5056000000000003</v>
      </c>
      <c r="F424" s="61">
        <f>6.5056 * CHOOSE(CONTROL!$C$22, $C$13, 100%, $E$13)</f>
        <v>6.5056000000000003</v>
      </c>
      <c r="G424" s="61">
        <f>6.5058 * CHOOSE(CONTROL!$C$22, $C$13, 100%, $E$13)</f>
        <v>6.5057999999999998</v>
      </c>
      <c r="H424" s="61">
        <f>12.0368* CHOOSE(CONTROL!$C$22, $C$13, 100%, $E$13)</f>
        <v>12.036799999999999</v>
      </c>
      <c r="I424" s="61">
        <f>12.037 * CHOOSE(CONTROL!$C$22, $C$13, 100%, $E$13)</f>
        <v>12.037000000000001</v>
      </c>
      <c r="J424" s="61">
        <f>6.5056 * CHOOSE(CONTROL!$C$22, $C$13, 100%, $E$13)</f>
        <v>6.5056000000000003</v>
      </c>
      <c r="K424" s="61">
        <f>6.5058 * CHOOSE(CONTROL!$C$22, $C$13, 100%, $E$13)</f>
        <v>6.5057999999999998</v>
      </c>
    </row>
    <row r="425" spans="1:11" ht="15">
      <c r="A425" s="13">
        <v>54789</v>
      </c>
      <c r="B425" s="60">
        <f>5.8781 * CHOOSE(CONTROL!$C$22, $C$13, 100%, $E$13)</f>
        <v>5.8780999999999999</v>
      </c>
      <c r="C425" s="60">
        <f>5.8781 * CHOOSE(CONTROL!$C$22, $C$13, 100%, $E$13)</f>
        <v>5.8780999999999999</v>
      </c>
      <c r="D425" s="60">
        <f>5.8957 * CHOOSE(CONTROL!$C$22, $C$13, 100%, $E$13)</f>
        <v>5.8956999999999997</v>
      </c>
      <c r="E425" s="61">
        <f>6.6054 * CHOOSE(CONTROL!$C$22, $C$13, 100%, $E$13)</f>
        <v>6.6054000000000004</v>
      </c>
      <c r="F425" s="61">
        <f>6.6054 * CHOOSE(CONTROL!$C$22, $C$13, 100%, $E$13)</f>
        <v>6.6054000000000004</v>
      </c>
      <c r="G425" s="61">
        <f>6.6056 * CHOOSE(CONTROL!$C$22, $C$13, 100%, $E$13)</f>
        <v>6.6055999999999999</v>
      </c>
      <c r="H425" s="61">
        <f>12.0619* CHOOSE(CONTROL!$C$22, $C$13, 100%, $E$13)</f>
        <v>12.0619</v>
      </c>
      <c r="I425" s="61">
        <f>12.0621 * CHOOSE(CONTROL!$C$22, $C$13, 100%, $E$13)</f>
        <v>12.062099999999999</v>
      </c>
      <c r="J425" s="61">
        <f>6.6054 * CHOOSE(CONTROL!$C$22, $C$13, 100%, $E$13)</f>
        <v>6.6054000000000004</v>
      </c>
      <c r="K425" s="61">
        <f>6.6056 * CHOOSE(CONTROL!$C$22, $C$13, 100%, $E$13)</f>
        <v>6.6055999999999999</v>
      </c>
    </row>
    <row r="426" spans="1:11" ht="15">
      <c r="A426" s="13">
        <v>54820</v>
      </c>
      <c r="B426" s="60">
        <f>5.875 * CHOOSE(CONTROL!$C$22, $C$13, 100%, $E$13)</f>
        <v>5.875</v>
      </c>
      <c r="C426" s="60">
        <f>5.875 * CHOOSE(CONTROL!$C$22, $C$13, 100%, $E$13)</f>
        <v>5.875</v>
      </c>
      <c r="D426" s="60">
        <f>5.8927 * CHOOSE(CONTROL!$C$22, $C$13, 100%, $E$13)</f>
        <v>5.8926999999999996</v>
      </c>
      <c r="E426" s="61">
        <f>6.5038 * CHOOSE(CONTROL!$C$22, $C$13, 100%, $E$13)</f>
        <v>6.5038</v>
      </c>
      <c r="F426" s="61">
        <f>6.5038 * CHOOSE(CONTROL!$C$22, $C$13, 100%, $E$13)</f>
        <v>6.5038</v>
      </c>
      <c r="G426" s="61">
        <f>6.504 * CHOOSE(CONTROL!$C$22, $C$13, 100%, $E$13)</f>
        <v>6.5039999999999996</v>
      </c>
      <c r="H426" s="61">
        <f>12.087* CHOOSE(CONTROL!$C$22, $C$13, 100%, $E$13)</f>
        <v>12.087</v>
      </c>
      <c r="I426" s="61">
        <f>12.0872 * CHOOSE(CONTROL!$C$22, $C$13, 100%, $E$13)</f>
        <v>12.087199999999999</v>
      </c>
      <c r="J426" s="61">
        <f>6.5038 * CHOOSE(CONTROL!$C$22, $C$13, 100%, $E$13)</f>
        <v>6.5038</v>
      </c>
      <c r="K426" s="61">
        <f>6.504 * CHOOSE(CONTROL!$C$22, $C$13, 100%, $E$13)</f>
        <v>6.5039999999999996</v>
      </c>
    </row>
    <row r="427" spans="1:11" ht="15">
      <c r="A427" s="13">
        <v>54848</v>
      </c>
      <c r="B427" s="60">
        <f>5.872 * CHOOSE(CONTROL!$C$22, $C$13, 100%, $E$13)</f>
        <v>5.8719999999999999</v>
      </c>
      <c r="C427" s="60">
        <f>5.872 * CHOOSE(CONTROL!$C$22, $C$13, 100%, $E$13)</f>
        <v>5.8719999999999999</v>
      </c>
      <c r="D427" s="60">
        <f>5.8897 * CHOOSE(CONTROL!$C$22, $C$13, 100%, $E$13)</f>
        <v>5.8897000000000004</v>
      </c>
      <c r="E427" s="61">
        <f>6.5801 * CHOOSE(CONTROL!$C$22, $C$13, 100%, $E$13)</f>
        <v>6.5800999999999998</v>
      </c>
      <c r="F427" s="61">
        <f>6.5801 * CHOOSE(CONTROL!$C$22, $C$13, 100%, $E$13)</f>
        <v>6.5800999999999998</v>
      </c>
      <c r="G427" s="61">
        <f>6.5803 * CHOOSE(CONTROL!$C$22, $C$13, 100%, $E$13)</f>
        <v>6.5803000000000003</v>
      </c>
      <c r="H427" s="61">
        <f>12.1122* CHOOSE(CONTROL!$C$22, $C$13, 100%, $E$13)</f>
        <v>12.1122</v>
      </c>
      <c r="I427" s="61">
        <f>12.1124 * CHOOSE(CONTROL!$C$22, $C$13, 100%, $E$13)</f>
        <v>12.112399999999999</v>
      </c>
      <c r="J427" s="61">
        <f>6.5801 * CHOOSE(CONTROL!$C$22, $C$13, 100%, $E$13)</f>
        <v>6.5800999999999998</v>
      </c>
      <c r="K427" s="61">
        <f>6.5803 * CHOOSE(CONTROL!$C$22, $C$13, 100%, $E$13)</f>
        <v>6.5803000000000003</v>
      </c>
    </row>
    <row r="428" spans="1:11" ht="15">
      <c r="A428" s="13">
        <v>54879</v>
      </c>
      <c r="B428" s="60">
        <f>5.8715 * CHOOSE(CONTROL!$C$22, $C$13, 100%, $E$13)</f>
        <v>5.8715000000000002</v>
      </c>
      <c r="C428" s="60">
        <f>5.8715 * CHOOSE(CONTROL!$C$22, $C$13, 100%, $E$13)</f>
        <v>5.8715000000000002</v>
      </c>
      <c r="D428" s="60">
        <f>5.8892 * CHOOSE(CONTROL!$C$22, $C$13, 100%, $E$13)</f>
        <v>5.8891999999999998</v>
      </c>
      <c r="E428" s="61">
        <f>6.6601 * CHOOSE(CONTROL!$C$22, $C$13, 100%, $E$13)</f>
        <v>6.6600999999999999</v>
      </c>
      <c r="F428" s="61">
        <f>6.6601 * CHOOSE(CONTROL!$C$22, $C$13, 100%, $E$13)</f>
        <v>6.6600999999999999</v>
      </c>
      <c r="G428" s="61">
        <f>6.6602 * CHOOSE(CONTROL!$C$22, $C$13, 100%, $E$13)</f>
        <v>6.6601999999999997</v>
      </c>
      <c r="H428" s="61">
        <f>12.1375* CHOOSE(CONTROL!$C$22, $C$13, 100%, $E$13)</f>
        <v>12.137499999999999</v>
      </c>
      <c r="I428" s="61">
        <f>12.1376 * CHOOSE(CONTROL!$C$22, $C$13, 100%, $E$13)</f>
        <v>12.137600000000001</v>
      </c>
      <c r="J428" s="61">
        <f>6.6601 * CHOOSE(CONTROL!$C$22, $C$13, 100%, $E$13)</f>
        <v>6.6600999999999999</v>
      </c>
      <c r="K428" s="61">
        <f>6.6602 * CHOOSE(CONTROL!$C$22, $C$13, 100%, $E$13)</f>
        <v>6.6601999999999997</v>
      </c>
    </row>
    <row r="429" spans="1:11" ht="15">
      <c r="A429" s="13">
        <v>54909</v>
      </c>
      <c r="B429" s="60">
        <f>5.8715 * CHOOSE(CONTROL!$C$22, $C$13, 100%, $E$13)</f>
        <v>5.8715000000000002</v>
      </c>
      <c r="C429" s="60">
        <f>5.8715 * CHOOSE(CONTROL!$C$22, $C$13, 100%, $E$13)</f>
        <v>5.8715000000000002</v>
      </c>
      <c r="D429" s="60">
        <f>5.9068 * CHOOSE(CONTROL!$C$22, $C$13, 100%, $E$13)</f>
        <v>5.9067999999999996</v>
      </c>
      <c r="E429" s="61">
        <f>6.6917 * CHOOSE(CONTROL!$C$22, $C$13, 100%, $E$13)</f>
        <v>6.6917</v>
      </c>
      <c r="F429" s="61">
        <f>6.6917 * CHOOSE(CONTROL!$C$22, $C$13, 100%, $E$13)</f>
        <v>6.6917</v>
      </c>
      <c r="G429" s="61">
        <f>6.6938 * CHOOSE(CONTROL!$C$22, $C$13, 100%, $E$13)</f>
        <v>6.6938000000000004</v>
      </c>
      <c r="H429" s="61">
        <f>12.1627* CHOOSE(CONTROL!$C$22, $C$13, 100%, $E$13)</f>
        <v>12.162699999999999</v>
      </c>
      <c r="I429" s="61">
        <f>12.1649 * CHOOSE(CONTROL!$C$22, $C$13, 100%, $E$13)</f>
        <v>12.164899999999999</v>
      </c>
      <c r="J429" s="61">
        <f>6.6917 * CHOOSE(CONTROL!$C$22, $C$13, 100%, $E$13)</f>
        <v>6.6917</v>
      </c>
      <c r="K429" s="61">
        <f>6.6938 * CHOOSE(CONTROL!$C$22, $C$13, 100%, $E$13)</f>
        <v>6.6938000000000004</v>
      </c>
    </row>
    <row r="430" spans="1:11" ht="15">
      <c r="A430" s="13">
        <v>54940</v>
      </c>
      <c r="B430" s="60">
        <f>5.8776 * CHOOSE(CONTROL!$C$22, $C$13, 100%, $E$13)</f>
        <v>5.8776000000000002</v>
      </c>
      <c r="C430" s="60">
        <f>5.8776 * CHOOSE(CONTROL!$C$22, $C$13, 100%, $E$13)</f>
        <v>5.8776000000000002</v>
      </c>
      <c r="D430" s="60">
        <f>5.9129 * CHOOSE(CONTROL!$C$22, $C$13, 100%, $E$13)</f>
        <v>5.9128999999999996</v>
      </c>
      <c r="E430" s="61">
        <f>6.6643 * CHOOSE(CONTROL!$C$22, $C$13, 100%, $E$13)</f>
        <v>6.6642999999999999</v>
      </c>
      <c r="F430" s="61">
        <f>6.6643 * CHOOSE(CONTROL!$C$22, $C$13, 100%, $E$13)</f>
        <v>6.6642999999999999</v>
      </c>
      <c r="G430" s="61">
        <f>6.6665 * CHOOSE(CONTROL!$C$22, $C$13, 100%, $E$13)</f>
        <v>6.6665000000000001</v>
      </c>
      <c r="H430" s="61">
        <f>12.1881* CHOOSE(CONTROL!$C$22, $C$13, 100%, $E$13)</f>
        <v>12.1881</v>
      </c>
      <c r="I430" s="61">
        <f>12.1903 * CHOOSE(CONTROL!$C$22, $C$13, 100%, $E$13)</f>
        <v>12.190300000000001</v>
      </c>
      <c r="J430" s="61">
        <f>6.6643 * CHOOSE(CONTROL!$C$22, $C$13, 100%, $E$13)</f>
        <v>6.6642999999999999</v>
      </c>
      <c r="K430" s="61">
        <f>6.6665 * CHOOSE(CONTROL!$C$22, $C$13, 100%, $E$13)</f>
        <v>6.6665000000000001</v>
      </c>
    </row>
    <row r="431" spans="1:11" ht="15">
      <c r="A431" s="13">
        <v>54970</v>
      </c>
      <c r="B431" s="60">
        <f>5.967 * CHOOSE(CONTROL!$C$22, $C$13, 100%, $E$13)</f>
        <v>5.9669999999999996</v>
      </c>
      <c r="C431" s="60">
        <f>5.967 * CHOOSE(CONTROL!$C$22, $C$13, 100%, $E$13)</f>
        <v>5.9669999999999996</v>
      </c>
      <c r="D431" s="60">
        <f>6.0023 * CHOOSE(CONTROL!$C$22, $C$13, 100%, $E$13)</f>
        <v>6.0023</v>
      </c>
      <c r="E431" s="61">
        <f>6.7917 * CHOOSE(CONTROL!$C$22, $C$13, 100%, $E$13)</f>
        <v>6.7916999999999996</v>
      </c>
      <c r="F431" s="61">
        <f>6.7917 * CHOOSE(CONTROL!$C$22, $C$13, 100%, $E$13)</f>
        <v>6.7916999999999996</v>
      </c>
      <c r="G431" s="61">
        <f>6.7939 * CHOOSE(CONTROL!$C$22, $C$13, 100%, $E$13)</f>
        <v>6.7938999999999998</v>
      </c>
      <c r="H431" s="61">
        <f>12.2135* CHOOSE(CONTROL!$C$22, $C$13, 100%, $E$13)</f>
        <v>12.2135</v>
      </c>
      <c r="I431" s="61">
        <f>12.2157 * CHOOSE(CONTROL!$C$22, $C$13, 100%, $E$13)</f>
        <v>12.2157</v>
      </c>
      <c r="J431" s="61">
        <f>6.7917 * CHOOSE(CONTROL!$C$22, $C$13, 100%, $E$13)</f>
        <v>6.7916999999999996</v>
      </c>
      <c r="K431" s="61">
        <f>6.7939 * CHOOSE(CONTROL!$C$22, $C$13, 100%, $E$13)</f>
        <v>6.7938999999999998</v>
      </c>
    </row>
    <row r="432" spans="1:11" ht="15">
      <c r="A432" s="13">
        <v>55001</v>
      </c>
      <c r="B432" s="60">
        <f>5.9737 * CHOOSE(CONTROL!$C$22, $C$13, 100%, $E$13)</f>
        <v>5.9737</v>
      </c>
      <c r="C432" s="60">
        <f>5.9737 * CHOOSE(CONTROL!$C$22, $C$13, 100%, $E$13)</f>
        <v>5.9737</v>
      </c>
      <c r="D432" s="60">
        <f>6.009 * CHOOSE(CONTROL!$C$22, $C$13, 100%, $E$13)</f>
        <v>6.0090000000000003</v>
      </c>
      <c r="E432" s="61">
        <f>6.7017 * CHOOSE(CONTROL!$C$22, $C$13, 100%, $E$13)</f>
        <v>6.7016999999999998</v>
      </c>
      <c r="F432" s="61">
        <f>6.7017 * CHOOSE(CONTROL!$C$22, $C$13, 100%, $E$13)</f>
        <v>6.7016999999999998</v>
      </c>
      <c r="G432" s="61">
        <f>6.7038 * CHOOSE(CONTROL!$C$22, $C$13, 100%, $E$13)</f>
        <v>6.7038000000000002</v>
      </c>
      <c r="H432" s="61">
        <f>12.2389* CHOOSE(CONTROL!$C$22, $C$13, 100%, $E$13)</f>
        <v>12.238899999999999</v>
      </c>
      <c r="I432" s="61">
        <f>12.2411 * CHOOSE(CONTROL!$C$22, $C$13, 100%, $E$13)</f>
        <v>12.241099999999999</v>
      </c>
      <c r="J432" s="61">
        <f>6.7017 * CHOOSE(CONTROL!$C$22, $C$13, 100%, $E$13)</f>
        <v>6.7016999999999998</v>
      </c>
      <c r="K432" s="61">
        <f>6.7038 * CHOOSE(CONTROL!$C$22, $C$13, 100%, $E$13)</f>
        <v>6.7038000000000002</v>
      </c>
    </row>
    <row r="433" spans="1:11" ht="15">
      <c r="A433" s="13">
        <v>55032</v>
      </c>
      <c r="B433" s="60">
        <f>5.9706 * CHOOSE(CONTROL!$C$22, $C$13, 100%, $E$13)</f>
        <v>5.9706000000000001</v>
      </c>
      <c r="C433" s="60">
        <f>5.9706 * CHOOSE(CONTROL!$C$22, $C$13, 100%, $E$13)</f>
        <v>5.9706000000000001</v>
      </c>
      <c r="D433" s="60">
        <f>6.0059 * CHOOSE(CONTROL!$C$22, $C$13, 100%, $E$13)</f>
        <v>6.0058999999999996</v>
      </c>
      <c r="E433" s="61">
        <f>6.689 * CHOOSE(CONTROL!$C$22, $C$13, 100%, $E$13)</f>
        <v>6.6890000000000001</v>
      </c>
      <c r="F433" s="61">
        <f>6.689 * CHOOSE(CONTROL!$C$22, $C$13, 100%, $E$13)</f>
        <v>6.6890000000000001</v>
      </c>
      <c r="G433" s="61">
        <f>6.6912 * CHOOSE(CONTROL!$C$22, $C$13, 100%, $E$13)</f>
        <v>6.6912000000000003</v>
      </c>
      <c r="H433" s="61">
        <f>12.2644* CHOOSE(CONTROL!$C$22, $C$13, 100%, $E$13)</f>
        <v>12.2644</v>
      </c>
      <c r="I433" s="61">
        <f>12.2666 * CHOOSE(CONTROL!$C$22, $C$13, 100%, $E$13)</f>
        <v>12.2666</v>
      </c>
      <c r="J433" s="61">
        <f>6.689 * CHOOSE(CONTROL!$C$22, $C$13, 100%, $E$13)</f>
        <v>6.6890000000000001</v>
      </c>
      <c r="K433" s="61">
        <f>6.6912 * CHOOSE(CONTROL!$C$22, $C$13, 100%, $E$13)</f>
        <v>6.6912000000000003</v>
      </c>
    </row>
    <row r="434" spans="1:11" ht="15">
      <c r="A434" s="13">
        <v>55062</v>
      </c>
      <c r="B434" s="60">
        <f>5.9732 * CHOOSE(CONTROL!$C$22, $C$13, 100%, $E$13)</f>
        <v>5.9732000000000003</v>
      </c>
      <c r="C434" s="60">
        <f>5.9732 * CHOOSE(CONTROL!$C$22, $C$13, 100%, $E$13)</f>
        <v>5.9732000000000003</v>
      </c>
      <c r="D434" s="60">
        <f>5.9909 * CHOOSE(CONTROL!$C$22, $C$13, 100%, $E$13)</f>
        <v>5.9908999999999999</v>
      </c>
      <c r="E434" s="61">
        <f>6.7177 * CHOOSE(CONTROL!$C$22, $C$13, 100%, $E$13)</f>
        <v>6.7176999999999998</v>
      </c>
      <c r="F434" s="61">
        <f>6.7177 * CHOOSE(CONTROL!$C$22, $C$13, 100%, $E$13)</f>
        <v>6.7176999999999998</v>
      </c>
      <c r="G434" s="61">
        <f>6.7179 * CHOOSE(CONTROL!$C$22, $C$13, 100%, $E$13)</f>
        <v>6.7179000000000002</v>
      </c>
      <c r="H434" s="61">
        <f>12.29* CHOOSE(CONTROL!$C$22, $C$13, 100%, $E$13)</f>
        <v>12.29</v>
      </c>
      <c r="I434" s="61">
        <f>12.2901 * CHOOSE(CONTROL!$C$22, $C$13, 100%, $E$13)</f>
        <v>12.290100000000001</v>
      </c>
      <c r="J434" s="61">
        <f>6.7177 * CHOOSE(CONTROL!$C$22, $C$13, 100%, $E$13)</f>
        <v>6.7176999999999998</v>
      </c>
      <c r="K434" s="61">
        <f>6.7179 * CHOOSE(CONTROL!$C$22, $C$13, 100%, $E$13)</f>
        <v>6.7179000000000002</v>
      </c>
    </row>
    <row r="435" spans="1:11" ht="15">
      <c r="A435" s="13">
        <v>55093</v>
      </c>
      <c r="B435" s="60">
        <f>5.9763 * CHOOSE(CONTROL!$C$22, $C$13, 100%, $E$13)</f>
        <v>5.9763000000000002</v>
      </c>
      <c r="C435" s="60">
        <f>5.9763 * CHOOSE(CONTROL!$C$22, $C$13, 100%, $E$13)</f>
        <v>5.9763000000000002</v>
      </c>
      <c r="D435" s="60">
        <f>5.9939 * CHOOSE(CONTROL!$C$22, $C$13, 100%, $E$13)</f>
        <v>5.9939</v>
      </c>
      <c r="E435" s="61">
        <f>6.7409 * CHOOSE(CONTROL!$C$22, $C$13, 100%, $E$13)</f>
        <v>6.7408999999999999</v>
      </c>
      <c r="F435" s="61">
        <f>6.7409 * CHOOSE(CONTROL!$C$22, $C$13, 100%, $E$13)</f>
        <v>6.7408999999999999</v>
      </c>
      <c r="G435" s="61">
        <f>6.741 * CHOOSE(CONTROL!$C$22, $C$13, 100%, $E$13)</f>
        <v>6.7409999999999997</v>
      </c>
      <c r="H435" s="61">
        <f>12.3156* CHOOSE(CONTROL!$C$22, $C$13, 100%, $E$13)</f>
        <v>12.3156</v>
      </c>
      <c r="I435" s="61">
        <f>12.3157 * CHOOSE(CONTROL!$C$22, $C$13, 100%, $E$13)</f>
        <v>12.3157</v>
      </c>
      <c r="J435" s="61">
        <f>6.7409 * CHOOSE(CONTROL!$C$22, $C$13, 100%, $E$13)</f>
        <v>6.7408999999999999</v>
      </c>
      <c r="K435" s="61">
        <f>6.741 * CHOOSE(CONTROL!$C$22, $C$13, 100%, $E$13)</f>
        <v>6.7409999999999997</v>
      </c>
    </row>
    <row r="436" spans="1:11" ht="15">
      <c r="A436" s="13">
        <v>55123</v>
      </c>
      <c r="B436" s="60">
        <f>5.9763 * CHOOSE(CONTROL!$C$22, $C$13, 100%, $E$13)</f>
        <v>5.9763000000000002</v>
      </c>
      <c r="C436" s="60">
        <f>5.9763 * CHOOSE(CONTROL!$C$22, $C$13, 100%, $E$13)</f>
        <v>5.9763000000000002</v>
      </c>
      <c r="D436" s="60">
        <f>5.9939 * CHOOSE(CONTROL!$C$22, $C$13, 100%, $E$13)</f>
        <v>5.9939</v>
      </c>
      <c r="E436" s="61">
        <f>6.6882 * CHOOSE(CONTROL!$C$22, $C$13, 100%, $E$13)</f>
        <v>6.6882000000000001</v>
      </c>
      <c r="F436" s="61">
        <f>6.6882 * CHOOSE(CONTROL!$C$22, $C$13, 100%, $E$13)</f>
        <v>6.6882000000000001</v>
      </c>
      <c r="G436" s="61">
        <f>6.6884 * CHOOSE(CONTROL!$C$22, $C$13, 100%, $E$13)</f>
        <v>6.6883999999999997</v>
      </c>
      <c r="H436" s="61">
        <f>12.3412* CHOOSE(CONTROL!$C$22, $C$13, 100%, $E$13)</f>
        <v>12.341200000000001</v>
      </c>
      <c r="I436" s="61">
        <f>12.3414 * CHOOSE(CONTROL!$C$22, $C$13, 100%, $E$13)</f>
        <v>12.3414</v>
      </c>
      <c r="J436" s="61">
        <f>6.6882 * CHOOSE(CONTROL!$C$22, $C$13, 100%, $E$13)</f>
        <v>6.6882000000000001</v>
      </c>
      <c r="K436" s="61">
        <f>6.6884 * CHOOSE(CONTROL!$C$22, $C$13, 100%, $E$13)</f>
        <v>6.6883999999999997</v>
      </c>
    </row>
    <row r="437" spans="1:11" ht="15">
      <c r="A437" s="13">
        <v>55154</v>
      </c>
      <c r="B437" s="60">
        <f>6.0272 * CHOOSE(CONTROL!$C$22, $C$13, 100%, $E$13)</f>
        <v>6.0271999999999997</v>
      </c>
      <c r="C437" s="60">
        <f>6.0272 * CHOOSE(CONTROL!$C$22, $C$13, 100%, $E$13)</f>
        <v>6.0271999999999997</v>
      </c>
      <c r="D437" s="60">
        <f>6.0449 * CHOOSE(CONTROL!$C$22, $C$13, 100%, $E$13)</f>
        <v>6.0449000000000002</v>
      </c>
      <c r="E437" s="61">
        <f>6.7909 * CHOOSE(CONTROL!$C$22, $C$13, 100%, $E$13)</f>
        <v>6.7908999999999997</v>
      </c>
      <c r="F437" s="61">
        <f>6.7909 * CHOOSE(CONTROL!$C$22, $C$13, 100%, $E$13)</f>
        <v>6.7908999999999997</v>
      </c>
      <c r="G437" s="61">
        <f>6.791 * CHOOSE(CONTROL!$C$22, $C$13, 100%, $E$13)</f>
        <v>6.7910000000000004</v>
      </c>
      <c r="H437" s="61">
        <f>12.3669* CHOOSE(CONTROL!$C$22, $C$13, 100%, $E$13)</f>
        <v>12.366899999999999</v>
      </c>
      <c r="I437" s="61">
        <f>12.3671 * CHOOSE(CONTROL!$C$22, $C$13, 100%, $E$13)</f>
        <v>12.367100000000001</v>
      </c>
      <c r="J437" s="61">
        <f>6.7909 * CHOOSE(CONTROL!$C$22, $C$13, 100%, $E$13)</f>
        <v>6.7908999999999997</v>
      </c>
      <c r="K437" s="61">
        <f>6.791 * CHOOSE(CONTROL!$C$22, $C$13, 100%, $E$13)</f>
        <v>6.7910000000000004</v>
      </c>
    </row>
    <row r="438" spans="1:11" ht="15">
      <c r="A438" s="13">
        <v>55185</v>
      </c>
      <c r="B438" s="60">
        <f>6.0242 * CHOOSE(CONTROL!$C$22, $C$13, 100%, $E$13)</f>
        <v>6.0242000000000004</v>
      </c>
      <c r="C438" s="60">
        <f>6.0242 * CHOOSE(CONTROL!$C$22, $C$13, 100%, $E$13)</f>
        <v>6.0242000000000004</v>
      </c>
      <c r="D438" s="60">
        <f>6.0419 * CHOOSE(CONTROL!$C$22, $C$13, 100%, $E$13)</f>
        <v>6.0419</v>
      </c>
      <c r="E438" s="61">
        <f>6.6861 * CHOOSE(CONTROL!$C$22, $C$13, 100%, $E$13)</f>
        <v>6.6860999999999997</v>
      </c>
      <c r="F438" s="61">
        <f>6.6861 * CHOOSE(CONTROL!$C$22, $C$13, 100%, $E$13)</f>
        <v>6.6860999999999997</v>
      </c>
      <c r="G438" s="61">
        <f>6.6863 * CHOOSE(CONTROL!$C$22, $C$13, 100%, $E$13)</f>
        <v>6.6863000000000001</v>
      </c>
      <c r="H438" s="61">
        <f>12.3927* CHOOSE(CONTROL!$C$22, $C$13, 100%, $E$13)</f>
        <v>12.3927</v>
      </c>
      <c r="I438" s="61">
        <f>12.3929 * CHOOSE(CONTROL!$C$22, $C$13, 100%, $E$13)</f>
        <v>12.392899999999999</v>
      </c>
      <c r="J438" s="61">
        <f>6.6861 * CHOOSE(CONTROL!$C$22, $C$13, 100%, $E$13)</f>
        <v>6.6860999999999997</v>
      </c>
      <c r="K438" s="61">
        <f>6.6863 * CHOOSE(CONTROL!$C$22, $C$13, 100%, $E$13)</f>
        <v>6.6863000000000001</v>
      </c>
    </row>
    <row r="439" spans="1:11" ht="15">
      <c r="A439" s="13">
        <v>55213</v>
      </c>
      <c r="B439" s="60">
        <f>6.0212 * CHOOSE(CONTROL!$C$22, $C$13, 100%, $E$13)</f>
        <v>6.0212000000000003</v>
      </c>
      <c r="C439" s="60">
        <f>6.0212 * CHOOSE(CONTROL!$C$22, $C$13, 100%, $E$13)</f>
        <v>6.0212000000000003</v>
      </c>
      <c r="D439" s="60">
        <f>6.0388 * CHOOSE(CONTROL!$C$22, $C$13, 100%, $E$13)</f>
        <v>6.0388000000000002</v>
      </c>
      <c r="E439" s="61">
        <f>6.7649 * CHOOSE(CONTROL!$C$22, $C$13, 100%, $E$13)</f>
        <v>6.7648999999999999</v>
      </c>
      <c r="F439" s="61">
        <f>6.7649 * CHOOSE(CONTROL!$C$22, $C$13, 100%, $E$13)</f>
        <v>6.7648999999999999</v>
      </c>
      <c r="G439" s="61">
        <f>6.7651 * CHOOSE(CONTROL!$C$22, $C$13, 100%, $E$13)</f>
        <v>6.7651000000000003</v>
      </c>
      <c r="H439" s="61">
        <f>12.4185* CHOOSE(CONTROL!$C$22, $C$13, 100%, $E$13)</f>
        <v>12.4185</v>
      </c>
      <c r="I439" s="61">
        <f>12.4187 * CHOOSE(CONTROL!$C$22, $C$13, 100%, $E$13)</f>
        <v>12.418699999999999</v>
      </c>
      <c r="J439" s="61">
        <f>6.7649 * CHOOSE(CONTROL!$C$22, $C$13, 100%, $E$13)</f>
        <v>6.7648999999999999</v>
      </c>
      <c r="K439" s="61">
        <f>6.7651 * CHOOSE(CONTROL!$C$22, $C$13, 100%, $E$13)</f>
        <v>6.7651000000000003</v>
      </c>
    </row>
    <row r="440" spans="1:11" ht="15">
      <c r="A440" s="13">
        <v>55244</v>
      </c>
      <c r="B440" s="60">
        <f>6.0208 * CHOOSE(CONTROL!$C$22, $C$13, 100%, $E$13)</f>
        <v>6.0208000000000004</v>
      </c>
      <c r="C440" s="60">
        <f>6.0208 * CHOOSE(CONTROL!$C$22, $C$13, 100%, $E$13)</f>
        <v>6.0208000000000004</v>
      </c>
      <c r="D440" s="60">
        <f>6.0385 * CHOOSE(CONTROL!$C$22, $C$13, 100%, $E$13)</f>
        <v>6.0385</v>
      </c>
      <c r="E440" s="61">
        <f>6.8476 * CHOOSE(CONTROL!$C$22, $C$13, 100%, $E$13)</f>
        <v>6.8475999999999999</v>
      </c>
      <c r="F440" s="61">
        <f>6.8476 * CHOOSE(CONTROL!$C$22, $C$13, 100%, $E$13)</f>
        <v>6.8475999999999999</v>
      </c>
      <c r="G440" s="61">
        <f>6.8477 * CHOOSE(CONTROL!$C$22, $C$13, 100%, $E$13)</f>
        <v>6.8476999999999997</v>
      </c>
      <c r="H440" s="61">
        <f>12.4444* CHOOSE(CONTROL!$C$22, $C$13, 100%, $E$13)</f>
        <v>12.4444</v>
      </c>
      <c r="I440" s="61">
        <f>12.4446 * CHOOSE(CONTROL!$C$22, $C$13, 100%, $E$13)</f>
        <v>12.444599999999999</v>
      </c>
      <c r="J440" s="61">
        <f>6.8476 * CHOOSE(CONTROL!$C$22, $C$13, 100%, $E$13)</f>
        <v>6.8475999999999999</v>
      </c>
      <c r="K440" s="61">
        <f>6.8477 * CHOOSE(CONTROL!$C$22, $C$13, 100%, $E$13)</f>
        <v>6.8476999999999997</v>
      </c>
    </row>
    <row r="441" spans="1:11" ht="15">
      <c r="A441" s="13">
        <v>55274</v>
      </c>
      <c r="B441" s="60">
        <f>6.0208 * CHOOSE(CONTROL!$C$22, $C$13, 100%, $E$13)</f>
        <v>6.0208000000000004</v>
      </c>
      <c r="C441" s="60">
        <f>6.0208 * CHOOSE(CONTROL!$C$22, $C$13, 100%, $E$13)</f>
        <v>6.0208000000000004</v>
      </c>
      <c r="D441" s="60">
        <f>6.0561 * CHOOSE(CONTROL!$C$22, $C$13, 100%, $E$13)</f>
        <v>6.0560999999999998</v>
      </c>
      <c r="E441" s="61">
        <f>6.8802 * CHOOSE(CONTROL!$C$22, $C$13, 100%, $E$13)</f>
        <v>6.8802000000000003</v>
      </c>
      <c r="F441" s="61">
        <f>6.8802 * CHOOSE(CONTROL!$C$22, $C$13, 100%, $E$13)</f>
        <v>6.8802000000000003</v>
      </c>
      <c r="G441" s="61">
        <f>6.8823 * CHOOSE(CONTROL!$C$22, $C$13, 100%, $E$13)</f>
        <v>6.8822999999999999</v>
      </c>
      <c r="H441" s="61">
        <f>12.4703* CHOOSE(CONTROL!$C$22, $C$13, 100%, $E$13)</f>
        <v>12.4703</v>
      </c>
      <c r="I441" s="61">
        <f>12.4725 * CHOOSE(CONTROL!$C$22, $C$13, 100%, $E$13)</f>
        <v>12.4725</v>
      </c>
      <c r="J441" s="61">
        <f>6.8802 * CHOOSE(CONTROL!$C$22, $C$13, 100%, $E$13)</f>
        <v>6.8802000000000003</v>
      </c>
      <c r="K441" s="61">
        <f>6.8823 * CHOOSE(CONTROL!$C$22, $C$13, 100%, $E$13)</f>
        <v>6.8822999999999999</v>
      </c>
    </row>
    <row r="442" spans="1:11" ht="15">
      <c r="A442" s="13">
        <v>55305</v>
      </c>
      <c r="B442" s="60">
        <f>6.0269 * CHOOSE(CONTROL!$C$22, $C$13, 100%, $E$13)</f>
        <v>6.0269000000000004</v>
      </c>
      <c r="C442" s="60">
        <f>6.0269 * CHOOSE(CONTROL!$C$22, $C$13, 100%, $E$13)</f>
        <v>6.0269000000000004</v>
      </c>
      <c r="D442" s="60">
        <f>6.0622 * CHOOSE(CONTROL!$C$22, $C$13, 100%, $E$13)</f>
        <v>6.0621999999999998</v>
      </c>
      <c r="E442" s="61">
        <f>6.8518 * CHOOSE(CONTROL!$C$22, $C$13, 100%, $E$13)</f>
        <v>6.8517999999999999</v>
      </c>
      <c r="F442" s="61">
        <f>6.8518 * CHOOSE(CONTROL!$C$22, $C$13, 100%, $E$13)</f>
        <v>6.8517999999999999</v>
      </c>
      <c r="G442" s="61">
        <f>6.854 * CHOOSE(CONTROL!$C$22, $C$13, 100%, $E$13)</f>
        <v>6.8540000000000001</v>
      </c>
      <c r="H442" s="61">
        <f>12.4963* CHOOSE(CONTROL!$C$22, $C$13, 100%, $E$13)</f>
        <v>12.4963</v>
      </c>
      <c r="I442" s="61">
        <f>12.4985 * CHOOSE(CONTROL!$C$22, $C$13, 100%, $E$13)</f>
        <v>12.4985</v>
      </c>
      <c r="J442" s="61">
        <f>6.8518 * CHOOSE(CONTROL!$C$22, $C$13, 100%, $E$13)</f>
        <v>6.8517999999999999</v>
      </c>
      <c r="K442" s="61">
        <f>6.854 * CHOOSE(CONTROL!$C$22, $C$13, 100%, $E$13)</f>
        <v>6.8540000000000001</v>
      </c>
    </row>
    <row r="443" spans="1:11" ht="15">
      <c r="A443" s="13">
        <v>55335</v>
      </c>
      <c r="B443" s="60">
        <f>6.1182 * CHOOSE(CONTROL!$C$22, $C$13, 100%, $E$13)</f>
        <v>6.1181999999999999</v>
      </c>
      <c r="C443" s="60">
        <f>6.1182 * CHOOSE(CONTROL!$C$22, $C$13, 100%, $E$13)</f>
        <v>6.1181999999999999</v>
      </c>
      <c r="D443" s="60">
        <f>6.1535 * CHOOSE(CONTROL!$C$22, $C$13, 100%, $E$13)</f>
        <v>6.1535000000000002</v>
      </c>
      <c r="E443" s="61">
        <f>6.9825 * CHOOSE(CONTROL!$C$22, $C$13, 100%, $E$13)</f>
        <v>6.9824999999999999</v>
      </c>
      <c r="F443" s="61">
        <f>6.9825 * CHOOSE(CONTROL!$C$22, $C$13, 100%, $E$13)</f>
        <v>6.9824999999999999</v>
      </c>
      <c r="G443" s="61">
        <f>6.9847 * CHOOSE(CONTROL!$C$22, $C$13, 100%, $E$13)</f>
        <v>6.9847000000000001</v>
      </c>
      <c r="H443" s="61">
        <f>12.5223* CHOOSE(CONTROL!$C$22, $C$13, 100%, $E$13)</f>
        <v>12.5223</v>
      </c>
      <c r="I443" s="61">
        <f>12.5245 * CHOOSE(CONTROL!$C$22, $C$13, 100%, $E$13)</f>
        <v>12.5245</v>
      </c>
      <c r="J443" s="61">
        <f>6.9825 * CHOOSE(CONTROL!$C$22, $C$13, 100%, $E$13)</f>
        <v>6.9824999999999999</v>
      </c>
      <c r="K443" s="61">
        <f>6.9847 * CHOOSE(CONTROL!$C$22, $C$13, 100%, $E$13)</f>
        <v>6.9847000000000001</v>
      </c>
    </row>
    <row r="444" spans="1:11" ht="15">
      <c r="A444" s="13">
        <v>55366</v>
      </c>
      <c r="B444" s="60">
        <f>6.1249 * CHOOSE(CONTROL!$C$22, $C$13, 100%, $E$13)</f>
        <v>6.1249000000000002</v>
      </c>
      <c r="C444" s="60">
        <f>6.1249 * CHOOSE(CONTROL!$C$22, $C$13, 100%, $E$13)</f>
        <v>6.1249000000000002</v>
      </c>
      <c r="D444" s="60">
        <f>6.1602 * CHOOSE(CONTROL!$C$22, $C$13, 100%, $E$13)</f>
        <v>6.1601999999999997</v>
      </c>
      <c r="E444" s="61">
        <f>6.8894 * CHOOSE(CONTROL!$C$22, $C$13, 100%, $E$13)</f>
        <v>6.8894000000000002</v>
      </c>
      <c r="F444" s="61">
        <f>6.8894 * CHOOSE(CONTROL!$C$22, $C$13, 100%, $E$13)</f>
        <v>6.8894000000000002</v>
      </c>
      <c r="G444" s="61">
        <f>6.8916 * CHOOSE(CONTROL!$C$22, $C$13, 100%, $E$13)</f>
        <v>6.8916000000000004</v>
      </c>
      <c r="H444" s="61">
        <f>12.5484* CHOOSE(CONTROL!$C$22, $C$13, 100%, $E$13)</f>
        <v>12.548400000000001</v>
      </c>
      <c r="I444" s="61">
        <f>12.5506 * CHOOSE(CONTROL!$C$22, $C$13, 100%, $E$13)</f>
        <v>12.550599999999999</v>
      </c>
      <c r="J444" s="61">
        <f>6.8894 * CHOOSE(CONTROL!$C$22, $C$13, 100%, $E$13)</f>
        <v>6.8894000000000002</v>
      </c>
      <c r="K444" s="61">
        <f>6.8916 * CHOOSE(CONTROL!$C$22, $C$13, 100%, $E$13)</f>
        <v>6.8916000000000004</v>
      </c>
    </row>
    <row r="445" spans="1:11" ht="15">
      <c r="A445" s="13">
        <v>55397</v>
      </c>
      <c r="B445" s="60">
        <f>6.1218 * CHOOSE(CONTROL!$C$22, $C$13, 100%, $E$13)</f>
        <v>6.1218000000000004</v>
      </c>
      <c r="C445" s="60">
        <f>6.1218 * CHOOSE(CONTROL!$C$22, $C$13, 100%, $E$13)</f>
        <v>6.1218000000000004</v>
      </c>
      <c r="D445" s="60">
        <f>6.1571 * CHOOSE(CONTROL!$C$22, $C$13, 100%, $E$13)</f>
        <v>6.1570999999999998</v>
      </c>
      <c r="E445" s="61">
        <f>6.8764 * CHOOSE(CONTROL!$C$22, $C$13, 100%, $E$13)</f>
        <v>6.8764000000000003</v>
      </c>
      <c r="F445" s="61">
        <f>6.8764 * CHOOSE(CONTROL!$C$22, $C$13, 100%, $E$13)</f>
        <v>6.8764000000000003</v>
      </c>
      <c r="G445" s="61">
        <f>6.8786 * CHOOSE(CONTROL!$C$22, $C$13, 100%, $E$13)</f>
        <v>6.8785999999999996</v>
      </c>
      <c r="H445" s="61">
        <f>12.5746* CHOOSE(CONTROL!$C$22, $C$13, 100%, $E$13)</f>
        <v>12.5746</v>
      </c>
      <c r="I445" s="61">
        <f>12.5767 * CHOOSE(CONTROL!$C$22, $C$13, 100%, $E$13)</f>
        <v>12.576700000000001</v>
      </c>
      <c r="J445" s="61">
        <f>6.8764 * CHOOSE(CONTROL!$C$22, $C$13, 100%, $E$13)</f>
        <v>6.8764000000000003</v>
      </c>
      <c r="K445" s="61">
        <f>6.8786 * CHOOSE(CONTROL!$C$22, $C$13, 100%, $E$13)</f>
        <v>6.8785999999999996</v>
      </c>
    </row>
    <row r="446" spans="1:11" ht="15">
      <c r="A446" s="13">
        <v>55427</v>
      </c>
      <c r="B446" s="60">
        <f>6.125 * CHOOSE(CONTROL!$C$22, $C$13, 100%, $E$13)</f>
        <v>6.125</v>
      </c>
      <c r="C446" s="60">
        <f>6.125 * CHOOSE(CONTROL!$C$22, $C$13, 100%, $E$13)</f>
        <v>6.125</v>
      </c>
      <c r="D446" s="60">
        <f>6.1427 * CHOOSE(CONTROL!$C$22, $C$13, 100%, $E$13)</f>
        <v>6.1426999999999996</v>
      </c>
      <c r="E446" s="61">
        <f>6.9065 * CHOOSE(CONTROL!$C$22, $C$13, 100%, $E$13)</f>
        <v>6.9065000000000003</v>
      </c>
      <c r="F446" s="61">
        <f>6.9065 * CHOOSE(CONTROL!$C$22, $C$13, 100%, $E$13)</f>
        <v>6.9065000000000003</v>
      </c>
      <c r="G446" s="61">
        <f>6.9066 * CHOOSE(CONTROL!$C$22, $C$13, 100%, $E$13)</f>
        <v>6.9066000000000001</v>
      </c>
      <c r="H446" s="61">
        <f>12.6008* CHOOSE(CONTROL!$C$22, $C$13, 100%, $E$13)</f>
        <v>12.6008</v>
      </c>
      <c r="I446" s="61">
        <f>12.6009 * CHOOSE(CONTROL!$C$22, $C$13, 100%, $E$13)</f>
        <v>12.600899999999999</v>
      </c>
      <c r="J446" s="61">
        <f>6.9065 * CHOOSE(CONTROL!$C$22, $C$13, 100%, $E$13)</f>
        <v>6.9065000000000003</v>
      </c>
      <c r="K446" s="61">
        <f>6.9066 * CHOOSE(CONTROL!$C$22, $C$13, 100%, $E$13)</f>
        <v>6.9066000000000001</v>
      </c>
    </row>
    <row r="447" spans="1:11" ht="15">
      <c r="A447" s="13">
        <v>55458</v>
      </c>
      <c r="B447" s="60">
        <f>6.1281 * CHOOSE(CONTROL!$C$22, $C$13, 100%, $E$13)</f>
        <v>6.1280999999999999</v>
      </c>
      <c r="C447" s="60">
        <f>6.1281 * CHOOSE(CONTROL!$C$22, $C$13, 100%, $E$13)</f>
        <v>6.1280999999999999</v>
      </c>
      <c r="D447" s="60">
        <f>6.1457 * CHOOSE(CONTROL!$C$22, $C$13, 100%, $E$13)</f>
        <v>6.1456999999999997</v>
      </c>
      <c r="E447" s="61">
        <f>6.9303 * CHOOSE(CONTROL!$C$22, $C$13, 100%, $E$13)</f>
        <v>6.9302999999999999</v>
      </c>
      <c r="F447" s="61">
        <f>6.9303 * CHOOSE(CONTROL!$C$22, $C$13, 100%, $E$13)</f>
        <v>6.9302999999999999</v>
      </c>
      <c r="G447" s="61">
        <f>6.9305 * CHOOSE(CONTROL!$C$22, $C$13, 100%, $E$13)</f>
        <v>6.9305000000000003</v>
      </c>
      <c r="H447" s="61">
        <f>12.627* CHOOSE(CONTROL!$C$22, $C$13, 100%, $E$13)</f>
        <v>12.627000000000001</v>
      </c>
      <c r="I447" s="61">
        <f>12.6272 * CHOOSE(CONTROL!$C$22, $C$13, 100%, $E$13)</f>
        <v>12.6272</v>
      </c>
      <c r="J447" s="61">
        <f>6.9303 * CHOOSE(CONTROL!$C$22, $C$13, 100%, $E$13)</f>
        <v>6.9302999999999999</v>
      </c>
      <c r="K447" s="61">
        <f>6.9305 * CHOOSE(CONTROL!$C$22, $C$13, 100%, $E$13)</f>
        <v>6.9305000000000003</v>
      </c>
    </row>
    <row r="448" spans="1:11" ht="15">
      <c r="A448" s="13">
        <v>55488</v>
      </c>
      <c r="B448" s="60">
        <f>6.1281 * CHOOSE(CONTROL!$C$22, $C$13, 100%, $E$13)</f>
        <v>6.1280999999999999</v>
      </c>
      <c r="C448" s="60">
        <f>6.1281 * CHOOSE(CONTROL!$C$22, $C$13, 100%, $E$13)</f>
        <v>6.1280999999999999</v>
      </c>
      <c r="D448" s="60">
        <f>6.1457 * CHOOSE(CONTROL!$C$22, $C$13, 100%, $E$13)</f>
        <v>6.1456999999999997</v>
      </c>
      <c r="E448" s="61">
        <f>6.876 * CHOOSE(CONTROL!$C$22, $C$13, 100%, $E$13)</f>
        <v>6.8760000000000003</v>
      </c>
      <c r="F448" s="61">
        <f>6.876 * CHOOSE(CONTROL!$C$22, $C$13, 100%, $E$13)</f>
        <v>6.8760000000000003</v>
      </c>
      <c r="G448" s="61">
        <f>6.8762 * CHOOSE(CONTROL!$C$22, $C$13, 100%, $E$13)</f>
        <v>6.8761999999999999</v>
      </c>
      <c r="H448" s="61">
        <f>12.6533* CHOOSE(CONTROL!$C$22, $C$13, 100%, $E$13)</f>
        <v>12.6533</v>
      </c>
      <c r="I448" s="61">
        <f>12.6535 * CHOOSE(CONTROL!$C$22, $C$13, 100%, $E$13)</f>
        <v>12.653499999999999</v>
      </c>
      <c r="J448" s="61">
        <f>6.876 * CHOOSE(CONTROL!$C$22, $C$13, 100%, $E$13)</f>
        <v>6.8760000000000003</v>
      </c>
      <c r="K448" s="61">
        <f>6.8762 * CHOOSE(CONTROL!$C$22, $C$13, 100%, $E$13)</f>
        <v>6.8761999999999999</v>
      </c>
    </row>
    <row r="449" spans="1:11" ht="15">
      <c r="A449" s="13">
        <v>55519</v>
      </c>
      <c r="B449" s="60">
        <f>6.1802 * CHOOSE(CONTROL!$C$22, $C$13, 100%, $E$13)</f>
        <v>6.1802000000000001</v>
      </c>
      <c r="C449" s="60">
        <f>6.1802 * CHOOSE(CONTROL!$C$22, $C$13, 100%, $E$13)</f>
        <v>6.1802000000000001</v>
      </c>
      <c r="D449" s="60">
        <f>6.1979 * CHOOSE(CONTROL!$C$22, $C$13, 100%, $E$13)</f>
        <v>6.1978999999999997</v>
      </c>
      <c r="E449" s="61">
        <f>6.9816 * CHOOSE(CONTROL!$C$22, $C$13, 100%, $E$13)</f>
        <v>6.9816000000000003</v>
      </c>
      <c r="F449" s="61">
        <f>6.9816 * CHOOSE(CONTROL!$C$22, $C$13, 100%, $E$13)</f>
        <v>6.9816000000000003</v>
      </c>
      <c r="G449" s="61">
        <f>6.9817 * CHOOSE(CONTROL!$C$22, $C$13, 100%, $E$13)</f>
        <v>6.9817</v>
      </c>
      <c r="H449" s="61">
        <f>12.6797* CHOOSE(CONTROL!$C$22, $C$13, 100%, $E$13)</f>
        <v>12.6797</v>
      </c>
      <c r="I449" s="61">
        <f>12.6799 * CHOOSE(CONTROL!$C$22, $C$13, 100%, $E$13)</f>
        <v>12.6799</v>
      </c>
      <c r="J449" s="61">
        <f>6.9816 * CHOOSE(CONTROL!$C$22, $C$13, 100%, $E$13)</f>
        <v>6.9816000000000003</v>
      </c>
      <c r="K449" s="61">
        <f>6.9817 * CHOOSE(CONTROL!$C$22, $C$13, 100%, $E$13)</f>
        <v>6.9817</v>
      </c>
    </row>
    <row r="450" spans="1:11" ht="15">
      <c r="A450" s="13">
        <v>55550</v>
      </c>
      <c r="B450" s="60">
        <f>6.1772 * CHOOSE(CONTROL!$C$22, $C$13, 100%, $E$13)</f>
        <v>6.1772</v>
      </c>
      <c r="C450" s="60">
        <f>6.1772 * CHOOSE(CONTROL!$C$22, $C$13, 100%, $E$13)</f>
        <v>6.1772</v>
      </c>
      <c r="D450" s="60">
        <f>6.1948 * CHOOSE(CONTROL!$C$22, $C$13, 100%, $E$13)</f>
        <v>6.1947999999999999</v>
      </c>
      <c r="E450" s="61">
        <f>6.8735 * CHOOSE(CONTROL!$C$22, $C$13, 100%, $E$13)</f>
        <v>6.8734999999999999</v>
      </c>
      <c r="F450" s="61">
        <f>6.8735 * CHOOSE(CONTROL!$C$22, $C$13, 100%, $E$13)</f>
        <v>6.8734999999999999</v>
      </c>
      <c r="G450" s="61">
        <f>6.8737 * CHOOSE(CONTROL!$C$22, $C$13, 100%, $E$13)</f>
        <v>6.8737000000000004</v>
      </c>
      <c r="H450" s="61">
        <f>12.7061* CHOOSE(CONTROL!$C$22, $C$13, 100%, $E$13)</f>
        <v>12.706099999999999</v>
      </c>
      <c r="I450" s="61">
        <f>12.7063 * CHOOSE(CONTROL!$C$22, $C$13, 100%, $E$13)</f>
        <v>12.706300000000001</v>
      </c>
      <c r="J450" s="61">
        <f>6.8735 * CHOOSE(CONTROL!$C$22, $C$13, 100%, $E$13)</f>
        <v>6.8734999999999999</v>
      </c>
      <c r="K450" s="61">
        <f>6.8737 * CHOOSE(CONTROL!$C$22, $C$13, 100%, $E$13)</f>
        <v>6.8737000000000004</v>
      </c>
    </row>
    <row r="451" spans="1:11" ht="15">
      <c r="A451" s="13">
        <v>55579</v>
      </c>
      <c r="B451" s="60">
        <f>6.1741 * CHOOSE(CONTROL!$C$22, $C$13, 100%, $E$13)</f>
        <v>6.1741000000000001</v>
      </c>
      <c r="C451" s="60">
        <f>6.1741 * CHOOSE(CONTROL!$C$22, $C$13, 100%, $E$13)</f>
        <v>6.1741000000000001</v>
      </c>
      <c r="D451" s="60">
        <f>6.1918 * CHOOSE(CONTROL!$C$22, $C$13, 100%, $E$13)</f>
        <v>6.1917999999999997</v>
      </c>
      <c r="E451" s="61">
        <f>6.9549 * CHOOSE(CONTROL!$C$22, $C$13, 100%, $E$13)</f>
        <v>6.9549000000000003</v>
      </c>
      <c r="F451" s="61">
        <f>6.9549 * CHOOSE(CONTROL!$C$22, $C$13, 100%, $E$13)</f>
        <v>6.9549000000000003</v>
      </c>
      <c r="G451" s="61">
        <f>6.9551 * CHOOSE(CONTROL!$C$22, $C$13, 100%, $E$13)</f>
        <v>6.9550999999999998</v>
      </c>
      <c r="H451" s="61">
        <f>12.7326* CHOOSE(CONTROL!$C$22, $C$13, 100%, $E$13)</f>
        <v>12.7326</v>
      </c>
      <c r="I451" s="61">
        <f>12.7327 * CHOOSE(CONTROL!$C$22, $C$13, 100%, $E$13)</f>
        <v>12.732699999999999</v>
      </c>
      <c r="J451" s="61">
        <f>6.9549 * CHOOSE(CONTROL!$C$22, $C$13, 100%, $E$13)</f>
        <v>6.9549000000000003</v>
      </c>
      <c r="K451" s="61">
        <f>6.9551 * CHOOSE(CONTROL!$C$22, $C$13, 100%, $E$13)</f>
        <v>6.9550999999999998</v>
      </c>
    </row>
    <row r="452" spans="1:11" ht="15">
      <c r="A452" s="13">
        <v>55610</v>
      </c>
      <c r="B452" s="60">
        <f>6.1739 * CHOOSE(CONTROL!$C$22, $C$13, 100%, $E$13)</f>
        <v>6.1738999999999997</v>
      </c>
      <c r="C452" s="60">
        <f>6.1739 * CHOOSE(CONTROL!$C$22, $C$13, 100%, $E$13)</f>
        <v>6.1738999999999997</v>
      </c>
      <c r="D452" s="60">
        <f>6.1916 * CHOOSE(CONTROL!$C$22, $C$13, 100%, $E$13)</f>
        <v>6.1916000000000002</v>
      </c>
      <c r="E452" s="61">
        <f>7.0403 * CHOOSE(CONTROL!$C$22, $C$13, 100%, $E$13)</f>
        <v>7.0403000000000002</v>
      </c>
      <c r="F452" s="61">
        <f>7.0403 * CHOOSE(CONTROL!$C$22, $C$13, 100%, $E$13)</f>
        <v>7.0403000000000002</v>
      </c>
      <c r="G452" s="61">
        <f>7.0405 * CHOOSE(CONTROL!$C$22, $C$13, 100%, $E$13)</f>
        <v>7.0404999999999998</v>
      </c>
      <c r="H452" s="61">
        <f>12.7591* CHOOSE(CONTROL!$C$22, $C$13, 100%, $E$13)</f>
        <v>12.7591</v>
      </c>
      <c r="I452" s="61">
        <f>12.7593 * CHOOSE(CONTROL!$C$22, $C$13, 100%, $E$13)</f>
        <v>12.7593</v>
      </c>
      <c r="J452" s="61">
        <f>7.0403 * CHOOSE(CONTROL!$C$22, $C$13, 100%, $E$13)</f>
        <v>7.0403000000000002</v>
      </c>
      <c r="K452" s="61">
        <f>7.0405 * CHOOSE(CONTROL!$C$22, $C$13, 100%, $E$13)</f>
        <v>7.0404999999999998</v>
      </c>
    </row>
    <row r="453" spans="1:11" ht="15">
      <c r="A453" s="13">
        <v>55640</v>
      </c>
      <c r="B453" s="60">
        <f>6.1739 * CHOOSE(CONTROL!$C$22, $C$13, 100%, $E$13)</f>
        <v>6.1738999999999997</v>
      </c>
      <c r="C453" s="60">
        <f>6.1739 * CHOOSE(CONTROL!$C$22, $C$13, 100%, $E$13)</f>
        <v>6.1738999999999997</v>
      </c>
      <c r="D453" s="60">
        <f>6.2092 * CHOOSE(CONTROL!$C$22, $C$13, 100%, $E$13)</f>
        <v>6.2092000000000001</v>
      </c>
      <c r="E453" s="61">
        <f>7.074 * CHOOSE(CONTROL!$C$22, $C$13, 100%, $E$13)</f>
        <v>7.0739999999999998</v>
      </c>
      <c r="F453" s="61">
        <f>7.074 * CHOOSE(CONTROL!$C$22, $C$13, 100%, $E$13)</f>
        <v>7.0739999999999998</v>
      </c>
      <c r="G453" s="61">
        <f>7.0762 * CHOOSE(CONTROL!$C$22, $C$13, 100%, $E$13)</f>
        <v>7.0762</v>
      </c>
      <c r="H453" s="61">
        <f>12.7857* CHOOSE(CONTROL!$C$22, $C$13, 100%, $E$13)</f>
        <v>12.7857</v>
      </c>
      <c r="I453" s="61">
        <f>12.7879 * CHOOSE(CONTROL!$C$22, $C$13, 100%, $E$13)</f>
        <v>12.7879</v>
      </c>
      <c r="J453" s="61">
        <f>7.074 * CHOOSE(CONTROL!$C$22, $C$13, 100%, $E$13)</f>
        <v>7.0739999999999998</v>
      </c>
      <c r="K453" s="61">
        <f>7.0762 * CHOOSE(CONTROL!$C$22, $C$13, 100%, $E$13)</f>
        <v>7.0762</v>
      </c>
    </row>
    <row r="454" spans="1:11" ht="15">
      <c r="A454" s="13">
        <v>55671</v>
      </c>
      <c r="B454" s="60">
        <f>6.18 * CHOOSE(CONTROL!$C$22, $C$13, 100%, $E$13)</f>
        <v>6.18</v>
      </c>
      <c r="C454" s="60">
        <f>6.18 * CHOOSE(CONTROL!$C$22, $C$13, 100%, $E$13)</f>
        <v>6.18</v>
      </c>
      <c r="D454" s="60">
        <f>6.2153 * CHOOSE(CONTROL!$C$22, $C$13, 100%, $E$13)</f>
        <v>6.2153</v>
      </c>
      <c r="E454" s="61">
        <f>7.0446 * CHOOSE(CONTROL!$C$22, $C$13, 100%, $E$13)</f>
        <v>7.0446</v>
      </c>
      <c r="F454" s="61">
        <f>7.0446 * CHOOSE(CONTROL!$C$22, $C$13, 100%, $E$13)</f>
        <v>7.0446</v>
      </c>
      <c r="G454" s="61">
        <f>7.0468 * CHOOSE(CONTROL!$C$22, $C$13, 100%, $E$13)</f>
        <v>7.0468000000000002</v>
      </c>
      <c r="H454" s="61">
        <f>12.8123* CHOOSE(CONTROL!$C$22, $C$13, 100%, $E$13)</f>
        <v>12.8123</v>
      </c>
      <c r="I454" s="61">
        <f>12.8145 * CHOOSE(CONTROL!$C$22, $C$13, 100%, $E$13)</f>
        <v>12.814500000000001</v>
      </c>
      <c r="J454" s="61">
        <f>7.0446 * CHOOSE(CONTROL!$C$22, $C$13, 100%, $E$13)</f>
        <v>7.0446</v>
      </c>
      <c r="K454" s="61">
        <f>7.0468 * CHOOSE(CONTROL!$C$22, $C$13, 100%, $E$13)</f>
        <v>7.0468000000000002</v>
      </c>
    </row>
    <row r="455" spans="1:11" ht="15">
      <c r="A455" s="13">
        <v>55701</v>
      </c>
      <c r="B455" s="60">
        <f>6.2732 * CHOOSE(CONTROL!$C$22, $C$13, 100%, $E$13)</f>
        <v>6.2732000000000001</v>
      </c>
      <c r="C455" s="60">
        <f>6.2732 * CHOOSE(CONTROL!$C$22, $C$13, 100%, $E$13)</f>
        <v>6.2732000000000001</v>
      </c>
      <c r="D455" s="60">
        <f>6.3085 * CHOOSE(CONTROL!$C$22, $C$13, 100%, $E$13)</f>
        <v>6.3085000000000004</v>
      </c>
      <c r="E455" s="61">
        <f>7.1787 * CHOOSE(CONTROL!$C$22, $C$13, 100%, $E$13)</f>
        <v>7.1787000000000001</v>
      </c>
      <c r="F455" s="61">
        <f>7.1787 * CHOOSE(CONTROL!$C$22, $C$13, 100%, $E$13)</f>
        <v>7.1787000000000001</v>
      </c>
      <c r="G455" s="61">
        <f>7.1808 * CHOOSE(CONTROL!$C$22, $C$13, 100%, $E$13)</f>
        <v>7.1807999999999996</v>
      </c>
      <c r="H455" s="61">
        <f>12.839* CHOOSE(CONTROL!$C$22, $C$13, 100%, $E$13)</f>
        <v>12.839</v>
      </c>
      <c r="I455" s="61">
        <f>12.8412 * CHOOSE(CONTROL!$C$22, $C$13, 100%, $E$13)</f>
        <v>12.841200000000001</v>
      </c>
      <c r="J455" s="61">
        <f>7.1787 * CHOOSE(CONTROL!$C$22, $C$13, 100%, $E$13)</f>
        <v>7.1787000000000001</v>
      </c>
      <c r="K455" s="61">
        <f>7.1808 * CHOOSE(CONTROL!$C$22, $C$13, 100%, $E$13)</f>
        <v>7.1807999999999996</v>
      </c>
    </row>
    <row r="456" spans="1:11" ht="15">
      <c r="A456" s="13">
        <v>55732</v>
      </c>
      <c r="B456" s="60">
        <f>6.2799 * CHOOSE(CONTROL!$C$22, $C$13, 100%, $E$13)</f>
        <v>6.2798999999999996</v>
      </c>
      <c r="C456" s="60">
        <f>6.2799 * CHOOSE(CONTROL!$C$22, $C$13, 100%, $E$13)</f>
        <v>6.2798999999999996</v>
      </c>
      <c r="D456" s="60">
        <f>6.3152 * CHOOSE(CONTROL!$C$22, $C$13, 100%, $E$13)</f>
        <v>6.3151999999999999</v>
      </c>
      <c r="E456" s="61">
        <f>7.0824 * CHOOSE(CONTROL!$C$22, $C$13, 100%, $E$13)</f>
        <v>7.0823999999999998</v>
      </c>
      <c r="F456" s="61">
        <f>7.0824 * CHOOSE(CONTROL!$C$22, $C$13, 100%, $E$13)</f>
        <v>7.0823999999999998</v>
      </c>
      <c r="G456" s="61">
        <f>7.0846 * CHOOSE(CONTROL!$C$22, $C$13, 100%, $E$13)</f>
        <v>7.0846</v>
      </c>
      <c r="H456" s="61">
        <f>12.8657* CHOOSE(CONTROL!$C$22, $C$13, 100%, $E$13)</f>
        <v>12.8657</v>
      </c>
      <c r="I456" s="61">
        <f>12.8679 * CHOOSE(CONTROL!$C$22, $C$13, 100%, $E$13)</f>
        <v>12.867900000000001</v>
      </c>
      <c r="J456" s="61">
        <f>7.0824 * CHOOSE(CONTROL!$C$22, $C$13, 100%, $E$13)</f>
        <v>7.0823999999999998</v>
      </c>
      <c r="K456" s="61">
        <f>7.0846 * CHOOSE(CONTROL!$C$22, $C$13, 100%, $E$13)</f>
        <v>7.0846</v>
      </c>
    </row>
    <row r="457" spans="1:11" ht="15">
      <c r="A457" s="13">
        <v>55763</v>
      </c>
      <c r="B457" s="60">
        <f>6.2769 * CHOOSE(CONTROL!$C$22, $C$13, 100%, $E$13)</f>
        <v>6.2769000000000004</v>
      </c>
      <c r="C457" s="60">
        <f>6.2769 * CHOOSE(CONTROL!$C$22, $C$13, 100%, $E$13)</f>
        <v>6.2769000000000004</v>
      </c>
      <c r="D457" s="60">
        <f>6.3122 * CHOOSE(CONTROL!$C$22, $C$13, 100%, $E$13)</f>
        <v>6.3121999999999998</v>
      </c>
      <c r="E457" s="61">
        <f>7.0691 * CHOOSE(CONTROL!$C$22, $C$13, 100%, $E$13)</f>
        <v>7.0690999999999997</v>
      </c>
      <c r="F457" s="61">
        <f>7.0691 * CHOOSE(CONTROL!$C$22, $C$13, 100%, $E$13)</f>
        <v>7.0690999999999997</v>
      </c>
      <c r="G457" s="61">
        <f>7.0713 * CHOOSE(CONTROL!$C$22, $C$13, 100%, $E$13)</f>
        <v>7.0712999999999999</v>
      </c>
      <c r="H457" s="61">
        <f>12.8926* CHOOSE(CONTROL!$C$22, $C$13, 100%, $E$13)</f>
        <v>12.8926</v>
      </c>
      <c r="I457" s="61">
        <f>12.8947 * CHOOSE(CONTROL!$C$22, $C$13, 100%, $E$13)</f>
        <v>12.8947</v>
      </c>
      <c r="J457" s="61">
        <f>7.0691 * CHOOSE(CONTROL!$C$22, $C$13, 100%, $E$13)</f>
        <v>7.0690999999999997</v>
      </c>
      <c r="K457" s="61">
        <f>7.0713 * CHOOSE(CONTROL!$C$22, $C$13, 100%, $E$13)</f>
        <v>7.0712999999999999</v>
      </c>
    </row>
    <row r="458" spans="1:11" ht="15">
      <c r="A458" s="13">
        <v>55793</v>
      </c>
      <c r="B458" s="60">
        <f>6.2806 * CHOOSE(CONTROL!$C$22, $C$13, 100%, $E$13)</f>
        <v>6.2805999999999997</v>
      </c>
      <c r="C458" s="60">
        <f>6.2806 * CHOOSE(CONTROL!$C$22, $C$13, 100%, $E$13)</f>
        <v>6.2805999999999997</v>
      </c>
      <c r="D458" s="60">
        <f>6.2983 * CHOOSE(CONTROL!$C$22, $C$13, 100%, $E$13)</f>
        <v>6.2983000000000002</v>
      </c>
      <c r="E458" s="61">
        <f>7.1005 * CHOOSE(CONTROL!$C$22, $C$13, 100%, $E$13)</f>
        <v>7.1005000000000003</v>
      </c>
      <c r="F458" s="61">
        <f>7.1005 * CHOOSE(CONTROL!$C$22, $C$13, 100%, $E$13)</f>
        <v>7.1005000000000003</v>
      </c>
      <c r="G458" s="61">
        <f>7.1007 * CHOOSE(CONTROL!$C$22, $C$13, 100%, $E$13)</f>
        <v>7.1006999999999998</v>
      </c>
      <c r="H458" s="61">
        <f>12.9194* CHOOSE(CONTROL!$C$22, $C$13, 100%, $E$13)</f>
        <v>12.9194</v>
      </c>
      <c r="I458" s="61">
        <f>12.9196 * CHOOSE(CONTROL!$C$22, $C$13, 100%, $E$13)</f>
        <v>12.919600000000001</v>
      </c>
      <c r="J458" s="61">
        <f>7.1005 * CHOOSE(CONTROL!$C$22, $C$13, 100%, $E$13)</f>
        <v>7.1005000000000003</v>
      </c>
      <c r="K458" s="61">
        <f>7.1007 * CHOOSE(CONTROL!$C$22, $C$13, 100%, $E$13)</f>
        <v>7.1006999999999998</v>
      </c>
    </row>
    <row r="459" spans="1:11" ht="15">
      <c r="A459" s="13">
        <v>55824</v>
      </c>
      <c r="B459" s="60">
        <f>6.2837 * CHOOSE(CONTROL!$C$22, $C$13, 100%, $E$13)</f>
        <v>6.2836999999999996</v>
      </c>
      <c r="C459" s="60">
        <f>6.2837 * CHOOSE(CONTROL!$C$22, $C$13, 100%, $E$13)</f>
        <v>6.2836999999999996</v>
      </c>
      <c r="D459" s="60">
        <f>6.3013 * CHOOSE(CONTROL!$C$22, $C$13, 100%, $E$13)</f>
        <v>6.3013000000000003</v>
      </c>
      <c r="E459" s="61">
        <f>7.1251 * CHOOSE(CONTROL!$C$22, $C$13, 100%, $E$13)</f>
        <v>7.1250999999999998</v>
      </c>
      <c r="F459" s="61">
        <f>7.1251 * CHOOSE(CONTROL!$C$22, $C$13, 100%, $E$13)</f>
        <v>7.1250999999999998</v>
      </c>
      <c r="G459" s="61">
        <f>7.1252 * CHOOSE(CONTROL!$C$22, $C$13, 100%, $E$13)</f>
        <v>7.1252000000000004</v>
      </c>
      <c r="H459" s="61">
        <f>12.9463* CHOOSE(CONTROL!$C$22, $C$13, 100%, $E$13)</f>
        <v>12.946300000000001</v>
      </c>
      <c r="I459" s="61">
        <f>12.9465 * CHOOSE(CONTROL!$C$22, $C$13, 100%, $E$13)</f>
        <v>12.9465</v>
      </c>
      <c r="J459" s="61">
        <f>7.1251 * CHOOSE(CONTROL!$C$22, $C$13, 100%, $E$13)</f>
        <v>7.1250999999999998</v>
      </c>
      <c r="K459" s="61">
        <f>7.1252 * CHOOSE(CONTROL!$C$22, $C$13, 100%, $E$13)</f>
        <v>7.1252000000000004</v>
      </c>
    </row>
    <row r="460" spans="1:11" ht="15">
      <c r="A460" s="13">
        <v>55854</v>
      </c>
      <c r="B460" s="60">
        <f>6.2837 * CHOOSE(CONTROL!$C$22, $C$13, 100%, $E$13)</f>
        <v>6.2836999999999996</v>
      </c>
      <c r="C460" s="60">
        <f>6.2837 * CHOOSE(CONTROL!$C$22, $C$13, 100%, $E$13)</f>
        <v>6.2836999999999996</v>
      </c>
      <c r="D460" s="60">
        <f>6.3013 * CHOOSE(CONTROL!$C$22, $C$13, 100%, $E$13)</f>
        <v>6.3013000000000003</v>
      </c>
      <c r="E460" s="61">
        <f>7.069 * CHOOSE(CONTROL!$C$22, $C$13, 100%, $E$13)</f>
        <v>7.069</v>
      </c>
      <c r="F460" s="61">
        <f>7.069 * CHOOSE(CONTROL!$C$22, $C$13, 100%, $E$13)</f>
        <v>7.069</v>
      </c>
      <c r="G460" s="61">
        <f>7.0692 * CHOOSE(CONTROL!$C$22, $C$13, 100%, $E$13)</f>
        <v>7.0692000000000004</v>
      </c>
      <c r="H460" s="61">
        <f>12.9733* CHOOSE(CONTROL!$C$22, $C$13, 100%, $E$13)</f>
        <v>12.9733</v>
      </c>
      <c r="I460" s="61">
        <f>12.9735 * CHOOSE(CONTROL!$C$22, $C$13, 100%, $E$13)</f>
        <v>12.9735</v>
      </c>
      <c r="J460" s="61">
        <f>7.069 * CHOOSE(CONTROL!$C$22, $C$13, 100%, $E$13)</f>
        <v>7.069</v>
      </c>
      <c r="K460" s="61">
        <f>7.0692 * CHOOSE(CONTROL!$C$22, $C$13, 100%, $E$13)</f>
        <v>7.0692000000000004</v>
      </c>
    </row>
    <row r="461" spans="1:11" ht="15">
      <c r="A461" s="13">
        <v>55885</v>
      </c>
      <c r="B461" s="60">
        <f>6.337 * CHOOSE(CONTROL!$C$22, $C$13, 100%, $E$13)</f>
        <v>6.3369999999999997</v>
      </c>
      <c r="C461" s="60">
        <f>6.337 * CHOOSE(CONTROL!$C$22, $C$13, 100%, $E$13)</f>
        <v>6.3369999999999997</v>
      </c>
      <c r="D461" s="60">
        <f>6.3547 * CHOOSE(CONTROL!$C$22, $C$13, 100%, $E$13)</f>
        <v>6.3547000000000002</v>
      </c>
      <c r="E461" s="61">
        <f>7.1777 * CHOOSE(CONTROL!$C$22, $C$13, 100%, $E$13)</f>
        <v>7.1776999999999997</v>
      </c>
      <c r="F461" s="61">
        <f>7.1777 * CHOOSE(CONTROL!$C$22, $C$13, 100%, $E$13)</f>
        <v>7.1776999999999997</v>
      </c>
      <c r="G461" s="61">
        <f>7.1778 * CHOOSE(CONTROL!$C$22, $C$13, 100%, $E$13)</f>
        <v>7.1778000000000004</v>
      </c>
      <c r="H461" s="61">
        <f>13.0003* CHOOSE(CONTROL!$C$22, $C$13, 100%, $E$13)</f>
        <v>13.000299999999999</v>
      </c>
      <c r="I461" s="61">
        <f>13.0005 * CHOOSE(CONTROL!$C$22, $C$13, 100%, $E$13)</f>
        <v>13.000500000000001</v>
      </c>
      <c r="J461" s="61">
        <f>7.1777 * CHOOSE(CONTROL!$C$22, $C$13, 100%, $E$13)</f>
        <v>7.1776999999999997</v>
      </c>
      <c r="K461" s="61">
        <f>7.1778 * CHOOSE(CONTROL!$C$22, $C$13, 100%, $E$13)</f>
        <v>7.1778000000000004</v>
      </c>
    </row>
    <row r="462" spans="1:11" ht="15">
      <c r="A462" s="13">
        <v>55916</v>
      </c>
      <c r="B462" s="60">
        <f>6.334 * CHOOSE(CONTROL!$C$22, $C$13, 100%, $E$13)</f>
        <v>6.3339999999999996</v>
      </c>
      <c r="C462" s="60">
        <f>6.334 * CHOOSE(CONTROL!$C$22, $C$13, 100%, $E$13)</f>
        <v>6.3339999999999996</v>
      </c>
      <c r="D462" s="60">
        <f>6.3517 * CHOOSE(CONTROL!$C$22, $C$13, 100%, $E$13)</f>
        <v>6.3517000000000001</v>
      </c>
      <c r="E462" s="61">
        <f>7.0663 * CHOOSE(CONTROL!$C$22, $C$13, 100%, $E$13)</f>
        <v>7.0663</v>
      </c>
      <c r="F462" s="61">
        <f>7.0663 * CHOOSE(CONTROL!$C$22, $C$13, 100%, $E$13)</f>
        <v>7.0663</v>
      </c>
      <c r="G462" s="61">
        <f>7.0664 * CHOOSE(CONTROL!$C$22, $C$13, 100%, $E$13)</f>
        <v>7.0663999999999998</v>
      </c>
      <c r="H462" s="61">
        <f>13.0274* CHOOSE(CONTROL!$C$22, $C$13, 100%, $E$13)</f>
        <v>13.0274</v>
      </c>
      <c r="I462" s="61">
        <f>13.0276 * CHOOSE(CONTROL!$C$22, $C$13, 100%, $E$13)</f>
        <v>13.0276</v>
      </c>
      <c r="J462" s="61">
        <f>7.0663 * CHOOSE(CONTROL!$C$22, $C$13, 100%, $E$13)</f>
        <v>7.0663</v>
      </c>
      <c r="K462" s="61">
        <f>7.0664 * CHOOSE(CONTROL!$C$22, $C$13, 100%, $E$13)</f>
        <v>7.0663999999999998</v>
      </c>
    </row>
    <row r="463" spans="1:11" ht="15">
      <c r="A463" s="13">
        <v>55944</v>
      </c>
      <c r="B463" s="60">
        <f>6.331 * CHOOSE(CONTROL!$C$22, $C$13, 100%, $E$13)</f>
        <v>6.3310000000000004</v>
      </c>
      <c r="C463" s="60">
        <f>6.331 * CHOOSE(CONTROL!$C$22, $C$13, 100%, $E$13)</f>
        <v>6.3310000000000004</v>
      </c>
      <c r="D463" s="60">
        <f>6.3486 * CHOOSE(CONTROL!$C$22, $C$13, 100%, $E$13)</f>
        <v>6.3486000000000002</v>
      </c>
      <c r="E463" s="61">
        <f>7.1503 * CHOOSE(CONTROL!$C$22, $C$13, 100%, $E$13)</f>
        <v>7.1502999999999997</v>
      </c>
      <c r="F463" s="61">
        <f>7.1503 * CHOOSE(CONTROL!$C$22, $C$13, 100%, $E$13)</f>
        <v>7.1502999999999997</v>
      </c>
      <c r="G463" s="61">
        <f>7.1505 * CHOOSE(CONTROL!$C$22, $C$13, 100%, $E$13)</f>
        <v>7.1505000000000001</v>
      </c>
      <c r="H463" s="61">
        <f>13.0545* CHOOSE(CONTROL!$C$22, $C$13, 100%, $E$13)</f>
        <v>13.054500000000001</v>
      </c>
      <c r="I463" s="61">
        <f>13.0547 * CHOOSE(CONTROL!$C$22, $C$13, 100%, $E$13)</f>
        <v>13.0547</v>
      </c>
      <c r="J463" s="61">
        <f>7.1503 * CHOOSE(CONTROL!$C$22, $C$13, 100%, $E$13)</f>
        <v>7.1502999999999997</v>
      </c>
      <c r="K463" s="61">
        <f>7.1505 * CHOOSE(CONTROL!$C$22, $C$13, 100%, $E$13)</f>
        <v>7.1505000000000001</v>
      </c>
    </row>
    <row r="464" spans="1:11" ht="15">
      <c r="A464" s="13">
        <v>55975</v>
      </c>
      <c r="B464" s="60">
        <f>6.3309 * CHOOSE(CONTROL!$C$22, $C$13, 100%, $E$13)</f>
        <v>6.3308999999999997</v>
      </c>
      <c r="C464" s="60">
        <f>6.3309 * CHOOSE(CONTROL!$C$22, $C$13, 100%, $E$13)</f>
        <v>6.3308999999999997</v>
      </c>
      <c r="D464" s="60">
        <f>6.3486 * CHOOSE(CONTROL!$C$22, $C$13, 100%, $E$13)</f>
        <v>6.3486000000000002</v>
      </c>
      <c r="E464" s="61">
        <f>7.2386 * CHOOSE(CONTROL!$C$22, $C$13, 100%, $E$13)</f>
        <v>7.2385999999999999</v>
      </c>
      <c r="F464" s="61">
        <f>7.2386 * CHOOSE(CONTROL!$C$22, $C$13, 100%, $E$13)</f>
        <v>7.2385999999999999</v>
      </c>
      <c r="G464" s="61">
        <f>7.2388 * CHOOSE(CONTROL!$C$22, $C$13, 100%, $E$13)</f>
        <v>7.2388000000000003</v>
      </c>
      <c r="H464" s="61">
        <f>13.0817* CHOOSE(CONTROL!$C$22, $C$13, 100%, $E$13)</f>
        <v>13.0817</v>
      </c>
      <c r="I464" s="61">
        <f>13.0819 * CHOOSE(CONTROL!$C$22, $C$13, 100%, $E$13)</f>
        <v>13.081899999999999</v>
      </c>
      <c r="J464" s="61">
        <f>7.2386 * CHOOSE(CONTROL!$C$22, $C$13, 100%, $E$13)</f>
        <v>7.2385999999999999</v>
      </c>
      <c r="K464" s="61">
        <f>7.2388 * CHOOSE(CONTROL!$C$22, $C$13, 100%, $E$13)</f>
        <v>7.2388000000000003</v>
      </c>
    </row>
    <row r="465" spans="1:11" ht="15">
      <c r="A465" s="13">
        <v>56005</v>
      </c>
      <c r="B465" s="60">
        <f>6.3309 * CHOOSE(CONTROL!$C$22, $C$13, 100%, $E$13)</f>
        <v>6.3308999999999997</v>
      </c>
      <c r="C465" s="60">
        <f>6.3309 * CHOOSE(CONTROL!$C$22, $C$13, 100%, $E$13)</f>
        <v>6.3308999999999997</v>
      </c>
      <c r="D465" s="60">
        <f>6.3662 * CHOOSE(CONTROL!$C$22, $C$13, 100%, $E$13)</f>
        <v>6.3662000000000001</v>
      </c>
      <c r="E465" s="61">
        <f>7.2733 * CHOOSE(CONTROL!$C$22, $C$13, 100%, $E$13)</f>
        <v>7.2732999999999999</v>
      </c>
      <c r="F465" s="61">
        <f>7.2733 * CHOOSE(CONTROL!$C$22, $C$13, 100%, $E$13)</f>
        <v>7.2732999999999999</v>
      </c>
      <c r="G465" s="61">
        <f>7.2755 * CHOOSE(CONTROL!$C$22, $C$13, 100%, $E$13)</f>
        <v>7.2755000000000001</v>
      </c>
      <c r="H465" s="61">
        <f>13.109* CHOOSE(CONTROL!$C$22, $C$13, 100%, $E$13)</f>
        <v>13.109</v>
      </c>
      <c r="I465" s="61">
        <f>13.1112 * CHOOSE(CONTROL!$C$22, $C$13, 100%, $E$13)</f>
        <v>13.1112</v>
      </c>
      <c r="J465" s="61">
        <f>7.2733 * CHOOSE(CONTROL!$C$22, $C$13, 100%, $E$13)</f>
        <v>7.2732999999999999</v>
      </c>
      <c r="K465" s="61">
        <f>7.2755 * CHOOSE(CONTROL!$C$22, $C$13, 100%, $E$13)</f>
        <v>7.2755000000000001</v>
      </c>
    </row>
    <row r="466" spans="1:11" ht="15">
      <c r="A466" s="13">
        <v>56036</v>
      </c>
      <c r="B466" s="60">
        <f>6.337 * CHOOSE(CONTROL!$C$22, $C$13, 100%, $E$13)</f>
        <v>6.3369999999999997</v>
      </c>
      <c r="C466" s="60">
        <f>6.337 * CHOOSE(CONTROL!$C$22, $C$13, 100%, $E$13)</f>
        <v>6.3369999999999997</v>
      </c>
      <c r="D466" s="60">
        <f>6.3723 * CHOOSE(CONTROL!$C$22, $C$13, 100%, $E$13)</f>
        <v>6.3723000000000001</v>
      </c>
      <c r="E466" s="61">
        <f>7.2428 * CHOOSE(CONTROL!$C$22, $C$13, 100%, $E$13)</f>
        <v>7.2427999999999999</v>
      </c>
      <c r="F466" s="61">
        <f>7.2428 * CHOOSE(CONTROL!$C$22, $C$13, 100%, $E$13)</f>
        <v>7.2427999999999999</v>
      </c>
      <c r="G466" s="61">
        <f>7.245 * CHOOSE(CONTROL!$C$22, $C$13, 100%, $E$13)</f>
        <v>7.2450000000000001</v>
      </c>
      <c r="H466" s="61">
        <f>13.1363* CHOOSE(CONTROL!$C$22, $C$13, 100%, $E$13)</f>
        <v>13.1363</v>
      </c>
      <c r="I466" s="61">
        <f>13.1385 * CHOOSE(CONTROL!$C$22, $C$13, 100%, $E$13)</f>
        <v>13.138500000000001</v>
      </c>
      <c r="J466" s="61">
        <f>7.2428 * CHOOSE(CONTROL!$C$22, $C$13, 100%, $E$13)</f>
        <v>7.2427999999999999</v>
      </c>
      <c r="K466" s="61">
        <f>7.245 * CHOOSE(CONTROL!$C$22, $C$13, 100%, $E$13)</f>
        <v>7.2450000000000001</v>
      </c>
    </row>
    <row r="467" spans="1:11" ht="15">
      <c r="A467" s="13">
        <v>56066</v>
      </c>
      <c r="B467" s="60">
        <f>6.4322 * CHOOSE(CONTROL!$C$22, $C$13, 100%, $E$13)</f>
        <v>6.4321999999999999</v>
      </c>
      <c r="C467" s="60">
        <f>6.4322 * CHOOSE(CONTROL!$C$22, $C$13, 100%, $E$13)</f>
        <v>6.4321999999999999</v>
      </c>
      <c r="D467" s="60">
        <f>6.4675 * CHOOSE(CONTROL!$C$22, $C$13, 100%, $E$13)</f>
        <v>6.4675000000000002</v>
      </c>
      <c r="E467" s="61">
        <f>7.3803 * CHOOSE(CONTROL!$C$22, $C$13, 100%, $E$13)</f>
        <v>7.3803000000000001</v>
      </c>
      <c r="F467" s="61">
        <f>7.3803 * CHOOSE(CONTROL!$C$22, $C$13, 100%, $E$13)</f>
        <v>7.3803000000000001</v>
      </c>
      <c r="G467" s="61">
        <f>7.3825 * CHOOSE(CONTROL!$C$22, $C$13, 100%, $E$13)</f>
        <v>7.3825000000000003</v>
      </c>
      <c r="H467" s="61">
        <f>13.1637* CHOOSE(CONTROL!$C$22, $C$13, 100%, $E$13)</f>
        <v>13.1637</v>
      </c>
      <c r="I467" s="61">
        <f>13.1659 * CHOOSE(CONTROL!$C$22, $C$13, 100%, $E$13)</f>
        <v>13.165900000000001</v>
      </c>
      <c r="J467" s="61">
        <f>7.3803 * CHOOSE(CONTROL!$C$22, $C$13, 100%, $E$13)</f>
        <v>7.3803000000000001</v>
      </c>
      <c r="K467" s="61">
        <f>7.3825 * CHOOSE(CONTROL!$C$22, $C$13, 100%, $E$13)</f>
        <v>7.3825000000000003</v>
      </c>
    </row>
    <row r="468" spans="1:11" ht="15">
      <c r="A468" s="13">
        <v>56097</v>
      </c>
      <c r="B468" s="60">
        <f>6.4389 * CHOOSE(CONTROL!$C$22, $C$13, 100%, $E$13)</f>
        <v>6.4389000000000003</v>
      </c>
      <c r="C468" s="60">
        <f>6.4389 * CHOOSE(CONTROL!$C$22, $C$13, 100%, $E$13)</f>
        <v>6.4389000000000003</v>
      </c>
      <c r="D468" s="60">
        <f>6.4742 * CHOOSE(CONTROL!$C$22, $C$13, 100%, $E$13)</f>
        <v>6.4741999999999997</v>
      </c>
      <c r="E468" s="61">
        <f>7.2809 * CHOOSE(CONTROL!$C$22, $C$13, 100%, $E$13)</f>
        <v>7.2808999999999999</v>
      </c>
      <c r="F468" s="61">
        <f>7.2809 * CHOOSE(CONTROL!$C$22, $C$13, 100%, $E$13)</f>
        <v>7.2808999999999999</v>
      </c>
      <c r="G468" s="61">
        <f>7.2831 * CHOOSE(CONTROL!$C$22, $C$13, 100%, $E$13)</f>
        <v>7.2831000000000001</v>
      </c>
      <c r="H468" s="61">
        <f>13.1911* CHOOSE(CONTROL!$C$22, $C$13, 100%, $E$13)</f>
        <v>13.1911</v>
      </c>
      <c r="I468" s="61">
        <f>13.1933 * CHOOSE(CONTROL!$C$22, $C$13, 100%, $E$13)</f>
        <v>13.193300000000001</v>
      </c>
      <c r="J468" s="61">
        <f>7.2809 * CHOOSE(CONTROL!$C$22, $C$13, 100%, $E$13)</f>
        <v>7.2808999999999999</v>
      </c>
      <c r="K468" s="61">
        <f>7.2831 * CHOOSE(CONTROL!$C$22, $C$13, 100%, $E$13)</f>
        <v>7.2831000000000001</v>
      </c>
    </row>
    <row r="469" spans="1:11" ht="15">
      <c r="A469" s="13">
        <v>56128</v>
      </c>
      <c r="B469" s="60">
        <f>6.4359 * CHOOSE(CONTROL!$C$22, $C$13, 100%, $E$13)</f>
        <v>6.4359000000000002</v>
      </c>
      <c r="C469" s="60">
        <f>6.4359 * CHOOSE(CONTROL!$C$22, $C$13, 100%, $E$13)</f>
        <v>6.4359000000000002</v>
      </c>
      <c r="D469" s="60">
        <f>6.4712 * CHOOSE(CONTROL!$C$22, $C$13, 100%, $E$13)</f>
        <v>6.4711999999999996</v>
      </c>
      <c r="E469" s="61">
        <f>7.2672 * CHOOSE(CONTROL!$C$22, $C$13, 100%, $E$13)</f>
        <v>7.2671999999999999</v>
      </c>
      <c r="F469" s="61">
        <f>7.2672 * CHOOSE(CONTROL!$C$22, $C$13, 100%, $E$13)</f>
        <v>7.2671999999999999</v>
      </c>
      <c r="G469" s="61">
        <f>7.2694 * CHOOSE(CONTROL!$C$22, $C$13, 100%, $E$13)</f>
        <v>7.2694000000000001</v>
      </c>
      <c r="H469" s="61">
        <f>13.2186* CHOOSE(CONTROL!$C$22, $C$13, 100%, $E$13)</f>
        <v>13.2186</v>
      </c>
      <c r="I469" s="61">
        <f>13.2208 * CHOOSE(CONTROL!$C$22, $C$13, 100%, $E$13)</f>
        <v>13.220800000000001</v>
      </c>
      <c r="J469" s="61">
        <f>7.2672 * CHOOSE(CONTROL!$C$22, $C$13, 100%, $E$13)</f>
        <v>7.2671999999999999</v>
      </c>
      <c r="K469" s="61">
        <f>7.2694 * CHOOSE(CONTROL!$C$22, $C$13, 100%, $E$13)</f>
        <v>7.2694000000000001</v>
      </c>
    </row>
    <row r="470" spans="1:11" ht="15">
      <c r="A470" s="13">
        <v>56158</v>
      </c>
      <c r="B470" s="60">
        <f>6.4402 * CHOOSE(CONTROL!$C$22, $C$13, 100%, $E$13)</f>
        <v>6.4401999999999999</v>
      </c>
      <c r="C470" s="60">
        <f>6.4402 * CHOOSE(CONTROL!$C$22, $C$13, 100%, $E$13)</f>
        <v>6.4401999999999999</v>
      </c>
      <c r="D470" s="60">
        <f>6.4579 * CHOOSE(CONTROL!$C$22, $C$13, 100%, $E$13)</f>
        <v>6.4579000000000004</v>
      </c>
      <c r="E470" s="61">
        <f>7.3001 * CHOOSE(CONTROL!$C$22, $C$13, 100%, $E$13)</f>
        <v>7.3000999999999996</v>
      </c>
      <c r="F470" s="61">
        <f>7.3001 * CHOOSE(CONTROL!$C$22, $C$13, 100%, $E$13)</f>
        <v>7.3000999999999996</v>
      </c>
      <c r="G470" s="61">
        <f>7.3002 * CHOOSE(CONTROL!$C$22, $C$13, 100%, $E$13)</f>
        <v>7.3002000000000002</v>
      </c>
      <c r="H470" s="61">
        <f>13.2461* CHOOSE(CONTROL!$C$22, $C$13, 100%, $E$13)</f>
        <v>13.2461</v>
      </c>
      <c r="I470" s="61">
        <f>13.2463 * CHOOSE(CONTROL!$C$22, $C$13, 100%, $E$13)</f>
        <v>13.2463</v>
      </c>
      <c r="J470" s="61">
        <f>7.3001 * CHOOSE(CONTROL!$C$22, $C$13, 100%, $E$13)</f>
        <v>7.3000999999999996</v>
      </c>
      <c r="K470" s="61">
        <f>7.3002 * CHOOSE(CONTROL!$C$22, $C$13, 100%, $E$13)</f>
        <v>7.3002000000000002</v>
      </c>
    </row>
    <row r="471" spans="1:11" ht="15">
      <c r="A471" s="13">
        <v>56189</v>
      </c>
      <c r="B471" s="60">
        <f>6.4433 * CHOOSE(CONTROL!$C$22, $C$13, 100%, $E$13)</f>
        <v>6.4432999999999998</v>
      </c>
      <c r="C471" s="60">
        <f>6.4433 * CHOOSE(CONTROL!$C$22, $C$13, 100%, $E$13)</f>
        <v>6.4432999999999998</v>
      </c>
      <c r="D471" s="60">
        <f>6.4609 * CHOOSE(CONTROL!$C$22, $C$13, 100%, $E$13)</f>
        <v>6.4608999999999996</v>
      </c>
      <c r="E471" s="61">
        <f>7.3253 * CHOOSE(CONTROL!$C$22, $C$13, 100%, $E$13)</f>
        <v>7.3253000000000004</v>
      </c>
      <c r="F471" s="61">
        <f>7.3253 * CHOOSE(CONTROL!$C$22, $C$13, 100%, $E$13)</f>
        <v>7.3253000000000004</v>
      </c>
      <c r="G471" s="61">
        <f>7.3255 * CHOOSE(CONTROL!$C$22, $C$13, 100%, $E$13)</f>
        <v>7.3254999999999999</v>
      </c>
      <c r="H471" s="61">
        <f>13.2737* CHOOSE(CONTROL!$C$22, $C$13, 100%, $E$13)</f>
        <v>13.2737</v>
      </c>
      <c r="I471" s="61">
        <f>13.2739 * CHOOSE(CONTROL!$C$22, $C$13, 100%, $E$13)</f>
        <v>13.273899999999999</v>
      </c>
      <c r="J471" s="61">
        <f>7.3253 * CHOOSE(CONTROL!$C$22, $C$13, 100%, $E$13)</f>
        <v>7.3253000000000004</v>
      </c>
      <c r="K471" s="61">
        <f>7.3255 * CHOOSE(CONTROL!$C$22, $C$13, 100%, $E$13)</f>
        <v>7.3254999999999999</v>
      </c>
    </row>
    <row r="472" spans="1:11" ht="15">
      <c r="A472" s="13">
        <v>56219</v>
      </c>
      <c r="B472" s="60">
        <f>6.4433 * CHOOSE(CONTROL!$C$22, $C$13, 100%, $E$13)</f>
        <v>6.4432999999999998</v>
      </c>
      <c r="C472" s="60">
        <f>6.4433 * CHOOSE(CONTROL!$C$22, $C$13, 100%, $E$13)</f>
        <v>6.4432999999999998</v>
      </c>
      <c r="D472" s="60">
        <f>6.4609 * CHOOSE(CONTROL!$C$22, $C$13, 100%, $E$13)</f>
        <v>6.4608999999999996</v>
      </c>
      <c r="E472" s="61">
        <f>7.2675 * CHOOSE(CONTROL!$C$22, $C$13, 100%, $E$13)</f>
        <v>7.2675000000000001</v>
      </c>
      <c r="F472" s="61">
        <f>7.2675 * CHOOSE(CONTROL!$C$22, $C$13, 100%, $E$13)</f>
        <v>7.2675000000000001</v>
      </c>
      <c r="G472" s="61">
        <f>7.2677 * CHOOSE(CONTROL!$C$22, $C$13, 100%, $E$13)</f>
        <v>7.2676999999999996</v>
      </c>
      <c r="H472" s="61">
        <f>13.3014* CHOOSE(CONTROL!$C$22, $C$13, 100%, $E$13)</f>
        <v>13.301399999999999</v>
      </c>
      <c r="I472" s="61">
        <f>13.3015 * CHOOSE(CONTROL!$C$22, $C$13, 100%, $E$13)</f>
        <v>13.301500000000001</v>
      </c>
      <c r="J472" s="61">
        <f>7.2675 * CHOOSE(CONTROL!$C$22, $C$13, 100%, $E$13)</f>
        <v>7.2675000000000001</v>
      </c>
      <c r="K472" s="61">
        <f>7.2677 * CHOOSE(CONTROL!$C$22, $C$13, 100%, $E$13)</f>
        <v>7.2676999999999996</v>
      </c>
    </row>
    <row r="473" spans="1:11" ht="15">
      <c r="A473" s="13">
        <v>56250</v>
      </c>
      <c r="B473" s="60">
        <f>6.4979 * CHOOSE(CONTROL!$C$22, $C$13, 100%, $E$13)</f>
        <v>6.4978999999999996</v>
      </c>
      <c r="C473" s="60">
        <f>6.4979 * CHOOSE(CONTROL!$C$22, $C$13, 100%, $E$13)</f>
        <v>6.4978999999999996</v>
      </c>
      <c r="D473" s="60">
        <f>6.5155 * CHOOSE(CONTROL!$C$22, $C$13, 100%, $E$13)</f>
        <v>6.5155000000000003</v>
      </c>
      <c r="E473" s="61">
        <f>7.3793 * CHOOSE(CONTROL!$C$22, $C$13, 100%, $E$13)</f>
        <v>7.3792999999999997</v>
      </c>
      <c r="F473" s="61">
        <f>7.3793 * CHOOSE(CONTROL!$C$22, $C$13, 100%, $E$13)</f>
        <v>7.3792999999999997</v>
      </c>
      <c r="G473" s="61">
        <f>7.3794 * CHOOSE(CONTROL!$C$22, $C$13, 100%, $E$13)</f>
        <v>7.3794000000000004</v>
      </c>
      <c r="H473" s="61">
        <f>13.3291* CHOOSE(CONTROL!$C$22, $C$13, 100%, $E$13)</f>
        <v>13.3291</v>
      </c>
      <c r="I473" s="61">
        <f>13.3293 * CHOOSE(CONTROL!$C$22, $C$13, 100%, $E$13)</f>
        <v>13.3293</v>
      </c>
      <c r="J473" s="61">
        <f>7.3793 * CHOOSE(CONTROL!$C$22, $C$13, 100%, $E$13)</f>
        <v>7.3792999999999997</v>
      </c>
      <c r="K473" s="61">
        <f>7.3794 * CHOOSE(CONTROL!$C$22, $C$13, 100%, $E$13)</f>
        <v>7.3794000000000004</v>
      </c>
    </row>
    <row r="474" spans="1:11" ht="15">
      <c r="A474" s="13">
        <v>56281</v>
      </c>
      <c r="B474" s="60">
        <f>6.4948 * CHOOSE(CONTROL!$C$22, $C$13, 100%, $E$13)</f>
        <v>6.4947999999999997</v>
      </c>
      <c r="C474" s="60">
        <f>6.4948 * CHOOSE(CONTROL!$C$22, $C$13, 100%, $E$13)</f>
        <v>6.4947999999999997</v>
      </c>
      <c r="D474" s="60">
        <f>6.5125 * CHOOSE(CONTROL!$C$22, $C$13, 100%, $E$13)</f>
        <v>6.5125000000000002</v>
      </c>
      <c r="E474" s="61">
        <f>7.2644 * CHOOSE(CONTROL!$C$22, $C$13, 100%, $E$13)</f>
        <v>7.2644000000000002</v>
      </c>
      <c r="F474" s="61">
        <f>7.2644 * CHOOSE(CONTROL!$C$22, $C$13, 100%, $E$13)</f>
        <v>7.2644000000000002</v>
      </c>
      <c r="G474" s="61">
        <f>7.2646 * CHOOSE(CONTROL!$C$22, $C$13, 100%, $E$13)</f>
        <v>7.2645999999999997</v>
      </c>
      <c r="H474" s="61">
        <f>13.3569* CHOOSE(CONTROL!$C$22, $C$13, 100%, $E$13)</f>
        <v>13.3569</v>
      </c>
      <c r="I474" s="61">
        <f>13.357 * CHOOSE(CONTROL!$C$22, $C$13, 100%, $E$13)</f>
        <v>13.356999999999999</v>
      </c>
      <c r="J474" s="61">
        <f>7.2644 * CHOOSE(CONTROL!$C$22, $C$13, 100%, $E$13)</f>
        <v>7.2644000000000002</v>
      </c>
      <c r="K474" s="61">
        <f>7.2646 * CHOOSE(CONTROL!$C$22, $C$13, 100%, $E$13)</f>
        <v>7.2645999999999997</v>
      </c>
    </row>
    <row r="475" spans="1:11" ht="15">
      <c r="A475" s="13">
        <v>56309</v>
      </c>
      <c r="B475" s="60">
        <f>6.4918 * CHOOSE(CONTROL!$C$22, $C$13, 100%, $E$13)</f>
        <v>6.4917999999999996</v>
      </c>
      <c r="C475" s="60">
        <f>6.4918 * CHOOSE(CONTROL!$C$22, $C$13, 100%, $E$13)</f>
        <v>6.4917999999999996</v>
      </c>
      <c r="D475" s="60">
        <f>6.5094 * CHOOSE(CONTROL!$C$22, $C$13, 100%, $E$13)</f>
        <v>6.5094000000000003</v>
      </c>
      <c r="E475" s="61">
        <f>7.3512 * CHOOSE(CONTROL!$C$22, $C$13, 100%, $E$13)</f>
        <v>7.3512000000000004</v>
      </c>
      <c r="F475" s="61">
        <f>7.3512 * CHOOSE(CONTROL!$C$22, $C$13, 100%, $E$13)</f>
        <v>7.3512000000000004</v>
      </c>
      <c r="G475" s="61">
        <f>7.3513 * CHOOSE(CONTROL!$C$22, $C$13, 100%, $E$13)</f>
        <v>7.3513000000000002</v>
      </c>
      <c r="H475" s="61">
        <f>13.3847* CHOOSE(CONTROL!$C$22, $C$13, 100%, $E$13)</f>
        <v>13.3847</v>
      </c>
      <c r="I475" s="61">
        <f>13.3849 * CHOOSE(CONTROL!$C$22, $C$13, 100%, $E$13)</f>
        <v>13.3849</v>
      </c>
      <c r="J475" s="61">
        <f>7.3512 * CHOOSE(CONTROL!$C$22, $C$13, 100%, $E$13)</f>
        <v>7.3512000000000004</v>
      </c>
      <c r="K475" s="61">
        <f>7.3513 * CHOOSE(CONTROL!$C$22, $C$13, 100%, $E$13)</f>
        <v>7.3513000000000002</v>
      </c>
    </row>
    <row r="476" spans="1:11" ht="15">
      <c r="A476" s="13">
        <v>56340</v>
      </c>
      <c r="B476" s="60">
        <f>6.4919 * CHOOSE(CONTROL!$C$22, $C$13, 100%, $E$13)</f>
        <v>6.4919000000000002</v>
      </c>
      <c r="C476" s="60">
        <f>6.4919 * CHOOSE(CONTROL!$C$22, $C$13, 100%, $E$13)</f>
        <v>6.4919000000000002</v>
      </c>
      <c r="D476" s="60">
        <f>6.5096 * CHOOSE(CONTROL!$C$22, $C$13, 100%, $E$13)</f>
        <v>6.5095999999999998</v>
      </c>
      <c r="E476" s="61">
        <f>7.4424 * CHOOSE(CONTROL!$C$22, $C$13, 100%, $E$13)</f>
        <v>7.4424000000000001</v>
      </c>
      <c r="F476" s="61">
        <f>7.4424 * CHOOSE(CONTROL!$C$22, $C$13, 100%, $E$13)</f>
        <v>7.4424000000000001</v>
      </c>
      <c r="G476" s="61">
        <f>7.4426 * CHOOSE(CONTROL!$C$22, $C$13, 100%, $E$13)</f>
        <v>7.4425999999999997</v>
      </c>
      <c r="H476" s="61">
        <f>13.4126* CHOOSE(CONTROL!$C$22, $C$13, 100%, $E$13)</f>
        <v>13.412599999999999</v>
      </c>
      <c r="I476" s="61">
        <f>13.4127 * CHOOSE(CONTROL!$C$22, $C$13, 100%, $E$13)</f>
        <v>13.412699999999999</v>
      </c>
      <c r="J476" s="61">
        <f>7.4424 * CHOOSE(CONTROL!$C$22, $C$13, 100%, $E$13)</f>
        <v>7.4424000000000001</v>
      </c>
      <c r="K476" s="61">
        <f>7.4426 * CHOOSE(CONTROL!$C$22, $C$13, 100%, $E$13)</f>
        <v>7.4425999999999997</v>
      </c>
    </row>
    <row r="477" spans="1:11" ht="15">
      <c r="A477" s="13">
        <v>56370</v>
      </c>
      <c r="B477" s="60">
        <f>6.4919 * CHOOSE(CONTROL!$C$22, $C$13, 100%, $E$13)</f>
        <v>6.4919000000000002</v>
      </c>
      <c r="C477" s="60">
        <f>6.4919 * CHOOSE(CONTROL!$C$22, $C$13, 100%, $E$13)</f>
        <v>6.4919000000000002</v>
      </c>
      <c r="D477" s="60">
        <f>6.5272 * CHOOSE(CONTROL!$C$22, $C$13, 100%, $E$13)</f>
        <v>6.5271999999999997</v>
      </c>
      <c r="E477" s="61">
        <f>7.4782 * CHOOSE(CONTROL!$C$22, $C$13, 100%, $E$13)</f>
        <v>7.4782000000000002</v>
      </c>
      <c r="F477" s="61">
        <f>7.4782 * CHOOSE(CONTROL!$C$22, $C$13, 100%, $E$13)</f>
        <v>7.4782000000000002</v>
      </c>
      <c r="G477" s="61">
        <f>7.4804 * CHOOSE(CONTROL!$C$22, $C$13, 100%, $E$13)</f>
        <v>7.4804000000000004</v>
      </c>
      <c r="H477" s="61">
        <f>13.4405* CHOOSE(CONTROL!$C$22, $C$13, 100%, $E$13)</f>
        <v>13.4405</v>
      </c>
      <c r="I477" s="61">
        <f>13.4427 * CHOOSE(CONTROL!$C$22, $C$13, 100%, $E$13)</f>
        <v>13.4427</v>
      </c>
      <c r="J477" s="61">
        <f>7.4782 * CHOOSE(CONTROL!$C$22, $C$13, 100%, $E$13)</f>
        <v>7.4782000000000002</v>
      </c>
      <c r="K477" s="61">
        <f>7.4804 * CHOOSE(CONTROL!$C$22, $C$13, 100%, $E$13)</f>
        <v>7.4804000000000004</v>
      </c>
    </row>
    <row r="478" spans="1:11" ht="15">
      <c r="A478" s="13">
        <v>56401</v>
      </c>
      <c r="B478" s="60">
        <f>6.498 * CHOOSE(CONTROL!$C$22, $C$13, 100%, $E$13)</f>
        <v>6.4980000000000002</v>
      </c>
      <c r="C478" s="60">
        <f>6.498 * CHOOSE(CONTROL!$C$22, $C$13, 100%, $E$13)</f>
        <v>6.4980000000000002</v>
      </c>
      <c r="D478" s="60">
        <f>6.5333 * CHOOSE(CONTROL!$C$22, $C$13, 100%, $E$13)</f>
        <v>6.5332999999999997</v>
      </c>
      <c r="E478" s="61">
        <f>7.4466 * CHOOSE(CONTROL!$C$22, $C$13, 100%, $E$13)</f>
        <v>7.4466000000000001</v>
      </c>
      <c r="F478" s="61">
        <f>7.4466 * CHOOSE(CONTROL!$C$22, $C$13, 100%, $E$13)</f>
        <v>7.4466000000000001</v>
      </c>
      <c r="G478" s="61">
        <f>7.4488 * CHOOSE(CONTROL!$C$22, $C$13, 100%, $E$13)</f>
        <v>7.4488000000000003</v>
      </c>
      <c r="H478" s="61">
        <f>13.4685* CHOOSE(CONTROL!$C$22, $C$13, 100%, $E$13)</f>
        <v>13.468500000000001</v>
      </c>
      <c r="I478" s="61">
        <f>13.4707 * CHOOSE(CONTROL!$C$22, $C$13, 100%, $E$13)</f>
        <v>13.470700000000001</v>
      </c>
      <c r="J478" s="61">
        <f>7.4466 * CHOOSE(CONTROL!$C$22, $C$13, 100%, $E$13)</f>
        <v>7.4466000000000001</v>
      </c>
      <c r="K478" s="61">
        <f>7.4488 * CHOOSE(CONTROL!$C$22, $C$13, 100%, $E$13)</f>
        <v>7.4488000000000003</v>
      </c>
    </row>
    <row r="479" spans="1:11" ht="15">
      <c r="A479" s="13">
        <v>56431</v>
      </c>
      <c r="B479" s="60">
        <f>6.5953 * CHOOSE(CONTROL!$C$22, $C$13, 100%, $E$13)</f>
        <v>6.5952999999999999</v>
      </c>
      <c r="C479" s="60">
        <f>6.5953 * CHOOSE(CONTROL!$C$22, $C$13, 100%, $E$13)</f>
        <v>6.5952999999999999</v>
      </c>
      <c r="D479" s="60">
        <f>6.6306 * CHOOSE(CONTROL!$C$22, $C$13, 100%, $E$13)</f>
        <v>6.6306000000000003</v>
      </c>
      <c r="E479" s="61">
        <f>7.5877 * CHOOSE(CONTROL!$C$22, $C$13, 100%, $E$13)</f>
        <v>7.5876999999999999</v>
      </c>
      <c r="F479" s="61">
        <f>7.5877 * CHOOSE(CONTROL!$C$22, $C$13, 100%, $E$13)</f>
        <v>7.5876999999999999</v>
      </c>
      <c r="G479" s="61">
        <f>7.5899 * CHOOSE(CONTROL!$C$22, $C$13, 100%, $E$13)</f>
        <v>7.5899000000000001</v>
      </c>
      <c r="H479" s="61">
        <f>13.4966* CHOOSE(CONTROL!$C$22, $C$13, 100%, $E$13)</f>
        <v>13.496600000000001</v>
      </c>
      <c r="I479" s="61">
        <f>13.4988 * CHOOSE(CONTROL!$C$22, $C$13, 100%, $E$13)</f>
        <v>13.498799999999999</v>
      </c>
      <c r="J479" s="61">
        <f>7.5877 * CHOOSE(CONTROL!$C$22, $C$13, 100%, $E$13)</f>
        <v>7.5876999999999999</v>
      </c>
      <c r="K479" s="61">
        <f>7.5899 * CHOOSE(CONTROL!$C$22, $C$13, 100%, $E$13)</f>
        <v>7.5899000000000001</v>
      </c>
    </row>
    <row r="480" spans="1:11" ht="15">
      <c r="A480" s="13">
        <v>56462</v>
      </c>
      <c r="B480" s="60">
        <f>6.6019 * CHOOSE(CONTROL!$C$22, $C$13, 100%, $E$13)</f>
        <v>6.6018999999999997</v>
      </c>
      <c r="C480" s="60">
        <f>6.6019 * CHOOSE(CONTROL!$C$22, $C$13, 100%, $E$13)</f>
        <v>6.6018999999999997</v>
      </c>
      <c r="D480" s="60">
        <f>6.6373 * CHOOSE(CONTROL!$C$22, $C$13, 100%, $E$13)</f>
        <v>6.6372999999999998</v>
      </c>
      <c r="E480" s="61">
        <f>7.485 * CHOOSE(CONTROL!$C$22, $C$13, 100%, $E$13)</f>
        <v>7.4850000000000003</v>
      </c>
      <c r="F480" s="61">
        <f>7.485 * CHOOSE(CONTROL!$C$22, $C$13, 100%, $E$13)</f>
        <v>7.4850000000000003</v>
      </c>
      <c r="G480" s="61">
        <f>7.4871 * CHOOSE(CONTROL!$C$22, $C$13, 100%, $E$13)</f>
        <v>7.4870999999999999</v>
      </c>
      <c r="H480" s="61">
        <f>13.5247* CHOOSE(CONTROL!$C$22, $C$13, 100%, $E$13)</f>
        <v>13.524699999999999</v>
      </c>
      <c r="I480" s="61">
        <f>13.5269 * CHOOSE(CONTROL!$C$22, $C$13, 100%, $E$13)</f>
        <v>13.526899999999999</v>
      </c>
      <c r="J480" s="61">
        <f>7.485 * CHOOSE(CONTROL!$C$22, $C$13, 100%, $E$13)</f>
        <v>7.4850000000000003</v>
      </c>
      <c r="K480" s="61">
        <f>7.4871 * CHOOSE(CONTROL!$C$22, $C$13, 100%, $E$13)</f>
        <v>7.4870999999999999</v>
      </c>
    </row>
    <row r="481" spans="1:11" ht="15">
      <c r="A481" s="13">
        <v>56493</v>
      </c>
      <c r="B481" s="60">
        <f>6.5989 * CHOOSE(CONTROL!$C$22, $C$13, 100%, $E$13)</f>
        <v>6.5989000000000004</v>
      </c>
      <c r="C481" s="60">
        <f>6.5989 * CHOOSE(CONTROL!$C$22, $C$13, 100%, $E$13)</f>
        <v>6.5989000000000004</v>
      </c>
      <c r="D481" s="60">
        <f>6.6342 * CHOOSE(CONTROL!$C$22, $C$13, 100%, $E$13)</f>
        <v>6.6341999999999999</v>
      </c>
      <c r="E481" s="61">
        <f>7.4709 * CHOOSE(CONTROL!$C$22, $C$13, 100%, $E$13)</f>
        <v>7.4709000000000003</v>
      </c>
      <c r="F481" s="61">
        <f>7.4709 * CHOOSE(CONTROL!$C$22, $C$13, 100%, $E$13)</f>
        <v>7.4709000000000003</v>
      </c>
      <c r="G481" s="61">
        <f>7.4731 * CHOOSE(CONTROL!$C$22, $C$13, 100%, $E$13)</f>
        <v>7.4730999999999996</v>
      </c>
      <c r="H481" s="61">
        <f>13.5529* CHOOSE(CONTROL!$C$22, $C$13, 100%, $E$13)</f>
        <v>13.552899999999999</v>
      </c>
      <c r="I481" s="61">
        <f>13.555 * CHOOSE(CONTROL!$C$22, $C$13, 100%, $E$13)</f>
        <v>13.555</v>
      </c>
      <c r="J481" s="61">
        <f>7.4709 * CHOOSE(CONTROL!$C$22, $C$13, 100%, $E$13)</f>
        <v>7.4709000000000003</v>
      </c>
      <c r="K481" s="61">
        <f>7.4731 * CHOOSE(CONTROL!$C$22, $C$13, 100%, $E$13)</f>
        <v>7.4730999999999996</v>
      </c>
    </row>
    <row r="482" spans="1:11" ht="15">
      <c r="A482" s="13">
        <v>56523</v>
      </c>
      <c r="B482" s="60">
        <f>6.6039 * CHOOSE(CONTROL!$C$22, $C$13, 100%, $E$13)</f>
        <v>6.6039000000000003</v>
      </c>
      <c r="C482" s="60">
        <f>6.6039 * CHOOSE(CONTROL!$C$22, $C$13, 100%, $E$13)</f>
        <v>6.6039000000000003</v>
      </c>
      <c r="D482" s="60">
        <f>6.6215 * CHOOSE(CONTROL!$C$22, $C$13, 100%, $E$13)</f>
        <v>6.6215000000000002</v>
      </c>
      <c r="E482" s="61">
        <f>7.5052 * CHOOSE(CONTROL!$C$22, $C$13, 100%, $E$13)</f>
        <v>7.5052000000000003</v>
      </c>
      <c r="F482" s="61">
        <f>7.5052 * CHOOSE(CONTROL!$C$22, $C$13, 100%, $E$13)</f>
        <v>7.5052000000000003</v>
      </c>
      <c r="G482" s="61">
        <f>7.5054 * CHOOSE(CONTROL!$C$22, $C$13, 100%, $E$13)</f>
        <v>7.5053999999999998</v>
      </c>
      <c r="H482" s="61">
        <f>13.5811* CHOOSE(CONTROL!$C$22, $C$13, 100%, $E$13)</f>
        <v>13.581099999999999</v>
      </c>
      <c r="I482" s="61">
        <f>13.5813 * CHOOSE(CONTROL!$C$22, $C$13, 100%, $E$13)</f>
        <v>13.581300000000001</v>
      </c>
      <c r="J482" s="61">
        <f>7.5052 * CHOOSE(CONTROL!$C$22, $C$13, 100%, $E$13)</f>
        <v>7.5052000000000003</v>
      </c>
      <c r="K482" s="61">
        <f>7.5054 * CHOOSE(CONTROL!$C$22, $C$13, 100%, $E$13)</f>
        <v>7.5053999999999998</v>
      </c>
    </row>
    <row r="483" spans="1:11" ht="15">
      <c r="A483" s="13">
        <v>56554</v>
      </c>
      <c r="B483" s="60">
        <f>6.6069 * CHOOSE(CONTROL!$C$22, $C$13, 100%, $E$13)</f>
        <v>6.6069000000000004</v>
      </c>
      <c r="C483" s="60">
        <f>6.6069 * CHOOSE(CONTROL!$C$22, $C$13, 100%, $E$13)</f>
        <v>6.6069000000000004</v>
      </c>
      <c r="D483" s="60">
        <f>6.6246 * CHOOSE(CONTROL!$C$22, $C$13, 100%, $E$13)</f>
        <v>6.6246</v>
      </c>
      <c r="E483" s="61">
        <f>7.5312 * CHOOSE(CONTROL!$C$22, $C$13, 100%, $E$13)</f>
        <v>7.5312000000000001</v>
      </c>
      <c r="F483" s="61">
        <f>7.5312 * CHOOSE(CONTROL!$C$22, $C$13, 100%, $E$13)</f>
        <v>7.5312000000000001</v>
      </c>
      <c r="G483" s="61">
        <f>7.5314 * CHOOSE(CONTROL!$C$22, $C$13, 100%, $E$13)</f>
        <v>7.5313999999999997</v>
      </c>
      <c r="H483" s="61">
        <f>13.6094* CHOOSE(CONTROL!$C$22, $C$13, 100%, $E$13)</f>
        <v>13.609400000000001</v>
      </c>
      <c r="I483" s="61">
        <f>13.6096 * CHOOSE(CONTROL!$C$22, $C$13, 100%, $E$13)</f>
        <v>13.6096</v>
      </c>
      <c r="J483" s="61">
        <f>7.5312 * CHOOSE(CONTROL!$C$22, $C$13, 100%, $E$13)</f>
        <v>7.5312000000000001</v>
      </c>
      <c r="K483" s="61">
        <f>7.5314 * CHOOSE(CONTROL!$C$22, $C$13, 100%, $E$13)</f>
        <v>7.5313999999999997</v>
      </c>
    </row>
    <row r="484" spans="1:11" ht="15">
      <c r="A484" s="13">
        <v>56584</v>
      </c>
      <c r="B484" s="60">
        <f>6.6069 * CHOOSE(CONTROL!$C$22, $C$13, 100%, $E$13)</f>
        <v>6.6069000000000004</v>
      </c>
      <c r="C484" s="60">
        <f>6.6069 * CHOOSE(CONTROL!$C$22, $C$13, 100%, $E$13)</f>
        <v>6.6069000000000004</v>
      </c>
      <c r="D484" s="60">
        <f>6.6246 * CHOOSE(CONTROL!$C$22, $C$13, 100%, $E$13)</f>
        <v>6.6246</v>
      </c>
      <c r="E484" s="61">
        <f>7.4715 * CHOOSE(CONTROL!$C$22, $C$13, 100%, $E$13)</f>
        <v>7.4714999999999998</v>
      </c>
      <c r="F484" s="61">
        <f>7.4715 * CHOOSE(CONTROL!$C$22, $C$13, 100%, $E$13)</f>
        <v>7.4714999999999998</v>
      </c>
      <c r="G484" s="61">
        <f>7.4717 * CHOOSE(CONTROL!$C$22, $C$13, 100%, $E$13)</f>
        <v>7.4717000000000002</v>
      </c>
      <c r="H484" s="61">
        <f>13.6377* CHOOSE(CONTROL!$C$22, $C$13, 100%, $E$13)</f>
        <v>13.637700000000001</v>
      </c>
      <c r="I484" s="61">
        <f>13.6379 * CHOOSE(CONTROL!$C$22, $C$13, 100%, $E$13)</f>
        <v>13.6379</v>
      </c>
      <c r="J484" s="61">
        <f>7.4715 * CHOOSE(CONTROL!$C$22, $C$13, 100%, $E$13)</f>
        <v>7.4714999999999998</v>
      </c>
      <c r="K484" s="61">
        <f>7.4717 * CHOOSE(CONTROL!$C$22, $C$13, 100%, $E$13)</f>
        <v>7.4717000000000002</v>
      </c>
    </row>
    <row r="485" spans="1:11" ht="15">
      <c r="A485" s="13">
        <v>56615</v>
      </c>
      <c r="B485" s="60">
        <f>6.6628 * CHOOSE(CONTROL!$C$22, $C$13, 100%, $E$13)</f>
        <v>6.6627999999999998</v>
      </c>
      <c r="C485" s="60">
        <f>6.6628 * CHOOSE(CONTROL!$C$22, $C$13, 100%, $E$13)</f>
        <v>6.6627999999999998</v>
      </c>
      <c r="D485" s="60">
        <f>6.6804 * CHOOSE(CONTROL!$C$22, $C$13, 100%, $E$13)</f>
        <v>6.6803999999999997</v>
      </c>
      <c r="E485" s="61">
        <f>7.5866 * CHOOSE(CONTROL!$C$22, $C$13, 100%, $E$13)</f>
        <v>7.5865999999999998</v>
      </c>
      <c r="F485" s="61">
        <f>7.5866 * CHOOSE(CONTROL!$C$22, $C$13, 100%, $E$13)</f>
        <v>7.5865999999999998</v>
      </c>
      <c r="G485" s="61">
        <f>7.5867 * CHOOSE(CONTROL!$C$22, $C$13, 100%, $E$13)</f>
        <v>7.5867000000000004</v>
      </c>
      <c r="H485" s="61">
        <f>13.6662* CHOOSE(CONTROL!$C$22, $C$13, 100%, $E$13)</f>
        <v>13.6662</v>
      </c>
      <c r="I485" s="61">
        <f>13.6663 * CHOOSE(CONTROL!$C$22, $C$13, 100%, $E$13)</f>
        <v>13.6663</v>
      </c>
      <c r="J485" s="61">
        <f>7.5866 * CHOOSE(CONTROL!$C$22, $C$13, 100%, $E$13)</f>
        <v>7.5865999999999998</v>
      </c>
      <c r="K485" s="61">
        <f>7.5867 * CHOOSE(CONTROL!$C$22, $C$13, 100%, $E$13)</f>
        <v>7.5867000000000004</v>
      </c>
    </row>
    <row r="486" spans="1:11" ht="15">
      <c r="A486" s="13">
        <v>56646</v>
      </c>
      <c r="B486" s="60">
        <f>6.6597 * CHOOSE(CONTROL!$C$22, $C$13, 100%, $E$13)</f>
        <v>6.6597</v>
      </c>
      <c r="C486" s="60">
        <f>6.6597 * CHOOSE(CONTROL!$C$22, $C$13, 100%, $E$13)</f>
        <v>6.6597</v>
      </c>
      <c r="D486" s="60">
        <f>6.6774 * CHOOSE(CONTROL!$C$22, $C$13, 100%, $E$13)</f>
        <v>6.6773999999999996</v>
      </c>
      <c r="E486" s="61">
        <f>7.4681 * CHOOSE(CONTROL!$C$22, $C$13, 100%, $E$13)</f>
        <v>7.4680999999999997</v>
      </c>
      <c r="F486" s="61">
        <f>7.4681 * CHOOSE(CONTROL!$C$22, $C$13, 100%, $E$13)</f>
        <v>7.4680999999999997</v>
      </c>
      <c r="G486" s="61">
        <f>7.4683 * CHOOSE(CONTROL!$C$22, $C$13, 100%, $E$13)</f>
        <v>7.4683000000000002</v>
      </c>
      <c r="H486" s="61">
        <f>13.6946* CHOOSE(CONTROL!$C$22, $C$13, 100%, $E$13)</f>
        <v>13.694599999999999</v>
      </c>
      <c r="I486" s="61">
        <f>13.6948 * CHOOSE(CONTROL!$C$22, $C$13, 100%, $E$13)</f>
        <v>13.694800000000001</v>
      </c>
      <c r="J486" s="61">
        <f>7.4681 * CHOOSE(CONTROL!$C$22, $C$13, 100%, $E$13)</f>
        <v>7.4680999999999997</v>
      </c>
      <c r="K486" s="61">
        <f>7.4683 * CHOOSE(CONTROL!$C$22, $C$13, 100%, $E$13)</f>
        <v>7.4683000000000002</v>
      </c>
    </row>
    <row r="487" spans="1:11" ht="15">
      <c r="A487" s="13">
        <v>56674</v>
      </c>
      <c r="B487" s="60">
        <f>6.6567 * CHOOSE(CONTROL!$C$22, $C$13, 100%, $E$13)</f>
        <v>6.6566999999999998</v>
      </c>
      <c r="C487" s="60">
        <f>6.6567 * CHOOSE(CONTROL!$C$22, $C$13, 100%, $E$13)</f>
        <v>6.6566999999999998</v>
      </c>
      <c r="D487" s="60">
        <f>6.6744 * CHOOSE(CONTROL!$C$22, $C$13, 100%, $E$13)</f>
        <v>6.6744000000000003</v>
      </c>
      <c r="E487" s="61">
        <f>7.5577 * CHOOSE(CONTROL!$C$22, $C$13, 100%, $E$13)</f>
        <v>7.5576999999999996</v>
      </c>
      <c r="F487" s="61">
        <f>7.5577 * CHOOSE(CONTROL!$C$22, $C$13, 100%, $E$13)</f>
        <v>7.5576999999999996</v>
      </c>
      <c r="G487" s="61">
        <f>7.5579 * CHOOSE(CONTROL!$C$22, $C$13, 100%, $E$13)</f>
        <v>7.5579000000000001</v>
      </c>
      <c r="H487" s="61">
        <f>13.7232* CHOOSE(CONTROL!$C$22, $C$13, 100%, $E$13)</f>
        <v>13.7232</v>
      </c>
      <c r="I487" s="61">
        <f>13.7233 * CHOOSE(CONTROL!$C$22, $C$13, 100%, $E$13)</f>
        <v>13.7233</v>
      </c>
      <c r="J487" s="61">
        <f>7.5577 * CHOOSE(CONTROL!$C$22, $C$13, 100%, $E$13)</f>
        <v>7.5576999999999996</v>
      </c>
      <c r="K487" s="61">
        <f>7.5579 * CHOOSE(CONTROL!$C$22, $C$13, 100%, $E$13)</f>
        <v>7.5579000000000001</v>
      </c>
    </row>
    <row r="488" spans="1:11" ht="15">
      <c r="A488" s="13">
        <v>56705</v>
      </c>
      <c r="B488" s="60">
        <f>6.657 * CHOOSE(CONTROL!$C$22, $C$13, 100%, $E$13)</f>
        <v>6.657</v>
      </c>
      <c r="C488" s="60">
        <f>6.657 * CHOOSE(CONTROL!$C$22, $C$13, 100%, $E$13)</f>
        <v>6.657</v>
      </c>
      <c r="D488" s="60">
        <f>6.6746 * CHOOSE(CONTROL!$C$22, $C$13, 100%, $E$13)</f>
        <v>6.6745999999999999</v>
      </c>
      <c r="E488" s="61">
        <f>7.652 * CHOOSE(CONTROL!$C$22, $C$13, 100%, $E$13)</f>
        <v>7.6520000000000001</v>
      </c>
      <c r="F488" s="61">
        <f>7.652 * CHOOSE(CONTROL!$C$22, $C$13, 100%, $E$13)</f>
        <v>7.6520000000000001</v>
      </c>
      <c r="G488" s="61">
        <f>7.6521 * CHOOSE(CONTROL!$C$22, $C$13, 100%, $E$13)</f>
        <v>7.6520999999999999</v>
      </c>
      <c r="H488" s="61">
        <f>13.7517* CHOOSE(CONTROL!$C$22, $C$13, 100%, $E$13)</f>
        <v>13.7517</v>
      </c>
      <c r="I488" s="61">
        <f>13.7519 * CHOOSE(CONTROL!$C$22, $C$13, 100%, $E$13)</f>
        <v>13.751899999999999</v>
      </c>
      <c r="J488" s="61">
        <f>7.652 * CHOOSE(CONTROL!$C$22, $C$13, 100%, $E$13)</f>
        <v>7.6520000000000001</v>
      </c>
      <c r="K488" s="61">
        <f>7.6521 * CHOOSE(CONTROL!$C$22, $C$13, 100%, $E$13)</f>
        <v>7.6520999999999999</v>
      </c>
    </row>
    <row r="489" spans="1:11" ht="15">
      <c r="A489" s="13">
        <v>56735</v>
      </c>
      <c r="B489" s="60">
        <f>6.657 * CHOOSE(CONTROL!$C$22, $C$13, 100%, $E$13)</f>
        <v>6.657</v>
      </c>
      <c r="C489" s="60">
        <f>6.657 * CHOOSE(CONTROL!$C$22, $C$13, 100%, $E$13)</f>
        <v>6.657</v>
      </c>
      <c r="D489" s="60">
        <f>6.6923 * CHOOSE(CONTROL!$C$22, $C$13, 100%, $E$13)</f>
        <v>6.6923000000000004</v>
      </c>
      <c r="E489" s="61">
        <f>7.6889 * CHOOSE(CONTROL!$C$22, $C$13, 100%, $E$13)</f>
        <v>7.6889000000000003</v>
      </c>
      <c r="F489" s="61">
        <f>7.6889 * CHOOSE(CONTROL!$C$22, $C$13, 100%, $E$13)</f>
        <v>7.6889000000000003</v>
      </c>
      <c r="G489" s="61">
        <f>7.6911 * CHOOSE(CONTROL!$C$22, $C$13, 100%, $E$13)</f>
        <v>7.6910999999999996</v>
      </c>
      <c r="H489" s="61">
        <f>13.7804* CHOOSE(CONTROL!$C$22, $C$13, 100%, $E$13)</f>
        <v>13.7804</v>
      </c>
      <c r="I489" s="61">
        <f>13.7826 * CHOOSE(CONTROL!$C$22, $C$13, 100%, $E$13)</f>
        <v>13.7826</v>
      </c>
      <c r="J489" s="61">
        <f>7.6889 * CHOOSE(CONTROL!$C$22, $C$13, 100%, $E$13)</f>
        <v>7.6889000000000003</v>
      </c>
      <c r="K489" s="61">
        <f>7.6911 * CHOOSE(CONTROL!$C$22, $C$13, 100%, $E$13)</f>
        <v>7.6910999999999996</v>
      </c>
    </row>
    <row r="490" spans="1:11" ht="15">
      <c r="A490" s="13">
        <v>56766</v>
      </c>
      <c r="B490" s="60">
        <f>6.6631 * CHOOSE(CONTROL!$C$22, $C$13, 100%, $E$13)</f>
        <v>6.6631</v>
      </c>
      <c r="C490" s="60">
        <f>6.6631 * CHOOSE(CONTROL!$C$22, $C$13, 100%, $E$13)</f>
        <v>6.6631</v>
      </c>
      <c r="D490" s="60">
        <f>6.6984 * CHOOSE(CONTROL!$C$22, $C$13, 100%, $E$13)</f>
        <v>6.6984000000000004</v>
      </c>
      <c r="E490" s="61">
        <f>7.6562 * CHOOSE(CONTROL!$C$22, $C$13, 100%, $E$13)</f>
        <v>7.6562000000000001</v>
      </c>
      <c r="F490" s="61">
        <f>7.6562 * CHOOSE(CONTROL!$C$22, $C$13, 100%, $E$13)</f>
        <v>7.6562000000000001</v>
      </c>
      <c r="G490" s="61">
        <f>7.6584 * CHOOSE(CONTROL!$C$22, $C$13, 100%, $E$13)</f>
        <v>7.6584000000000003</v>
      </c>
      <c r="H490" s="61">
        <f>13.8091* CHOOSE(CONTROL!$C$22, $C$13, 100%, $E$13)</f>
        <v>13.809100000000001</v>
      </c>
      <c r="I490" s="61">
        <f>13.8113 * CHOOSE(CONTROL!$C$22, $C$13, 100%, $E$13)</f>
        <v>13.811299999999999</v>
      </c>
      <c r="J490" s="61">
        <f>7.6562 * CHOOSE(CONTROL!$C$22, $C$13, 100%, $E$13)</f>
        <v>7.6562000000000001</v>
      </c>
      <c r="K490" s="61">
        <f>7.6584 * CHOOSE(CONTROL!$C$22, $C$13, 100%, $E$13)</f>
        <v>7.6584000000000003</v>
      </c>
    </row>
    <row r="491" spans="1:11" ht="15">
      <c r="A491" s="13">
        <v>56796</v>
      </c>
      <c r="B491" s="60">
        <f>6.7624 * CHOOSE(CONTROL!$C$22, $C$13, 100%, $E$13)</f>
        <v>6.7624000000000004</v>
      </c>
      <c r="C491" s="60">
        <f>6.7624 * CHOOSE(CONTROL!$C$22, $C$13, 100%, $E$13)</f>
        <v>6.7624000000000004</v>
      </c>
      <c r="D491" s="60">
        <f>6.7977 * CHOOSE(CONTROL!$C$22, $C$13, 100%, $E$13)</f>
        <v>6.7976999999999999</v>
      </c>
      <c r="E491" s="61">
        <f>7.8009 * CHOOSE(CONTROL!$C$22, $C$13, 100%, $E$13)</f>
        <v>7.8009000000000004</v>
      </c>
      <c r="F491" s="61">
        <f>7.8009 * CHOOSE(CONTROL!$C$22, $C$13, 100%, $E$13)</f>
        <v>7.8009000000000004</v>
      </c>
      <c r="G491" s="61">
        <f>7.8031 * CHOOSE(CONTROL!$C$22, $C$13, 100%, $E$13)</f>
        <v>7.8030999999999997</v>
      </c>
      <c r="H491" s="61">
        <f>13.8379* CHOOSE(CONTROL!$C$22, $C$13, 100%, $E$13)</f>
        <v>13.837899999999999</v>
      </c>
      <c r="I491" s="61">
        <f>13.8401 * CHOOSE(CONTROL!$C$22, $C$13, 100%, $E$13)</f>
        <v>13.8401</v>
      </c>
      <c r="J491" s="61">
        <f>7.8009 * CHOOSE(CONTROL!$C$22, $C$13, 100%, $E$13)</f>
        <v>7.8009000000000004</v>
      </c>
      <c r="K491" s="61">
        <f>7.8031 * CHOOSE(CONTROL!$C$22, $C$13, 100%, $E$13)</f>
        <v>7.8030999999999997</v>
      </c>
    </row>
    <row r="492" spans="1:11" ht="15">
      <c r="A492" s="13">
        <v>56827</v>
      </c>
      <c r="B492" s="60">
        <f>6.7691 * CHOOSE(CONTROL!$C$22, $C$13, 100%, $E$13)</f>
        <v>6.7690999999999999</v>
      </c>
      <c r="C492" s="60">
        <f>6.7691 * CHOOSE(CONTROL!$C$22, $C$13, 100%, $E$13)</f>
        <v>6.7690999999999999</v>
      </c>
      <c r="D492" s="60">
        <f>6.8044 * CHOOSE(CONTROL!$C$22, $C$13, 100%, $E$13)</f>
        <v>6.8044000000000002</v>
      </c>
      <c r="E492" s="61">
        <f>7.6948 * CHOOSE(CONTROL!$C$22, $C$13, 100%, $E$13)</f>
        <v>7.6947999999999999</v>
      </c>
      <c r="F492" s="61">
        <f>7.6948 * CHOOSE(CONTROL!$C$22, $C$13, 100%, $E$13)</f>
        <v>7.6947999999999999</v>
      </c>
      <c r="G492" s="61">
        <f>7.697 * CHOOSE(CONTROL!$C$22, $C$13, 100%, $E$13)</f>
        <v>7.6970000000000001</v>
      </c>
      <c r="H492" s="61">
        <f>13.8667* CHOOSE(CONTROL!$C$22, $C$13, 100%, $E$13)</f>
        <v>13.8667</v>
      </c>
      <c r="I492" s="61">
        <f>13.8689 * CHOOSE(CONTROL!$C$22, $C$13, 100%, $E$13)</f>
        <v>13.8689</v>
      </c>
      <c r="J492" s="61">
        <f>7.6948 * CHOOSE(CONTROL!$C$22, $C$13, 100%, $E$13)</f>
        <v>7.6947999999999999</v>
      </c>
      <c r="K492" s="61">
        <f>7.697 * CHOOSE(CONTROL!$C$22, $C$13, 100%, $E$13)</f>
        <v>7.6970000000000001</v>
      </c>
    </row>
    <row r="493" spans="1:11" ht="15">
      <c r="A493" s="13">
        <v>56858</v>
      </c>
      <c r="B493" s="60">
        <f>6.7661 * CHOOSE(CONTROL!$C$22, $C$13, 100%, $E$13)</f>
        <v>6.7660999999999998</v>
      </c>
      <c r="C493" s="60">
        <f>6.7661 * CHOOSE(CONTROL!$C$22, $C$13, 100%, $E$13)</f>
        <v>6.7660999999999998</v>
      </c>
      <c r="D493" s="60">
        <f>6.8014 * CHOOSE(CONTROL!$C$22, $C$13, 100%, $E$13)</f>
        <v>6.8014000000000001</v>
      </c>
      <c r="E493" s="61">
        <f>7.6803 * CHOOSE(CONTROL!$C$22, $C$13, 100%, $E$13)</f>
        <v>7.6802999999999999</v>
      </c>
      <c r="F493" s="61">
        <f>7.6803 * CHOOSE(CONTROL!$C$22, $C$13, 100%, $E$13)</f>
        <v>7.6802999999999999</v>
      </c>
      <c r="G493" s="61">
        <f>7.6825 * CHOOSE(CONTROL!$C$22, $C$13, 100%, $E$13)</f>
        <v>7.6825000000000001</v>
      </c>
      <c r="H493" s="61">
        <f>13.8956* CHOOSE(CONTROL!$C$22, $C$13, 100%, $E$13)</f>
        <v>13.8956</v>
      </c>
      <c r="I493" s="61">
        <f>13.8978 * CHOOSE(CONTROL!$C$22, $C$13, 100%, $E$13)</f>
        <v>13.8978</v>
      </c>
      <c r="J493" s="61">
        <f>7.6803 * CHOOSE(CONTROL!$C$22, $C$13, 100%, $E$13)</f>
        <v>7.6802999999999999</v>
      </c>
      <c r="K493" s="61">
        <f>7.6825 * CHOOSE(CONTROL!$C$22, $C$13, 100%, $E$13)</f>
        <v>7.6825000000000001</v>
      </c>
    </row>
    <row r="494" spans="1:11" ht="15">
      <c r="A494" s="13">
        <v>56888</v>
      </c>
      <c r="B494" s="60">
        <f>6.7717 * CHOOSE(CONTROL!$C$22, $C$13, 100%, $E$13)</f>
        <v>6.7717000000000001</v>
      </c>
      <c r="C494" s="60">
        <f>6.7717 * CHOOSE(CONTROL!$C$22, $C$13, 100%, $E$13)</f>
        <v>6.7717000000000001</v>
      </c>
      <c r="D494" s="60">
        <f>6.7894 * CHOOSE(CONTROL!$C$22, $C$13, 100%, $E$13)</f>
        <v>6.7893999999999997</v>
      </c>
      <c r="E494" s="61">
        <f>7.7162 * CHOOSE(CONTROL!$C$22, $C$13, 100%, $E$13)</f>
        <v>7.7161999999999997</v>
      </c>
      <c r="F494" s="61">
        <f>7.7162 * CHOOSE(CONTROL!$C$22, $C$13, 100%, $E$13)</f>
        <v>7.7161999999999997</v>
      </c>
      <c r="G494" s="61">
        <f>7.7163 * CHOOSE(CONTROL!$C$22, $C$13, 100%, $E$13)</f>
        <v>7.7163000000000004</v>
      </c>
      <c r="H494" s="61">
        <f>13.9245* CHOOSE(CONTROL!$C$22, $C$13, 100%, $E$13)</f>
        <v>13.9245</v>
      </c>
      <c r="I494" s="61">
        <f>13.9247 * CHOOSE(CONTROL!$C$22, $C$13, 100%, $E$13)</f>
        <v>13.9247</v>
      </c>
      <c r="J494" s="61">
        <f>7.7162 * CHOOSE(CONTROL!$C$22, $C$13, 100%, $E$13)</f>
        <v>7.7161999999999997</v>
      </c>
      <c r="K494" s="61">
        <f>7.7163 * CHOOSE(CONTROL!$C$22, $C$13, 100%, $E$13)</f>
        <v>7.7163000000000004</v>
      </c>
    </row>
    <row r="495" spans="1:11" ht="15">
      <c r="A495" s="13">
        <v>56919</v>
      </c>
      <c r="B495" s="60">
        <f>6.7747 * CHOOSE(CONTROL!$C$22, $C$13, 100%, $E$13)</f>
        <v>6.7747000000000002</v>
      </c>
      <c r="C495" s="60">
        <f>6.7747 * CHOOSE(CONTROL!$C$22, $C$13, 100%, $E$13)</f>
        <v>6.7747000000000002</v>
      </c>
      <c r="D495" s="60">
        <f>6.7924 * CHOOSE(CONTROL!$C$22, $C$13, 100%, $E$13)</f>
        <v>6.7923999999999998</v>
      </c>
      <c r="E495" s="61">
        <f>7.7429 * CHOOSE(CONTROL!$C$22, $C$13, 100%, $E$13)</f>
        <v>7.7428999999999997</v>
      </c>
      <c r="F495" s="61">
        <f>7.7429 * CHOOSE(CONTROL!$C$22, $C$13, 100%, $E$13)</f>
        <v>7.7428999999999997</v>
      </c>
      <c r="G495" s="61">
        <f>7.7431 * CHOOSE(CONTROL!$C$22, $C$13, 100%, $E$13)</f>
        <v>7.7431000000000001</v>
      </c>
      <c r="H495" s="61">
        <f>13.9536* CHOOSE(CONTROL!$C$22, $C$13, 100%, $E$13)</f>
        <v>13.9536</v>
      </c>
      <c r="I495" s="61">
        <f>13.9537 * CHOOSE(CONTROL!$C$22, $C$13, 100%, $E$13)</f>
        <v>13.9537</v>
      </c>
      <c r="J495" s="61">
        <f>7.7429 * CHOOSE(CONTROL!$C$22, $C$13, 100%, $E$13)</f>
        <v>7.7428999999999997</v>
      </c>
      <c r="K495" s="61">
        <f>7.7431 * CHOOSE(CONTROL!$C$22, $C$13, 100%, $E$13)</f>
        <v>7.7431000000000001</v>
      </c>
    </row>
    <row r="496" spans="1:11" ht="15">
      <c r="A496" s="13">
        <v>56949</v>
      </c>
      <c r="B496" s="60">
        <f>6.7747 * CHOOSE(CONTROL!$C$22, $C$13, 100%, $E$13)</f>
        <v>6.7747000000000002</v>
      </c>
      <c r="C496" s="60">
        <f>6.7747 * CHOOSE(CONTROL!$C$22, $C$13, 100%, $E$13)</f>
        <v>6.7747000000000002</v>
      </c>
      <c r="D496" s="60">
        <f>6.7924 * CHOOSE(CONTROL!$C$22, $C$13, 100%, $E$13)</f>
        <v>6.7923999999999998</v>
      </c>
      <c r="E496" s="61">
        <f>7.6814 * CHOOSE(CONTROL!$C$22, $C$13, 100%, $E$13)</f>
        <v>7.6814</v>
      </c>
      <c r="F496" s="61">
        <f>7.6814 * CHOOSE(CONTROL!$C$22, $C$13, 100%, $E$13)</f>
        <v>7.6814</v>
      </c>
      <c r="G496" s="61">
        <f>7.6815 * CHOOSE(CONTROL!$C$22, $C$13, 100%, $E$13)</f>
        <v>7.6814999999999998</v>
      </c>
      <c r="H496" s="61">
        <f>13.9826* CHOOSE(CONTROL!$C$22, $C$13, 100%, $E$13)</f>
        <v>13.9826</v>
      </c>
      <c r="I496" s="61">
        <f>13.9828 * CHOOSE(CONTROL!$C$22, $C$13, 100%, $E$13)</f>
        <v>13.982799999999999</v>
      </c>
      <c r="J496" s="61">
        <f>7.6814 * CHOOSE(CONTROL!$C$22, $C$13, 100%, $E$13)</f>
        <v>7.6814</v>
      </c>
      <c r="K496" s="61">
        <f>7.6815 * CHOOSE(CONTROL!$C$22, $C$13, 100%, $E$13)</f>
        <v>7.6814999999999998</v>
      </c>
    </row>
    <row r="497" spans="1:11" ht="15">
      <c r="A497" s="13">
        <v>56980</v>
      </c>
      <c r="B497" s="60">
        <f>6.8319 * CHOOSE(CONTROL!$C$22, $C$13, 100%, $E$13)</f>
        <v>6.8319000000000001</v>
      </c>
      <c r="C497" s="60">
        <f>6.8319 * CHOOSE(CONTROL!$C$22, $C$13, 100%, $E$13)</f>
        <v>6.8319000000000001</v>
      </c>
      <c r="D497" s="60">
        <f>6.8496 * CHOOSE(CONTROL!$C$22, $C$13, 100%, $E$13)</f>
        <v>6.8495999999999997</v>
      </c>
      <c r="E497" s="61">
        <f>7.7997 * CHOOSE(CONTROL!$C$22, $C$13, 100%, $E$13)</f>
        <v>7.7996999999999996</v>
      </c>
      <c r="F497" s="61">
        <f>7.7997 * CHOOSE(CONTROL!$C$22, $C$13, 100%, $E$13)</f>
        <v>7.7996999999999996</v>
      </c>
      <c r="G497" s="61">
        <f>7.7999 * CHOOSE(CONTROL!$C$22, $C$13, 100%, $E$13)</f>
        <v>7.7999000000000001</v>
      </c>
      <c r="H497" s="61">
        <f>14.0118* CHOOSE(CONTROL!$C$22, $C$13, 100%, $E$13)</f>
        <v>14.011799999999999</v>
      </c>
      <c r="I497" s="61">
        <f>14.0119 * CHOOSE(CONTROL!$C$22, $C$13, 100%, $E$13)</f>
        <v>14.011900000000001</v>
      </c>
      <c r="J497" s="61">
        <f>7.7997 * CHOOSE(CONTROL!$C$22, $C$13, 100%, $E$13)</f>
        <v>7.7996999999999996</v>
      </c>
      <c r="K497" s="61">
        <f>7.7999 * CHOOSE(CONTROL!$C$22, $C$13, 100%, $E$13)</f>
        <v>7.7999000000000001</v>
      </c>
    </row>
    <row r="498" spans="1:11" ht="15">
      <c r="A498" s="13">
        <v>57011</v>
      </c>
      <c r="B498" s="60">
        <f>6.8289 * CHOOSE(CONTROL!$C$22, $C$13, 100%, $E$13)</f>
        <v>6.8289</v>
      </c>
      <c r="C498" s="60">
        <f>6.8289 * CHOOSE(CONTROL!$C$22, $C$13, 100%, $E$13)</f>
        <v>6.8289</v>
      </c>
      <c r="D498" s="60">
        <f>6.8465 * CHOOSE(CONTROL!$C$22, $C$13, 100%, $E$13)</f>
        <v>6.8464999999999998</v>
      </c>
      <c r="E498" s="61">
        <f>7.6775 * CHOOSE(CONTROL!$C$22, $C$13, 100%, $E$13)</f>
        <v>7.6775000000000002</v>
      </c>
      <c r="F498" s="61">
        <f>7.6775 * CHOOSE(CONTROL!$C$22, $C$13, 100%, $E$13)</f>
        <v>7.6775000000000002</v>
      </c>
      <c r="G498" s="61">
        <f>7.6777 * CHOOSE(CONTROL!$C$22, $C$13, 100%, $E$13)</f>
        <v>7.6776999999999997</v>
      </c>
      <c r="H498" s="61">
        <f>14.0409* CHOOSE(CONTROL!$C$22, $C$13, 100%, $E$13)</f>
        <v>14.040900000000001</v>
      </c>
      <c r="I498" s="61">
        <f>14.0411 * CHOOSE(CONTROL!$C$22, $C$13, 100%, $E$13)</f>
        <v>14.0411</v>
      </c>
      <c r="J498" s="61">
        <f>7.6775 * CHOOSE(CONTROL!$C$22, $C$13, 100%, $E$13)</f>
        <v>7.6775000000000002</v>
      </c>
      <c r="K498" s="61">
        <f>7.6777 * CHOOSE(CONTROL!$C$22, $C$13, 100%, $E$13)</f>
        <v>7.6776999999999997</v>
      </c>
    </row>
    <row r="499" spans="1:11" ht="15">
      <c r="A499" s="13">
        <v>57040</v>
      </c>
      <c r="B499" s="60">
        <f>6.8258 * CHOOSE(CONTROL!$C$22, $C$13, 100%, $E$13)</f>
        <v>6.8258000000000001</v>
      </c>
      <c r="C499" s="60">
        <f>6.8258 * CHOOSE(CONTROL!$C$22, $C$13, 100%, $E$13)</f>
        <v>6.8258000000000001</v>
      </c>
      <c r="D499" s="60">
        <f>6.8435 * CHOOSE(CONTROL!$C$22, $C$13, 100%, $E$13)</f>
        <v>6.8434999999999997</v>
      </c>
      <c r="E499" s="61">
        <f>7.77 * CHOOSE(CONTROL!$C$22, $C$13, 100%, $E$13)</f>
        <v>7.77</v>
      </c>
      <c r="F499" s="61">
        <f>7.77 * CHOOSE(CONTROL!$C$22, $C$13, 100%, $E$13)</f>
        <v>7.77</v>
      </c>
      <c r="G499" s="61">
        <f>7.7702 * CHOOSE(CONTROL!$C$22, $C$13, 100%, $E$13)</f>
        <v>7.7702</v>
      </c>
      <c r="H499" s="61">
        <f>14.0702* CHOOSE(CONTROL!$C$22, $C$13, 100%, $E$13)</f>
        <v>14.0702</v>
      </c>
      <c r="I499" s="61">
        <f>14.0704 * CHOOSE(CONTROL!$C$22, $C$13, 100%, $E$13)</f>
        <v>14.070399999999999</v>
      </c>
      <c r="J499" s="61">
        <f>7.77 * CHOOSE(CONTROL!$C$22, $C$13, 100%, $E$13)</f>
        <v>7.77</v>
      </c>
      <c r="K499" s="61">
        <f>7.7702 * CHOOSE(CONTROL!$C$22, $C$13, 100%, $E$13)</f>
        <v>7.7702</v>
      </c>
    </row>
    <row r="500" spans="1:11" ht="15">
      <c r="A500" s="13">
        <v>57071</v>
      </c>
      <c r="B500" s="60">
        <f>6.8263 * CHOOSE(CONTROL!$C$22, $C$13, 100%, $E$13)</f>
        <v>6.8262999999999998</v>
      </c>
      <c r="C500" s="60">
        <f>6.8263 * CHOOSE(CONTROL!$C$22, $C$13, 100%, $E$13)</f>
        <v>6.8262999999999998</v>
      </c>
      <c r="D500" s="60">
        <f>6.8439 * CHOOSE(CONTROL!$C$22, $C$13, 100%, $E$13)</f>
        <v>6.8438999999999997</v>
      </c>
      <c r="E500" s="61">
        <f>7.8675 * CHOOSE(CONTROL!$C$22, $C$13, 100%, $E$13)</f>
        <v>7.8674999999999997</v>
      </c>
      <c r="F500" s="61">
        <f>7.8675 * CHOOSE(CONTROL!$C$22, $C$13, 100%, $E$13)</f>
        <v>7.8674999999999997</v>
      </c>
      <c r="G500" s="61">
        <f>7.8676 * CHOOSE(CONTROL!$C$22, $C$13, 100%, $E$13)</f>
        <v>7.8676000000000004</v>
      </c>
      <c r="H500" s="61">
        <f>14.0995* CHOOSE(CONTROL!$C$22, $C$13, 100%, $E$13)</f>
        <v>14.099500000000001</v>
      </c>
      <c r="I500" s="61">
        <f>14.0997 * CHOOSE(CONTROL!$C$22, $C$13, 100%, $E$13)</f>
        <v>14.0997</v>
      </c>
      <c r="J500" s="61">
        <f>7.8675 * CHOOSE(CONTROL!$C$22, $C$13, 100%, $E$13)</f>
        <v>7.8674999999999997</v>
      </c>
      <c r="K500" s="61">
        <f>7.8676 * CHOOSE(CONTROL!$C$22, $C$13, 100%, $E$13)</f>
        <v>7.8676000000000004</v>
      </c>
    </row>
    <row r="501" spans="1:11" ht="15">
      <c r="A501" s="13">
        <v>57101</v>
      </c>
      <c r="B501" s="60">
        <f>6.8263 * CHOOSE(CONTROL!$C$22, $C$13, 100%, $E$13)</f>
        <v>6.8262999999999998</v>
      </c>
      <c r="C501" s="60">
        <f>6.8263 * CHOOSE(CONTROL!$C$22, $C$13, 100%, $E$13)</f>
        <v>6.8262999999999998</v>
      </c>
      <c r="D501" s="60">
        <f>6.8616 * CHOOSE(CONTROL!$C$22, $C$13, 100%, $E$13)</f>
        <v>6.8616000000000001</v>
      </c>
      <c r="E501" s="61">
        <f>7.9056 * CHOOSE(CONTROL!$C$22, $C$13, 100%, $E$13)</f>
        <v>7.9055999999999997</v>
      </c>
      <c r="F501" s="61">
        <f>7.9056 * CHOOSE(CONTROL!$C$22, $C$13, 100%, $E$13)</f>
        <v>7.9055999999999997</v>
      </c>
      <c r="G501" s="61">
        <f>7.9078 * CHOOSE(CONTROL!$C$22, $C$13, 100%, $E$13)</f>
        <v>7.9077999999999999</v>
      </c>
      <c r="H501" s="61">
        <f>14.1289* CHOOSE(CONTROL!$C$22, $C$13, 100%, $E$13)</f>
        <v>14.1289</v>
      </c>
      <c r="I501" s="61">
        <f>14.1311 * CHOOSE(CONTROL!$C$22, $C$13, 100%, $E$13)</f>
        <v>14.1311</v>
      </c>
      <c r="J501" s="61">
        <f>7.9056 * CHOOSE(CONTROL!$C$22, $C$13, 100%, $E$13)</f>
        <v>7.9055999999999997</v>
      </c>
      <c r="K501" s="61">
        <f>7.9078 * CHOOSE(CONTROL!$C$22, $C$13, 100%, $E$13)</f>
        <v>7.9077999999999999</v>
      </c>
    </row>
    <row r="502" spans="1:11" ht="15">
      <c r="A502" s="13">
        <v>57132</v>
      </c>
      <c r="B502" s="60">
        <f>6.8323 * CHOOSE(CONTROL!$C$22, $C$13, 100%, $E$13)</f>
        <v>6.8323</v>
      </c>
      <c r="C502" s="60">
        <f>6.8323 * CHOOSE(CONTROL!$C$22, $C$13, 100%, $E$13)</f>
        <v>6.8323</v>
      </c>
      <c r="D502" s="60">
        <f>6.8677 * CHOOSE(CONTROL!$C$22, $C$13, 100%, $E$13)</f>
        <v>6.8677000000000001</v>
      </c>
      <c r="E502" s="61">
        <f>7.8717 * CHOOSE(CONTROL!$C$22, $C$13, 100%, $E$13)</f>
        <v>7.8716999999999997</v>
      </c>
      <c r="F502" s="61">
        <f>7.8717 * CHOOSE(CONTROL!$C$22, $C$13, 100%, $E$13)</f>
        <v>7.8716999999999997</v>
      </c>
      <c r="G502" s="61">
        <f>7.8739 * CHOOSE(CONTROL!$C$22, $C$13, 100%, $E$13)</f>
        <v>7.8738999999999999</v>
      </c>
      <c r="H502" s="61">
        <f>14.1583* CHOOSE(CONTROL!$C$22, $C$13, 100%, $E$13)</f>
        <v>14.158300000000001</v>
      </c>
      <c r="I502" s="61">
        <f>14.1605 * CHOOSE(CONTROL!$C$22, $C$13, 100%, $E$13)</f>
        <v>14.160500000000001</v>
      </c>
      <c r="J502" s="61">
        <f>7.8717 * CHOOSE(CONTROL!$C$22, $C$13, 100%, $E$13)</f>
        <v>7.8716999999999997</v>
      </c>
      <c r="K502" s="61">
        <f>7.8739 * CHOOSE(CONTROL!$C$22, $C$13, 100%, $E$13)</f>
        <v>7.8738999999999999</v>
      </c>
    </row>
    <row r="503" spans="1:11" ht="15">
      <c r="A503" s="13">
        <v>57162</v>
      </c>
      <c r="B503" s="60">
        <f>6.9339 * CHOOSE(CONTROL!$C$22, $C$13, 100%, $E$13)</f>
        <v>6.9339000000000004</v>
      </c>
      <c r="C503" s="60">
        <f>6.9339 * CHOOSE(CONTROL!$C$22, $C$13, 100%, $E$13)</f>
        <v>6.9339000000000004</v>
      </c>
      <c r="D503" s="60">
        <f>6.9692 * CHOOSE(CONTROL!$C$22, $C$13, 100%, $E$13)</f>
        <v>6.9691999999999998</v>
      </c>
      <c r="E503" s="61">
        <f>8.0202 * CHOOSE(CONTROL!$C$22, $C$13, 100%, $E$13)</f>
        <v>8.0202000000000009</v>
      </c>
      <c r="F503" s="61">
        <f>8.0202 * CHOOSE(CONTROL!$C$22, $C$13, 100%, $E$13)</f>
        <v>8.0202000000000009</v>
      </c>
      <c r="G503" s="61">
        <f>8.0224 * CHOOSE(CONTROL!$C$22, $C$13, 100%, $E$13)</f>
        <v>8.0223999999999993</v>
      </c>
      <c r="H503" s="61">
        <f>14.1878* CHOOSE(CONTROL!$C$22, $C$13, 100%, $E$13)</f>
        <v>14.187799999999999</v>
      </c>
      <c r="I503" s="61">
        <f>14.19 * CHOOSE(CONTROL!$C$22, $C$13, 100%, $E$13)</f>
        <v>14.19</v>
      </c>
      <c r="J503" s="61">
        <f>8.0202 * CHOOSE(CONTROL!$C$22, $C$13, 100%, $E$13)</f>
        <v>8.0202000000000009</v>
      </c>
      <c r="K503" s="61">
        <f>8.0224 * CHOOSE(CONTROL!$C$22, $C$13, 100%, $E$13)</f>
        <v>8.0223999999999993</v>
      </c>
    </row>
    <row r="504" spans="1:11" ht="15">
      <c r="A504" s="13">
        <v>57193</v>
      </c>
      <c r="B504" s="60">
        <f>6.9406 * CHOOSE(CONTROL!$C$22, $C$13, 100%, $E$13)</f>
        <v>6.9405999999999999</v>
      </c>
      <c r="C504" s="60">
        <f>6.9406 * CHOOSE(CONTROL!$C$22, $C$13, 100%, $E$13)</f>
        <v>6.9405999999999999</v>
      </c>
      <c r="D504" s="60">
        <f>6.9759 * CHOOSE(CONTROL!$C$22, $C$13, 100%, $E$13)</f>
        <v>6.9759000000000002</v>
      </c>
      <c r="E504" s="61">
        <f>7.9105 * CHOOSE(CONTROL!$C$22, $C$13, 100%, $E$13)</f>
        <v>7.9104999999999999</v>
      </c>
      <c r="F504" s="61">
        <f>7.9105 * CHOOSE(CONTROL!$C$22, $C$13, 100%, $E$13)</f>
        <v>7.9104999999999999</v>
      </c>
      <c r="G504" s="61">
        <f>7.9127 * CHOOSE(CONTROL!$C$22, $C$13, 100%, $E$13)</f>
        <v>7.9127000000000001</v>
      </c>
      <c r="H504" s="61">
        <f>14.2174* CHOOSE(CONTROL!$C$22, $C$13, 100%, $E$13)</f>
        <v>14.2174</v>
      </c>
      <c r="I504" s="61">
        <f>14.2196 * CHOOSE(CONTROL!$C$22, $C$13, 100%, $E$13)</f>
        <v>14.2196</v>
      </c>
      <c r="J504" s="61">
        <f>7.9105 * CHOOSE(CONTROL!$C$22, $C$13, 100%, $E$13)</f>
        <v>7.9104999999999999</v>
      </c>
      <c r="K504" s="61">
        <f>7.9127 * CHOOSE(CONTROL!$C$22, $C$13, 100%, $E$13)</f>
        <v>7.9127000000000001</v>
      </c>
    </row>
    <row r="505" spans="1:11" ht="15">
      <c r="A505" s="13">
        <v>57224</v>
      </c>
      <c r="B505" s="60">
        <f>6.9375 * CHOOSE(CONTROL!$C$22, $C$13, 100%, $E$13)</f>
        <v>6.9375</v>
      </c>
      <c r="C505" s="60">
        <f>6.9375 * CHOOSE(CONTROL!$C$22, $C$13, 100%, $E$13)</f>
        <v>6.9375</v>
      </c>
      <c r="D505" s="60">
        <f>6.9728 * CHOOSE(CONTROL!$C$22, $C$13, 100%, $E$13)</f>
        <v>6.9728000000000003</v>
      </c>
      <c r="E505" s="61">
        <f>7.8957 * CHOOSE(CONTROL!$C$22, $C$13, 100%, $E$13)</f>
        <v>7.8956999999999997</v>
      </c>
      <c r="F505" s="61">
        <f>7.8957 * CHOOSE(CONTROL!$C$22, $C$13, 100%, $E$13)</f>
        <v>7.8956999999999997</v>
      </c>
      <c r="G505" s="61">
        <f>7.8978 * CHOOSE(CONTROL!$C$22, $C$13, 100%, $E$13)</f>
        <v>7.8978000000000002</v>
      </c>
      <c r="H505" s="61">
        <f>14.247* CHOOSE(CONTROL!$C$22, $C$13, 100%, $E$13)</f>
        <v>14.247</v>
      </c>
      <c r="I505" s="61">
        <f>14.2492 * CHOOSE(CONTROL!$C$22, $C$13, 100%, $E$13)</f>
        <v>14.2492</v>
      </c>
      <c r="J505" s="61">
        <f>7.8957 * CHOOSE(CONTROL!$C$22, $C$13, 100%, $E$13)</f>
        <v>7.8956999999999997</v>
      </c>
      <c r="K505" s="61">
        <f>7.8978 * CHOOSE(CONTROL!$C$22, $C$13, 100%, $E$13)</f>
        <v>7.8978000000000002</v>
      </c>
    </row>
    <row r="506" spans="1:11" ht="15">
      <c r="A506" s="13">
        <v>57254</v>
      </c>
      <c r="B506" s="60">
        <f>6.9438 * CHOOSE(CONTROL!$C$22, $C$13, 100%, $E$13)</f>
        <v>6.9438000000000004</v>
      </c>
      <c r="C506" s="60">
        <f>6.9438 * CHOOSE(CONTROL!$C$22, $C$13, 100%, $E$13)</f>
        <v>6.9438000000000004</v>
      </c>
      <c r="D506" s="60">
        <f>6.9614 * CHOOSE(CONTROL!$C$22, $C$13, 100%, $E$13)</f>
        <v>6.9614000000000003</v>
      </c>
      <c r="E506" s="61">
        <f>7.9331 * CHOOSE(CONTROL!$C$22, $C$13, 100%, $E$13)</f>
        <v>7.9330999999999996</v>
      </c>
      <c r="F506" s="61">
        <f>7.9331 * CHOOSE(CONTROL!$C$22, $C$13, 100%, $E$13)</f>
        <v>7.9330999999999996</v>
      </c>
      <c r="G506" s="61">
        <f>7.9332 * CHOOSE(CONTROL!$C$22, $C$13, 100%, $E$13)</f>
        <v>7.9332000000000003</v>
      </c>
      <c r="H506" s="61">
        <f>14.2767* CHOOSE(CONTROL!$C$22, $C$13, 100%, $E$13)</f>
        <v>14.2767</v>
      </c>
      <c r="I506" s="61">
        <f>14.2768 * CHOOSE(CONTROL!$C$22, $C$13, 100%, $E$13)</f>
        <v>14.2768</v>
      </c>
      <c r="J506" s="61">
        <f>7.9331 * CHOOSE(CONTROL!$C$22, $C$13, 100%, $E$13)</f>
        <v>7.9330999999999996</v>
      </c>
      <c r="K506" s="61">
        <f>7.9332 * CHOOSE(CONTROL!$C$22, $C$13, 100%, $E$13)</f>
        <v>7.9332000000000003</v>
      </c>
    </row>
    <row r="507" spans="1:11" ht="15">
      <c r="A507" s="13">
        <v>57285</v>
      </c>
      <c r="B507" s="60">
        <f>6.9468 * CHOOSE(CONTROL!$C$22, $C$13, 100%, $E$13)</f>
        <v>6.9467999999999996</v>
      </c>
      <c r="C507" s="60">
        <f>6.9468 * CHOOSE(CONTROL!$C$22, $C$13, 100%, $E$13)</f>
        <v>6.9467999999999996</v>
      </c>
      <c r="D507" s="60">
        <f>6.9645 * CHOOSE(CONTROL!$C$22, $C$13, 100%, $E$13)</f>
        <v>6.9645000000000001</v>
      </c>
      <c r="E507" s="61">
        <f>7.9606 * CHOOSE(CONTROL!$C$22, $C$13, 100%, $E$13)</f>
        <v>7.9606000000000003</v>
      </c>
      <c r="F507" s="61">
        <f>7.9606 * CHOOSE(CONTROL!$C$22, $C$13, 100%, $E$13)</f>
        <v>7.9606000000000003</v>
      </c>
      <c r="G507" s="61">
        <f>7.9608 * CHOOSE(CONTROL!$C$22, $C$13, 100%, $E$13)</f>
        <v>7.9607999999999999</v>
      </c>
      <c r="H507" s="61">
        <f>14.3064* CHOOSE(CONTROL!$C$22, $C$13, 100%, $E$13)</f>
        <v>14.3064</v>
      </c>
      <c r="I507" s="61">
        <f>14.3066 * CHOOSE(CONTROL!$C$22, $C$13, 100%, $E$13)</f>
        <v>14.3066</v>
      </c>
      <c r="J507" s="61">
        <f>7.9606 * CHOOSE(CONTROL!$C$22, $C$13, 100%, $E$13)</f>
        <v>7.9606000000000003</v>
      </c>
      <c r="K507" s="61">
        <f>7.9608 * CHOOSE(CONTROL!$C$22, $C$13, 100%, $E$13)</f>
        <v>7.9607999999999999</v>
      </c>
    </row>
    <row r="508" spans="1:11" ht="15">
      <c r="A508" s="13">
        <v>57315</v>
      </c>
      <c r="B508" s="60">
        <f>6.9468 * CHOOSE(CONTROL!$C$22, $C$13, 100%, $E$13)</f>
        <v>6.9467999999999996</v>
      </c>
      <c r="C508" s="60">
        <f>6.9468 * CHOOSE(CONTROL!$C$22, $C$13, 100%, $E$13)</f>
        <v>6.9467999999999996</v>
      </c>
      <c r="D508" s="60">
        <f>6.9645 * CHOOSE(CONTROL!$C$22, $C$13, 100%, $E$13)</f>
        <v>6.9645000000000001</v>
      </c>
      <c r="E508" s="61">
        <f>7.8971 * CHOOSE(CONTROL!$C$22, $C$13, 100%, $E$13)</f>
        <v>7.8971</v>
      </c>
      <c r="F508" s="61">
        <f>7.8971 * CHOOSE(CONTROL!$C$22, $C$13, 100%, $E$13)</f>
        <v>7.8971</v>
      </c>
      <c r="G508" s="61">
        <f>7.8972 * CHOOSE(CONTROL!$C$22, $C$13, 100%, $E$13)</f>
        <v>7.8971999999999998</v>
      </c>
      <c r="H508" s="61">
        <f>14.3362* CHOOSE(CONTROL!$C$22, $C$13, 100%, $E$13)</f>
        <v>14.3362</v>
      </c>
      <c r="I508" s="61">
        <f>14.3364 * CHOOSE(CONTROL!$C$22, $C$13, 100%, $E$13)</f>
        <v>14.336399999999999</v>
      </c>
      <c r="J508" s="61">
        <f>7.8971 * CHOOSE(CONTROL!$C$22, $C$13, 100%, $E$13)</f>
        <v>7.8971</v>
      </c>
      <c r="K508" s="61">
        <f>7.8972 * CHOOSE(CONTROL!$C$22, $C$13, 100%, $E$13)</f>
        <v>7.8971999999999998</v>
      </c>
    </row>
    <row r="509" spans="1:11" ht="15">
      <c r="A509" s="13">
        <v>57346</v>
      </c>
      <c r="B509" s="60">
        <f>7.0053 * CHOOSE(CONTROL!$C$22, $C$13, 100%, $E$13)</f>
        <v>7.0053000000000001</v>
      </c>
      <c r="C509" s="60">
        <f>7.0053 * CHOOSE(CONTROL!$C$22, $C$13, 100%, $E$13)</f>
        <v>7.0053000000000001</v>
      </c>
      <c r="D509" s="60">
        <f>7.023 * CHOOSE(CONTROL!$C$22, $C$13, 100%, $E$13)</f>
        <v>7.0229999999999997</v>
      </c>
      <c r="E509" s="61">
        <f>8.0188 * CHOOSE(CONTROL!$C$22, $C$13, 100%, $E$13)</f>
        <v>8.0188000000000006</v>
      </c>
      <c r="F509" s="61">
        <f>8.0188 * CHOOSE(CONTROL!$C$22, $C$13, 100%, $E$13)</f>
        <v>8.0188000000000006</v>
      </c>
      <c r="G509" s="61">
        <f>8.019 * CHOOSE(CONTROL!$C$22, $C$13, 100%, $E$13)</f>
        <v>8.0190000000000001</v>
      </c>
      <c r="H509" s="61">
        <f>14.3661* CHOOSE(CONTROL!$C$22, $C$13, 100%, $E$13)</f>
        <v>14.366099999999999</v>
      </c>
      <c r="I509" s="61">
        <f>14.3663 * CHOOSE(CONTROL!$C$22, $C$13, 100%, $E$13)</f>
        <v>14.366300000000001</v>
      </c>
      <c r="J509" s="61">
        <f>8.0188 * CHOOSE(CONTROL!$C$22, $C$13, 100%, $E$13)</f>
        <v>8.0188000000000006</v>
      </c>
      <c r="K509" s="61">
        <f>8.019 * CHOOSE(CONTROL!$C$22, $C$13, 100%, $E$13)</f>
        <v>8.0190000000000001</v>
      </c>
    </row>
    <row r="510" spans="1:11" ht="15">
      <c r="A510" s="13">
        <v>57377</v>
      </c>
      <c r="B510" s="60">
        <f>7.0023 * CHOOSE(CONTROL!$C$22, $C$13, 100%, $E$13)</f>
        <v>7.0023</v>
      </c>
      <c r="C510" s="60">
        <f>7.0023 * CHOOSE(CONTROL!$C$22, $C$13, 100%, $E$13)</f>
        <v>7.0023</v>
      </c>
      <c r="D510" s="60">
        <f>7.0199 * CHOOSE(CONTROL!$C$22, $C$13, 100%, $E$13)</f>
        <v>7.0198999999999998</v>
      </c>
      <c r="E510" s="61">
        <f>7.8928 * CHOOSE(CONTROL!$C$22, $C$13, 100%, $E$13)</f>
        <v>7.8928000000000003</v>
      </c>
      <c r="F510" s="61">
        <f>7.8928 * CHOOSE(CONTROL!$C$22, $C$13, 100%, $E$13)</f>
        <v>7.8928000000000003</v>
      </c>
      <c r="G510" s="61">
        <f>7.893 * CHOOSE(CONTROL!$C$22, $C$13, 100%, $E$13)</f>
        <v>7.8929999999999998</v>
      </c>
      <c r="H510" s="61">
        <f>14.396* CHOOSE(CONTROL!$C$22, $C$13, 100%, $E$13)</f>
        <v>14.396000000000001</v>
      </c>
      <c r="I510" s="61">
        <f>14.3962 * CHOOSE(CONTROL!$C$22, $C$13, 100%, $E$13)</f>
        <v>14.3962</v>
      </c>
      <c r="J510" s="61">
        <f>7.8928 * CHOOSE(CONTROL!$C$22, $C$13, 100%, $E$13)</f>
        <v>7.8928000000000003</v>
      </c>
      <c r="K510" s="61">
        <f>7.893 * CHOOSE(CONTROL!$C$22, $C$13, 100%, $E$13)</f>
        <v>7.8929999999999998</v>
      </c>
    </row>
    <row r="511" spans="1:11" ht="15">
      <c r="A511" s="13">
        <v>57405</v>
      </c>
      <c r="B511" s="60">
        <f>6.9992 * CHOOSE(CONTROL!$C$22, $C$13, 100%, $E$13)</f>
        <v>6.9992000000000001</v>
      </c>
      <c r="C511" s="60">
        <f>6.9992 * CHOOSE(CONTROL!$C$22, $C$13, 100%, $E$13)</f>
        <v>6.9992000000000001</v>
      </c>
      <c r="D511" s="60">
        <f>7.0169 * CHOOSE(CONTROL!$C$22, $C$13, 100%, $E$13)</f>
        <v>7.0168999999999997</v>
      </c>
      <c r="E511" s="61">
        <f>7.9884 * CHOOSE(CONTROL!$C$22, $C$13, 100%, $E$13)</f>
        <v>7.9884000000000004</v>
      </c>
      <c r="F511" s="61">
        <f>7.9884 * CHOOSE(CONTROL!$C$22, $C$13, 100%, $E$13)</f>
        <v>7.9884000000000004</v>
      </c>
      <c r="G511" s="61">
        <f>7.9886 * CHOOSE(CONTROL!$C$22, $C$13, 100%, $E$13)</f>
        <v>7.9885999999999999</v>
      </c>
      <c r="H511" s="61">
        <f>14.426* CHOOSE(CONTROL!$C$22, $C$13, 100%, $E$13)</f>
        <v>14.426</v>
      </c>
      <c r="I511" s="61">
        <f>14.4262 * CHOOSE(CONTROL!$C$22, $C$13, 100%, $E$13)</f>
        <v>14.4262</v>
      </c>
      <c r="J511" s="61">
        <f>7.9884 * CHOOSE(CONTROL!$C$22, $C$13, 100%, $E$13)</f>
        <v>7.9884000000000004</v>
      </c>
      <c r="K511" s="61">
        <f>7.9886 * CHOOSE(CONTROL!$C$22, $C$13, 100%, $E$13)</f>
        <v>7.9885999999999999</v>
      </c>
    </row>
    <row r="512" spans="1:11" ht="15">
      <c r="A512" s="13">
        <v>57436</v>
      </c>
      <c r="B512" s="60">
        <f>6.9999 * CHOOSE(CONTROL!$C$22, $C$13, 100%, $E$13)</f>
        <v>6.9999000000000002</v>
      </c>
      <c r="C512" s="60">
        <f>6.9999 * CHOOSE(CONTROL!$C$22, $C$13, 100%, $E$13)</f>
        <v>6.9999000000000002</v>
      </c>
      <c r="D512" s="60">
        <f>7.0175 * CHOOSE(CONTROL!$C$22, $C$13, 100%, $E$13)</f>
        <v>7.0175000000000001</v>
      </c>
      <c r="E512" s="61">
        <f>8.089 * CHOOSE(CONTROL!$C$22, $C$13, 100%, $E$13)</f>
        <v>8.0890000000000004</v>
      </c>
      <c r="F512" s="61">
        <f>8.089 * CHOOSE(CONTROL!$C$22, $C$13, 100%, $E$13)</f>
        <v>8.0890000000000004</v>
      </c>
      <c r="G512" s="61">
        <f>8.0892 * CHOOSE(CONTROL!$C$22, $C$13, 100%, $E$13)</f>
        <v>8.0891999999999999</v>
      </c>
      <c r="H512" s="61">
        <f>14.4561* CHOOSE(CONTROL!$C$22, $C$13, 100%, $E$13)</f>
        <v>14.456099999999999</v>
      </c>
      <c r="I512" s="61">
        <f>14.4562 * CHOOSE(CONTROL!$C$22, $C$13, 100%, $E$13)</f>
        <v>14.456200000000001</v>
      </c>
      <c r="J512" s="61">
        <f>8.089 * CHOOSE(CONTROL!$C$22, $C$13, 100%, $E$13)</f>
        <v>8.0890000000000004</v>
      </c>
      <c r="K512" s="61">
        <f>8.0892 * CHOOSE(CONTROL!$C$22, $C$13, 100%, $E$13)</f>
        <v>8.0891999999999999</v>
      </c>
    </row>
    <row r="513" spans="1:11" ht="15">
      <c r="A513" s="13">
        <v>57466</v>
      </c>
      <c r="B513" s="60">
        <f>6.9999 * CHOOSE(CONTROL!$C$22, $C$13, 100%, $E$13)</f>
        <v>6.9999000000000002</v>
      </c>
      <c r="C513" s="60">
        <f>6.9999 * CHOOSE(CONTROL!$C$22, $C$13, 100%, $E$13)</f>
        <v>6.9999000000000002</v>
      </c>
      <c r="D513" s="60">
        <f>7.0352 * CHOOSE(CONTROL!$C$22, $C$13, 100%, $E$13)</f>
        <v>7.0351999999999997</v>
      </c>
      <c r="E513" s="61">
        <f>8.1284 * CHOOSE(CONTROL!$C$22, $C$13, 100%, $E$13)</f>
        <v>8.1283999999999992</v>
      </c>
      <c r="F513" s="61">
        <f>8.1284 * CHOOSE(CONTROL!$C$22, $C$13, 100%, $E$13)</f>
        <v>8.1283999999999992</v>
      </c>
      <c r="G513" s="61">
        <f>8.1305 * CHOOSE(CONTROL!$C$22, $C$13, 100%, $E$13)</f>
        <v>8.1304999999999996</v>
      </c>
      <c r="H513" s="61">
        <f>14.4862* CHOOSE(CONTROL!$C$22, $C$13, 100%, $E$13)</f>
        <v>14.4862</v>
      </c>
      <c r="I513" s="61">
        <f>14.4884 * CHOOSE(CONTROL!$C$22, $C$13, 100%, $E$13)</f>
        <v>14.4884</v>
      </c>
      <c r="J513" s="61">
        <f>8.1284 * CHOOSE(CONTROL!$C$22, $C$13, 100%, $E$13)</f>
        <v>8.1283999999999992</v>
      </c>
      <c r="K513" s="61">
        <f>8.1305 * CHOOSE(CONTROL!$C$22, $C$13, 100%, $E$13)</f>
        <v>8.1304999999999996</v>
      </c>
    </row>
    <row r="514" spans="1:11" ht="15">
      <c r="A514" s="13">
        <v>57497</v>
      </c>
      <c r="B514" s="60">
        <f>7.0059 * CHOOSE(CONTROL!$C$22, $C$13, 100%, $E$13)</f>
        <v>7.0058999999999996</v>
      </c>
      <c r="C514" s="60">
        <f>7.0059 * CHOOSE(CONTROL!$C$22, $C$13, 100%, $E$13)</f>
        <v>7.0058999999999996</v>
      </c>
      <c r="D514" s="60">
        <f>7.0412 * CHOOSE(CONTROL!$C$22, $C$13, 100%, $E$13)</f>
        <v>7.0411999999999999</v>
      </c>
      <c r="E514" s="61">
        <f>8.0933 * CHOOSE(CONTROL!$C$22, $C$13, 100%, $E$13)</f>
        <v>8.0932999999999993</v>
      </c>
      <c r="F514" s="61">
        <f>8.0933 * CHOOSE(CONTROL!$C$22, $C$13, 100%, $E$13)</f>
        <v>8.0932999999999993</v>
      </c>
      <c r="G514" s="61">
        <f>8.0954 * CHOOSE(CONTROL!$C$22, $C$13, 100%, $E$13)</f>
        <v>8.0953999999999997</v>
      </c>
      <c r="H514" s="61">
        <f>14.5164* CHOOSE(CONTROL!$C$22, $C$13, 100%, $E$13)</f>
        <v>14.516400000000001</v>
      </c>
      <c r="I514" s="61">
        <f>14.5185 * CHOOSE(CONTROL!$C$22, $C$13, 100%, $E$13)</f>
        <v>14.5185</v>
      </c>
      <c r="J514" s="61">
        <f>8.0933 * CHOOSE(CONTROL!$C$22, $C$13, 100%, $E$13)</f>
        <v>8.0932999999999993</v>
      </c>
      <c r="K514" s="61">
        <f>8.0954 * CHOOSE(CONTROL!$C$22, $C$13, 100%, $E$13)</f>
        <v>8.0953999999999997</v>
      </c>
    </row>
    <row r="515" spans="1:11" ht="15">
      <c r="A515" s="13">
        <v>57527</v>
      </c>
      <c r="B515" s="60">
        <f>7.1097 * CHOOSE(CONTROL!$C$22, $C$13, 100%, $E$13)</f>
        <v>7.1097000000000001</v>
      </c>
      <c r="C515" s="60">
        <f>7.1097 * CHOOSE(CONTROL!$C$22, $C$13, 100%, $E$13)</f>
        <v>7.1097000000000001</v>
      </c>
      <c r="D515" s="60">
        <f>7.145 * CHOOSE(CONTROL!$C$22, $C$13, 100%, $E$13)</f>
        <v>7.1449999999999996</v>
      </c>
      <c r="E515" s="61">
        <f>8.2456 * CHOOSE(CONTROL!$C$22, $C$13, 100%, $E$13)</f>
        <v>8.2455999999999996</v>
      </c>
      <c r="F515" s="61">
        <f>8.2456 * CHOOSE(CONTROL!$C$22, $C$13, 100%, $E$13)</f>
        <v>8.2455999999999996</v>
      </c>
      <c r="G515" s="61">
        <f>8.2478 * CHOOSE(CONTROL!$C$22, $C$13, 100%, $E$13)</f>
        <v>8.2477999999999998</v>
      </c>
      <c r="H515" s="61">
        <f>14.5466* CHOOSE(CONTROL!$C$22, $C$13, 100%, $E$13)</f>
        <v>14.5466</v>
      </c>
      <c r="I515" s="61">
        <f>14.5488 * CHOOSE(CONTROL!$C$22, $C$13, 100%, $E$13)</f>
        <v>14.5488</v>
      </c>
      <c r="J515" s="61">
        <f>8.2456 * CHOOSE(CONTROL!$C$22, $C$13, 100%, $E$13)</f>
        <v>8.2455999999999996</v>
      </c>
      <c r="K515" s="61">
        <f>8.2478 * CHOOSE(CONTROL!$C$22, $C$13, 100%, $E$13)</f>
        <v>8.2477999999999998</v>
      </c>
    </row>
    <row r="516" spans="1:11" ht="15">
      <c r="A516" s="13">
        <v>57558</v>
      </c>
      <c r="B516" s="60">
        <f>7.1163 * CHOOSE(CONTROL!$C$22, $C$13, 100%, $E$13)</f>
        <v>7.1162999999999998</v>
      </c>
      <c r="C516" s="60">
        <f>7.1163 * CHOOSE(CONTROL!$C$22, $C$13, 100%, $E$13)</f>
        <v>7.1162999999999998</v>
      </c>
      <c r="D516" s="60">
        <f>7.1517 * CHOOSE(CONTROL!$C$22, $C$13, 100%, $E$13)</f>
        <v>7.1516999999999999</v>
      </c>
      <c r="E516" s="61">
        <f>8.1323 * CHOOSE(CONTROL!$C$22, $C$13, 100%, $E$13)</f>
        <v>8.1323000000000008</v>
      </c>
      <c r="F516" s="61">
        <f>8.1323 * CHOOSE(CONTROL!$C$22, $C$13, 100%, $E$13)</f>
        <v>8.1323000000000008</v>
      </c>
      <c r="G516" s="61">
        <f>8.1345 * CHOOSE(CONTROL!$C$22, $C$13, 100%, $E$13)</f>
        <v>8.1344999999999992</v>
      </c>
      <c r="H516" s="61">
        <f>14.5769* CHOOSE(CONTROL!$C$22, $C$13, 100%, $E$13)</f>
        <v>14.5769</v>
      </c>
      <c r="I516" s="61">
        <f>14.5791 * CHOOSE(CONTROL!$C$22, $C$13, 100%, $E$13)</f>
        <v>14.5791</v>
      </c>
      <c r="J516" s="61">
        <f>8.1323 * CHOOSE(CONTROL!$C$22, $C$13, 100%, $E$13)</f>
        <v>8.1323000000000008</v>
      </c>
      <c r="K516" s="61">
        <f>8.1345 * CHOOSE(CONTROL!$C$22, $C$13, 100%, $E$13)</f>
        <v>8.1344999999999992</v>
      </c>
    </row>
    <row r="517" spans="1:11" ht="15">
      <c r="A517" s="13">
        <v>57589</v>
      </c>
      <c r="B517" s="60">
        <f>7.1133 * CHOOSE(CONTROL!$C$22, $C$13, 100%, $E$13)</f>
        <v>7.1132999999999997</v>
      </c>
      <c r="C517" s="60">
        <f>7.1133 * CHOOSE(CONTROL!$C$22, $C$13, 100%, $E$13)</f>
        <v>7.1132999999999997</v>
      </c>
      <c r="D517" s="60">
        <f>7.1486 * CHOOSE(CONTROL!$C$22, $C$13, 100%, $E$13)</f>
        <v>7.1486000000000001</v>
      </c>
      <c r="E517" s="61">
        <f>8.117 * CHOOSE(CONTROL!$C$22, $C$13, 100%, $E$13)</f>
        <v>8.1170000000000009</v>
      </c>
      <c r="F517" s="61">
        <f>8.117 * CHOOSE(CONTROL!$C$22, $C$13, 100%, $E$13)</f>
        <v>8.1170000000000009</v>
      </c>
      <c r="G517" s="61">
        <f>8.1192 * CHOOSE(CONTROL!$C$22, $C$13, 100%, $E$13)</f>
        <v>8.1191999999999993</v>
      </c>
      <c r="H517" s="61">
        <f>14.6073* CHOOSE(CONTROL!$C$22, $C$13, 100%, $E$13)</f>
        <v>14.6073</v>
      </c>
      <c r="I517" s="61">
        <f>14.6095 * CHOOSE(CONTROL!$C$22, $C$13, 100%, $E$13)</f>
        <v>14.609500000000001</v>
      </c>
      <c r="J517" s="61">
        <f>8.117 * CHOOSE(CONTROL!$C$22, $C$13, 100%, $E$13)</f>
        <v>8.1170000000000009</v>
      </c>
      <c r="K517" s="61">
        <f>8.1192 * CHOOSE(CONTROL!$C$22, $C$13, 100%, $E$13)</f>
        <v>8.1191999999999993</v>
      </c>
    </row>
    <row r="518" spans="1:11" ht="15">
      <c r="A518" s="13">
        <v>57619</v>
      </c>
      <c r="B518" s="60">
        <f>7.1202 * CHOOSE(CONTROL!$C$22, $C$13, 100%, $E$13)</f>
        <v>7.1201999999999996</v>
      </c>
      <c r="C518" s="60">
        <f>7.1202 * CHOOSE(CONTROL!$C$22, $C$13, 100%, $E$13)</f>
        <v>7.1201999999999996</v>
      </c>
      <c r="D518" s="60">
        <f>7.1379 * CHOOSE(CONTROL!$C$22, $C$13, 100%, $E$13)</f>
        <v>7.1379000000000001</v>
      </c>
      <c r="E518" s="61">
        <f>8.1561 * CHOOSE(CONTROL!$C$22, $C$13, 100%, $E$13)</f>
        <v>8.1561000000000003</v>
      </c>
      <c r="F518" s="61">
        <f>8.1561 * CHOOSE(CONTROL!$C$22, $C$13, 100%, $E$13)</f>
        <v>8.1561000000000003</v>
      </c>
      <c r="G518" s="61">
        <f>8.1562 * CHOOSE(CONTROL!$C$22, $C$13, 100%, $E$13)</f>
        <v>8.1562000000000001</v>
      </c>
      <c r="H518" s="61">
        <f>14.6377* CHOOSE(CONTROL!$C$22, $C$13, 100%, $E$13)</f>
        <v>14.637700000000001</v>
      </c>
      <c r="I518" s="61">
        <f>14.6379 * CHOOSE(CONTROL!$C$22, $C$13, 100%, $E$13)</f>
        <v>14.6379</v>
      </c>
      <c r="J518" s="61">
        <f>8.1561 * CHOOSE(CONTROL!$C$22, $C$13, 100%, $E$13)</f>
        <v>8.1561000000000003</v>
      </c>
      <c r="K518" s="61">
        <f>8.1562 * CHOOSE(CONTROL!$C$22, $C$13, 100%, $E$13)</f>
        <v>8.1562000000000001</v>
      </c>
    </row>
    <row r="519" spans="1:11" ht="15">
      <c r="A519" s="13">
        <v>57650</v>
      </c>
      <c r="B519" s="60">
        <f>7.1233 * CHOOSE(CONTROL!$C$22, $C$13, 100%, $E$13)</f>
        <v>7.1233000000000004</v>
      </c>
      <c r="C519" s="60">
        <f>7.1233 * CHOOSE(CONTROL!$C$22, $C$13, 100%, $E$13)</f>
        <v>7.1233000000000004</v>
      </c>
      <c r="D519" s="60">
        <f>7.1409 * CHOOSE(CONTROL!$C$22, $C$13, 100%, $E$13)</f>
        <v>7.1409000000000002</v>
      </c>
      <c r="E519" s="61">
        <f>8.1844 * CHOOSE(CONTROL!$C$22, $C$13, 100%, $E$13)</f>
        <v>8.1844000000000001</v>
      </c>
      <c r="F519" s="61">
        <f>8.1844 * CHOOSE(CONTROL!$C$22, $C$13, 100%, $E$13)</f>
        <v>8.1844000000000001</v>
      </c>
      <c r="G519" s="61">
        <f>8.1846 * CHOOSE(CONTROL!$C$22, $C$13, 100%, $E$13)</f>
        <v>8.1845999999999997</v>
      </c>
      <c r="H519" s="61">
        <f>14.6682* CHOOSE(CONTROL!$C$22, $C$13, 100%, $E$13)</f>
        <v>14.668200000000001</v>
      </c>
      <c r="I519" s="61">
        <f>14.6684 * CHOOSE(CONTROL!$C$22, $C$13, 100%, $E$13)</f>
        <v>14.6684</v>
      </c>
      <c r="J519" s="61">
        <f>8.1844 * CHOOSE(CONTROL!$C$22, $C$13, 100%, $E$13)</f>
        <v>8.1844000000000001</v>
      </c>
      <c r="K519" s="61">
        <f>8.1846 * CHOOSE(CONTROL!$C$22, $C$13, 100%, $E$13)</f>
        <v>8.1845999999999997</v>
      </c>
    </row>
    <row r="520" spans="1:11" ht="15">
      <c r="A520" s="13">
        <v>57680</v>
      </c>
      <c r="B520" s="60">
        <f>7.1233 * CHOOSE(CONTROL!$C$22, $C$13, 100%, $E$13)</f>
        <v>7.1233000000000004</v>
      </c>
      <c r="C520" s="60">
        <f>7.1233 * CHOOSE(CONTROL!$C$22, $C$13, 100%, $E$13)</f>
        <v>7.1233000000000004</v>
      </c>
      <c r="D520" s="60">
        <f>7.1409 * CHOOSE(CONTROL!$C$22, $C$13, 100%, $E$13)</f>
        <v>7.1409000000000002</v>
      </c>
      <c r="E520" s="61">
        <f>8.1189 * CHOOSE(CONTROL!$C$22, $C$13, 100%, $E$13)</f>
        <v>8.1189</v>
      </c>
      <c r="F520" s="61">
        <f>8.1189 * CHOOSE(CONTROL!$C$22, $C$13, 100%, $E$13)</f>
        <v>8.1189</v>
      </c>
      <c r="G520" s="61">
        <f>8.119 * CHOOSE(CONTROL!$C$22, $C$13, 100%, $E$13)</f>
        <v>8.1189999999999998</v>
      </c>
      <c r="H520" s="61">
        <f>14.6988* CHOOSE(CONTROL!$C$22, $C$13, 100%, $E$13)</f>
        <v>14.6988</v>
      </c>
      <c r="I520" s="61">
        <f>14.6989 * CHOOSE(CONTROL!$C$22, $C$13, 100%, $E$13)</f>
        <v>14.6989</v>
      </c>
      <c r="J520" s="61">
        <f>8.1189 * CHOOSE(CONTROL!$C$22, $C$13, 100%, $E$13)</f>
        <v>8.1189</v>
      </c>
      <c r="K520" s="61">
        <f>8.119 * CHOOSE(CONTROL!$C$22, $C$13, 100%, $E$13)</f>
        <v>8.1189999999999998</v>
      </c>
    </row>
    <row r="521" spans="1:11" ht="15">
      <c r="A521" s="13">
        <v>57711</v>
      </c>
      <c r="B521" s="60">
        <f>7.1831 * CHOOSE(CONTROL!$C$22, $C$13, 100%, $E$13)</f>
        <v>7.1830999999999996</v>
      </c>
      <c r="C521" s="60">
        <f>7.1831 * CHOOSE(CONTROL!$C$22, $C$13, 100%, $E$13)</f>
        <v>7.1830999999999996</v>
      </c>
      <c r="D521" s="60">
        <f>7.2008 * CHOOSE(CONTROL!$C$22, $C$13, 100%, $E$13)</f>
        <v>7.2008000000000001</v>
      </c>
      <c r="E521" s="61">
        <f>8.2442 * CHOOSE(CONTROL!$C$22, $C$13, 100%, $E$13)</f>
        <v>8.2441999999999993</v>
      </c>
      <c r="F521" s="61">
        <f>8.2442 * CHOOSE(CONTROL!$C$22, $C$13, 100%, $E$13)</f>
        <v>8.2441999999999993</v>
      </c>
      <c r="G521" s="61">
        <f>8.2443 * CHOOSE(CONTROL!$C$22, $C$13, 100%, $E$13)</f>
        <v>8.2443000000000008</v>
      </c>
      <c r="H521" s="61">
        <f>14.7294* CHOOSE(CONTROL!$C$22, $C$13, 100%, $E$13)</f>
        <v>14.7294</v>
      </c>
      <c r="I521" s="61">
        <f>14.7296 * CHOOSE(CONTROL!$C$22, $C$13, 100%, $E$13)</f>
        <v>14.7296</v>
      </c>
      <c r="J521" s="61">
        <f>8.2442 * CHOOSE(CONTROL!$C$22, $C$13, 100%, $E$13)</f>
        <v>8.2441999999999993</v>
      </c>
      <c r="K521" s="61">
        <f>8.2443 * CHOOSE(CONTROL!$C$22, $C$13, 100%, $E$13)</f>
        <v>8.2443000000000008</v>
      </c>
    </row>
    <row r="522" spans="1:11" ht="15">
      <c r="A522" s="13">
        <v>57742</v>
      </c>
      <c r="B522" s="60">
        <f>7.1801 * CHOOSE(CONTROL!$C$22, $C$13, 100%, $E$13)</f>
        <v>7.1801000000000004</v>
      </c>
      <c r="C522" s="60">
        <f>7.1801 * CHOOSE(CONTROL!$C$22, $C$13, 100%, $E$13)</f>
        <v>7.1801000000000004</v>
      </c>
      <c r="D522" s="60">
        <f>7.1977 * CHOOSE(CONTROL!$C$22, $C$13, 100%, $E$13)</f>
        <v>7.1977000000000002</v>
      </c>
      <c r="E522" s="61">
        <f>8.1142 * CHOOSE(CONTROL!$C$22, $C$13, 100%, $E$13)</f>
        <v>8.1142000000000003</v>
      </c>
      <c r="F522" s="61">
        <f>8.1142 * CHOOSE(CONTROL!$C$22, $C$13, 100%, $E$13)</f>
        <v>8.1142000000000003</v>
      </c>
      <c r="G522" s="61">
        <f>8.1144 * CHOOSE(CONTROL!$C$22, $C$13, 100%, $E$13)</f>
        <v>8.1143999999999998</v>
      </c>
      <c r="H522" s="61">
        <f>14.7601* CHOOSE(CONTROL!$C$22, $C$13, 100%, $E$13)</f>
        <v>14.7601</v>
      </c>
      <c r="I522" s="61">
        <f>14.7602 * CHOOSE(CONTROL!$C$22, $C$13, 100%, $E$13)</f>
        <v>14.760199999999999</v>
      </c>
      <c r="J522" s="61">
        <f>8.1142 * CHOOSE(CONTROL!$C$22, $C$13, 100%, $E$13)</f>
        <v>8.1142000000000003</v>
      </c>
      <c r="K522" s="61">
        <f>8.1144 * CHOOSE(CONTROL!$C$22, $C$13, 100%, $E$13)</f>
        <v>8.1143999999999998</v>
      </c>
    </row>
    <row r="523" spans="1:11" ht="15">
      <c r="A523" s="13">
        <v>57770</v>
      </c>
      <c r="B523" s="60">
        <f>7.1771 * CHOOSE(CONTROL!$C$22, $C$13, 100%, $E$13)</f>
        <v>7.1771000000000003</v>
      </c>
      <c r="C523" s="60">
        <f>7.1771 * CHOOSE(CONTROL!$C$22, $C$13, 100%, $E$13)</f>
        <v>7.1771000000000003</v>
      </c>
      <c r="D523" s="60">
        <f>7.1947 * CHOOSE(CONTROL!$C$22, $C$13, 100%, $E$13)</f>
        <v>7.1947000000000001</v>
      </c>
      <c r="E523" s="61">
        <f>8.2129 * CHOOSE(CONTROL!$C$22, $C$13, 100%, $E$13)</f>
        <v>8.2128999999999994</v>
      </c>
      <c r="F523" s="61">
        <f>8.2129 * CHOOSE(CONTROL!$C$22, $C$13, 100%, $E$13)</f>
        <v>8.2128999999999994</v>
      </c>
      <c r="G523" s="61">
        <f>8.2131 * CHOOSE(CONTROL!$C$22, $C$13, 100%, $E$13)</f>
        <v>8.2131000000000007</v>
      </c>
      <c r="H523" s="61">
        <f>14.7908* CHOOSE(CONTROL!$C$22, $C$13, 100%, $E$13)</f>
        <v>14.790800000000001</v>
      </c>
      <c r="I523" s="61">
        <f>14.791 * CHOOSE(CONTROL!$C$22, $C$13, 100%, $E$13)</f>
        <v>14.791</v>
      </c>
      <c r="J523" s="61">
        <f>8.2129 * CHOOSE(CONTROL!$C$22, $C$13, 100%, $E$13)</f>
        <v>8.2128999999999994</v>
      </c>
      <c r="K523" s="61">
        <f>8.2131 * CHOOSE(CONTROL!$C$22, $C$13, 100%, $E$13)</f>
        <v>8.2131000000000007</v>
      </c>
    </row>
    <row r="524" spans="1:11" ht="15">
      <c r="A524" s="13">
        <v>57801</v>
      </c>
      <c r="B524" s="60">
        <f>7.1779 * CHOOSE(CONTROL!$C$22, $C$13, 100%, $E$13)</f>
        <v>7.1779000000000002</v>
      </c>
      <c r="C524" s="60">
        <f>7.1779 * CHOOSE(CONTROL!$C$22, $C$13, 100%, $E$13)</f>
        <v>7.1779000000000002</v>
      </c>
      <c r="D524" s="60">
        <f>7.1955 * CHOOSE(CONTROL!$C$22, $C$13, 100%, $E$13)</f>
        <v>7.1955</v>
      </c>
      <c r="E524" s="61">
        <f>8.3169 * CHOOSE(CONTROL!$C$22, $C$13, 100%, $E$13)</f>
        <v>8.3169000000000004</v>
      </c>
      <c r="F524" s="61">
        <f>8.3169 * CHOOSE(CONTROL!$C$22, $C$13, 100%, $E$13)</f>
        <v>8.3169000000000004</v>
      </c>
      <c r="G524" s="61">
        <f>8.317 * CHOOSE(CONTROL!$C$22, $C$13, 100%, $E$13)</f>
        <v>8.3170000000000002</v>
      </c>
      <c r="H524" s="61">
        <f>14.8216* CHOOSE(CONTROL!$C$22, $C$13, 100%, $E$13)</f>
        <v>14.8216</v>
      </c>
      <c r="I524" s="61">
        <f>14.8218 * CHOOSE(CONTROL!$C$22, $C$13, 100%, $E$13)</f>
        <v>14.8218</v>
      </c>
      <c r="J524" s="61">
        <f>8.3169 * CHOOSE(CONTROL!$C$22, $C$13, 100%, $E$13)</f>
        <v>8.3169000000000004</v>
      </c>
      <c r="K524" s="61">
        <f>8.317 * CHOOSE(CONTROL!$C$22, $C$13, 100%, $E$13)</f>
        <v>8.3170000000000002</v>
      </c>
    </row>
    <row r="525" spans="1:11" ht="15">
      <c r="A525" s="13">
        <v>57831</v>
      </c>
      <c r="B525" s="60">
        <f>7.1779 * CHOOSE(CONTROL!$C$22, $C$13, 100%, $E$13)</f>
        <v>7.1779000000000002</v>
      </c>
      <c r="C525" s="60">
        <f>7.1779 * CHOOSE(CONTROL!$C$22, $C$13, 100%, $E$13)</f>
        <v>7.1779000000000002</v>
      </c>
      <c r="D525" s="60">
        <f>7.2132 * CHOOSE(CONTROL!$C$22, $C$13, 100%, $E$13)</f>
        <v>7.2131999999999996</v>
      </c>
      <c r="E525" s="61">
        <f>8.3574 * CHOOSE(CONTROL!$C$22, $C$13, 100%, $E$13)</f>
        <v>8.3574000000000002</v>
      </c>
      <c r="F525" s="61">
        <f>8.3574 * CHOOSE(CONTROL!$C$22, $C$13, 100%, $E$13)</f>
        <v>8.3574000000000002</v>
      </c>
      <c r="G525" s="61">
        <f>8.3596 * CHOOSE(CONTROL!$C$22, $C$13, 100%, $E$13)</f>
        <v>8.3596000000000004</v>
      </c>
      <c r="H525" s="61">
        <f>14.8525* CHOOSE(CONTROL!$C$22, $C$13, 100%, $E$13)</f>
        <v>14.852499999999999</v>
      </c>
      <c r="I525" s="61">
        <f>14.8547 * CHOOSE(CONTROL!$C$22, $C$13, 100%, $E$13)</f>
        <v>14.854699999999999</v>
      </c>
      <c r="J525" s="61">
        <f>8.3574 * CHOOSE(CONTROL!$C$22, $C$13, 100%, $E$13)</f>
        <v>8.3574000000000002</v>
      </c>
      <c r="K525" s="61">
        <f>8.3596 * CHOOSE(CONTROL!$C$22, $C$13, 100%, $E$13)</f>
        <v>8.3596000000000004</v>
      </c>
    </row>
    <row r="526" spans="1:11" ht="15">
      <c r="A526" s="13">
        <v>57862</v>
      </c>
      <c r="B526" s="60">
        <f>7.1839 * CHOOSE(CONTROL!$C$22, $C$13, 100%, $E$13)</f>
        <v>7.1839000000000004</v>
      </c>
      <c r="C526" s="60">
        <f>7.1839 * CHOOSE(CONTROL!$C$22, $C$13, 100%, $E$13)</f>
        <v>7.1839000000000004</v>
      </c>
      <c r="D526" s="60">
        <f>7.2192 * CHOOSE(CONTROL!$C$22, $C$13, 100%, $E$13)</f>
        <v>7.2191999999999998</v>
      </c>
      <c r="E526" s="61">
        <f>8.3211 * CHOOSE(CONTROL!$C$22, $C$13, 100%, $E$13)</f>
        <v>8.3210999999999995</v>
      </c>
      <c r="F526" s="61">
        <f>8.3211 * CHOOSE(CONTROL!$C$22, $C$13, 100%, $E$13)</f>
        <v>8.3210999999999995</v>
      </c>
      <c r="G526" s="61">
        <f>8.3233 * CHOOSE(CONTROL!$C$22, $C$13, 100%, $E$13)</f>
        <v>8.3232999999999997</v>
      </c>
      <c r="H526" s="61">
        <f>14.8835* CHOOSE(CONTROL!$C$22, $C$13, 100%, $E$13)</f>
        <v>14.8835</v>
      </c>
      <c r="I526" s="61">
        <f>14.8856 * CHOOSE(CONTROL!$C$22, $C$13, 100%, $E$13)</f>
        <v>14.8856</v>
      </c>
      <c r="J526" s="61">
        <f>8.3211 * CHOOSE(CONTROL!$C$22, $C$13, 100%, $E$13)</f>
        <v>8.3210999999999995</v>
      </c>
      <c r="K526" s="61">
        <f>8.3233 * CHOOSE(CONTROL!$C$22, $C$13, 100%, $E$13)</f>
        <v>8.3232999999999997</v>
      </c>
    </row>
    <row r="527" spans="1:11" ht="15">
      <c r="A527" s="13">
        <v>57892</v>
      </c>
      <c r="B527" s="60">
        <f>7.2899 * CHOOSE(CONTROL!$C$22, $C$13, 100%, $E$13)</f>
        <v>7.2899000000000003</v>
      </c>
      <c r="C527" s="60">
        <f>7.2899 * CHOOSE(CONTROL!$C$22, $C$13, 100%, $E$13)</f>
        <v>7.2899000000000003</v>
      </c>
      <c r="D527" s="60">
        <f>7.3252 * CHOOSE(CONTROL!$C$22, $C$13, 100%, $E$13)</f>
        <v>7.3251999999999997</v>
      </c>
      <c r="E527" s="61">
        <f>8.4774 * CHOOSE(CONTROL!$C$22, $C$13, 100%, $E$13)</f>
        <v>8.4773999999999994</v>
      </c>
      <c r="F527" s="61">
        <f>8.4774 * CHOOSE(CONTROL!$C$22, $C$13, 100%, $E$13)</f>
        <v>8.4773999999999994</v>
      </c>
      <c r="G527" s="61">
        <f>8.4796 * CHOOSE(CONTROL!$C$22, $C$13, 100%, $E$13)</f>
        <v>8.4795999999999996</v>
      </c>
      <c r="H527" s="61">
        <f>14.9145* CHOOSE(CONTROL!$C$22, $C$13, 100%, $E$13)</f>
        <v>14.9145</v>
      </c>
      <c r="I527" s="61">
        <f>14.9166 * CHOOSE(CONTROL!$C$22, $C$13, 100%, $E$13)</f>
        <v>14.916600000000001</v>
      </c>
      <c r="J527" s="61">
        <f>8.4774 * CHOOSE(CONTROL!$C$22, $C$13, 100%, $E$13)</f>
        <v>8.4773999999999994</v>
      </c>
      <c r="K527" s="61">
        <f>8.4796 * CHOOSE(CONTROL!$C$22, $C$13, 100%, $E$13)</f>
        <v>8.4795999999999996</v>
      </c>
    </row>
    <row r="528" spans="1:11" ht="15">
      <c r="A528" s="13">
        <v>57923</v>
      </c>
      <c r="B528" s="60">
        <f>7.2966 * CHOOSE(CONTROL!$C$22, $C$13, 100%, $E$13)</f>
        <v>7.2965999999999998</v>
      </c>
      <c r="C528" s="60">
        <f>7.2966 * CHOOSE(CONTROL!$C$22, $C$13, 100%, $E$13)</f>
        <v>7.2965999999999998</v>
      </c>
      <c r="D528" s="60">
        <f>7.3319 * CHOOSE(CONTROL!$C$22, $C$13, 100%, $E$13)</f>
        <v>7.3319000000000001</v>
      </c>
      <c r="E528" s="61">
        <f>8.3603 * CHOOSE(CONTROL!$C$22, $C$13, 100%, $E$13)</f>
        <v>8.3603000000000005</v>
      </c>
      <c r="F528" s="61">
        <f>8.3603 * CHOOSE(CONTROL!$C$22, $C$13, 100%, $E$13)</f>
        <v>8.3603000000000005</v>
      </c>
      <c r="G528" s="61">
        <f>8.3625 * CHOOSE(CONTROL!$C$22, $C$13, 100%, $E$13)</f>
        <v>8.3625000000000007</v>
      </c>
      <c r="H528" s="61">
        <f>14.9455* CHOOSE(CONTROL!$C$22, $C$13, 100%, $E$13)</f>
        <v>14.945499999999999</v>
      </c>
      <c r="I528" s="61">
        <f>14.9477 * CHOOSE(CONTROL!$C$22, $C$13, 100%, $E$13)</f>
        <v>14.947699999999999</v>
      </c>
      <c r="J528" s="61">
        <f>8.3603 * CHOOSE(CONTROL!$C$22, $C$13, 100%, $E$13)</f>
        <v>8.3603000000000005</v>
      </c>
      <c r="K528" s="61">
        <f>8.3625 * CHOOSE(CONTROL!$C$22, $C$13, 100%, $E$13)</f>
        <v>8.3625000000000007</v>
      </c>
    </row>
    <row r="529" spans="1:11" ht="15">
      <c r="A529" s="13">
        <v>57954</v>
      </c>
      <c r="B529" s="60">
        <f>7.2936 * CHOOSE(CONTROL!$C$22, $C$13, 100%, $E$13)</f>
        <v>7.2935999999999996</v>
      </c>
      <c r="C529" s="60">
        <f>7.2936 * CHOOSE(CONTROL!$C$22, $C$13, 100%, $E$13)</f>
        <v>7.2935999999999996</v>
      </c>
      <c r="D529" s="60">
        <f>7.3289 * CHOOSE(CONTROL!$C$22, $C$13, 100%, $E$13)</f>
        <v>7.3289</v>
      </c>
      <c r="E529" s="61">
        <f>8.3447 * CHOOSE(CONTROL!$C$22, $C$13, 100%, $E$13)</f>
        <v>8.3446999999999996</v>
      </c>
      <c r="F529" s="61">
        <f>8.3447 * CHOOSE(CONTROL!$C$22, $C$13, 100%, $E$13)</f>
        <v>8.3446999999999996</v>
      </c>
      <c r="G529" s="61">
        <f>8.3468 * CHOOSE(CONTROL!$C$22, $C$13, 100%, $E$13)</f>
        <v>8.3468</v>
      </c>
      <c r="H529" s="61">
        <f>14.9767* CHOOSE(CONTROL!$C$22, $C$13, 100%, $E$13)</f>
        <v>14.976699999999999</v>
      </c>
      <c r="I529" s="61">
        <f>14.9789 * CHOOSE(CONTROL!$C$22, $C$13, 100%, $E$13)</f>
        <v>14.978899999999999</v>
      </c>
      <c r="J529" s="61">
        <f>8.3447 * CHOOSE(CONTROL!$C$22, $C$13, 100%, $E$13)</f>
        <v>8.3446999999999996</v>
      </c>
      <c r="K529" s="61">
        <f>8.3468 * CHOOSE(CONTROL!$C$22, $C$13, 100%, $E$13)</f>
        <v>8.3468</v>
      </c>
    </row>
    <row r="530" spans="1:11" ht="15">
      <c r="A530" s="13">
        <v>57984</v>
      </c>
      <c r="B530" s="60">
        <f>7.3012 * CHOOSE(CONTROL!$C$22, $C$13, 100%, $E$13)</f>
        <v>7.3011999999999997</v>
      </c>
      <c r="C530" s="60">
        <f>7.3012 * CHOOSE(CONTROL!$C$22, $C$13, 100%, $E$13)</f>
        <v>7.3011999999999997</v>
      </c>
      <c r="D530" s="60">
        <f>7.3188 * CHOOSE(CONTROL!$C$22, $C$13, 100%, $E$13)</f>
        <v>7.3188000000000004</v>
      </c>
      <c r="E530" s="61">
        <f>8.3854 * CHOOSE(CONTROL!$C$22, $C$13, 100%, $E$13)</f>
        <v>8.3854000000000006</v>
      </c>
      <c r="F530" s="61">
        <f>8.3854 * CHOOSE(CONTROL!$C$22, $C$13, 100%, $E$13)</f>
        <v>8.3854000000000006</v>
      </c>
      <c r="G530" s="61">
        <f>8.3855 * CHOOSE(CONTROL!$C$22, $C$13, 100%, $E$13)</f>
        <v>8.3855000000000004</v>
      </c>
      <c r="H530" s="61">
        <f>15.0079* CHOOSE(CONTROL!$C$22, $C$13, 100%, $E$13)</f>
        <v>15.007899999999999</v>
      </c>
      <c r="I530" s="61">
        <f>15.008 * CHOOSE(CONTROL!$C$22, $C$13, 100%, $E$13)</f>
        <v>15.007999999999999</v>
      </c>
      <c r="J530" s="61">
        <f>8.3854 * CHOOSE(CONTROL!$C$22, $C$13, 100%, $E$13)</f>
        <v>8.3854000000000006</v>
      </c>
      <c r="K530" s="61">
        <f>8.3855 * CHOOSE(CONTROL!$C$22, $C$13, 100%, $E$13)</f>
        <v>8.3855000000000004</v>
      </c>
    </row>
    <row r="531" spans="1:11" ht="15">
      <c r="A531" s="13">
        <v>58015</v>
      </c>
      <c r="B531" s="60">
        <f>7.3042 * CHOOSE(CONTROL!$C$22, $C$13, 100%, $E$13)</f>
        <v>7.3041999999999998</v>
      </c>
      <c r="C531" s="60">
        <f>7.3042 * CHOOSE(CONTROL!$C$22, $C$13, 100%, $E$13)</f>
        <v>7.3041999999999998</v>
      </c>
      <c r="D531" s="60">
        <f>7.3219 * CHOOSE(CONTROL!$C$22, $C$13, 100%, $E$13)</f>
        <v>7.3219000000000003</v>
      </c>
      <c r="E531" s="61">
        <f>8.4145 * CHOOSE(CONTROL!$C$22, $C$13, 100%, $E$13)</f>
        <v>8.4145000000000003</v>
      </c>
      <c r="F531" s="61">
        <f>8.4145 * CHOOSE(CONTROL!$C$22, $C$13, 100%, $E$13)</f>
        <v>8.4145000000000003</v>
      </c>
      <c r="G531" s="61">
        <f>8.4147 * CHOOSE(CONTROL!$C$22, $C$13, 100%, $E$13)</f>
        <v>8.4146999999999998</v>
      </c>
      <c r="H531" s="61">
        <f>15.0391* CHOOSE(CONTROL!$C$22, $C$13, 100%, $E$13)</f>
        <v>15.039099999999999</v>
      </c>
      <c r="I531" s="61">
        <f>15.0393 * CHOOSE(CONTROL!$C$22, $C$13, 100%, $E$13)</f>
        <v>15.039300000000001</v>
      </c>
      <c r="J531" s="61">
        <f>8.4145 * CHOOSE(CONTROL!$C$22, $C$13, 100%, $E$13)</f>
        <v>8.4145000000000003</v>
      </c>
      <c r="K531" s="61">
        <f>8.4147 * CHOOSE(CONTROL!$C$22, $C$13, 100%, $E$13)</f>
        <v>8.4146999999999998</v>
      </c>
    </row>
    <row r="532" spans="1:11" ht="15">
      <c r="A532" s="13">
        <v>58045</v>
      </c>
      <c r="B532" s="60">
        <f>7.3042 * CHOOSE(CONTROL!$C$22, $C$13, 100%, $E$13)</f>
        <v>7.3041999999999998</v>
      </c>
      <c r="C532" s="60">
        <f>7.3042 * CHOOSE(CONTROL!$C$22, $C$13, 100%, $E$13)</f>
        <v>7.3041999999999998</v>
      </c>
      <c r="D532" s="60">
        <f>7.3219 * CHOOSE(CONTROL!$C$22, $C$13, 100%, $E$13)</f>
        <v>7.3219000000000003</v>
      </c>
      <c r="E532" s="61">
        <f>8.3469 * CHOOSE(CONTROL!$C$22, $C$13, 100%, $E$13)</f>
        <v>8.3468999999999998</v>
      </c>
      <c r="F532" s="61">
        <f>8.3469 * CHOOSE(CONTROL!$C$22, $C$13, 100%, $E$13)</f>
        <v>8.3468999999999998</v>
      </c>
      <c r="G532" s="61">
        <f>8.3471 * CHOOSE(CONTROL!$C$22, $C$13, 100%, $E$13)</f>
        <v>8.3470999999999993</v>
      </c>
      <c r="H532" s="61">
        <f>15.0705* CHOOSE(CONTROL!$C$22, $C$13, 100%, $E$13)</f>
        <v>15.070499999999999</v>
      </c>
      <c r="I532" s="61">
        <f>15.0706 * CHOOSE(CONTROL!$C$22, $C$13, 100%, $E$13)</f>
        <v>15.070600000000001</v>
      </c>
      <c r="J532" s="61">
        <f>8.3469 * CHOOSE(CONTROL!$C$22, $C$13, 100%, $E$13)</f>
        <v>8.3468999999999998</v>
      </c>
      <c r="K532" s="61">
        <f>8.3471 * CHOOSE(CONTROL!$C$22, $C$13, 100%, $E$13)</f>
        <v>8.3470999999999993</v>
      </c>
    </row>
    <row r="533" spans="1:11" ht="15">
      <c r="A533" s="13">
        <v>58076</v>
      </c>
      <c r="B533" s="60">
        <f>7.3655 * CHOOSE(CONTROL!$C$22, $C$13, 100%, $E$13)</f>
        <v>7.3654999999999999</v>
      </c>
      <c r="C533" s="60">
        <f>7.3655 * CHOOSE(CONTROL!$C$22, $C$13, 100%, $E$13)</f>
        <v>7.3654999999999999</v>
      </c>
      <c r="D533" s="60">
        <f>7.3831 * CHOOSE(CONTROL!$C$22, $C$13, 100%, $E$13)</f>
        <v>7.3830999999999998</v>
      </c>
      <c r="E533" s="61">
        <f>8.4758 * CHOOSE(CONTROL!$C$22, $C$13, 100%, $E$13)</f>
        <v>8.4757999999999996</v>
      </c>
      <c r="F533" s="61">
        <f>8.4758 * CHOOSE(CONTROL!$C$22, $C$13, 100%, $E$13)</f>
        <v>8.4757999999999996</v>
      </c>
      <c r="G533" s="61">
        <f>8.476 * CHOOSE(CONTROL!$C$22, $C$13, 100%, $E$13)</f>
        <v>8.4760000000000009</v>
      </c>
      <c r="H533" s="61">
        <f>15.1019* CHOOSE(CONTROL!$C$22, $C$13, 100%, $E$13)</f>
        <v>15.101900000000001</v>
      </c>
      <c r="I533" s="61">
        <f>15.102 * CHOOSE(CONTROL!$C$22, $C$13, 100%, $E$13)</f>
        <v>15.102</v>
      </c>
      <c r="J533" s="61">
        <f>8.4758 * CHOOSE(CONTROL!$C$22, $C$13, 100%, $E$13)</f>
        <v>8.4757999999999996</v>
      </c>
      <c r="K533" s="61">
        <f>8.476 * CHOOSE(CONTROL!$C$22, $C$13, 100%, $E$13)</f>
        <v>8.4760000000000009</v>
      </c>
    </row>
    <row r="534" spans="1:11" ht="15">
      <c r="A534" s="13">
        <v>58107</v>
      </c>
      <c r="B534" s="60">
        <f>7.3624 * CHOOSE(CONTROL!$C$22, $C$13, 100%, $E$13)</f>
        <v>7.3624000000000001</v>
      </c>
      <c r="C534" s="60">
        <f>7.3624 * CHOOSE(CONTROL!$C$22, $C$13, 100%, $E$13)</f>
        <v>7.3624000000000001</v>
      </c>
      <c r="D534" s="60">
        <f>7.3801 * CHOOSE(CONTROL!$C$22, $C$13, 100%, $E$13)</f>
        <v>7.3800999999999997</v>
      </c>
      <c r="E534" s="61">
        <f>8.3418 * CHOOSE(CONTROL!$C$22, $C$13, 100%, $E$13)</f>
        <v>8.3417999999999992</v>
      </c>
      <c r="F534" s="61">
        <f>8.3418 * CHOOSE(CONTROL!$C$22, $C$13, 100%, $E$13)</f>
        <v>8.3417999999999992</v>
      </c>
      <c r="G534" s="61">
        <f>8.342 * CHOOSE(CONTROL!$C$22, $C$13, 100%, $E$13)</f>
        <v>8.3420000000000005</v>
      </c>
      <c r="H534" s="61">
        <f>15.1333* CHOOSE(CONTROL!$C$22, $C$13, 100%, $E$13)</f>
        <v>15.1333</v>
      </c>
      <c r="I534" s="61">
        <f>15.1335 * CHOOSE(CONTROL!$C$22, $C$13, 100%, $E$13)</f>
        <v>15.1335</v>
      </c>
      <c r="J534" s="61">
        <f>8.3418 * CHOOSE(CONTROL!$C$22, $C$13, 100%, $E$13)</f>
        <v>8.3417999999999992</v>
      </c>
      <c r="K534" s="61">
        <f>8.342 * CHOOSE(CONTROL!$C$22, $C$13, 100%, $E$13)</f>
        <v>8.3420000000000005</v>
      </c>
    </row>
    <row r="535" spans="1:11" ht="15">
      <c r="A535" s="13">
        <v>58135</v>
      </c>
      <c r="B535" s="60">
        <f>7.3594 * CHOOSE(CONTROL!$C$22, $C$13, 100%, $E$13)</f>
        <v>7.3593999999999999</v>
      </c>
      <c r="C535" s="60">
        <f>7.3594 * CHOOSE(CONTROL!$C$22, $C$13, 100%, $E$13)</f>
        <v>7.3593999999999999</v>
      </c>
      <c r="D535" s="60">
        <f>7.3771 * CHOOSE(CONTROL!$C$22, $C$13, 100%, $E$13)</f>
        <v>7.3771000000000004</v>
      </c>
      <c r="E535" s="61">
        <f>8.4437 * CHOOSE(CONTROL!$C$22, $C$13, 100%, $E$13)</f>
        <v>8.4436999999999998</v>
      </c>
      <c r="F535" s="61">
        <f>8.4437 * CHOOSE(CONTROL!$C$22, $C$13, 100%, $E$13)</f>
        <v>8.4436999999999998</v>
      </c>
      <c r="G535" s="61">
        <f>8.4439 * CHOOSE(CONTROL!$C$22, $C$13, 100%, $E$13)</f>
        <v>8.4438999999999993</v>
      </c>
      <c r="H535" s="61">
        <f>15.1649* CHOOSE(CONTROL!$C$22, $C$13, 100%, $E$13)</f>
        <v>15.164899999999999</v>
      </c>
      <c r="I535" s="61">
        <f>15.165 * CHOOSE(CONTROL!$C$22, $C$13, 100%, $E$13)</f>
        <v>15.164999999999999</v>
      </c>
      <c r="J535" s="61">
        <f>8.4437 * CHOOSE(CONTROL!$C$22, $C$13, 100%, $E$13)</f>
        <v>8.4436999999999998</v>
      </c>
      <c r="K535" s="61">
        <f>8.4439 * CHOOSE(CONTROL!$C$22, $C$13, 100%, $E$13)</f>
        <v>8.4438999999999993</v>
      </c>
    </row>
    <row r="536" spans="1:11" ht="15">
      <c r="A536" s="13">
        <v>58166</v>
      </c>
      <c r="B536" s="60">
        <f>7.3604 * CHOOSE(CONTROL!$C$22, $C$13, 100%, $E$13)</f>
        <v>7.3604000000000003</v>
      </c>
      <c r="C536" s="60">
        <f>7.3604 * CHOOSE(CONTROL!$C$22, $C$13, 100%, $E$13)</f>
        <v>7.3604000000000003</v>
      </c>
      <c r="D536" s="60">
        <f>7.378 * CHOOSE(CONTROL!$C$22, $C$13, 100%, $E$13)</f>
        <v>7.3780000000000001</v>
      </c>
      <c r="E536" s="61">
        <f>8.5511 * CHOOSE(CONTROL!$C$22, $C$13, 100%, $E$13)</f>
        <v>8.5510999999999999</v>
      </c>
      <c r="F536" s="61">
        <f>8.5511 * CHOOSE(CONTROL!$C$22, $C$13, 100%, $E$13)</f>
        <v>8.5510999999999999</v>
      </c>
      <c r="G536" s="61">
        <f>8.5513 * CHOOSE(CONTROL!$C$22, $C$13, 100%, $E$13)</f>
        <v>8.5512999999999995</v>
      </c>
      <c r="H536" s="61">
        <f>15.1964* CHOOSE(CONTROL!$C$22, $C$13, 100%, $E$13)</f>
        <v>15.196400000000001</v>
      </c>
      <c r="I536" s="61">
        <f>15.1966 * CHOOSE(CONTROL!$C$22, $C$13, 100%, $E$13)</f>
        <v>15.1966</v>
      </c>
      <c r="J536" s="61">
        <f>8.5511 * CHOOSE(CONTROL!$C$22, $C$13, 100%, $E$13)</f>
        <v>8.5510999999999999</v>
      </c>
      <c r="K536" s="61">
        <f>8.5513 * CHOOSE(CONTROL!$C$22, $C$13, 100%, $E$13)</f>
        <v>8.5512999999999995</v>
      </c>
    </row>
    <row r="537" spans="1:11" ht="15">
      <c r="A537" s="13">
        <v>58196</v>
      </c>
      <c r="B537" s="60">
        <f>7.3604 * CHOOSE(CONTROL!$C$22, $C$13, 100%, $E$13)</f>
        <v>7.3604000000000003</v>
      </c>
      <c r="C537" s="60">
        <f>7.3604 * CHOOSE(CONTROL!$C$22, $C$13, 100%, $E$13)</f>
        <v>7.3604000000000003</v>
      </c>
      <c r="D537" s="60">
        <f>7.3957 * CHOOSE(CONTROL!$C$22, $C$13, 100%, $E$13)</f>
        <v>7.3956999999999997</v>
      </c>
      <c r="E537" s="61">
        <f>8.593 * CHOOSE(CONTROL!$C$22, $C$13, 100%, $E$13)</f>
        <v>8.593</v>
      </c>
      <c r="F537" s="61">
        <f>8.593 * CHOOSE(CONTROL!$C$22, $C$13, 100%, $E$13)</f>
        <v>8.593</v>
      </c>
      <c r="G537" s="61">
        <f>8.5952 * CHOOSE(CONTROL!$C$22, $C$13, 100%, $E$13)</f>
        <v>8.5952000000000002</v>
      </c>
      <c r="H537" s="61">
        <f>15.2281* CHOOSE(CONTROL!$C$22, $C$13, 100%, $E$13)</f>
        <v>15.2281</v>
      </c>
      <c r="I537" s="61">
        <f>15.2303 * CHOOSE(CONTROL!$C$22, $C$13, 100%, $E$13)</f>
        <v>15.2303</v>
      </c>
      <c r="J537" s="61">
        <f>8.593 * CHOOSE(CONTROL!$C$22, $C$13, 100%, $E$13)</f>
        <v>8.593</v>
      </c>
      <c r="K537" s="61">
        <f>8.5952 * CHOOSE(CONTROL!$C$22, $C$13, 100%, $E$13)</f>
        <v>8.5952000000000002</v>
      </c>
    </row>
    <row r="538" spans="1:11" ht="15">
      <c r="A538" s="13">
        <v>58227</v>
      </c>
      <c r="B538" s="60">
        <f>7.3665 * CHOOSE(CONTROL!$C$22, $C$13, 100%, $E$13)</f>
        <v>7.3665000000000003</v>
      </c>
      <c r="C538" s="60">
        <f>7.3665 * CHOOSE(CONTROL!$C$22, $C$13, 100%, $E$13)</f>
        <v>7.3665000000000003</v>
      </c>
      <c r="D538" s="60">
        <f>7.4018 * CHOOSE(CONTROL!$C$22, $C$13, 100%, $E$13)</f>
        <v>7.4017999999999997</v>
      </c>
      <c r="E538" s="61">
        <f>8.5553 * CHOOSE(CONTROL!$C$22, $C$13, 100%, $E$13)</f>
        <v>8.5553000000000008</v>
      </c>
      <c r="F538" s="61">
        <f>8.5553 * CHOOSE(CONTROL!$C$22, $C$13, 100%, $E$13)</f>
        <v>8.5553000000000008</v>
      </c>
      <c r="G538" s="61">
        <f>8.5575 * CHOOSE(CONTROL!$C$22, $C$13, 100%, $E$13)</f>
        <v>8.5574999999999992</v>
      </c>
      <c r="H538" s="61">
        <f>15.2598* CHOOSE(CONTROL!$C$22, $C$13, 100%, $E$13)</f>
        <v>15.2598</v>
      </c>
      <c r="I538" s="61">
        <f>15.262 * CHOOSE(CONTROL!$C$22, $C$13, 100%, $E$13)</f>
        <v>15.262</v>
      </c>
      <c r="J538" s="61">
        <f>8.5553 * CHOOSE(CONTROL!$C$22, $C$13, 100%, $E$13)</f>
        <v>8.5553000000000008</v>
      </c>
      <c r="K538" s="61">
        <f>8.5575 * CHOOSE(CONTROL!$C$22, $C$13, 100%, $E$13)</f>
        <v>8.5574999999999992</v>
      </c>
    </row>
    <row r="539" spans="1:11" ht="15">
      <c r="A539" s="13">
        <v>58257</v>
      </c>
      <c r="B539" s="60">
        <f>7.4748 * CHOOSE(CONTROL!$C$22, $C$13, 100%, $E$13)</f>
        <v>7.4748000000000001</v>
      </c>
      <c r="C539" s="60">
        <f>7.4748 * CHOOSE(CONTROL!$C$22, $C$13, 100%, $E$13)</f>
        <v>7.4748000000000001</v>
      </c>
      <c r="D539" s="60">
        <f>7.5101 * CHOOSE(CONTROL!$C$22, $C$13, 100%, $E$13)</f>
        <v>7.5101000000000004</v>
      </c>
      <c r="E539" s="61">
        <f>8.7157 * CHOOSE(CONTROL!$C$22, $C$13, 100%, $E$13)</f>
        <v>8.7157</v>
      </c>
      <c r="F539" s="61">
        <f>8.7157 * CHOOSE(CONTROL!$C$22, $C$13, 100%, $E$13)</f>
        <v>8.7157</v>
      </c>
      <c r="G539" s="61">
        <f>8.7179 * CHOOSE(CONTROL!$C$22, $C$13, 100%, $E$13)</f>
        <v>8.7179000000000002</v>
      </c>
      <c r="H539" s="61">
        <f>15.2916* CHOOSE(CONTROL!$C$22, $C$13, 100%, $E$13)</f>
        <v>15.291600000000001</v>
      </c>
      <c r="I539" s="61">
        <f>15.2938 * CHOOSE(CONTROL!$C$22, $C$13, 100%, $E$13)</f>
        <v>15.293799999999999</v>
      </c>
      <c r="J539" s="61">
        <f>8.7157 * CHOOSE(CONTROL!$C$22, $C$13, 100%, $E$13)</f>
        <v>8.7157</v>
      </c>
      <c r="K539" s="61">
        <f>8.7179 * CHOOSE(CONTROL!$C$22, $C$13, 100%, $E$13)</f>
        <v>8.7179000000000002</v>
      </c>
    </row>
    <row r="540" spans="1:11" ht="15">
      <c r="A540" s="13">
        <v>58288</v>
      </c>
      <c r="B540" s="60">
        <f>7.4815 * CHOOSE(CONTROL!$C$22, $C$13, 100%, $E$13)</f>
        <v>7.4814999999999996</v>
      </c>
      <c r="C540" s="60">
        <f>7.4815 * CHOOSE(CONTROL!$C$22, $C$13, 100%, $E$13)</f>
        <v>7.4814999999999996</v>
      </c>
      <c r="D540" s="60">
        <f>7.5168 * CHOOSE(CONTROL!$C$22, $C$13, 100%, $E$13)</f>
        <v>7.5167999999999999</v>
      </c>
      <c r="E540" s="61">
        <f>8.5948 * CHOOSE(CONTROL!$C$22, $C$13, 100%, $E$13)</f>
        <v>8.5947999999999993</v>
      </c>
      <c r="F540" s="61">
        <f>8.5948 * CHOOSE(CONTROL!$C$22, $C$13, 100%, $E$13)</f>
        <v>8.5947999999999993</v>
      </c>
      <c r="G540" s="61">
        <f>8.597 * CHOOSE(CONTROL!$C$22, $C$13, 100%, $E$13)</f>
        <v>8.5969999999999995</v>
      </c>
      <c r="H540" s="61">
        <f>15.3235* CHOOSE(CONTROL!$C$22, $C$13, 100%, $E$13)</f>
        <v>15.323499999999999</v>
      </c>
      <c r="I540" s="61">
        <f>15.3257 * CHOOSE(CONTROL!$C$22, $C$13, 100%, $E$13)</f>
        <v>15.325699999999999</v>
      </c>
      <c r="J540" s="61">
        <f>8.5948 * CHOOSE(CONTROL!$C$22, $C$13, 100%, $E$13)</f>
        <v>8.5947999999999993</v>
      </c>
      <c r="K540" s="61">
        <f>8.597 * CHOOSE(CONTROL!$C$22, $C$13, 100%, $E$13)</f>
        <v>8.5969999999999995</v>
      </c>
    </row>
    <row r="541" spans="1:11" ht="15">
      <c r="A541" s="13">
        <v>58319</v>
      </c>
      <c r="B541" s="60">
        <f>7.4784 * CHOOSE(CONTROL!$C$22, $C$13, 100%, $E$13)</f>
        <v>7.4783999999999997</v>
      </c>
      <c r="C541" s="60">
        <f>7.4784 * CHOOSE(CONTROL!$C$22, $C$13, 100%, $E$13)</f>
        <v>7.4783999999999997</v>
      </c>
      <c r="D541" s="60">
        <f>7.5137 * CHOOSE(CONTROL!$C$22, $C$13, 100%, $E$13)</f>
        <v>7.5137</v>
      </c>
      <c r="E541" s="61">
        <f>8.5787 * CHOOSE(CONTROL!$C$22, $C$13, 100%, $E$13)</f>
        <v>8.5786999999999995</v>
      </c>
      <c r="F541" s="61">
        <f>8.5787 * CHOOSE(CONTROL!$C$22, $C$13, 100%, $E$13)</f>
        <v>8.5786999999999995</v>
      </c>
      <c r="G541" s="61">
        <f>8.5809 * CHOOSE(CONTROL!$C$22, $C$13, 100%, $E$13)</f>
        <v>8.5808999999999997</v>
      </c>
      <c r="H541" s="61">
        <f>15.3554* CHOOSE(CONTROL!$C$22, $C$13, 100%, $E$13)</f>
        <v>15.355399999999999</v>
      </c>
      <c r="I541" s="61">
        <f>15.3576 * CHOOSE(CONTROL!$C$22, $C$13, 100%, $E$13)</f>
        <v>15.3576</v>
      </c>
      <c r="J541" s="61">
        <f>8.5787 * CHOOSE(CONTROL!$C$22, $C$13, 100%, $E$13)</f>
        <v>8.5786999999999995</v>
      </c>
      <c r="K541" s="61">
        <f>8.5809 * CHOOSE(CONTROL!$C$22, $C$13, 100%, $E$13)</f>
        <v>8.5808999999999997</v>
      </c>
    </row>
    <row r="542" spans="1:11" ht="15">
      <c r="A542" s="13">
        <v>58349</v>
      </c>
      <c r="B542" s="60">
        <f>7.4867 * CHOOSE(CONTROL!$C$22, $C$13, 100%, $E$13)</f>
        <v>7.4866999999999999</v>
      </c>
      <c r="C542" s="60">
        <f>7.4867 * CHOOSE(CONTROL!$C$22, $C$13, 100%, $E$13)</f>
        <v>7.4866999999999999</v>
      </c>
      <c r="D542" s="60">
        <f>7.5044 * CHOOSE(CONTROL!$C$22, $C$13, 100%, $E$13)</f>
        <v>7.5044000000000004</v>
      </c>
      <c r="E542" s="61">
        <f>8.6211 * CHOOSE(CONTROL!$C$22, $C$13, 100%, $E$13)</f>
        <v>8.6211000000000002</v>
      </c>
      <c r="F542" s="61">
        <f>8.6211 * CHOOSE(CONTROL!$C$22, $C$13, 100%, $E$13)</f>
        <v>8.6211000000000002</v>
      </c>
      <c r="G542" s="61">
        <f>8.6213 * CHOOSE(CONTROL!$C$22, $C$13, 100%, $E$13)</f>
        <v>8.6212999999999997</v>
      </c>
      <c r="H542" s="61">
        <f>15.3874* CHOOSE(CONTROL!$C$22, $C$13, 100%, $E$13)</f>
        <v>15.3874</v>
      </c>
      <c r="I542" s="61">
        <f>15.3876 * CHOOSE(CONTROL!$C$22, $C$13, 100%, $E$13)</f>
        <v>15.387600000000001</v>
      </c>
      <c r="J542" s="61">
        <f>8.6211 * CHOOSE(CONTROL!$C$22, $C$13, 100%, $E$13)</f>
        <v>8.6211000000000002</v>
      </c>
      <c r="K542" s="61">
        <f>8.6213 * CHOOSE(CONTROL!$C$22, $C$13, 100%, $E$13)</f>
        <v>8.6212999999999997</v>
      </c>
    </row>
    <row r="543" spans="1:11" ht="15">
      <c r="A543" s="13">
        <v>58380</v>
      </c>
      <c r="B543" s="60">
        <f>7.4898 * CHOOSE(CONTROL!$C$22, $C$13, 100%, $E$13)</f>
        <v>7.4897999999999998</v>
      </c>
      <c r="C543" s="60">
        <f>7.4898 * CHOOSE(CONTROL!$C$22, $C$13, 100%, $E$13)</f>
        <v>7.4897999999999998</v>
      </c>
      <c r="D543" s="60">
        <f>7.5074 * CHOOSE(CONTROL!$C$22, $C$13, 100%, $E$13)</f>
        <v>7.5073999999999996</v>
      </c>
      <c r="E543" s="61">
        <f>8.6511 * CHOOSE(CONTROL!$C$22, $C$13, 100%, $E$13)</f>
        <v>8.6510999999999996</v>
      </c>
      <c r="F543" s="61">
        <f>8.6511 * CHOOSE(CONTROL!$C$22, $C$13, 100%, $E$13)</f>
        <v>8.6510999999999996</v>
      </c>
      <c r="G543" s="61">
        <f>8.6513 * CHOOSE(CONTROL!$C$22, $C$13, 100%, $E$13)</f>
        <v>8.6513000000000009</v>
      </c>
      <c r="H543" s="61">
        <f>15.4195* CHOOSE(CONTROL!$C$22, $C$13, 100%, $E$13)</f>
        <v>15.419499999999999</v>
      </c>
      <c r="I543" s="61">
        <f>15.4196 * CHOOSE(CONTROL!$C$22, $C$13, 100%, $E$13)</f>
        <v>15.419600000000001</v>
      </c>
      <c r="J543" s="61">
        <f>8.6511 * CHOOSE(CONTROL!$C$22, $C$13, 100%, $E$13)</f>
        <v>8.6510999999999996</v>
      </c>
      <c r="K543" s="61">
        <f>8.6513 * CHOOSE(CONTROL!$C$22, $C$13, 100%, $E$13)</f>
        <v>8.6513000000000009</v>
      </c>
    </row>
    <row r="544" spans="1:11" ht="15">
      <c r="A544" s="13">
        <v>58410</v>
      </c>
      <c r="B544" s="60">
        <f>7.4898 * CHOOSE(CONTROL!$C$22, $C$13, 100%, $E$13)</f>
        <v>7.4897999999999998</v>
      </c>
      <c r="C544" s="60">
        <f>7.4898 * CHOOSE(CONTROL!$C$22, $C$13, 100%, $E$13)</f>
        <v>7.4897999999999998</v>
      </c>
      <c r="D544" s="60">
        <f>7.5074 * CHOOSE(CONTROL!$C$22, $C$13, 100%, $E$13)</f>
        <v>7.5073999999999996</v>
      </c>
      <c r="E544" s="61">
        <f>8.5813 * CHOOSE(CONTROL!$C$22, $C$13, 100%, $E$13)</f>
        <v>8.5813000000000006</v>
      </c>
      <c r="F544" s="61">
        <f>8.5813 * CHOOSE(CONTROL!$C$22, $C$13, 100%, $E$13)</f>
        <v>8.5813000000000006</v>
      </c>
      <c r="G544" s="61">
        <f>8.5815 * CHOOSE(CONTROL!$C$22, $C$13, 100%, $E$13)</f>
        <v>8.5815000000000001</v>
      </c>
      <c r="H544" s="61">
        <f>15.4516* CHOOSE(CONTROL!$C$22, $C$13, 100%, $E$13)</f>
        <v>15.451599999999999</v>
      </c>
      <c r="I544" s="61">
        <f>15.4518 * CHOOSE(CONTROL!$C$22, $C$13, 100%, $E$13)</f>
        <v>15.4518</v>
      </c>
      <c r="J544" s="61">
        <f>8.5813 * CHOOSE(CONTROL!$C$22, $C$13, 100%, $E$13)</f>
        <v>8.5813000000000006</v>
      </c>
      <c r="K544" s="61">
        <f>8.5815 * CHOOSE(CONTROL!$C$22, $C$13, 100%, $E$13)</f>
        <v>8.5815000000000001</v>
      </c>
    </row>
    <row r="545" spans="1:11" ht="15">
      <c r="A545" s="13">
        <v>58441</v>
      </c>
      <c r="B545" s="60">
        <f>7.5525 * CHOOSE(CONTROL!$C$22, $C$13, 100%, $E$13)</f>
        <v>7.5525000000000002</v>
      </c>
      <c r="C545" s="60">
        <f>7.5525 * CHOOSE(CONTROL!$C$22, $C$13, 100%, $E$13)</f>
        <v>7.5525000000000002</v>
      </c>
      <c r="D545" s="60">
        <f>7.5701 * CHOOSE(CONTROL!$C$22, $C$13, 100%, $E$13)</f>
        <v>7.5701000000000001</v>
      </c>
      <c r="E545" s="61">
        <f>8.7141 * CHOOSE(CONTROL!$C$22, $C$13, 100%, $E$13)</f>
        <v>8.7141000000000002</v>
      </c>
      <c r="F545" s="61">
        <f>8.7141 * CHOOSE(CONTROL!$C$22, $C$13, 100%, $E$13)</f>
        <v>8.7141000000000002</v>
      </c>
      <c r="G545" s="61">
        <f>8.7142 * CHOOSE(CONTROL!$C$22, $C$13, 100%, $E$13)</f>
        <v>8.7141999999999999</v>
      </c>
      <c r="H545" s="61">
        <f>15.4838* CHOOSE(CONTROL!$C$22, $C$13, 100%, $E$13)</f>
        <v>15.4838</v>
      </c>
      <c r="I545" s="61">
        <f>15.4839 * CHOOSE(CONTROL!$C$22, $C$13, 100%, $E$13)</f>
        <v>15.4839</v>
      </c>
      <c r="J545" s="61">
        <f>8.7141 * CHOOSE(CONTROL!$C$22, $C$13, 100%, $E$13)</f>
        <v>8.7141000000000002</v>
      </c>
      <c r="K545" s="61">
        <f>8.7142 * CHOOSE(CONTROL!$C$22, $C$13, 100%, $E$13)</f>
        <v>8.7141999999999999</v>
      </c>
    </row>
    <row r="546" spans="1:11" ht="15">
      <c r="A546" s="13">
        <v>58472</v>
      </c>
      <c r="B546" s="60">
        <f>7.5494 * CHOOSE(CONTROL!$C$22, $C$13, 100%, $E$13)</f>
        <v>7.5494000000000003</v>
      </c>
      <c r="C546" s="60">
        <f>7.5494 * CHOOSE(CONTROL!$C$22, $C$13, 100%, $E$13)</f>
        <v>7.5494000000000003</v>
      </c>
      <c r="D546" s="60">
        <f>7.5671 * CHOOSE(CONTROL!$C$22, $C$13, 100%, $E$13)</f>
        <v>7.5670999999999999</v>
      </c>
      <c r="E546" s="61">
        <f>8.5758 * CHOOSE(CONTROL!$C$22, $C$13, 100%, $E$13)</f>
        <v>8.5757999999999992</v>
      </c>
      <c r="F546" s="61">
        <f>8.5758 * CHOOSE(CONTROL!$C$22, $C$13, 100%, $E$13)</f>
        <v>8.5757999999999992</v>
      </c>
      <c r="G546" s="61">
        <f>8.576 * CHOOSE(CONTROL!$C$22, $C$13, 100%, $E$13)</f>
        <v>8.5760000000000005</v>
      </c>
      <c r="H546" s="61">
        <f>15.516* CHOOSE(CONTROL!$C$22, $C$13, 100%, $E$13)</f>
        <v>15.516</v>
      </c>
      <c r="I546" s="61">
        <f>15.5162 * CHOOSE(CONTROL!$C$22, $C$13, 100%, $E$13)</f>
        <v>15.5162</v>
      </c>
      <c r="J546" s="61">
        <f>8.5758 * CHOOSE(CONTROL!$C$22, $C$13, 100%, $E$13)</f>
        <v>8.5757999999999992</v>
      </c>
      <c r="K546" s="61">
        <f>8.576 * CHOOSE(CONTROL!$C$22, $C$13, 100%, $E$13)</f>
        <v>8.5760000000000005</v>
      </c>
    </row>
    <row r="547" spans="1:11" ht="15">
      <c r="A547" s="13">
        <v>58501</v>
      </c>
      <c r="B547" s="60">
        <f>7.5464 * CHOOSE(CONTROL!$C$22, $C$13, 100%, $E$13)</f>
        <v>7.5464000000000002</v>
      </c>
      <c r="C547" s="60">
        <f>7.5464 * CHOOSE(CONTROL!$C$22, $C$13, 100%, $E$13)</f>
        <v>7.5464000000000002</v>
      </c>
      <c r="D547" s="60">
        <f>7.564 * CHOOSE(CONTROL!$C$22, $C$13, 100%, $E$13)</f>
        <v>7.5640000000000001</v>
      </c>
      <c r="E547" s="61">
        <f>8.681 * CHOOSE(CONTROL!$C$22, $C$13, 100%, $E$13)</f>
        <v>8.6809999999999992</v>
      </c>
      <c r="F547" s="61">
        <f>8.681 * CHOOSE(CONTROL!$C$22, $C$13, 100%, $E$13)</f>
        <v>8.6809999999999992</v>
      </c>
      <c r="G547" s="61">
        <f>8.6812 * CHOOSE(CONTROL!$C$22, $C$13, 100%, $E$13)</f>
        <v>8.6812000000000005</v>
      </c>
      <c r="H547" s="61">
        <f>15.5484* CHOOSE(CONTROL!$C$22, $C$13, 100%, $E$13)</f>
        <v>15.548400000000001</v>
      </c>
      <c r="I547" s="61">
        <f>15.5485 * CHOOSE(CONTROL!$C$22, $C$13, 100%, $E$13)</f>
        <v>15.548500000000001</v>
      </c>
      <c r="J547" s="61">
        <f>8.681 * CHOOSE(CONTROL!$C$22, $C$13, 100%, $E$13)</f>
        <v>8.6809999999999992</v>
      </c>
      <c r="K547" s="61">
        <f>8.6812 * CHOOSE(CONTROL!$C$22, $C$13, 100%, $E$13)</f>
        <v>8.6812000000000005</v>
      </c>
    </row>
    <row r="548" spans="1:11" ht="15">
      <c r="A548" s="13">
        <v>58532</v>
      </c>
      <c r="B548" s="60">
        <f>7.5475 * CHOOSE(CONTROL!$C$22, $C$13, 100%, $E$13)</f>
        <v>7.5475000000000003</v>
      </c>
      <c r="C548" s="60">
        <f>7.5475 * CHOOSE(CONTROL!$C$22, $C$13, 100%, $E$13)</f>
        <v>7.5475000000000003</v>
      </c>
      <c r="D548" s="60">
        <f>7.5652 * CHOOSE(CONTROL!$C$22, $C$13, 100%, $E$13)</f>
        <v>7.5651999999999999</v>
      </c>
      <c r="E548" s="61">
        <f>8.792 * CHOOSE(CONTROL!$C$22, $C$13, 100%, $E$13)</f>
        <v>8.7919999999999998</v>
      </c>
      <c r="F548" s="61">
        <f>8.792 * CHOOSE(CONTROL!$C$22, $C$13, 100%, $E$13)</f>
        <v>8.7919999999999998</v>
      </c>
      <c r="G548" s="61">
        <f>8.7922 * CHOOSE(CONTROL!$C$22, $C$13, 100%, $E$13)</f>
        <v>8.7921999999999993</v>
      </c>
      <c r="H548" s="61">
        <f>15.5807* CHOOSE(CONTROL!$C$22, $C$13, 100%, $E$13)</f>
        <v>15.5807</v>
      </c>
      <c r="I548" s="61">
        <f>15.5809 * CHOOSE(CONTROL!$C$22, $C$13, 100%, $E$13)</f>
        <v>15.5809</v>
      </c>
      <c r="J548" s="61">
        <f>8.792 * CHOOSE(CONTROL!$C$22, $C$13, 100%, $E$13)</f>
        <v>8.7919999999999998</v>
      </c>
      <c r="K548" s="61">
        <f>8.7922 * CHOOSE(CONTROL!$C$22, $C$13, 100%, $E$13)</f>
        <v>8.7921999999999993</v>
      </c>
    </row>
    <row r="549" spans="1:11" ht="15">
      <c r="A549" s="13">
        <v>58562</v>
      </c>
      <c r="B549" s="60">
        <f>7.5475 * CHOOSE(CONTROL!$C$22, $C$13, 100%, $E$13)</f>
        <v>7.5475000000000003</v>
      </c>
      <c r="C549" s="60">
        <f>7.5475 * CHOOSE(CONTROL!$C$22, $C$13, 100%, $E$13)</f>
        <v>7.5475000000000003</v>
      </c>
      <c r="D549" s="60">
        <f>7.5829 * CHOOSE(CONTROL!$C$22, $C$13, 100%, $E$13)</f>
        <v>7.5829000000000004</v>
      </c>
      <c r="E549" s="61">
        <f>8.8352 * CHOOSE(CONTROL!$C$22, $C$13, 100%, $E$13)</f>
        <v>8.8352000000000004</v>
      </c>
      <c r="F549" s="61">
        <f>8.8352 * CHOOSE(CONTROL!$C$22, $C$13, 100%, $E$13)</f>
        <v>8.8352000000000004</v>
      </c>
      <c r="G549" s="61">
        <f>8.8374 * CHOOSE(CONTROL!$C$22, $C$13, 100%, $E$13)</f>
        <v>8.8374000000000006</v>
      </c>
      <c r="H549" s="61">
        <f>15.6132* CHOOSE(CONTROL!$C$22, $C$13, 100%, $E$13)</f>
        <v>15.613200000000001</v>
      </c>
      <c r="I549" s="61">
        <f>15.6154 * CHOOSE(CONTROL!$C$22, $C$13, 100%, $E$13)</f>
        <v>15.615399999999999</v>
      </c>
      <c r="J549" s="61">
        <f>8.8352 * CHOOSE(CONTROL!$C$22, $C$13, 100%, $E$13)</f>
        <v>8.8352000000000004</v>
      </c>
      <c r="K549" s="61">
        <f>8.8374 * CHOOSE(CONTROL!$C$22, $C$13, 100%, $E$13)</f>
        <v>8.8374000000000006</v>
      </c>
    </row>
    <row r="550" spans="1:11" ht="15">
      <c r="A550" s="13">
        <v>58593</v>
      </c>
      <c r="B550" s="60">
        <f>7.5536 * CHOOSE(CONTROL!$C$22, $C$13, 100%, $E$13)</f>
        <v>7.5536000000000003</v>
      </c>
      <c r="C550" s="60">
        <f>7.5536 * CHOOSE(CONTROL!$C$22, $C$13, 100%, $E$13)</f>
        <v>7.5536000000000003</v>
      </c>
      <c r="D550" s="60">
        <f>7.5889 * CHOOSE(CONTROL!$C$22, $C$13, 100%, $E$13)</f>
        <v>7.5888999999999998</v>
      </c>
      <c r="E550" s="61">
        <f>8.7962 * CHOOSE(CONTROL!$C$22, $C$13, 100%, $E$13)</f>
        <v>8.7962000000000007</v>
      </c>
      <c r="F550" s="61">
        <f>8.7962 * CHOOSE(CONTROL!$C$22, $C$13, 100%, $E$13)</f>
        <v>8.7962000000000007</v>
      </c>
      <c r="G550" s="61">
        <f>8.7984 * CHOOSE(CONTROL!$C$22, $C$13, 100%, $E$13)</f>
        <v>8.7984000000000009</v>
      </c>
      <c r="H550" s="61">
        <f>15.6457* CHOOSE(CONTROL!$C$22, $C$13, 100%, $E$13)</f>
        <v>15.6457</v>
      </c>
      <c r="I550" s="61">
        <f>15.6479 * CHOOSE(CONTROL!$C$22, $C$13, 100%, $E$13)</f>
        <v>15.6479</v>
      </c>
      <c r="J550" s="61">
        <f>8.7962 * CHOOSE(CONTROL!$C$22, $C$13, 100%, $E$13)</f>
        <v>8.7962000000000007</v>
      </c>
      <c r="K550" s="61">
        <f>8.7984 * CHOOSE(CONTROL!$C$22, $C$13, 100%, $E$13)</f>
        <v>8.7984000000000009</v>
      </c>
    </row>
    <row r="551" spans="1:11" ht="15">
      <c r="A551" s="13">
        <v>58623</v>
      </c>
      <c r="B551" s="60">
        <f>7.6643 * CHOOSE(CONTROL!$C$22, $C$13, 100%, $E$13)</f>
        <v>7.6642999999999999</v>
      </c>
      <c r="C551" s="60">
        <f>7.6643 * CHOOSE(CONTROL!$C$22, $C$13, 100%, $E$13)</f>
        <v>7.6642999999999999</v>
      </c>
      <c r="D551" s="60">
        <f>7.6996 * CHOOSE(CONTROL!$C$22, $C$13, 100%, $E$13)</f>
        <v>7.6996000000000002</v>
      </c>
      <c r="E551" s="61">
        <f>8.9608 * CHOOSE(CONTROL!$C$22, $C$13, 100%, $E$13)</f>
        <v>8.9608000000000008</v>
      </c>
      <c r="F551" s="61">
        <f>8.9608 * CHOOSE(CONTROL!$C$22, $C$13, 100%, $E$13)</f>
        <v>8.9608000000000008</v>
      </c>
      <c r="G551" s="61">
        <f>8.963 * CHOOSE(CONTROL!$C$22, $C$13, 100%, $E$13)</f>
        <v>8.9629999999999992</v>
      </c>
      <c r="H551" s="61">
        <f>15.6783* CHOOSE(CONTROL!$C$22, $C$13, 100%, $E$13)</f>
        <v>15.6783</v>
      </c>
      <c r="I551" s="61">
        <f>15.6805 * CHOOSE(CONTROL!$C$22, $C$13, 100%, $E$13)</f>
        <v>15.6805</v>
      </c>
      <c r="J551" s="61">
        <f>8.9608 * CHOOSE(CONTROL!$C$22, $C$13, 100%, $E$13)</f>
        <v>8.9608000000000008</v>
      </c>
      <c r="K551" s="61">
        <f>8.963 * CHOOSE(CONTROL!$C$22, $C$13, 100%, $E$13)</f>
        <v>8.9629999999999992</v>
      </c>
    </row>
    <row r="552" spans="1:11" ht="15">
      <c r="A552" s="13">
        <v>58654</v>
      </c>
      <c r="B552" s="60">
        <f>7.671 * CHOOSE(CONTROL!$C$22, $C$13, 100%, $E$13)</f>
        <v>7.6710000000000003</v>
      </c>
      <c r="C552" s="60">
        <f>7.671 * CHOOSE(CONTROL!$C$22, $C$13, 100%, $E$13)</f>
        <v>7.6710000000000003</v>
      </c>
      <c r="D552" s="60">
        <f>7.7063 * CHOOSE(CONTROL!$C$22, $C$13, 100%, $E$13)</f>
        <v>7.7062999999999997</v>
      </c>
      <c r="E552" s="61">
        <f>8.8358 * CHOOSE(CONTROL!$C$22, $C$13, 100%, $E$13)</f>
        <v>8.8358000000000008</v>
      </c>
      <c r="F552" s="61">
        <f>8.8358 * CHOOSE(CONTROL!$C$22, $C$13, 100%, $E$13)</f>
        <v>8.8358000000000008</v>
      </c>
      <c r="G552" s="61">
        <f>8.838 * CHOOSE(CONTROL!$C$22, $C$13, 100%, $E$13)</f>
        <v>8.8379999999999992</v>
      </c>
      <c r="H552" s="61">
        <f>15.711* CHOOSE(CONTROL!$C$22, $C$13, 100%, $E$13)</f>
        <v>15.711</v>
      </c>
      <c r="I552" s="61">
        <f>15.7132 * CHOOSE(CONTROL!$C$22, $C$13, 100%, $E$13)</f>
        <v>15.713200000000001</v>
      </c>
      <c r="J552" s="61">
        <f>8.8358 * CHOOSE(CONTROL!$C$22, $C$13, 100%, $E$13)</f>
        <v>8.8358000000000008</v>
      </c>
      <c r="K552" s="61">
        <f>8.838 * CHOOSE(CONTROL!$C$22, $C$13, 100%, $E$13)</f>
        <v>8.8379999999999992</v>
      </c>
    </row>
    <row r="553" spans="1:11" ht="15">
      <c r="A553" s="13">
        <v>58685</v>
      </c>
      <c r="B553" s="60">
        <f>7.668 * CHOOSE(CONTROL!$C$22, $C$13, 100%, $E$13)</f>
        <v>7.6680000000000001</v>
      </c>
      <c r="C553" s="60">
        <f>7.668 * CHOOSE(CONTROL!$C$22, $C$13, 100%, $E$13)</f>
        <v>7.6680000000000001</v>
      </c>
      <c r="D553" s="60">
        <f>7.7033 * CHOOSE(CONTROL!$C$22, $C$13, 100%, $E$13)</f>
        <v>7.7032999999999996</v>
      </c>
      <c r="E553" s="61">
        <f>8.8193 * CHOOSE(CONTROL!$C$22, $C$13, 100%, $E$13)</f>
        <v>8.8193000000000001</v>
      </c>
      <c r="F553" s="61">
        <f>8.8193 * CHOOSE(CONTROL!$C$22, $C$13, 100%, $E$13)</f>
        <v>8.8193000000000001</v>
      </c>
      <c r="G553" s="61">
        <f>8.8215 * CHOOSE(CONTROL!$C$22, $C$13, 100%, $E$13)</f>
        <v>8.8215000000000003</v>
      </c>
      <c r="H553" s="61">
        <f>15.7437* CHOOSE(CONTROL!$C$22, $C$13, 100%, $E$13)</f>
        <v>15.7437</v>
      </c>
      <c r="I553" s="61">
        <f>15.7459 * CHOOSE(CONTROL!$C$22, $C$13, 100%, $E$13)</f>
        <v>15.745900000000001</v>
      </c>
      <c r="J553" s="61">
        <f>8.8193 * CHOOSE(CONTROL!$C$22, $C$13, 100%, $E$13)</f>
        <v>8.8193000000000001</v>
      </c>
      <c r="K553" s="61">
        <f>8.8215 * CHOOSE(CONTROL!$C$22, $C$13, 100%, $E$13)</f>
        <v>8.8215000000000003</v>
      </c>
    </row>
    <row r="554" spans="1:11" ht="15">
      <c r="A554" s="13">
        <v>58715</v>
      </c>
      <c r="B554" s="60">
        <f>7.677 * CHOOSE(CONTROL!$C$22, $C$13, 100%, $E$13)</f>
        <v>7.6769999999999996</v>
      </c>
      <c r="C554" s="60">
        <f>7.677 * CHOOSE(CONTROL!$C$22, $C$13, 100%, $E$13)</f>
        <v>7.6769999999999996</v>
      </c>
      <c r="D554" s="60">
        <f>7.6946 * CHOOSE(CONTROL!$C$22, $C$13, 100%, $E$13)</f>
        <v>7.6946000000000003</v>
      </c>
      <c r="E554" s="61">
        <f>8.8635 * CHOOSE(CONTROL!$C$22, $C$13, 100%, $E$13)</f>
        <v>8.8635000000000002</v>
      </c>
      <c r="F554" s="61">
        <f>8.8635 * CHOOSE(CONTROL!$C$22, $C$13, 100%, $E$13)</f>
        <v>8.8635000000000002</v>
      </c>
      <c r="G554" s="61">
        <f>8.8637 * CHOOSE(CONTROL!$C$22, $C$13, 100%, $E$13)</f>
        <v>8.8636999999999997</v>
      </c>
      <c r="H554" s="61">
        <f>15.7765* CHOOSE(CONTROL!$C$22, $C$13, 100%, $E$13)</f>
        <v>15.7765</v>
      </c>
      <c r="I554" s="61">
        <f>15.7767 * CHOOSE(CONTROL!$C$22, $C$13, 100%, $E$13)</f>
        <v>15.7767</v>
      </c>
      <c r="J554" s="61">
        <f>8.8635 * CHOOSE(CONTROL!$C$22, $C$13, 100%, $E$13)</f>
        <v>8.8635000000000002</v>
      </c>
      <c r="K554" s="61">
        <f>8.8637 * CHOOSE(CONTROL!$C$22, $C$13, 100%, $E$13)</f>
        <v>8.8636999999999997</v>
      </c>
    </row>
    <row r="555" spans="1:11" ht="15">
      <c r="A555" s="13">
        <v>58746</v>
      </c>
      <c r="B555" s="60">
        <f>7.68 * CHOOSE(CONTROL!$C$22, $C$13, 100%, $E$13)</f>
        <v>7.68</v>
      </c>
      <c r="C555" s="60">
        <f>7.68 * CHOOSE(CONTROL!$C$22, $C$13, 100%, $E$13)</f>
        <v>7.68</v>
      </c>
      <c r="D555" s="60">
        <f>7.6977 * CHOOSE(CONTROL!$C$22, $C$13, 100%, $E$13)</f>
        <v>7.6977000000000002</v>
      </c>
      <c r="E555" s="61">
        <f>8.8944 * CHOOSE(CONTROL!$C$22, $C$13, 100%, $E$13)</f>
        <v>8.8943999999999992</v>
      </c>
      <c r="F555" s="61">
        <f>8.8944 * CHOOSE(CONTROL!$C$22, $C$13, 100%, $E$13)</f>
        <v>8.8943999999999992</v>
      </c>
      <c r="G555" s="61">
        <f>8.8946 * CHOOSE(CONTROL!$C$22, $C$13, 100%, $E$13)</f>
        <v>8.8946000000000005</v>
      </c>
      <c r="H555" s="61">
        <f>15.8094* CHOOSE(CONTROL!$C$22, $C$13, 100%, $E$13)</f>
        <v>15.8094</v>
      </c>
      <c r="I555" s="61">
        <f>15.8096 * CHOOSE(CONTROL!$C$22, $C$13, 100%, $E$13)</f>
        <v>15.8096</v>
      </c>
      <c r="J555" s="61">
        <f>8.8944 * CHOOSE(CONTROL!$C$22, $C$13, 100%, $E$13)</f>
        <v>8.8943999999999992</v>
      </c>
      <c r="K555" s="61">
        <f>8.8946 * CHOOSE(CONTROL!$C$22, $C$13, 100%, $E$13)</f>
        <v>8.8946000000000005</v>
      </c>
    </row>
    <row r="556" spans="1:11" ht="15">
      <c r="A556" s="13">
        <v>58776</v>
      </c>
      <c r="B556" s="60">
        <f>7.68 * CHOOSE(CONTROL!$C$22, $C$13, 100%, $E$13)</f>
        <v>7.68</v>
      </c>
      <c r="C556" s="60">
        <f>7.68 * CHOOSE(CONTROL!$C$22, $C$13, 100%, $E$13)</f>
        <v>7.68</v>
      </c>
      <c r="D556" s="60">
        <f>7.6977 * CHOOSE(CONTROL!$C$22, $C$13, 100%, $E$13)</f>
        <v>7.6977000000000002</v>
      </c>
      <c r="E556" s="61">
        <f>8.8224 * CHOOSE(CONTROL!$C$22, $C$13, 100%, $E$13)</f>
        <v>8.8224</v>
      </c>
      <c r="F556" s="61">
        <f>8.8224 * CHOOSE(CONTROL!$C$22, $C$13, 100%, $E$13)</f>
        <v>8.8224</v>
      </c>
      <c r="G556" s="61">
        <f>8.8226 * CHOOSE(CONTROL!$C$22, $C$13, 100%, $E$13)</f>
        <v>8.8225999999999996</v>
      </c>
      <c r="H556" s="61">
        <f>15.8423* CHOOSE(CONTROL!$C$22, $C$13, 100%, $E$13)</f>
        <v>15.8423</v>
      </c>
      <c r="I556" s="61">
        <f>15.8425 * CHOOSE(CONTROL!$C$22, $C$13, 100%, $E$13)</f>
        <v>15.842499999999999</v>
      </c>
      <c r="J556" s="61">
        <f>8.8224 * CHOOSE(CONTROL!$C$22, $C$13, 100%, $E$13)</f>
        <v>8.8224</v>
      </c>
      <c r="K556" s="61">
        <f>8.8226 * CHOOSE(CONTROL!$C$22, $C$13, 100%, $E$13)</f>
        <v>8.8225999999999996</v>
      </c>
    </row>
    <row r="557" spans="1:11" ht="15">
      <c r="A557" s="13">
        <v>58807</v>
      </c>
      <c r="B557" s="60">
        <f>7.7442 * CHOOSE(CONTROL!$C$22, $C$13, 100%, $E$13)</f>
        <v>7.7442000000000002</v>
      </c>
      <c r="C557" s="60">
        <f>7.7442 * CHOOSE(CONTROL!$C$22, $C$13, 100%, $E$13)</f>
        <v>7.7442000000000002</v>
      </c>
      <c r="D557" s="60">
        <f>7.7619 * CHOOSE(CONTROL!$C$22, $C$13, 100%, $E$13)</f>
        <v>7.7618999999999998</v>
      </c>
      <c r="E557" s="61">
        <f>8.959 * CHOOSE(CONTROL!$C$22, $C$13, 100%, $E$13)</f>
        <v>8.9589999999999996</v>
      </c>
      <c r="F557" s="61">
        <f>8.959 * CHOOSE(CONTROL!$C$22, $C$13, 100%, $E$13)</f>
        <v>8.9589999999999996</v>
      </c>
      <c r="G557" s="61">
        <f>8.9592 * CHOOSE(CONTROL!$C$22, $C$13, 100%, $E$13)</f>
        <v>8.9591999999999992</v>
      </c>
      <c r="H557" s="61">
        <f>15.8753* CHOOSE(CONTROL!$C$22, $C$13, 100%, $E$13)</f>
        <v>15.875299999999999</v>
      </c>
      <c r="I557" s="61">
        <f>15.8755 * CHOOSE(CONTROL!$C$22, $C$13, 100%, $E$13)</f>
        <v>15.875500000000001</v>
      </c>
      <c r="J557" s="61">
        <f>8.959 * CHOOSE(CONTROL!$C$22, $C$13, 100%, $E$13)</f>
        <v>8.9589999999999996</v>
      </c>
      <c r="K557" s="61">
        <f>8.9592 * CHOOSE(CONTROL!$C$22, $C$13, 100%, $E$13)</f>
        <v>8.9591999999999992</v>
      </c>
    </row>
    <row r="558" spans="1:11" ht="15">
      <c r="A558" s="13">
        <v>58838</v>
      </c>
      <c r="B558" s="60">
        <f>7.7412 * CHOOSE(CONTROL!$C$22, $C$13, 100%, $E$13)</f>
        <v>7.7412000000000001</v>
      </c>
      <c r="C558" s="60">
        <f>7.7412 * CHOOSE(CONTROL!$C$22, $C$13, 100%, $E$13)</f>
        <v>7.7412000000000001</v>
      </c>
      <c r="D558" s="60">
        <f>7.7588 * CHOOSE(CONTROL!$C$22, $C$13, 100%, $E$13)</f>
        <v>7.7587999999999999</v>
      </c>
      <c r="E558" s="61">
        <f>8.8164 * CHOOSE(CONTROL!$C$22, $C$13, 100%, $E$13)</f>
        <v>8.8163999999999998</v>
      </c>
      <c r="F558" s="61">
        <f>8.8164 * CHOOSE(CONTROL!$C$22, $C$13, 100%, $E$13)</f>
        <v>8.8163999999999998</v>
      </c>
      <c r="G558" s="61">
        <f>8.8166 * CHOOSE(CONTROL!$C$22, $C$13, 100%, $E$13)</f>
        <v>8.8165999999999993</v>
      </c>
      <c r="H558" s="61">
        <f>15.9084* CHOOSE(CONTROL!$C$22, $C$13, 100%, $E$13)</f>
        <v>15.9084</v>
      </c>
      <c r="I558" s="61">
        <f>15.9086 * CHOOSE(CONTROL!$C$22, $C$13, 100%, $E$13)</f>
        <v>15.9086</v>
      </c>
      <c r="J558" s="61">
        <f>8.8164 * CHOOSE(CONTROL!$C$22, $C$13, 100%, $E$13)</f>
        <v>8.8163999999999998</v>
      </c>
      <c r="K558" s="61">
        <f>8.8166 * CHOOSE(CONTROL!$C$22, $C$13, 100%, $E$13)</f>
        <v>8.8165999999999993</v>
      </c>
    </row>
    <row r="559" spans="1:11" ht="15">
      <c r="A559" s="13">
        <v>58866</v>
      </c>
      <c r="B559" s="60">
        <f>7.7381 * CHOOSE(CONTROL!$C$22, $C$13, 100%, $E$13)</f>
        <v>7.7381000000000002</v>
      </c>
      <c r="C559" s="60">
        <f>7.7381 * CHOOSE(CONTROL!$C$22, $C$13, 100%, $E$13)</f>
        <v>7.7381000000000002</v>
      </c>
      <c r="D559" s="60">
        <f>7.7558 * CHOOSE(CONTROL!$C$22, $C$13, 100%, $E$13)</f>
        <v>7.7557999999999998</v>
      </c>
      <c r="E559" s="61">
        <f>8.925 * CHOOSE(CONTROL!$C$22, $C$13, 100%, $E$13)</f>
        <v>8.9250000000000007</v>
      </c>
      <c r="F559" s="61">
        <f>8.925 * CHOOSE(CONTROL!$C$22, $C$13, 100%, $E$13)</f>
        <v>8.9250000000000007</v>
      </c>
      <c r="G559" s="61">
        <f>8.9252 * CHOOSE(CONTROL!$C$22, $C$13, 100%, $E$13)</f>
        <v>8.9252000000000002</v>
      </c>
      <c r="H559" s="61">
        <f>15.9415* CHOOSE(CONTROL!$C$22, $C$13, 100%, $E$13)</f>
        <v>15.9415</v>
      </c>
      <c r="I559" s="61">
        <f>15.9417 * CHOOSE(CONTROL!$C$22, $C$13, 100%, $E$13)</f>
        <v>15.941700000000001</v>
      </c>
      <c r="J559" s="61">
        <f>8.925 * CHOOSE(CONTROL!$C$22, $C$13, 100%, $E$13)</f>
        <v>8.9250000000000007</v>
      </c>
      <c r="K559" s="61">
        <f>8.9252 * CHOOSE(CONTROL!$C$22, $C$13, 100%, $E$13)</f>
        <v>8.9252000000000002</v>
      </c>
    </row>
    <row r="560" spans="1:11" ht="15">
      <c r="A560" s="13">
        <v>58897</v>
      </c>
      <c r="B560" s="60">
        <f>7.7395 * CHOOSE(CONTROL!$C$22, $C$13, 100%, $E$13)</f>
        <v>7.7394999999999996</v>
      </c>
      <c r="C560" s="60">
        <f>7.7395 * CHOOSE(CONTROL!$C$22, $C$13, 100%, $E$13)</f>
        <v>7.7394999999999996</v>
      </c>
      <c r="D560" s="60">
        <f>7.7571 * CHOOSE(CONTROL!$C$22, $C$13, 100%, $E$13)</f>
        <v>7.7571000000000003</v>
      </c>
      <c r="E560" s="61">
        <f>9.0397 * CHOOSE(CONTROL!$C$22, $C$13, 100%, $E$13)</f>
        <v>9.0396999999999998</v>
      </c>
      <c r="F560" s="61">
        <f>9.0397 * CHOOSE(CONTROL!$C$22, $C$13, 100%, $E$13)</f>
        <v>9.0396999999999998</v>
      </c>
      <c r="G560" s="61">
        <f>9.0398 * CHOOSE(CONTROL!$C$22, $C$13, 100%, $E$13)</f>
        <v>9.0397999999999996</v>
      </c>
      <c r="H560" s="61">
        <f>15.9748* CHOOSE(CONTROL!$C$22, $C$13, 100%, $E$13)</f>
        <v>15.9748</v>
      </c>
      <c r="I560" s="61">
        <f>15.9749 * CHOOSE(CONTROL!$C$22, $C$13, 100%, $E$13)</f>
        <v>15.9749</v>
      </c>
      <c r="J560" s="61">
        <f>9.0397 * CHOOSE(CONTROL!$C$22, $C$13, 100%, $E$13)</f>
        <v>9.0396999999999998</v>
      </c>
      <c r="K560" s="61">
        <f>9.0398 * CHOOSE(CONTROL!$C$22, $C$13, 100%, $E$13)</f>
        <v>9.0397999999999996</v>
      </c>
    </row>
    <row r="561" spans="1:11" ht="15">
      <c r="A561" s="13">
        <v>58927</v>
      </c>
      <c r="B561" s="60">
        <f>7.7395 * CHOOSE(CONTROL!$C$22, $C$13, 100%, $E$13)</f>
        <v>7.7394999999999996</v>
      </c>
      <c r="C561" s="60">
        <f>7.7395 * CHOOSE(CONTROL!$C$22, $C$13, 100%, $E$13)</f>
        <v>7.7394999999999996</v>
      </c>
      <c r="D561" s="60">
        <f>7.7748 * CHOOSE(CONTROL!$C$22, $C$13, 100%, $E$13)</f>
        <v>7.7747999999999999</v>
      </c>
      <c r="E561" s="61">
        <f>9.0842 * CHOOSE(CONTROL!$C$22, $C$13, 100%, $E$13)</f>
        <v>9.0841999999999992</v>
      </c>
      <c r="F561" s="61">
        <f>9.0842 * CHOOSE(CONTROL!$C$22, $C$13, 100%, $E$13)</f>
        <v>9.0841999999999992</v>
      </c>
      <c r="G561" s="61">
        <f>9.0864 * CHOOSE(CONTROL!$C$22, $C$13, 100%, $E$13)</f>
        <v>9.0863999999999994</v>
      </c>
      <c r="H561" s="61">
        <f>16.008* CHOOSE(CONTROL!$C$22, $C$13, 100%, $E$13)</f>
        <v>16.007999999999999</v>
      </c>
      <c r="I561" s="61">
        <f>16.0102 * CHOOSE(CONTROL!$C$22, $C$13, 100%, $E$13)</f>
        <v>16.010200000000001</v>
      </c>
      <c r="J561" s="61">
        <f>9.0842 * CHOOSE(CONTROL!$C$22, $C$13, 100%, $E$13)</f>
        <v>9.0841999999999992</v>
      </c>
      <c r="K561" s="61">
        <f>9.0864 * CHOOSE(CONTROL!$C$22, $C$13, 100%, $E$13)</f>
        <v>9.0863999999999994</v>
      </c>
    </row>
    <row r="562" spans="1:11" ht="15">
      <c r="A562" s="13">
        <v>58958</v>
      </c>
      <c r="B562" s="60">
        <f>7.7456 * CHOOSE(CONTROL!$C$22, $C$13, 100%, $E$13)</f>
        <v>7.7455999999999996</v>
      </c>
      <c r="C562" s="60">
        <f>7.7456 * CHOOSE(CONTROL!$C$22, $C$13, 100%, $E$13)</f>
        <v>7.7455999999999996</v>
      </c>
      <c r="D562" s="60">
        <f>7.7809 * CHOOSE(CONTROL!$C$22, $C$13, 100%, $E$13)</f>
        <v>7.7808999999999999</v>
      </c>
      <c r="E562" s="61">
        <f>9.0439 * CHOOSE(CONTROL!$C$22, $C$13, 100%, $E$13)</f>
        <v>9.0439000000000007</v>
      </c>
      <c r="F562" s="61">
        <f>9.0439 * CHOOSE(CONTROL!$C$22, $C$13, 100%, $E$13)</f>
        <v>9.0439000000000007</v>
      </c>
      <c r="G562" s="61">
        <f>9.0461 * CHOOSE(CONTROL!$C$22, $C$13, 100%, $E$13)</f>
        <v>9.0460999999999991</v>
      </c>
      <c r="H562" s="61">
        <f>16.0414* CHOOSE(CONTROL!$C$22, $C$13, 100%, $E$13)</f>
        <v>16.041399999999999</v>
      </c>
      <c r="I562" s="61">
        <f>16.0436 * CHOOSE(CONTROL!$C$22, $C$13, 100%, $E$13)</f>
        <v>16.043600000000001</v>
      </c>
      <c r="J562" s="61">
        <f>9.0439 * CHOOSE(CONTROL!$C$22, $C$13, 100%, $E$13)</f>
        <v>9.0439000000000007</v>
      </c>
      <c r="K562" s="61">
        <f>9.0461 * CHOOSE(CONTROL!$C$22, $C$13, 100%, $E$13)</f>
        <v>9.0460999999999991</v>
      </c>
    </row>
    <row r="563" spans="1:11" ht="15">
      <c r="A563" s="13">
        <v>58988</v>
      </c>
      <c r="B563" s="60">
        <f>7.8587 * CHOOSE(CONTROL!$C$22, $C$13, 100%, $E$13)</f>
        <v>7.8586999999999998</v>
      </c>
      <c r="C563" s="60">
        <f>7.8587 * CHOOSE(CONTROL!$C$22, $C$13, 100%, $E$13)</f>
        <v>7.8586999999999998</v>
      </c>
      <c r="D563" s="60">
        <f>7.894 * CHOOSE(CONTROL!$C$22, $C$13, 100%, $E$13)</f>
        <v>7.8940000000000001</v>
      </c>
      <c r="E563" s="61">
        <f>9.2128 * CHOOSE(CONTROL!$C$22, $C$13, 100%, $E$13)</f>
        <v>9.2127999999999997</v>
      </c>
      <c r="F563" s="61">
        <f>9.2128 * CHOOSE(CONTROL!$C$22, $C$13, 100%, $E$13)</f>
        <v>9.2127999999999997</v>
      </c>
      <c r="G563" s="61">
        <f>9.215 * CHOOSE(CONTROL!$C$22, $C$13, 100%, $E$13)</f>
        <v>9.2149999999999999</v>
      </c>
      <c r="H563" s="61">
        <f>16.0748* CHOOSE(CONTROL!$C$22, $C$13, 100%, $E$13)</f>
        <v>16.0748</v>
      </c>
      <c r="I563" s="61">
        <f>16.077 * CHOOSE(CONTROL!$C$22, $C$13, 100%, $E$13)</f>
        <v>16.077000000000002</v>
      </c>
      <c r="J563" s="61">
        <f>9.2128 * CHOOSE(CONTROL!$C$22, $C$13, 100%, $E$13)</f>
        <v>9.2127999999999997</v>
      </c>
      <c r="K563" s="61">
        <f>9.215 * CHOOSE(CONTROL!$C$22, $C$13, 100%, $E$13)</f>
        <v>9.2149999999999999</v>
      </c>
    </row>
    <row r="564" spans="1:11" ht="15">
      <c r="A564" s="13">
        <v>59019</v>
      </c>
      <c r="B564" s="60">
        <f>7.8654 * CHOOSE(CONTROL!$C$22, $C$13, 100%, $E$13)</f>
        <v>7.8654000000000002</v>
      </c>
      <c r="C564" s="60">
        <f>7.8654 * CHOOSE(CONTROL!$C$22, $C$13, 100%, $E$13)</f>
        <v>7.8654000000000002</v>
      </c>
      <c r="D564" s="60">
        <f>7.9007 * CHOOSE(CONTROL!$C$22, $C$13, 100%, $E$13)</f>
        <v>7.9006999999999996</v>
      </c>
      <c r="E564" s="61">
        <f>9.0837 * CHOOSE(CONTROL!$C$22, $C$13, 100%, $E$13)</f>
        <v>9.0837000000000003</v>
      </c>
      <c r="F564" s="61">
        <f>9.0837 * CHOOSE(CONTROL!$C$22, $C$13, 100%, $E$13)</f>
        <v>9.0837000000000003</v>
      </c>
      <c r="G564" s="61">
        <f>9.0859 * CHOOSE(CONTROL!$C$22, $C$13, 100%, $E$13)</f>
        <v>9.0859000000000005</v>
      </c>
      <c r="H564" s="61">
        <f>16.1083* CHOOSE(CONTROL!$C$22, $C$13, 100%, $E$13)</f>
        <v>16.1083</v>
      </c>
      <c r="I564" s="61">
        <f>16.1105 * CHOOSE(CONTROL!$C$22, $C$13, 100%, $E$13)</f>
        <v>16.110499999999998</v>
      </c>
      <c r="J564" s="61">
        <f>9.0837 * CHOOSE(CONTROL!$C$22, $C$13, 100%, $E$13)</f>
        <v>9.0837000000000003</v>
      </c>
      <c r="K564" s="61">
        <f>9.0859 * CHOOSE(CONTROL!$C$22, $C$13, 100%, $E$13)</f>
        <v>9.0859000000000005</v>
      </c>
    </row>
    <row r="565" spans="1:11" ht="15">
      <c r="A565" s="13">
        <v>59050</v>
      </c>
      <c r="B565" s="60">
        <f>7.8623 * CHOOSE(CONTROL!$C$22, $C$13, 100%, $E$13)</f>
        <v>7.8623000000000003</v>
      </c>
      <c r="C565" s="60">
        <f>7.8623 * CHOOSE(CONTROL!$C$22, $C$13, 100%, $E$13)</f>
        <v>7.8623000000000003</v>
      </c>
      <c r="D565" s="60">
        <f>7.8976 * CHOOSE(CONTROL!$C$22, $C$13, 100%, $E$13)</f>
        <v>7.8975999999999997</v>
      </c>
      <c r="E565" s="61">
        <f>9.0667 * CHOOSE(CONTROL!$C$22, $C$13, 100%, $E$13)</f>
        <v>9.0667000000000009</v>
      </c>
      <c r="F565" s="61">
        <f>9.0667 * CHOOSE(CONTROL!$C$22, $C$13, 100%, $E$13)</f>
        <v>9.0667000000000009</v>
      </c>
      <c r="G565" s="61">
        <f>9.0689 * CHOOSE(CONTROL!$C$22, $C$13, 100%, $E$13)</f>
        <v>9.0688999999999993</v>
      </c>
      <c r="H565" s="61">
        <f>16.1419* CHOOSE(CONTROL!$C$22, $C$13, 100%, $E$13)</f>
        <v>16.1419</v>
      </c>
      <c r="I565" s="61">
        <f>16.144 * CHOOSE(CONTROL!$C$22, $C$13, 100%, $E$13)</f>
        <v>16.143999999999998</v>
      </c>
      <c r="J565" s="61">
        <f>9.0667 * CHOOSE(CONTROL!$C$22, $C$13, 100%, $E$13)</f>
        <v>9.0667000000000009</v>
      </c>
      <c r="K565" s="61">
        <f>9.0689 * CHOOSE(CONTROL!$C$22, $C$13, 100%, $E$13)</f>
        <v>9.0688999999999993</v>
      </c>
    </row>
    <row r="566" spans="1:11" ht="15">
      <c r="A566" s="13">
        <v>59080</v>
      </c>
      <c r="B566" s="60">
        <f>7.8721 * CHOOSE(CONTROL!$C$22, $C$13, 100%, $E$13)</f>
        <v>7.8720999999999997</v>
      </c>
      <c r="C566" s="60">
        <f>7.8721 * CHOOSE(CONTROL!$C$22, $C$13, 100%, $E$13)</f>
        <v>7.8720999999999997</v>
      </c>
      <c r="D566" s="60">
        <f>7.8898 * CHOOSE(CONTROL!$C$22, $C$13, 100%, $E$13)</f>
        <v>7.8898000000000001</v>
      </c>
      <c r="E566" s="61">
        <f>9.1127 * CHOOSE(CONTROL!$C$22, $C$13, 100%, $E$13)</f>
        <v>9.1127000000000002</v>
      </c>
      <c r="F566" s="61">
        <f>9.1127 * CHOOSE(CONTROL!$C$22, $C$13, 100%, $E$13)</f>
        <v>9.1127000000000002</v>
      </c>
      <c r="G566" s="61">
        <f>9.1129 * CHOOSE(CONTROL!$C$22, $C$13, 100%, $E$13)</f>
        <v>9.1128999999999998</v>
      </c>
      <c r="H566" s="61">
        <f>16.1755* CHOOSE(CONTROL!$C$22, $C$13, 100%, $E$13)</f>
        <v>16.1755</v>
      </c>
      <c r="I566" s="61">
        <f>16.1757 * CHOOSE(CONTROL!$C$22, $C$13, 100%, $E$13)</f>
        <v>16.175699999999999</v>
      </c>
      <c r="J566" s="61">
        <f>9.1127 * CHOOSE(CONTROL!$C$22, $C$13, 100%, $E$13)</f>
        <v>9.1127000000000002</v>
      </c>
      <c r="K566" s="61">
        <f>9.1129 * CHOOSE(CONTROL!$C$22, $C$13, 100%, $E$13)</f>
        <v>9.1128999999999998</v>
      </c>
    </row>
    <row r="567" spans="1:11" ht="15">
      <c r="A567" s="13">
        <v>59111</v>
      </c>
      <c r="B567" s="60">
        <f>7.8751 * CHOOSE(CONTROL!$C$22, $C$13, 100%, $E$13)</f>
        <v>7.8750999999999998</v>
      </c>
      <c r="C567" s="60">
        <f>7.8751 * CHOOSE(CONTROL!$C$22, $C$13, 100%, $E$13)</f>
        <v>7.8750999999999998</v>
      </c>
      <c r="D567" s="60">
        <f>7.8928 * CHOOSE(CONTROL!$C$22, $C$13, 100%, $E$13)</f>
        <v>7.8928000000000003</v>
      </c>
      <c r="E567" s="61">
        <f>9.1446 * CHOOSE(CONTROL!$C$22, $C$13, 100%, $E$13)</f>
        <v>9.1446000000000005</v>
      </c>
      <c r="F567" s="61">
        <f>9.1446 * CHOOSE(CONTROL!$C$22, $C$13, 100%, $E$13)</f>
        <v>9.1446000000000005</v>
      </c>
      <c r="G567" s="61">
        <f>9.1448 * CHOOSE(CONTROL!$C$22, $C$13, 100%, $E$13)</f>
        <v>9.1448</v>
      </c>
      <c r="H567" s="61">
        <f>16.2092* CHOOSE(CONTROL!$C$22, $C$13, 100%, $E$13)</f>
        <v>16.209199999999999</v>
      </c>
      <c r="I567" s="61">
        <f>16.2094 * CHOOSE(CONTROL!$C$22, $C$13, 100%, $E$13)</f>
        <v>16.209399999999999</v>
      </c>
      <c r="J567" s="61">
        <f>9.1446 * CHOOSE(CONTROL!$C$22, $C$13, 100%, $E$13)</f>
        <v>9.1446000000000005</v>
      </c>
      <c r="K567" s="61">
        <f>9.1448 * CHOOSE(CONTROL!$C$22, $C$13, 100%, $E$13)</f>
        <v>9.1448</v>
      </c>
    </row>
    <row r="568" spans="1:11" ht="15">
      <c r="A568" s="13">
        <v>59141</v>
      </c>
      <c r="B568" s="60">
        <f>7.8751 * CHOOSE(CONTROL!$C$22, $C$13, 100%, $E$13)</f>
        <v>7.8750999999999998</v>
      </c>
      <c r="C568" s="60">
        <f>7.8751 * CHOOSE(CONTROL!$C$22, $C$13, 100%, $E$13)</f>
        <v>7.8750999999999998</v>
      </c>
      <c r="D568" s="60">
        <f>7.8928 * CHOOSE(CONTROL!$C$22, $C$13, 100%, $E$13)</f>
        <v>7.8928000000000003</v>
      </c>
      <c r="E568" s="61">
        <f>9.0703 * CHOOSE(CONTROL!$C$22, $C$13, 100%, $E$13)</f>
        <v>9.0702999999999996</v>
      </c>
      <c r="F568" s="61">
        <f>9.0703 * CHOOSE(CONTROL!$C$22, $C$13, 100%, $E$13)</f>
        <v>9.0702999999999996</v>
      </c>
      <c r="G568" s="61">
        <f>9.0705 * CHOOSE(CONTROL!$C$22, $C$13, 100%, $E$13)</f>
        <v>9.0704999999999991</v>
      </c>
      <c r="H568" s="61">
        <f>16.243* CHOOSE(CONTROL!$C$22, $C$13, 100%, $E$13)</f>
        <v>16.242999999999999</v>
      </c>
      <c r="I568" s="61">
        <f>16.2431 * CHOOSE(CONTROL!$C$22, $C$13, 100%, $E$13)</f>
        <v>16.243099999999998</v>
      </c>
      <c r="J568" s="61">
        <f>9.0703 * CHOOSE(CONTROL!$C$22, $C$13, 100%, $E$13)</f>
        <v>9.0702999999999996</v>
      </c>
      <c r="K568" s="61">
        <f>9.0705 * CHOOSE(CONTROL!$C$22, $C$13, 100%, $E$13)</f>
        <v>9.0704999999999991</v>
      </c>
    </row>
    <row r="569" spans="1:11" ht="15">
      <c r="A569" s="13">
        <v>59172</v>
      </c>
      <c r="B569" s="60">
        <f>7.9408 * CHOOSE(CONTROL!$C$22, $C$13, 100%, $E$13)</f>
        <v>7.9408000000000003</v>
      </c>
      <c r="C569" s="60">
        <f>7.9408 * CHOOSE(CONTROL!$C$22, $C$13, 100%, $E$13)</f>
        <v>7.9408000000000003</v>
      </c>
      <c r="D569" s="60">
        <f>7.9585 * CHOOSE(CONTROL!$C$22, $C$13, 100%, $E$13)</f>
        <v>7.9584999999999999</v>
      </c>
      <c r="E569" s="61">
        <f>9.2108 * CHOOSE(CONTROL!$C$22, $C$13, 100%, $E$13)</f>
        <v>9.2108000000000008</v>
      </c>
      <c r="F569" s="61">
        <f>9.2108 * CHOOSE(CONTROL!$C$22, $C$13, 100%, $E$13)</f>
        <v>9.2108000000000008</v>
      </c>
      <c r="G569" s="61">
        <f>9.211 * CHOOSE(CONTROL!$C$22, $C$13, 100%, $E$13)</f>
        <v>9.2110000000000003</v>
      </c>
      <c r="H569" s="61">
        <f>16.2768* CHOOSE(CONTROL!$C$22, $C$13, 100%, $E$13)</f>
        <v>16.276800000000001</v>
      </c>
      <c r="I569" s="61">
        <f>16.277 * CHOOSE(CONTROL!$C$22, $C$13, 100%, $E$13)</f>
        <v>16.277000000000001</v>
      </c>
      <c r="J569" s="61">
        <f>9.2108 * CHOOSE(CONTROL!$C$22, $C$13, 100%, $E$13)</f>
        <v>9.2108000000000008</v>
      </c>
      <c r="K569" s="61">
        <f>9.211 * CHOOSE(CONTROL!$C$22, $C$13, 100%, $E$13)</f>
        <v>9.2110000000000003</v>
      </c>
    </row>
    <row r="570" spans="1:11" ht="15">
      <c r="A570" s="13">
        <v>59203</v>
      </c>
      <c r="B570" s="60">
        <f>7.9378 * CHOOSE(CONTROL!$C$22, $C$13, 100%, $E$13)</f>
        <v>7.9378000000000002</v>
      </c>
      <c r="C570" s="60">
        <f>7.9378 * CHOOSE(CONTROL!$C$22, $C$13, 100%, $E$13)</f>
        <v>7.9378000000000002</v>
      </c>
      <c r="D570" s="60">
        <f>7.9554 * CHOOSE(CONTROL!$C$22, $C$13, 100%, $E$13)</f>
        <v>7.9554</v>
      </c>
      <c r="E570" s="61">
        <f>9.0638 * CHOOSE(CONTROL!$C$22, $C$13, 100%, $E$13)</f>
        <v>9.0638000000000005</v>
      </c>
      <c r="F570" s="61">
        <f>9.0638 * CHOOSE(CONTROL!$C$22, $C$13, 100%, $E$13)</f>
        <v>9.0638000000000005</v>
      </c>
      <c r="G570" s="61">
        <f>9.064 * CHOOSE(CONTROL!$C$22, $C$13, 100%, $E$13)</f>
        <v>9.0640000000000001</v>
      </c>
      <c r="H570" s="61">
        <f>16.3107* CHOOSE(CONTROL!$C$22, $C$13, 100%, $E$13)</f>
        <v>16.310700000000001</v>
      </c>
      <c r="I570" s="61">
        <f>16.3109 * CHOOSE(CONTROL!$C$22, $C$13, 100%, $E$13)</f>
        <v>16.3109</v>
      </c>
      <c r="J570" s="61">
        <f>9.0638 * CHOOSE(CONTROL!$C$22, $C$13, 100%, $E$13)</f>
        <v>9.0638000000000005</v>
      </c>
      <c r="K570" s="61">
        <f>9.064 * CHOOSE(CONTROL!$C$22, $C$13, 100%, $E$13)</f>
        <v>9.0640000000000001</v>
      </c>
    </row>
    <row r="571" spans="1:11" ht="15">
      <c r="A571" s="13">
        <v>59231</v>
      </c>
      <c r="B571" s="60">
        <f>7.9347 * CHOOSE(CONTROL!$C$22, $C$13, 100%, $E$13)</f>
        <v>7.9347000000000003</v>
      </c>
      <c r="C571" s="60">
        <f>7.9347 * CHOOSE(CONTROL!$C$22, $C$13, 100%, $E$13)</f>
        <v>7.9347000000000003</v>
      </c>
      <c r="D571" s="60">
        <f>7.9524 * CHOOSE(CONTROL!$C$22, $C$13, 100%, $E$13)</f>
        <v>7.9523999999999999</v>
      </c>
      <c r="E571" s="61">
        <f>9.1759 * CHOOSE(CONTROL!$C$22, $C$13, 100%, $E$13)</f>
        <v>9.1759000000000004</v>
      </c>
      <c r="F571" s="61">
        <f>9.1759 * CHOOSE(CONTROL!$C$22, $C$13, 100%, $E$13)</f>
        <v>9.1759000000000004</v>
      </c>
      <c r="G571" s="61">
        <f>9.1761 * CHOOSE(CONTROL!$C$22, $C$13, 100%, $E$13)</f>
        <v>9.1760999999999999</v>
      </c>
      <c r="H571" s="61">
        <f>16.3447* CHOOSE(CONTROL!$C$22, $C$13, 100%, $E$13)</f>
        <v>16.3447</v>
      </c>
      <c r="I571" s="61">
        <f>16.3449 * CHOOSE(CONTROL!$C$22, $C$13, 100%, $E$13)</f>
        <v>16.344899999999999</v>
      </c>
      <c r="J571" s="61">
        <f>9.1759 * CHOOSE(CONTROL!$C$22, $C$13, 100%, $E$13)</f>
        <v>9.1759000000000004</v>
      </c>
      <c r="K571" s="61">
        <f>9.1761 * CHOOSE(CONTROL!$C$22, $C$13, 100%, $E$13)</f>
        <v>9.1760999999999999</v>
      </c>
    </row>
    <row r="572" spans="1:11" ht="15">
      <c r="A572" s="13">
        <v>59262</v>
      </c>
      <c r="B572" s="60">
        <f>7.9363 * CHOOSE(CONTROL!$C$22, $C$13, 100%, $E$13)</f>
        <v>7.9363000000000001</v>
      </c>
      <c r="C572" s="60">
        <f>7.9363 * CHOOSE(CONTROL!$C$22, $C$13, 100%, $E$13)</f>
        <v>7.9363000000000001</v>
      </c>
      <c r="D572" s="60">
        <f>7.9539 * CHOOSE(CONTROL!$C$22, $C$13, 100%, $E$13)</f>
        <v>7.9539</v>
      </c>
      <c r="E572" s="61">
        <f>9.2943 * CHOOSE(CONTROL!$C$22, $C$13, 100%, $E$13)</f>
        <v>9.2942999999999998</v>
      </c>
      <c r="F572" s="61">
        <f>9.2943 * CHOOSE(CONTROL!$C$22, $C$13, 100%, $E$13)</f>
        <v>9.2942999999999998</v>
      </c>
      <c r="G572" s="61">
        <f>9.2945 * CHOOSE(CONTROL!$C$22, $C$13, 100%, $E$13)</f>
        <v>9.2944999999999993</v>
      </c>
      <c r="H572" s="61">
        <f>16.3787* CHOOSE(CONTROL!$C$22, $C$13, 100%, $E$13)</f>
        <v>16.378699999999998</v>
      </c>
      <c r="I572" s="61">
        <f>16.3789 * CHOOSE(CONTROL!$C$22, $C$13, 100%, $E$13)</f>
        <v>16.378900000000002</v>
      </c>
      <c r="J572" s="61">
        <f>9.2943 * CHOOSE(CONTROL!$C$22, $C$13, 100%, $E$13)</f>
        <v>9.2942999999999998</v>
      </c>
      <c r="K572" s="61">
        <f>9.2945 * CHOOSE(CONTROL!$C$22, $C$13, 100%, $E$13)</f>
        <v>9.2944999999999993</v>
      </c>
    </row>
    <row r="573" spans="1:11" ht="15">
      <c r="A573" s="13">
        <v>59292</v>
      </c>
      <c r="B573" s="60">
        <f>7.9363 * CHOOSE(CONTROL!$C$22, $C$13, 100%, $E$13)</f>
        <v>7.9363000000000001</v>
      </c>
      <c r="C573" s="60">
        <f>7.9363 * CHOOSE(CONTROL!$C$22, $C$13, 100%, $E$13)</f>
        <v>7.9363000000000001</v>
      </c>
      <c r="D573" s="60">
        <f>7.9716 * CHOOSE(CONTROL!$C$22, $C$13, 100%, $E$13)</f>
        <v>7.9715999999999996</v>
      </c>
      <c r="E573" s="61">
        <f>9.3403 * CHOOSE(CONTROL!$C$22, $C$13, 100%, $E$13)</f>
        <v>9.3402999999999992</v>
      </c>
      <c r="F573" s="61">
        <f>9.3403 * CHOOSE(CONTROL!$C$22, $C$13, 100%, $E$13)</f>
        <v>9.3402999999999992</v>
      </c>
      <c r="G573" s="61">
        <f>9.3425 * CHOOSE(CONTROL!$C$22, $C$13, 100%, $E$13)</f>
        <v>9.3424999999999994</v>
      </c>
      <c r="H573" s="61">
        <f>16.4129* CHOOSE(CONTROL!$C$22, $C$13, 100%, $E$13)</f>
        <v>16.4129</v>
      </c>
      <c r="I573" s="61">
        <f>16.415 * CHOOSE(CONTROL!$C$22, $C$13, 100%, $E$13)</f>
        <v>16.414999999999999</v>
      </c>
      <c r="J573" s="61">
        <f>9.3403 * CHOOSE(CONTROL!$C$22, $C$13, 100%, $E$13)</f>
        <v>9.3402999999999992</v>
      </c>
      <c r="K573" s="61">
        <f>9.3425 * CHOOSE(CONTROL!$C$22, $C$13, 100%, $E$13)</f>
        <v>9.3424999999999994</v>
      </c>
    </row>
    <row r="574" spans="1:11" ht="15">
      <c r="A574" s="13">
        <v>59323</v>
      </c>
      <c r="B574" s="60">
        <f>7.9424 * CHOOSE(CONTROL!$C$22, $C$13, 100%, $E$13)</f>
        <v>7.9424000000000001</v>
      </c>
      <c r="C574" s="60">
        <f>7.9424 * CHOOSE(CONTROL!$C$22, $C$13, 100%, $E$13)</f>
        <v>7.9424000000000001</v>
      </c>
      <c r="D574" s="60">
        <f>7.9777 * CHOOSE(CONTROL!$C$22, $C$13, 100%, $E$13)</f>
        <v>7.9776999999999996</v>
      </c>
      <c r="E574" s="61">
        <f>9.2986 * CHOOSE(CONTROL!$C$22, $C$13, 100%, $E$13)</f>
        <v>9.2986000000000004</v>
      </c>
      <c r="F574" s="61">
        <f>9.2986 * CHOOSE(CONTROL!$C$22, $C$13, 100%, $E$13)</f>
        <v>9.2986000000000004</v>
      </c>
      <c r="G574" s="61">
        <f>9.3008 * CHOOSE(CONTROL!$C$22, $C$13, 100%, $E$13)</f>
        <v>9.3008000000000006</v>
      </c>
      <c r="H574" s="61">
        <f>16.4471* CHOOSE(CONTROL!$C$22, $C$13, 100%, $E$13)</f>
        <v>16.447099999999999</v>
      </c>
      <c r="I574" s="61">
        <f>16.4492 * CHOOSE(CONTROL!$C$22, $C$13, 100%, $E$13)</f>
        <v>16.449200000000001</v>
      </c>
      <c r="J574" s="61">
        <f>9.2986 * CHOOSE(CONTROL!$C$22, $C$13, 100%, $E$13)</f>
        <v>9.2986000000000004</v>
      </c>
      <c r="K574" s="61">
        <f>9.3008 * CHOOSE(CONTROL!$C$22, $C$13, 100%, $E$13)</f>
        <v>9.3008000000000006</v>
      </c>
    </row>
    <row r="575" spans="1:11" ht="15">
      <c r="A575" s="13">
        <v>59353</v>
      </c>
      <c r="B575" s="60">
        <f>8.058 * CHOOSE(CONTROL!$C$22, $C$13, 100%, $E$13)</f>
        <v>8.0579999999999998</v>
      </c>
      <c r="C575" s="60">
        <f>8.058 * CHOOSE(CONTROL!$C$22, $C$13, 100%, $E$13)</f>
        <v>8.0579999999999998</v>
      </c>
      <c r="D575" s="60">
        <f>8.0933 * CHOOSE(CONTROL!$C$22, $C$13, 100%, $E$13)</f>
        <v>8.0932999999999993</v>
      </c>
      <c r="E575" s="61">
        <f>9.4719 * CHOOSE(CONTROL!$C$22, $C$13, 100%, $E$13)</f>
        <v>9.4718999999999998</v>
      </c>
      <c r="F575" s="61">
        <f>9.4719 * CHOOSE(CONTROL!$C$22, $C$13, 100%, $E$13)</f>
        <v>9.4718999999999998</v>
      </c>
      <c r="G575" s="61">
        <f>9.4741 * CHOOSE(CONTROL!$C$22, $C$13, 100%, $E$13)</f>
        <v>9.4741</v>
      </c>
      <c r="H575" s="61">
        <f>16.4813* CHOOSE(CONTROL!$C$22, $C$13, 100%, $E$13)</f>
        <v>16.481300000000001</v>
      </c>
      <c r="I575" s="61">
        <f>16.4835 * CHOOSE(CONTROL!$C$22, $C$13, 100%, $E$13)</f>
        <v>16.483499999999999</v>
      </c>
      <c r="J575" s="61">
        <f>9.4719 * CHOOSE(CONTROL!$C$22, $C$13, 100%, $E$13)</f>
        <v>9.4718999999999998</v>
      </c>
      <c r="K575" s="61">
        <f>9.4741 * CHOOSE(CONTROL!$C$22, $C$13, 100%, $E$13)</f>
        <v>9.4741</v>
      </c>
    </row>
    <row r="576" spans="1:11" ht="15">
      <c r="A576" s="13">
        <v>59384</v>
      </c>
      <c r="B576" s="60">
        <f>8.0647 * CHOOSE(CONTROL!$C$22, $C$13, 100%, $E$13)</f>
        <v>8.0647000000000002</v>
      </c>
      <c r="C576" s="60">
        <f>8.0647 * CHOOSE(CONTROL!$C$22, $C$13, 100%, $E$13)</f>
        <v>8.0647000000000002</v>
      </c>
      <c r="D576" s="60">
        <f>8.1 * CHOOSE(CONTROL!$C$22, $C$13, 100%, $E$13)</f>
        <v>8.1</v>
      </c>
      <c r="E576" s="61">
        <f>9.3385 * CHOOSE(CONTROL!$C$22, $C$13, 100%, $E$13)</f>
        <v>9.3384999999999998</v>
      </c>
      <c r="F576" s="61">
        <f>9.3385 * CHOOSE(CONTROL!$C$22, $C$13, 100%, $E$13)</f>
        <v>9.3384999999999998</v>
      </c>
      <c r="G576" s="61">
        <f>9.3407 * CHOOSE(CONTROL!$C$22, $C$13, 100%, $E$13)</f>
        <v>9.3407</v>
      </c>
      <c r="H576" s="61">
        <f>16.5157* CHOOSE(CONTROL!$C$22, $C$13, 100%, $E$13)</f>
        <v>16.515699999999999</v>
      </c>
      <c r="I576" s="61">
        <f>16.5178 * CHOOSE(CONTROL!$C$22, $C$13, 100%, $E$13)</f>
        <v>16.517800000000001</v>
      </c>
      <c r="J576" s="61">
        <f>9.3385 * CHOOSE(CONTROL!$C$22, $C$13, 100%, $E$13)</f>
        <v>9.3384999999999998</v>
      </c>
      <c r="K576" s="61">
        <f>9.3407 * CHOOSE(CONTROL!$C$22, $C$13, 100%, $E$13)</f>
        <v>9.3407</v>
      </c>
    </row>
    <row r="577" spans="1:11" ht="15">
      <c r="A577" s="13">
        <v>59415</v>
      </c>
      <c r="B577" s="60">
        <f>8.0616 * CHOOSE(CONTROL!$C$22, $C$13, 100%, $E$13)</f>
        <v>8.0616000000000003</v>
      </c>
      <c r="C577" s="60">
        <f>8.0616 * CHOOSE(CONTROL!$C$22, $C$13, 100%, $E$13)</f>
        <v>8.0616000000000003</v>
      </c>
      <c r="D577" s="60">
        <f>8.097 * CHOOSE(CONTROL!$C$22, $C$13, 100%, $E$13)</f>
        <v>8.0969999999999995</v>
      </c>
      <c r="E577" s="61">
        <f>9.3211 * CHOOSE(CONTROL!$C$22, $C$13, 100%, $E$13)</f>
        <v>9.3210999999999995</v>
      </c>
      <c r="F577" s="61">
        <f>9.3211 * CHOOSE(CONTROL!$C$22, $C$13, 100%, $E$13)</f>
        <v>9.3210999999999995</v>
      </c>
      <c r="G577" s="61">
        <f>9.3233 * CHOOSE(CONTROL!$C$22, $C$13, 100%, $E$13)</f>
        <v>9.3232999999999997</v>
      </c>
      <c r="H577" s="61">
        <f>16.5501* CHOOSE(CONTROL!$C$22, $C$13, 100%, $E$13)</f>
        <v>16.5501</v>
      </c>
      <c r="I577" s="61">
        <f>16.5522 * CHOOSE(CONTROL!$C$22, $C$13, 100%, $E$13)</f>
        <v>16.552199999999999</v>
      </c>
      <c r="J577" s="61">
        <f>9.3211 * CHOOSE(CONTROL!$C$22, $C$13, 100%, $E$13)</f>
        <v>9.3210999999999995</v>
      </c>
      <c r="K577" s="61">
        <f>9.3233 * CHOOSE(CONTROL!$C$22, $C$13, 100%, $E$13)</f>
        <v>9.3232999999999997</v>
      </c>
    </row>
    <row r="578" spans="1:11" ht="15">
      <c r="A578" s="13">
        <v>59445</v>
      </c>
      <c r="B578" s="60">
        <f>8.0722 * CHOOSE(CONTROL!$C$22, $C$13, 100%, $E$13)</f>
        <v>8.0722000000000005</v>
      </c>
      <c r="C578" s="60">
        <f>8.0722 * CHOOSE(CONTROL!$C$22, $C$13, 100%, $E$13)</f>
        <v>8.0722000000000005</v>
      </c>
      <c r="D578" s="60">
        <f>8.0898 * CHOOSE(CONTROL!$C$22, $C$13, 100%, $E$13)</f>
        <v>8.0898000000000003</v>
      </c>
      <c r="E578" s="61">
        <f>9.369 * CHOOSE(CONTROL!$C$22, $C$13, 100%, $E$13)</f>
        <v>9.3689999999999998</v>
      </c>
      <c r="F578" s="61">
        <f>9.369 * CHOOSE(CONTROL!$C$22, $C$13, 100%, $E$13)</f>
        <v>9.3689999999999998</v>
      </c>
      <c r="G578" s="61">
        <f>9.3692 * CHOOSE(CONTROL!$C$22, $C$13, 100%, $E$13)</f>
        <v>9.3691999999999993</v>
      </c>
      <c r="H578" s="61">
        <f>16.5845* CHOOSE(CONTROL!$C$22, $C$13, 100%, $E$13)</f>
        <v>16.584499999999998</v>
      </c>
      <c r="I578" s="61">
        <f>16.5847 * CHOOSE(CONTROL!$C$22, $C$13, 100%, $E$13)</f>
        <v>16.584700000000002</v>
      </c>
      <c r="J578" s="61">
        <f>9.369 * CHOOSE(CONTROL!$C$22, $C$13, 100%, $E$13)</f>
        <v>9.3689999999999998</v>
      </c>
      <c r="K578" s="61">
        <f>9.3692 * CHOOSE(CONTROL!$C$22, $C$13, 100%, $E$13)</f>
        <v>9.3691999999999993</v>
      </c>
    </row>
    <row r="579" spans="1:11" ht="15">
      <c r="A579" s="13">
        <v>59476</v>
      </c>
      <c r="B579" s="60">
        <f>8.0752 * CHOOSE(CONTROL!$C$22, $C$13, 100%, $E$13)</f>
        <v>8.0752000000000006</v>
      </c>
      <c r="C579" s="60">
        <f>8.0752 * CHOOSE(CONTROL!$C$22, $C$13, 100%, $E$13)</f>
        <v>8.0752000000000006</v>
      </c>
      <c r="D579" s="60">
        <f>8.0929 * CHOOSE(CONTROL!$C$22, $C$13, 100%, $E$13)</f>
        <v>8.0929000000000002</v>
      </c>
      <c r="E579" s="61">
        <f>9.4018 * CHOOSE(CONTROL!$C$22, $C$13, 100%, $E$13)</f>
        <v>9.4017999999999997</v>
      </c>
      <c r="F579" s="61">
        <f>9.4018 * CHOOSE(CONTROL!$C$22, $C$13, 100%, $E$13)</f>
        <v>9.4017999999999997</v>
      </c>
      <c r="G579" s="61">
        <f>9.402 * CHOOSE(CONTROL!$C$22, $C$13, 100%, $E$13)</f>
        <v>9.4019999999999992</v>
      </c>
      <c r="H579" s="61">
        <f>16.6191* CHOOSE(CONTROL!$C$22, $C$13, 100%, $E$13)</f>
        <v>16.6191</v>
      </c>
      <c r="I579" s="61">
        <f>16.6193 * CHOOSE(CONTROL!$C$22, $C$13, 100%, $E$13)</f>
        <v>16.619299999999999</v>
      </c>
      <c r="J579" s="61">
        <f>9.4018 * CHOOSE(CONTROL!$C$22, $C$13, 100%, $E$13)</f>
        <v>9.4017999999999997</v>
      </c>
      <c r="K579" s="61">
        <f>9.402 * CHOOSE(CONTROL!$C$22, $C$13, 100%, $E$13)</f>
        <v>9.4019999999999992</v>
      </c>
    </row>
    <row r="580" spans="1:11" ht="15">
      <c r="A580" s="13">
        <v>59506</v>
      </c>
      <c r="B580" s="60">
        <f>8.0752 * CHOOSE(CONTROL!$C$22, $C$13, 100%, $E$13)</f>
        <v>8.0752000000000006</v>
      </c>
      <c r="C580" s="60">
        <f>8.0752 * CHOOSE(CONTROL!$C$22, $C$13, 100%, $E$13)</f>
        <v>8.0752000000000006</v>
      </c>
      <c r="D580" s="60">
        <f>8.0929 * CHOOSE(CONTROL!$C$22, $C$13, 100%, $E$13)</f>
        <v>8.0929000000000002</v>
      </c>
      <c r="E580" s="61">
        <f>9.3251 * CHOOSE(CONTROL!$C$22, $C$13, 100%, $E$13)</f>
        <v>9.3251000000000008</v>
      </c>
      <c r="F580" s="61">
        <f>9.3251 * CHOOSE(CONTROL!$C$22, $C$13, 100%, $E$13)</f>
        <v>9.3251000000000008</v>
      </c>
      <c r="G580" s="61">
        <f>9.3253 * CHOOSE(CONTROL!$C$22, $C$13, 100%, $E$13)</f>
        <v>9.3253000000000004</v>
      </c>
      <c r="H580" s="61">
        <f>16.6537* CHOOSE(CONTROL!$C$22, $C$13, 100%, $E$13)</f>
        <v>16.653700000000001</v>
      </c>
      <c r="I580" s="61">
        <f>16.6539 * CHOOSE(CONTROL!$C$22, $C$13, 100%, $E$13)</f>
        <v>16.6539</v>
      </c>
      <c r="J580" s="61">
        <f>9.3251 * CHOOSE(CONTROL!$C$22, $C$13, 100%, $E$13)</f>
        <v>9.3251000000000008</v>
      </c>
      <c r="K580" s="61">
        <f>9.3253 * CHOOSE(CONTROL!$C$22, $C$13, 100%, $E$13)</f>
        <v>9.3253000000000004</v>
      </c>
    </row>
    <row r="581" spans="1:11" ht="15">
      <c r="A581" s="13">
        <v>59537</v>
      </c>
      <c r="B581" s="60">
        <f>8.1374 * CHOOSE(CONTROL!$C$22, $C$13, 100%, $E$13)</f>
        <v>8.1373999999999995</v>
      </c>
      <c r="C581" s="60">
        <f>8.1374 * CHOOSE(CONTROL!$C$22, $C$13, 100%, $E$13)</f>
        <v>8.1373999999999995</v>
      </c>
      <c r="D581" s="60">
        <f>8.1551 * CHOOSE(CONTROL!$C$22, $C$13, 100%, $E$13)</f>
        <v>8.1550999999999991</v>
      </c>
      <c r="E581" s="61">
        <f>9.4627 * CHOOSE(CONTROL!$C$22, $C$13, 100%, $E$13)</f>
        <v>9.4626999999999999</v>
      </c>
      <c r="F581" s="61">
        <f>9.4627 * CHOOSE(CONTROL!$C$22, $C$13, 100%, $E$13)</f>
        <v>9.4626999999999999</v>
      </c>
      <c r="G581" s="61">
        <f>9.4628 * CHOOSE(CONTROL!$C$22, $C$13, 100%, $E$13)</f>
        <v>9.4627999999999997</v>
      </c>
      <c r="H581" s="61">
        <f>16.6783* CHOOSE(CONTROL!$C$22, $C$13, 100%, $E$13)</f>
        <v>16.6783</v>
      </c>
      <c r="I581" s="61">
        <f>16.6784 * CHOOSE(CONTROL!$C$22, $C$13, 100%, $E$13)</f>
        <v>16.6784</v>
      </c>
      <c r="J581" s="61">
        <f>9.4627 * CHOOSE(CONTROL!$C$22, $C$13, 100%, $E$13)</f>
        <v>9.4626999999999999</v>
      </c>
      <c r="K581" s="61">
        <f>9.4628 * CHOOSE(CONTROL!$C$22, $C$13, 100%, $E$13)</f>
        <v>9.4627999999999997</v>
      </c>
    </row>
    <row r="582" spans="1:11" ht="15">
      <c r="A582" s="13">
        <v>59568</v>
      </c>
      <c r="B582" s="60">
        <f>8.1344 * CHOOSE(CONTROL!$C$22, $C$13, 100%, $E$13)</f>
        <v>8.1343999999999994</v>
      </c>
      <c r="C582" s="60">
        <f>8.1344 * CHOOSE(CONTROL!$C$22, $C$13, 100%, $E$13)</f>
        <v>8.1343999999999994</v>
      </c>
      <c r="D582" s="60">
        <f>8.1521 * CHOOSE(CONTROL!$C$22, $C$13, 100%, $E$13)</f>
        <v>8.1521000000000008</v>
      </c>
      <c r="E582" s="61">
        <f>9.3112 * CHOOSE(CONTROL!$C$22, $C$13, 100%, $E$13)</f>
        <v>9.3111999999999995</v>
      </c>
      <c r="F582" s="61">
        <f>9.3112 * CHOOSE(CONTROL!$C$22, $C$13, 100%, $E$13)</f>
        <v>9.3111999999999995</v>
      </c>
      <c r="G582" s="61">
        <f>9.3114 * CHOOSE(CONTROL!$C$22, $C$13, 100%, $E$13)</f>
        <v>9.3114000000000008</v>
      </c>
      <c r="H582" s="61">
        <f>16.713* CHOOSE(CONTROL!$C$22, $C$13, 100%, $E$13)</f>
        <v>16.713000000000001</v>
      </c>
      <c r="I582" s="61">
        <f>16.7132 * CHOOSE(CONTROL!$C$22, $C$13, 100%, $E$13)</f>
        <v>16.713200000000001</v>
      </c>
      <c r="J582" s="61">
        <f>9.3112 * CHOOSE(CONTROL!$C$22, $C$13, 100%, $E$13)</f>
        <v>9.3111999999999995</v>
      </c>
      <c r="K582" s="61">
        <f>9.3114 * CHOOSE(CONTROL!$C$22, $C$13, 100%, $E$13)</f>
        <v>9.3114000000000008</v>
      </c>
    </row>
    <row r="583" spans="1:11" ht="15">
      <c r="A583" s="13">
        <v>59596</v>
      </c>
      <c r="B583" s="60">
        <f>8.1314 * CHOOSE(CONTROL!$C$22, $C$13, 100%, $E$13)</f>
        <v>8.1313999999999993</v>
      </c>
      <c r="C583" s="60">
        <f>8.1314 * CHOOSE(CONTROL!$C$22, $C$13, 100%, $E$13)</f>
        <v>8.1313999999999993</v>
      </c>
      <c r="D583" s="60">
        <f>8.149 * CHOOSE(CONTROL!$C$22, $C$13, 100%, $E$13)</f>
        <v>8.1489999999999991</v>
      </c>
      <c r="E583" s="61">
        <f>9.4268 * CHOOSE(CONTROL!$C$22, $C$13, 100%, $E$13)</f>
        <v>9.4268000000000001</v>
      </c>
      <c r="F583" s="61">
        <f>9.4268 * CHOOSE(CONTROL!$C$22, $C$13, 100%, $E$13)</f>
        <v>9.4268000000000001</v>
      </c>
      <c r="G583" s="61">
        <f>9.427 * CHOOSE(CONTROL!$C$22, $C$13, 100%, $E$13)</f>
        <v>9.4269999999999996</v>
      </c>
      <c r="H583" s="61">
        <f>16.7478* CHOOSE(CONTROL!$C$22, $C$13, 100%, $E$13)</f>
        <v>16.747800000000002</v>
      </c>
      <c r="I583" s="61">
        <f>16.748 * CHOOSE(CONTROL!$C$22, $C$13, 100%, $E$13)</f>
        <v>16.748000000000001</v>
      </c>
      <c r="J583" s="61">
        <f>9.4268 * CHOOSE(CONTROL!$C$22, $C$13, 100%, $E$13)</f>
        <v>9.4268000000000001</v>
      </c>
      <c r="K583" s="61">
        <f>9.427 * CHOOSE(CONTROL!$C$22, $C$13, 100%, $E$13)</f>
        <v>9.4269999999999996</v>
      </c>
    </row>
    <row r="584" spans="1:11" ht="15">
      <c r="A584" s="13">
        <v>59627</v>
      </c>
      <c r="B584" s="60">
        <f>8.1331 * CHOOSE(CONTROL!$C$22, $C$13, 100%, $E$13)</f>
        <v>8.1331000000000007</v>
      </c>
      <c r="C584" s="60">
        <f>8.1331 * CHOOSE(CONTROL!$C$22, $C$13, 100%, $E$13)</f>
        <v>8.1331000000000007</v>
      </c>
      <c r="D584" s="60">
        <f>8.1508 * CHOOSE(CONTROL!$C$22, $C$13, 100%, $E$13)</f>
        <v>8.1508000000000003</v>
      </c>
      <c r="E584" s="61">
        <f>9.549 * CHOOSE(CONTROL!$C$22, $C$13, 100%, $E$13)</f>
        <v>9.5489999999999995</v>
      </c>
      <c r="F584" s="61">
        <f>9.549 * CHOOSE(CONTROL!$C$22, $C$13, 100%, $E$13)</f>
        <v>9.5489999999999995</v>
      </c>
      <c r="G584" s="61">
        <f>9.5492 * CHOOSE(CONTROL!$C$22, $C$13, 100%, $E$13)</f>
        <v>9.5492000000000008</v>
      </c>
      <c r="H584" s="61">
        <f>16.7827* CHOOSE(CONTROL!$C$22, $C$13, 100%, $E$13)</f>
        <v>16.782699999999998</v>
      </c>
      <c r="I584" s="61">
        <f>16.7829 * CHOOSE(CONTROL!$C$22, $C$13, 100%, $E$13)</f>
        <v>16.782900000000001</v>
      </c>
      <c r="J584" s="61">
        <f>9.549 * CHOOSE(CONTROL!$C$22, $C$13, 100%, $E$13)</f>
        <v>9.5489999999999995</v>
      </c>
      <c r="K584" s="61">
        <f>9.5492 * CHOOSE(CONTROL!$C$22, $C$13, 100%, $E$13)</f>
        <v>9.5492000000000008</v>
      </c>
    </row>
    <row r="585" spans="1:11" ht="15">
      <c r="A585" s="13">
        <v>59657</v>
      </c>
      <c r="B585" s="60">
        <f>8.1331 * CHOOSE(CONTROL!$C$22, $C$13, 100%, $E$13)</f>
        <v>8.1331000000000007</v>
      </c>
      <c r="C585" s="60">
        <f>8.1331 * CHOOSE(CONTROL!$C$22, $C$13, 100%, $E$13)</f>
        <v>8.1331000000000007</v>
      </c>
      <c r="D585" s="60">
        <f>8.1684 * CHOOSE(CONTROL!$C$22, $C$13, 100%, $E$13)</f>
        <v>8.1684000000000001</v>
      </c>
      <c r="E585" s="61">
        <f>9.5964 * CHOOSE(CONTROL!$C$22, $C$13, 100%, $E$13)</f>
        <v>9.5963999999999992</v>
      </c>
      <c r="F585" s="61">
        <f>9.5964 * CHOOSE(CONTROL!$C$22, $C$13, 100%, $E$13)</f>
        <v>9.5963999999999992</v>
      </c>
      <c r="G585" s="61">
        <f>9.5986 * CHOOSE(CONTROL!$C$22, $C$13, 100%, $E$13)</f>
        <v>9.5985999999999994</v>
      </c>
      <c r="H585" s="61">
        <f>16.8177* CHOOSE(CONTROL!$C$22, $C$13, 100%, $E$13)</f>
        <v>16.817699999999999</v>
      </c>
      <c r="I585" s="61">
        <f>16.8199 * CHOOSE(CONTROL!$C$22, $C$13, 100%, $E$13)</f>
        <v>16.819900000000001</v>
      </c>
      <c r="J585" s="61">
        <f>9.5964 * CHOOSE(CONTROL!$C$22, $C$13, 100%, $E$13)</f>
        <v>9.5963999999999992</v>
      </c>
      <c r="K585" s="61">
        <f>9.5986 * CHOOSE(CONTROL!$C$22, $C$13, 100%, $E$13)</f>
        <v>9.5985999999999994</v>
      </c>
    </row>
    <row r="586" spans="1:11" ht="15">
      <c r="A586" s="13">
        <v>59688</v>
      </c>
      <c r="B586" s="60">
        <f>8.1392 * CHOOSE(CONTROL!$C$22, $C$13, 100%, $E$13)</f>
        <v>8.1392000000000007</v>
      </c>
      <c r="C586" s="60">
        <f>8.1392 * CHOOSE(CONTROL!$C$22, $C$13, 100%, $E$13)</f>
        <v>8.1392000000000007</v>
      </c>
      <c r="D586" s="60">
        <f>8.1745 * CHOOSE(CONTROL!$C$22, $C$13, 100%, $E$13)</f>
        <v>8.1745000000000001</v>
      </c>
      <c r="E586" s="61">
        <f>9.5533 * CHOOSE(CONTROL!$C$22, $C$13, 100%, $E$13)</f>
        <v>9.5533000000000001</v>
      </c>
      <c r="F586" s="61">
        <f>9.5533 * CHOOSE(CONTROL!$C$22, $C$13, 100%, $E$13)</f>
        <v>9.5533000000000001</v>
      </c>
      <c r="G586" s="61">
        <f>9.5554 * CHOOSE(CONTROL!$C$22, $C$13, 100%, $E$13)</f>
        <v>9.5554000000000006</v>
      </c>
      <c r="H586" s="61">
        <f>16.8527* CHOOSE(CONTROL!$C$22, $C$13, 100%, $E$13)</f>
        <v>16.852699999999999</v>
      </c>
      <c r="I586" s="61">
        <f>16.8549 * CHOOSE(CONTROL!$C$22, $C$13, 100%, $E$13)</f>
        <v>16.854900000000001</v>
      </c>
      <c r="J586" s="61">
        <f>9.5533 * CHOOSE(CONTROL!$C$22, $C$13, 100%, $E$13)</f>
        <v>9.5533000000000001</v>
      </c>
      <c r="K586" s="61">
        <f>9.5554 * CHOOSE(CONTROL!$C$22, $C$13, 100%, $E$13)</f>
        <v>9.5554000000000006</v>
      </c>
    </row>
    <row r="587" spans="1:11" ht="15">
      <c r="A587" s="13">
        <v>59718</v>
      </c>
      <c r="B587" s="60">
        <f>8.2573 * CHOOSE(CONTROL!$C$22, $C$13, 100%, $E$13)</f>
        <v>8.2573000000000008</v>
      </c>
      <c r="C587" s="60">
        <f>8.2573 * CHOOSE(CONTROL!$C$22, $C$13, 100%, $E$13)</f>
        <v>8.2573000000000008</v>
      </c>
      <c r="D587" s="60">
        <f>8.2926 * CHOOSE(CONTROL!$C$22, $C$13, 100%, $E$13)</f>
        <v>8.2926000000000002</v>
      </c>
      <c r="E587" s="61">
        <f>9.731 * CHOOSE(CONTROL!$C$22, $C$13, 100%, $E$13)</f>
        <v>9.7309999999999999</v>
      </c>
      <c r="F587" s="61">
        <f>9.731 * CHOOSE(CONTROL!$C$22, $C$13, 100%, $E$13)</f>
        <v>9.7309999999999999</v>
      </c>
      <c r="G587" s="61">
        <f>9.7332 * CHOOSE(CONTROL!$C$22, $C$13, 100%, $E$13)</f>
        <v>9.7332000000000001</v>
      </c>
      <c r="H587" s="61">
        <f>16.8878* CHOOSE(CONTROL!$C$22, $C$13, 100%, $E$13)</f>
        <v>16.887799999999999</v>
      </c>
      <c r="I587" s="61">
        <f>16.89 * CHOOSE(CONTROL!$C$22, $C$13, 100%, $E$13)</f>
        <v>16.89</v>
      </c>
      <c r="J587" s="61">
        <f>9.731 * CHOOSE(CONTROL!$C$22, $C$13, 100%, $E$13)</f>
        <v>9.7309999999999999</v>
      </c>
      <c r="K587" s="61">
        <f>9.7332 * CHOOSE(CONTROL!$C$22, $C$13, 100%, $E$13)</f>
        <v>9.7332000000000001</v>
      </c>
    </row>
    <row r="588" spans="1:11" ht="15">
      <c r="A588" s="13">
        <v>59749</v>
      </c>
      <c r="B588" s="60">
        <f>8.264 * CHOOSE(CONTROL!$C$22, $C$13, 100%, $E$13)</f>
        <v>8.2639999999999993</v>
      </c>
      <c r="C588" s="60">
        <f>8.264 * CHOOSE(CONTROL!$C$22, $C$13, 100%, $E$13)</f>
        <v>8.2639999999999993</v>
      </c>
      <c r="D588" s="60">
        <f>8.2993 * CHOOSE(CONTROL!$C$22, $C$13, 100%, $E$13)</f>
        <v>8.2993000000000006</v>
      </c>
      <c r="E588" s="61">
        <f>9.5934 * CHOOSE(CONTROL!$C$22, $C$13, 100%, $E$13)</f>
        <v>9.5934000000000008</v>
      </c>
      <c r="F588" s="61">
        <f>9.5934 * CHOOSE(CONTROL!$C$22, $C$13, 100%, $E$13)</f>
        <v>9.5934000000000008</v>
      </c>
      <c r="G588" s="61">
        <f>9.5956 * CHOOSE(CONTROL!$C$22, $C$13, 100%, $E$13)</f>
        <v>9.5955999999999992</v>
      </c>
      <c r="H588" s="61">
        <f>16.923* CHOOSE(CONTROL!$C$22, $C$13, 100%, $E$13)</f>
        <v>16.922999999999998</v>
      </c>
      <c r="I588" s="61">
        <f>16.9252 * CHOOSE(CONTROL!$C$22, $C$13, 100%, $E$13)</f>
        <v>16.9252</v>
      </c>
      <c r="J588" s="61">
        <f>9.5934 * CHOOSE(CONTROL!$C$22, $C$13, 100%, $E$13)</f>
        <v>9.5934000000000008</v>
      </c>
      <c r="K588" s="61">
        <f>9.5956 * CHOOSE(CONTROL!$C$22, $C$13, 100%, $E$13)</f>
        <v>9.5955999999999992</v>
      </c>
    </row>
    <row r="589" spans="1:11" ht="15">
      <c r="A589" s="13">
        <v>59780</v>
      </c>
      <c r="B589" s="60">
        <f>8.261 * CHOOSE(CONTROL!$C$22, $C$13, 100%, $E$13)</f>
        <v>8.2609999999999992</v>
      </c>
      <c r="C589" s="60">
        <f>8.261 * CHOOSE(CONTROL!$C$22, $C$13, 100%, $E$13)</f>
        <v>8.2609999999999992</v>
      </c>
      <c r="D589" s="60">
        <f>8.2963 * CHOOSE(CONTROL!$C$22, $C$13, 100%, $E$13)</f>
        <v>8.2963000000000005</v>
      </c>
      <c r="E589" s="61">
        <f>9.5755 * CHOOSE(CONTROL!$C$22, $C$13, 100%, $E$13)</f>
        <v>9.5754999999999999</v>
      </c>
      <c r="F589" s="61">
        <f>9.5755 * CHOOSE(CONTROL!$C$22, $C$13, 100%, $E$13)</f>
        <v>9.5754999999999999</v>
      </c>
      <c r="G589" s="61">
        <f>9.5776 * CHOOSE(CONTROL!$C$22, $C$13, 100%, $E$13)</f>
        <v>9.5776000000000003</v>
      </c>
      <c r="H589" s="61">
        <f>16.9583* CHOOSE(CONTROL!$C$22, $C$13, 100%, $E$13)</f>
        <v>16.958300000000001</v>
      </c>
      <c r="I589" s="61">
        <f>16.9604 * CHOOSE(CONTROL!$C$22, $C$13, 100%, $E$13)</f>
        <v>16.9604</v>
      </c>
      <c r="J589" s="61">
        <f>9.5755 * CHOOSE(CONTROL!$C$22, $C$13, 100%, $E$13)</f>
        <v>9.5754999999999999</v>
      </c>
      <c r="K589" s="61">
        <f>9.5776 * CHOOSE(CONTROL!$C$22, $C$13, 100%, $E$13)</f>
        <v>9.5776000000000003</v>
      </c>
    </row>
    <row r="590" spans="1:11" ht="15">
      <c r="A590" s="13">
        <v>59810</v>
      </c>
      <c r="B590" s="60">
        <f>8.2722 * CHOOSE(CONTROL!$C$22, $C$13, 100%, $E$13)</f>
        <v>8.2721999999999998</v>
      </c>
      <c r="C590" s="60">
        <f>8.2722 * CHOOSE(CONTROL!$C$22, $C$13, 100%, $E$13)</f>
        <v>8.2721999999999998</v>
      </c>
      <c r="D590" s="60">
        <f>8.2899 * CHOOSE(CONTROL!$C$22, $C$13, 100%, $E$13)</f>
        <v>8.2898999999999994</v>
      </c>
      <c r="E590" s="61">
        <f>9.6253 * CHOOSE(CONTROL!$C$22, $C$13, 100%, $E$13)</f>
        <v>9.6252999999999993</v>
      </c>
      <c r="F590" s="61">
        <f>9.6253 * CHOOSE(CONTROL!$C$22, $C$13, 100%, $E$13)</f>
        <v>9.6252999999999993</v>
      </c>
      <c r="G590" s="61">
        <f>9.6254 * CHOOSE(CONTROL!$C$22, $C$13, 100%, $E$13)</f>
        <v>9.6254000000000008</v>
      </c>
      <c r="H590" s="61">
        <f>16.9936* CHOOSE(CONTROL!$C$22, $C$13, 100%, $E$13)</f>
        <v>16.993600000000001</v>
      </c>
      <c r="I590" s="61">
        <f>16.9938 * CHOOSE(CONTROL!$C$22, $C$13, 100%, $E$13)</f>
        <v>16.9938</v>
      </c>
      <c r="J590" s="61">
        <f>9.6253 * CHOOSE(CONTROL!$C$22, $C$13, 100%, $E$13)</f>
        <v>9.6252999999999993</v>
      </c>
      <c r="K590" s="61">
        <f>9.6254 * CHOOSE(CONTROL!$C$22, $C$13, 100%, $E$13)</f>
        <v>9.6254000000000008</v>
      </c>
    </row>
    <row r="591" spans="1:11" ht="15">
      <c r="A591" s="13">
        <v>59841</v>
      </c>
      <c r="B591" s="60">
        <f>8.2753 * CHOOSE(CONTROL!$C$22, $C$13, 100%, $E$13)</f>
        <v>8.2752999999999997</v>
      </c>
      <c r="C591" s="60">
        <f>8.2753 * CHOOSE(CONTROL!$C$22, $C$13, 100%, $E$13)</f>
        <v>8.2752999999999997</v>
      </c>
      <c r="D591" s="60">
        <f>8.2929 * CHOOSE(CONTROL!$C$22, $C$13, 100%, $E$13)</f>
        <v>8.2928999999999995</v>
      </c>
      <c r="E591" s="61">
        <f>9.659 * CHOOSE(CONTROL!$C$22, $C$13, 100%, $E$13)</f>
        <v>9.6590000000000007</v>
      </c>
      <c r="F591" s="61">
        <f>9.659 * CHOOSE(CONTROL!$C$22, $C$13, 100%, $E$13)</f>
        <v>9.6590000000000007</v>
      </c>
      <c r="G591" s="61">
        <f>9.6592 * CHOOSE(CONTROL!$C$22, $C$13, 100%, $E$13)</f>
        <v>9.6592000000000002</v>
      </c>
      <c r="H591" s="61">
        <f>17.029* CHOOSE(CONTROL!$C$22, $C$13, 100%, $E$13)</f>
        <v>17.029</v>
      </c>
      <c r="I591" s="61">
        <f>17.0292 * CHOOSE(CONTROL!$C$22, $C$13, 100%, $E$13)</f>
        <v>17.029199999999999</v>
      </c>
      <c r="J591" s="61">
        <f>9.659 * CHOOSE(CONTROL!$C$22, $C$13, 100%, $E$13)</f>
        <v>9.6590000000000007</v>
      </c>
      <c r="K591" s="61">
        <f>9.6592 * CHOOSE(CONTROL!$C$22, $C$13, 100%, $E$13)</f>
        <v>9.6592000000000002</v>
      </c>
    </row>
    <row r="592" spans="1:11" ht="15">
      <c r="A592" s="13">
        <v>59871</v>
      </c>
      <c r="B592" s="60">
        <f>8.2753 * CHOOSE(CONTROL!$C$22, $C$13, 100%, $E$13)</f>
        <v>8.2752999999999997</v>
      </c>
      <c r="C592" s="60">
        <f>8.2753 * CHOOSE(CONTROL!$C$22, $C$13, 100%, $E$13)</f>
        <v>8.2752999999999997</v>
      </c>
      <c r="D592" s="60">
        <f>8.2929 * CHOOSE(CONTROL!$C$22, $C$13, 100%, $E$13)</f>
        <v>8.2928999999999995</v>
      </c>
      <c r="E592" s="61">
        <f>9.58 * CHOOSE(CONTROL!$C$22, $C$13, 100%, $E$13)</f>
        <v>9.58</v>
      </c>
      <c r="F592" s="61">
        <f>9.58 * CHOOSE(CONTROL!$C$22, $C$13, 100%, $E$13)</f>
        <v>9.58</v>
      </c>
      <c r="G592" s="61">
        <f>9.5801 * CHOOSE(CONTROL!$C$22, $C$13, 100%, $E$13)</f>
        <v>9.5800999999999998</v>
      </c>
      <c r="H592" s="61">
        <f>17.0645* CHOOSE(CONTROL!$C$22, $C$13, 100%, $E$13)</f>
        <v>17.064499999999999</v>
      </c>
      <c r="I592" s="61">
        <f>17.0646 * CHOOSE(CONTROL!$C$22, $C$13, 100%, $E$13)</f>
        <v>17.064599999999999</v>
      </c>
      <c r="J592" s="61">
        <f>9.58 * CHOOSE(CONTROL!$C$22, $C$13, 100%, $E$13)</f>
        <v>9.58</v>
      </c>
      <c r="K592" s="61">
        <f>9.5801 * CHOOSE(CONTROL!$C$22, $C$13, 100%, $E$13)</f>
        <v>9.5800999999999998</v>
      </c>
    </row>
    <row r="593" spans="1:11" ht="15">
      <c r="A593" s="13">
        <v>59902</v>
      </c>
      <c r="B593" s="60">
        <f>8.3341 * CHOOSE(CONTROL!$C$22, $C$13, 100%, $E$13)</f>
        <v>8.3340999999999994</v>
      </c>
      <c r="C593" s="60">
        <f>8.3341 * CHOOSE(CONTROL!$C$22, $C$13, 100%, $E$13)</f>
        <v>8.3340999999999994</v>
      </c>
      <c r="D593" s="60">
        <f>8.3517 * CHOOSE(CONTROL!$C$22, $C$13, 100%, $E$13)</f>
        <v>8.3516999999999992</v>
      </c>
      <c r="E593" s="61">
        <f>9.7145 * CHOOSE(CONTROL!$C$22, $C$13, 100%, $E$13)</f>
        <v>9.7144999999999992</v>
      </c>
      <c r="F593" s="61">
        <f>9.7145 * CHOOSE(CONTROL!$C$22, $C$13, 100%, $E$13)</f>
        <v>9.7144999999999992</v>
      </c>
      <c r="G593" s="61">
        <f>9.7147 * CHOOSE(CONTROL!$C$22, $C$13, 100%, $E$13)</f>
        <v>9.7147000000000006</v>
      </c>
      <c r="H593" s="61">
        <f>17.0797* CHOOSE(CONTROL!$C$22, $C$13, 100%, $E$13)</f>
        <v>17.079699999999999</v>
      </c>
      <c r="I593" s="61">
        <f>17.0799 * CHOOSE(CONTROL!$C$22, $C$13, 100%, $E$13)</f>
        <v>17.079899999999999</v>
      </c>
      <c r="J593" s="61">
        <f>9.7145 * CHOOSE(CONTROL!$C$22, $C$13, 100%, $E$13)</f>
        <v>9.7144999999999992</v>
      </c>
      <c r="K593" s="61">
        <f>9.7147 * CHOOSE(CONTROL!$C$22, $C$13, 100%, $E$13)</f>
        <v>9.7147000000000006</v>
      </c>
    </row>
    <row r="594" spans="1:11" ht="15">
      <c r="A594" s="13">
        <v>59933</v>
      </c>
      <c r="B594" s="60">
        <f>8.331 * CHOOSE(CONTROL!$C$22, $C$13, 100%, $E$13)</f>
        <v>8.3309999999999995</v>
      </c>
      <c r="C594" s="60">
        <f>8.331 * CHOOSE(CONTROL!$C$22, $C$13, 100%, $E$13)</f>
        <v>8.3309999999999995</v>
      </c>
      <c r="D594" s="60">
        <f>8.3487 * CHOOSE(CONTROL!$C$22, $C$13, 100%, $E$13)</f>
        <v>8.3486999999999991</v>
      </c>
      <c r="E594" s="61">
        <f>9.5585 * CHOOSE(CONTROL!$C$22, $C$13, 100%, $E$13)</f>
        <v>9.5585000000000004</v>
      </c>
      <c r="F594" s="61">
        <f>9.5585 * CHOOSE(CONTROL!$C$22, $C$13, 100%, $E$13)</f>
        <v>9.5585000000000004</v>
      </c>
      <c r="G594" s="61">
        <f>9.5587 * CHOOSE(CONTROL!$C$22, $C$13, 100%, $E$13)</f>
        <v>9.5587</v>
      </c>
      <c r="H594" s="61">
        <f>17.1153* CHOOSE(CONTROL!$C$22, $C$13, 100%, $E$13)</f>
        <v>17.115300000000001</v>
      </c>
      <c r="I594" s="61">
        <f>17.1155 * CHOOSE(CONTROL!$C$22, $C$13, 100%, $E$13)</f>
        <v>17.115500000000001</v>
      </c>
      <c r="J594" s="61">
        <f>9.5585 * CHOOSE(CONTROL!$C$22, $C$13, 100%, $E$13)</f>
        <v>9.5585000000000004</v>
      </c>
      <c r="K594" s="61">
        <f>9.5587 * CHOOSE(CONTROL!$C$22, $C$13, 100%, $E$13)</f>
        <v>9.5587</v>
      </c>
    </row>
    <row r="595" spans="1:11" ht="15">
      <c r="A595" s="13">
        <v>59962</v>
      </c>
      <c r="B595" s="60">
        <f>8.328 * CHOOSE(CONTROL!$C$22, $C$13, 100%, $E$13)</f>
        <v>8.3279999999999994</v>
      </c>
      <c r="C595" s="60">
        <f>8.328 * CHOOSE(CONTROL!$C$22, $C$13, 100%, $E$13)</f>
        <v>8.3279999999999994</v>
      </c>
      <c r="D595" s="60">
        <f>8.3456 * CHOOSE(CONTROL!$C$22, $C$13, 100%, $E$13)</f>
        <v>8.3455999999999992</v>
      </c>
      <c r="E595" s="61">
        <f>9.6777 * CHOOSE(CONTROL!$C$22, $C$13, 100%, $E$13)</f>
        <v>9.6776999999999997</v>
      </c>
      <c r="F595" s="61">
        <f>9.6777 * CHOOSE(CONTROL!$C$22, $C$13, 100%, $E$13)</f>
        <v>9.6776999999999997</v>
      </c>
      <c r="G595" s="61">
        <f>9.6779 * CHOOSE(CONTROL!$C$22, $C$13, 100%, $E$13)</f>
        <v>9.6778999999999993</v>
      </c>
      <c r="H595" s="61">
        <f>17.151* CHOOSE(CONTROL!$C$22, $C$13, 100%, $E$13)</f>
        <v>17.151</v>
      </c>
      <c r="I595" s="61">
        <f>17.1511 * CHOOSE(CONTROL!$C$22, $C$13, 100%, $E$13)</f>
        <v>17.1511</v>
      </c>
      <c r="J595" s="61">
        <f>9.6777 * CHOOSE(CONTROL!$C$22, $C$13, 100%, $E$13)</f>
        <v>9.6776999999999997</v>
      </c>
      <c r="K595" s="61">
        <f>9.6779 * CHOOSE(CONTROL!$C$22, $C$13, 100%, $E$13)</f>
        <v>9.6778999999999993</v>
      </c>
    </row>
    <row r="596" spans="1:11" ht="15">
      <c r="A596" s="13">
        <v>59993</v>
      </c>
      <c r="B596" s="60">
        <f>8.3299 * CHOOSE(CONTROL!$C$22, $C$13, 100%, $E$13)</f>
        <v>8.3299000000000003</v>
      </c>
      <c r="C596" s="60">
        <f>8.3299 * CHOOSE(CONTROL!$C$22, $C$13, 100%, $E$13)</f>
        <v>8.3299000000000003</v>
      </c>
      <c r="D596" s="60">
        <f>8.3476 * CHOOSE(CONTROL!$C$22, $C$13, 100%, $E$13)</f>
        <v>8.3475999999999999</v>
      </c>
      <c r="E596" s="61">
        <f>9.8037 * CHOOSE(CONTROL!$C$22, $C$13, 100%, $E$13)</f>
        <v>9.8036999999999992</v>
      </c>
      <c r="F596" s="61">
        <f>9.8037 * CHOOSE(CONTROL!$C$22, $C$13, 100%, $E$13)</f>
        <v>9.8036999999999992</v>
      </c>
      <c r="G596" s="61">
        <f>9.8039 * CHOOSE(CONTROL!$C$22, $C$13, 100%, $E$13)</f>
        <v>9.8039000000000005</v>
      </c>
      <c r="H596" s="61">
        <f>17.1867* CHOOSE(CONTROL!$C$22, $C$13, 100%, $E$13)</f>
        <v>17.186699999999998</v>
      </c>
      <c r="I596" s="61">
        <f>17.1869 * CHOOSE(CONTROL!$C$22, $C$13, 100%, $E$13)</f>
        <v>17.186900000000001</v>
      </c>
      <c r="J596" s="61">
        <f>9.8037 * CHOOSE(CONTROL!$C$22, $C$13, 100%, $E$13)</f>
        <v>9.8036999999999992</v>
      </c>
      <c r="K596" s="61">
        <f>9.8039 * CHOOSE(CONTROL!$C$22, $C$13, 100%, $E$13)</f>
        <v>9.8039000000000005</v>
      </c>
    </row>
    <row r="597" spans="1:11" ht="15">
      <c r="A597" s="13">
        <v>60023</v>
      </c>
      <c r="B597" s="60">
        <f>8.3299 * CHOOSE(CONTROL!$C$22, $C$13, 100%, $E$13)</f>
        <v>8.3299000000000003</v>
      </c>
      <c r="C597" s="60">
        <f>8.3299 * CHOOSE(CONTROL!$C$22, $C$13, 100%, $E$13)</f>
        <v>8.3299000000000003</v>
      </c>
      <c r="D597" s="60">
        <f>8.3652 * CHOOSE(CONTROL!$C$22, $C$13, 100%, $E$13)</f>
        <v>8.3651999999999997</v>
      </c>
      <c r="E597" s="61">
        <f>9.8525 * CHOOSE(CONTROL!$C$22, $C$13, 100%, $E$13)</f>
        <v>9.8524999999999991</v>
      </c>
      <c r="F597" s="61">
        <f>9.8525 * CHOOSE(CONTROL!$C$22, $C$13, 100%, $E$13)</f>
        <v>9.8524999999999991</v>
      </c>
      <c r="G597" s="61">
        <f>9.8547 * CHOOSE(CONTROL!$C$22, $C$13, 100%, $E$13)</f>
        <v>9.8546999999999993</v>
      </c>
      <c r="H597" s="61">
        <f>17.2225* CHOOSE(CONTROL!$C$22, $C$13, 100%, $E$13)</f>
        <v>17.2225</v>
      </c>
      <c r="I597" s="61">
        <f>17.2247 * CHOOSE(CONTROL!$C$22, $C$13, 100%, $E$13)</f>
        <v>17.224699999999999</v>
      </c>
      <c r="J597" s="61">
        <f>9.8525 * CHOOSE(CONTROL!$C$22, $C$13, 100%, $E$13)</f>
        <v>9.8524999999999991</v>
      </c>
      <c r="K597" s="61">
        <f>9.8547 * CHOOSE(CONTROL!$C$22, $C$13, 100%, $E$13)</f>
        <v>9.8546999999999993</v>
      </c>
    </row>
    <row r="598" spans="1:11" ht="15">
      <c r="A598" s="13">
        <v>60054</v>
      </c>
      <c r="B598" s="60">
        <f>8.336 * CHOOSE(CONTROL!$C$22, $C$13, 100%, $E$13)</f>
        <v>8.3360000000000003</v>
      </c>
      <c r="C598" s="60">
        <f>8.336 * CHOOSE(CONTROL!$C$22, $C$13, 100%, $E$13)</f>
        <v>8.3360000000000003</v>
      </c>
      <c r="D598" s="60">
        <f>8.3713 * CHOOSE(CONTROL!$C$22, $C$13, 100%, $E$13)</f>
        <v>8.3712999999999997</v>
      </c>
      <c r="E598" s="61">
        <f>9.8079 * CHOOSE(CONTROL!$C$22, $C$13, 100%, $E$13)</f>
        <v>9.8079000000000001</v>
      </c>
      <c r="F598" s="61">
        <f>9.8079 * CHOOSE(CONTROL!$C$22, $C$13, 100%, $E$13)</f>
        <v>9.8079000000000001</v>
      </c>
      <c r="G598" s="61">
        <f>9.8101 * CHOOSE(CONTROL!$C$22, $C$13, 100%, $E$13)</f>
        <v>9.8101000000000003</v>
      </c>
      <c r="H598" s="61">
        <f>17.2584* CHOOSE(CONTROL!$C$22, $C$13, 100%, $E$13)</f>
        <v>17.258400000000002</v>
      </c>
      <c r="I598" s="61">
        <f>17.2606 * CHOOSE(CONTROL!$C$22, $C$13, 100%, $E$13)</f>
        <v>17.2606</v>
      </c>
      <c r="J598" s="61">
        <f>9.8079 * CHOOSE(CONTROL!$C$22, $C$13, 100%, $E$13)</f>
        <v>9.8079000000000001</v>
      </c>
      <c r="K598" s="61">
        <f>9.8101 * CHOOSE(CONTROL!$C$22, $C$13, 100%, $E$13)</f>
        <v>9.8101000000000003</v>
      </c>
    </row>
    <row r="599" spans="1:11" ht="15">
      <c r="A599" s="13">
        <v>60084</v>
      </c>
      <c r="B599" s="60">
        <f>8.4566 * CHOOSE(CONTROL!$C$22, $C$13, 100%, $E$13)</f>
        <v>8.4565999999999999</v>
      </c>
      <c r="C599" s="60">
        <f>8.4566 * CHOOSE(CONTROL!$C$22, $C$13, 100%, $E$13)</f>
        <v>8.4565999999999999</v>
      </c>
      <c r="D599" s="60">
        <f>8.4919 * CHOOSE(CONTROL!$C$22, $C$13, 100%, $E$13)</f>
        <v>8.4918999999999993</v>
      </c>
      <c r="E599" s="61">
        <f>9.9901 * CHOOSE(CONTROL!$C$22, $C$13, 100%, $E$13)</f>
        <v>9.9901</v>
      </c>
      <c r="F599" s="61">
        <f>9.9901 * CHOOSE(CONTROL!$C$22, $C$13, 100%, $E$13)</f>
        <v>9.9901</v>
      </c>
      <c r="G599" s="61">
        <f>9.9923 * CHOOSE(CONTROL!$C$22, $C$13, 100%, $E$13)</f>
        <v>9.9923000000000002</v>
      </c>
      <c r="H599" s="61">
        <f>17.2943* CHOOSE(CONTROL!$C$22, $C$13, 100%, $E$13)</f>
        <v>17.2943</v>
      </c>
      <c r="I599" s="61">
        <f>17.2965 * CHOOSE(CONTROL!$C$22, $C$13, 100%, $E$13)</f>
        <v>17.296500000000002</v>
      </c>
      <c r="J599" s="61">
        <f>9.9901 * CHOOSE(CONTROL!$C$22, $C$13, 100%, $E$13)</f>
        <v>9.9901</v>
      </c>
      <c r="K599" s="61">
        <f>9.9923 * CHOOSE(CONTROL!$C$22, $C$13, 100%, $E$13)</f>
        <v>9.9923000000000002</v>
      </c>
    </row>
    <row r="600" spans="1:11" ht="15">
      <c r="A600" s="13">
        <v>60115</v>
      </c>
      <c r="B600" s="60">
        <f>8.4633 * CHOOSE(CONTROL!$C$22, $C$13, 100%, $E$13)</f>
        <v>8.4633000000000003</v>
      </c>
      <c r="C600" s="60">
        <f>8.4633 * CHOOSE(CONTROL!$C$22, $C$13, 100%, $E$13)</f>
        <v>8.4633000000000003</v>
      </c>
      <c r="D600" s="60">
        <f>8.4986 * CHOOSE(CONTROL!$C$22, $C$13, 100%, $E$13)</f>
        <v>8.4985999999999997</v>
      </c>
      <c r="E600" s="61">
        <f>9.8482 * CHOOSE(CONTROL!$C$22, $C$13, 100%, $E$13)</f>
        <v>9.8482000000000003</v>
      </c>
      <c r="F600" s="61">
        <f>9.8482 * CHOOSE(CONTROL!$C$22, $C$13, 100%, $E$13)</f>
        <v>9.8482000000000003</v>
      </c>
      <c r="G600" s="61">
        <f>9.8504 * CHOOSE(CONTROL!$C$22, $C$13, 100%, $E$13)</f>
        <v>9.8504000000000005</v>
      </c>
      <c r="H600" s="61">
        <f>17.3304* CHOOSE(CONTROL!$C$22, $C$13, 100%, $E$13)</f>
        <v>17.330400000000001</v>
      </c>
      <c r="I600" s="61">
        <f>17.3325 * CHOOSE(CONTROL!$C$22, $C$13, 100%, $E$13)</f>
        <v>17.3325</v>
      </c>
      <c r="J600" s="61">
        <f>9.8482 * CHOOSE(CONTROL!$C$22, $C$13, 100%, $E$13)</f>
        <v>9.8482000000000003</v>
      </c>
      <c r="K600" s="61">
        <f>9.8504 * CHOOSE(CONTROL!$C$22, $C$13, 100%, $E$13)</f>
        <v>9.8504000000000005</v>
      </c>
    </row>
    <row r="601" spans="1:11" ht="15">
      <c r="A601" s="13">
        <v>60146</v>
      </c>
      <c r="B601" s="60">
        <f>8.4603 * CHOOSE(CONTROL!$C$22, $C$13, 100%, $E$13)</f>
        <v>8.4603000000000002</v>
      </c>
      <c r="C601" s="60">
        <f>8.4603 * CHOOSE(CONTROL!$C$22, $C$13, 100%, $E$13)</f>
        <v>8.4603000000000002</v>
      </c>
      <c r="D601" s="60">
        <f>8.4956 * CHOOSE(CONTROL!$C$22, $C$13, 100%, $E$13)</f>
        <v>8.4955999999999996</v>
      </c>
      <c r="E601" s="61">
        <f>9.8298 * CHOOSE(CONTROL!$C$22, $C$13, 100%, $E$13)</f>
        <v>9.8298000000000005</v>
      </c>
      <c r="F601" s="61">
        <f>9.8298 * CHOOSE(CONTROL!$C$22, $C$13, 100%, $E$13)</f>
        <v>9.8298000000000005</v>
      </c>
      <c r="G601" s="61">
        <f>9.832 * CHOOSE(CONTROL!$C$22, $C$13, 100%, $E$13)</f>
        <v>9.8320000000000007</v>
      </c>
      <c r="H601" s="61">
        <f>17.3665* CHOOSE(CONTROL!$C$22, $C$13, 100%, $E$13)</f>
        <v>17.366499999999998</v>
      </c>
      <c r="I601" s="61">
        <f>17.3686 * CHOOSE(CONTROL!$C$22, $C$13, 100%, $E$13)</f>
        <v>17.368600000000001</v>
      </c>
      <c r="J601" s="61">
        <f>9.8298 * CHOOSE(CONTROL!$C$22, $C$13, 100%, $E$13)</f>
        <v>9.8298000000000005</v>
      </c>
      <c r="K601" s="61">
        <f>9.832 * CHOOSE(CONTROL!$C$22, $C$13, 100%, $E$13)</f>
        <v>9.8320000000000007</v>
      </c>
    </row>
    <row r="602" spans="1:11" ht="15">
      <c r="A602" s="13">
        <v>60176</v>
      </c>
      <c r="B602" s="60">
        <f>8.4723 * CHOOSE(CONTROL!$C$22, $C$13, 100%, $E$13)</f>
        <v>8.4723000000000006</v>
      </c>
      <c r="C602" s="60">
        <f>8.4723 * CHOOSE(CONTROL!$C$22, $C$13, 100%, $E$13)</f>
        <v>8.4723000000000006</v>
      </c>
      <c r="D602" s="60">
        <f>8.49 * CHOOSE(CONTROL!$C$22, $C$13, 100%, $E$13)</f>
        <v>8.49</v>
      </c>
      <c r="E602" s="61">
        <f>9.8815 * CHOOSE(CONTROL!$C$22, $C$13, 100%, $E$13)</f>
        <v>9.8815000000000008</v>
      </c>
      <c r="F602" s="61">
        <f>9.8815 * CHOOSE(CONTROL!$C$22, $C$13, 100%, $E$13)</f>
        <v>9.8815000000000008</v>
      </c>
      <c r="G602" s="61">
        <f>9.8817 * CHOOSE(CONTROL!$C$22, $C$13, 100%, $E$13)</f>
        <v>9.8817000000000004</v>
      </c>
      <c r="H602" s="61">
        <f>17.4026* CHOOSE(CONTROL!$C$22, $C$13, 100%, $E$13)</f>
        <v>17.4026</v>
      </c>
      <c r="I602" s="61">
        <f>17.4028 * CHOOSE(CONTROL!$C$22, $C$13, 100%, $E$13)</f>
        <v>17.402799999999999</v>
      </c>
      <c r="J602" s="61">
        <f>9.8815 * CHOOSE(CONTROL!$C$22, $C$13, 100%, $E$13)</f>
        <v>9.8815000000000008</v>
      </c>
      <c r="K602" s="61">
        <f>9.8817 * CHOOSE(CONTROL!$C$22, $C$13, 100%, $E$13)</f>
        <v>9.8817000000000004</v>
      </c>
    </row>
    <row r="603" spans="1:11" ht="15">
      <c r="A603" s="13">
        <v>60207</v>
      </c>
      <c r="B603" s="60">
        <f>8.4753 * CHOOSE(CONTROL!$C$22, $C$13, 100%, $E$13)</f>
        <v>8.4753000000000007</v>
      </c>
      <c r="C603" s="60">
        <f>8.4753 * CHOOSE(CONTROL!$C$22, $C$13, 100%, $E$13)</f>
        <v>8.4753000000000007</v>
      </c>
      <c r="D603" s="60">
        <f>8.493 * CHOOSE(CONTROL!$C$22, $C$13, 100%, $E$13)</f>
        <v>8.4930000000000003</v>
      </c>
      <c r="E603" s="61">
        <f>9.9162 * CHOOSE(CONTROL!$C$22, $C$13, 100%, $E$13)</f>
        <v>9.9161999999999999</v>
      </c>
      <c r="F603" s="61">
        <f>9.9162 * CHOOSE(CONTROL!$C$22, $C$13, 100%, $E$13)</f>
        <v>9.9161999999999999</v>
      </c>
      <c r="G603" s="61">
        <f>9.9164 * CHOOSE(CONTROL!$C$22, $C$13, 100%, $E$13)</f>
        <v>9.9163999999999994</v>
      </c>
      <c r="H603" s="61">
        <f>17.4389* CHOOSE(CONTROL!$C$22, $C$13, 100%, $E$13)</f>
        <v>17.4389</v>
      </c>
      <c r="I603" s="61">
        <f>17.4391 * CHOOSE(CONTROL!$C$22, $C$13, 100%, $E$13)</f>
        <v>17.4391</v>
      </c>
      <c r="J603" s="61">
        <f>9.9162 * CHOOSE(CONTROL!$C$22, $C$13, 100%, $E$13)</f>
        <v>9.9161999999999999</v>
      </c>
      <c r="K603" s="61">
        <f>9.9164 * CHOOSE(CONTROL!$C$22, $C$13, 100%, $E$13)</f>
        <v>9.9163999999999994</v>
      </c>
    </row>
    <row r="604" spans="1:11" ht="15">
      <c r="A604" s="13">
        <v>60237</v>
      </c>
      <c r="B604" s="60">
        <f>8.4753 * CHOOSE(CONTROL!$C$22, $C$13, 100%, $E$13)</f>
        <v>8.4753000000000007</v>
      </c>
      <c r="C604" s="60">
        <f>8.4753 * CHOOSE(CONTROL!$C$22, $C$13, 100%, $E$13)</f>
        <v>8.4753000000000007</v>
      </c>
      <c r="D604" s="60">
        <f>8.493 * CHOOSE(CONTROL!$C$22, $C$13, 100%, $E$13)</f>
        <v>8.4930000000000003</v>
      </c>
      <c r="E604" s="61">
        <f>9.8348 * CHOOSE(CONTROL!$C$22, $C$13, 100%, $E$13)</f>
        <v>9.8347999999999995</v>
      </c>
      <c r="F604" s="61">
        <f>9.8348 * CHOOSE(CONTROL!$C$22, $C$13, 100%, $E$13)</f>
        <v>9.8347999999999995</v>
      </c>
      <c r="G604" s="61">
        <f>9.835 * CHOOSE(CONTROL!$C$22, $C$13, 100%, $E$13)</f>
        <v>9.8350000000000009</v>
      </c>
      <c r="H604" s="61">
        <f>17.4752* CHOOSE(CONTROL!$C$22, $C$13, 100%, $E$13)</f>
        <v>17.475200000000001</v>
      </c>
      <c r="I604" s="61">
        <f>17.4754 * CHOOSE(CONTROL!$C$22, $C$13, 100%, $E$13)</f>
        <v>17.4754</v>
      </c>
      <c r="J604" s="61">
        <f>9.8348 * CHOOSE(CONTROL!$C$22, $C$13, 100%, $E$13)</f>
        <v>9.8347999999999995</v>
      </c>
      <c r="K604" s="61">
        <f>9.835 * CHOOSE(CONTROL!$C$22, $C$13, 100%, $E$13)</f>
        <v>9.8350000000000009</v>
      </c>
    </row>
    <row r="605" spans="1:11" ht="15">
      <c r="A605" s="13">
        <v>60268</v>
      </c>
      <c r="B605" s="60">
        <f>8.5307 * CHOOSE(CONTROL!$C$22, $C$13, 100%, $E$13)</f>
        <v>8.5306999999999995</v>
      </c>
      <c r="C605" s="60">
        <f>8.5307 * CHOOSE(CONTROL!$C$22, $C$13, 100%, $E$13)</f>
        <v>8.5306999999999995</v>
      </c>
      <c r="D605" s="60">
        <f>8.5483 * CHOOSE(CONTROL!$C$22, $C$13, 100%, $E$13)</f>
        <v>8.5482999999999993</v>
      </c>
      <c r="E605" s="61">
        <f>9.9663 * CHOOSE(CONTROL!$C$22, $C$13, 100%, $E$13)</f>
        <v>9.9663000000000004</v>
      </c>
      <c r="F605" s="61">
        <f>9.9663 * CHOOSE(CONTROL!$C$22, $C$13, 100%, $E$13)</f>
        <v>9.9663000000000004</v>
      </c>
      <c r="G605" s="61">
        <f>9.9665 * CHOOSE(CONTROL!$C$22, $C$13, 100%, $E$13)</f>
        <v>9.9664999999999999</v>
      </c>
      <c r="H605" s="61">
        <f>17.4812* CHOOSE(CONTROL!$C$22, $C$13, 100%, $E$13)</f>
        <v>17.481200000000001</v>
      </c>
      <c r="I605" s="61">
        <f>17.4814 * CHOOSE(CONTROL!$C$22, $C$13, 100%, $E$13)</f>
        <v>17.481400000000001</v>
      </c>
      <c r="J605" s="61">
        <f>9.9663 * CHOOSE(CONTROL!$C$22, $C$13, 100%, $E$13)</f>
        <v>9.9663000000000004</v>
      </c>
      <c r="K605" s="61">
        <f>9.9665 * CHOOSE(CONTROL!$C$22, $C$13, 100%, $E$13)</f>
        <v>9.9664999999999999</v>
      </c>
    </row>
    <row r="606" spans="1:11" ht="15">
      <c r="A606" s="13">
        <v>60299</v>
      </c>
      <c r="B606" s="60">
        <f>8.5276 * CHOOSE(CONTROL!$C$22, $C$13, 100%, $E$13)</f>
        <v>8.5275999999999996</v>
      </c>
      <c r="C606" s="60">
        <f>8.5276 * CHOOSE(CONTROL!$C$22, $C$13, 100%, $E$13)</f>
        <v>8.5275999999999996</v>
      </c>
      <c r="D606" s="60">
        <f>8.5453 * CHOOSE(CONTROL!$C$22, $C$13, 100%, $E$13)</f>
        <v>8.5452999999999992</v>
      </c>
      <c r="E606" s="61">
        <f>9.8059 * CHOOSE(CONTROL!$C$22, $C$13, 100%, $E$13)</f>
        <v>9.8058999999999994</v>
      </c>
      <c r="F606" s="61">
        <f>9.8059 * CHOOSE(CONTROL!$C$22, $C$13, 100%, $E$13)</f>
        <v>9.8058999999999994</v>
      </c>
      <c r="G606" s="61">
        <f>9.8061 * CHOOSE(CONTROL!$C$22, $C$13, 100%, $E$13)</f>
        <v>9.8061000000000007</v>
      </c>
      <c r="H606" s="61">
        <f>17.5176* CHOOSE(CONTROL!$C$22, $C$13, 100%, $E$13)</f>
        <v>17.517600000000002</v>
      </c>
      <c r="I606" s="61">
        <f>17.5178 * CHOOSE(CONTROL!$C$22, $C$13, 100%, $E$13)</f>
        <v>17.517800000000001</v>
      </c>
      <c r="J606" s="61">
        <f>9.8059 * CHOOSE(CONTROL!$C$22, $C$13, 100%, $E$13)</f>
        <v>9.8058999999999994</v>
      </c>
      <c r="K606" s="61">
        <f>9.8061 * CHOOSE(CONTROL!$C$22, $C$13, 100%, $E$13)</f>
        <v>9.8061000000000007</v>
      </c>
    </row>
    <row r="607" spans="1:11" ht="15">
      <c r="A607" s="13">
        <v>60327</v>
      </c>
      <c r="B607" s="60">
        <f>8.5246 * CHOOSE(CONTROL!$C$22, $C$13, 100%, $E$13)</f>
        <v>8.5245999999999995</v>
      </c>
      <c r="C607" s="60">
        <f>8.5246 * CHOOSE(CONTROL!$C$22, $C$13, 100%, $E$13)</f>
        <v>8.5245999999999995</v>
      </c>
      <c r="D607" s="60">
        <f>8.5423 * CHOOSE(CONTROL!$C$22, $C$13, 100%, $E$13)</f>
        <v>8.5422999999999991</v>
      </c>
      <c r="E607" s="61">
        <f>9.9286 * CHOOSE(CONTROL!$C$22, $C$13, 100%, $E$13)</f>
        <v>9.9285999999999994</v>
      </c>
      <c r="F607" s="61">
        <f>9.9286 * CHOOSE(CONTROL!$C$22, $C$13, 100%, $E$13)</f>
        <v>9.9285999999999994</v>
      </c>
      <c r="G607" s="61">
        <f>9.9288 * CHOOSE(CONTROL!$C$22, $C$13, 100%, $E$13)</f>
        <v>9.9288000000000007</v>
      </c>
      <c r="H607" s="61">
        <f>17.5541* CHOOSE(CONTROL!$C$22, $C$13, 100%, $E$13)</f>
        <v>17.554099999999998</v>
      </c>
      <c r="I607" s="61">
        <f>17.5543 * CHOOSE(CONTROL!$C$22, $C$13, 100%, $E$13)</f>
        <v>17.554300000000001</v>
      </c>
      <c r="J607" s="61">
        <f>9.9286 * CHOOSE(CONTROL!$C$22, $C$13, 100%, $E$13)</f>
        <v>9.9285999999999994</v>
      </c>
      <c r="K607" s="61">
        <f>9.9288 * CHOOSE(CONTROL!$C$22, $C$13, 100%, $E$13)</f>
        <v>9.9288000000000007</v>
      </c>
    </row>
    <row r="608" spans="1:11" ht="15">
      <c r="A608" s="13">
        <v>60358</v>
      </c>
      <c r="B608" s="60">
        <f>8.5267 * CHOOSE(CONTROL!$C$22, $C$13, 100%, $E$13)</f>
        <v>8.5266999999999999</v>
      </c>
      <c r="C608" s="60">
        <f>8.5267 * CHOOSE(CONTROL!$C$22, $C$13, 100%, $E$13)</f>
        <v>8.5266999999999999</v>
      </c>
      <c r="D608" s="60">
        <f>8.5444 * CHOOSE(CONTROL!$C$22, $C$13, 100%, $E$13)</f>
        <v>8.5443999999999996</v>
      </c>
      <c r="E608" s="61">
        <f>10.0584 * CHOOSE(CONTROL!$C$22, $C$13, 100%, $E$13)</f>
        <v>10.058400000000001</v>
      </c>
      <c r="F608" s="61">
        <f>10.0584 * CHOOSE(CONTROL!$C$22, $C$13, 100%, $E$13)</f>
        <v>10.058400000000001</v>
      </c>
      <c r="G608" s="61">
        <f>10.0585 * CHOOSE(CONTROL!$C$22, $C$13, 100%, $E$13)</f>
        <v>10.0585</v>
      </c>
      <c r="H608" s="61">
        <f>17.5907* CHOOSE(CONTROL!$C$22, $C$13, 100%, $E$13)</f>
        <v>17.590699999999998</v>
      </c>
      <c r="I608" s="61">
        <f>17.5908 * CHOOSE(CONTROL!$C$22, $C$13, 100%, $E$13)</f>
        <v>17.590800000000002</v>
      </c>
      <c r="J608" s="61">
        <f>10.0584 * CHOOSE(CONTROL!$C$22, $C$13, 100%, $E$13)</f>
        <v>10.058400000000001</v>
      </c>
      <c r="K608" s="61">
        <f>10.0585 * CHOOSE(CONTROL!$C$22, $C$13, 100%, $E$13)</f>
        <v>10.0585</v>
      </c>
    </row>
    <row r="609" spans="1:11" ht="15">
      <c r="A609" s="13">
        <v>60388</v>
      </c>
      <c r="B609" s="60">
        <f>8.5267 * CHOOSE(CONTROL!$C$22, $C$13, 100%, $E$13)</f>
        <v>8.5266999999999999</v>
      </c>
      <c r="C609" s="60">
        <f>8.5267 * CHOOSE(CONTROL!$C$22, $C$13, 100%, $E$13)</f>
        <v>8.5266999999999999</v>
      </c>
      <c r="D609" s="60">
        <f>8.562 * CHOOSE(CONTROL!$C$22, $C$13, 100%, $E$13)</f>
        <v>8.5619999999999994</v>
      </c>
      <c r="E609" s="61">
        <f>10.1086 * CHOOSE(CONTROL!$C$22, $C$13, 100%, $E$13)</f>
        <v>10.108599999999999</v>
      </c>
      <c r="F609" s="61">
        <f>10.1086 * CHOOSE(CONTROL!$C$22, $C$13, 100%, $E$13)</f>
        <v>10.108599999999999</v>
      </c>
      <c r="G609" s="61">
        <f>10.1108 * CHOOSE(CONTROL!$C$22, $C$13, 100%, $E$13)</f>
        <v>10.110799999999999</v>
      </c>
      <c r="H609" s="61">
        <f>17.6273* CHOOSE(CONTROL!$C$22, $C$13, 100%, $E$13)</f>
        <v>17.627300000000002</v>
      </c>
      <c r="I609" s="61">
        <f>17.6295 * CHOOSE(CONTROL!$C$22, $C$13, 100%, $E$13)</f>
        <v>17.6295</v>
      </c>
      <c r="J609" s="61">
        <f>10.1086 * CHOOSE(CONTROL!$C$22, $C$13, 100%, $E$13)</f>
        <v>10.108599999999999</v>
      </c>
      <c r="K609" s="61">
        <f>10.1108 * CHOOSE(CONTROL!$C$22, $C$13, 100%, $E$13)</f>
        <v>10.110799999999999</v>
      </c>
    </row>
    <row r="610" spans="1:11" ht="15">
      <c r="A610" s="13">
        <v>60419</v>
      </c>
      <c r="B610" s="60">
        <f>8.5328 * CHOOSE(CONTROL!$C$22, $C$13, 100%, $E$13)</f>
        <v>8.5327999999999999</v>
      </c>
      <c r="C610" s="60">
        <f>8.5328 * CHOOSE(CONTROL!$C$22, $C$13, 100%, $E$13)</f>
        <v>8.5327999999999999</v>
      </c>
      <c r="D610" s="60">
        <f>8.5681 * CHOOSE(CONTROL!$C$22, $C$13, 100%, $E$13)</f>
        <v>8.5680999999999994</v>
      </c>
      <c r="E610" s="61">
        <f>10.0626 * CHOOSE(CONTROL!$C$22, $C$13, 100%, $E$13)</f>
        <v>10.0626</v>
      </c>
      <c r="F610" s="61">
        <f>10.0626 * CHOOSE(CONTROL!$C$22, $C$13, 100%, $E$13)</f>
        <v>10.0626</v>
      </c>
      <c r="G610" s="61">
        <f>10.0648 * CHOOSE(CONTROL!$C$22, $C$13, 100%, $E$13)</f>
        <v>10.0648</v>
      </c>
      <c r="H610" s="61">
        <f>17.664* CHOOSE(CONTROL!$C$22, $C$13, 100%, $E$13)</f>
        <v>17.664000000000001</v>
      </c>
      <c r="I610" s="61">
        <f>17.6662 * CHOOSE(CONTROL!$C$22, $C$13, 100%, $E$13)</f>
        <v>17.6662</v>
      </c>
      <c r="J610" s="61">
        <f>10.0626 * CHOOSE(CONTROL!$C$22, $C$13, 100%, $E$13)</f>
        <v>10.0626</v>
      </c>
      <c r="K610" s="61">
        <f>10.0648 * CHOOSE(CONTROL!$C$22, $C$13, 100%, $E$13)</f>
        <v>10.0648</v>
      </c>
    </row>
    <row r="611" spans="1:11" ht="15">
      <c r="A611" s="13">
        <v>60449</v>
      </c>
      <c r="B611" s="60">
        <f>8.6559 * CHOOSE(CONTROL!$C$22, $C$13, 100%, $E$13)</f>
        <v>8.6559000000000008</v>
      </c>
      <c r="C611" s="60">
        <f>8.6559 * CHOOSE(CONTROL!$C$22, $C$13, 100%, $E$13)</f>
        <v>8.6559000000000008</v>
      </c>
      <c r="D611" s="60">
        <f>8.6913 * CHOOSE(CONTROL!$C$22, $C$13, 100%, $E$13)</f>
        <v>8.6913</v>
      </c>
      <c r="E611" s="61">
        <f>10.2492 * CHOOSE(CONTROL!$C$22, $C$13, 100%, $E$13)</f>
        <v>10.2492</v>
      </c>
      <c r="F611" s="61">
        <f>10.2492 * CHOOSE(CONTROL!$C$22, $C$13, 100%, $E$13)</f>
        <v>10.2492</v>
      </c>
      <c r="G611" s="61">
        <f>10.2514 * CHOOSE(CONTROL!$C$22, $C$13, 100%, $E$13)</f>
        <v>10.2514</v>
      </c>
      <c r="H611" s="61">
        <f>17.7008* CHOOSE(CONTROL!$C$22, $C$13, 100%, $E$13)</f>
        <v>17.700800000000001</v>
      </c>
      <c r="I611" s="61">
        <f>17.703 * CHOOSE(CONTROL!$C$22, $C$13, 100%, $E$13)</f>
        <v>17.702999999999999</v>
      </c>
      <c r="J611" s="61">
        <f>10.2492 * CHOOSE(CONTROL!$C$22, $C$13, 100%, $E$13)</f>
        <v>10.2492</v>
      </c>
      <c r="K611" s="61">
        <f>10.2514 * CHOOSE(CONTROL!$C$22, $C$13, 100%, $E$13)</f>
        <v>10.2514</v>
      </c>
    </row>
    <row r="612" spans="1:11" ht="15">
      <c r="A612" s="13">
        <v>60480</v>
      </c>
      <c r="B612" s="60">
        <f>8.6626 * CHOOSE(CONTROL!$C$22, $C$13, 100%, $E$13)</f>
        <v>8.6625999999999994</v>
      </c>
      <c r="C612" s="60">
        <f>8.6626 * CHOOSE(CONTROL!$C$22, $C$13, 100%, $E$13)</f>
        <v>8.6625999999999994</v>
      </c>
      <c r="D612" s="60">
        <f>8.6979 * CHOOSE(CONTROL!$C$22, $C$13, 100%, $E$13)</f>
        <v>8.6979000000000006</v>
      </c>
      <c r="E612" s="61">
        <f>10.1031 * CHOOSE(CONTROL!$C$22, $C$13, 100%, $E$13)</f>
        <v>10.1031</v>
      </c>
      <c r="F612" s="61">
        <f>10.1031 * CHOOSE(CONTROL!$C$22, $C$13, 100%, $E$13)</f>
        <v>10.1031</v>
      </c>
      <c r="G612" s="61">
        <f>10.1052 * CHOOSE(CONTROL!$C$22, $C$13, 100%, $E$13)</f>
        <v>10.1052</v>
      </c>
      <c r="H612" s="61">
        <f>17.7377* CHOOSE(CONTROL!$C$22, $C$13, 100%, $E$13)</f>
        <v>17.7377</v>
      </c>
      <c r="I612" s="61">
        <f>17.7399 * CHOOSE(CONTROL!$C$22, $C$13, 100%, $E$13)</f>
        <v>17.739899999999999</v>
      </c>
      <c r="J612" s="61">
        <f>10.1031 * CHOOSE(CONTROL!$C$22, $C$13, 100%, $E$13)</f>
        <v>10.1031</v>
      </c>
      <c r="K612" s="61">
        <f>10.1052 * CHOOSE(CONTROL!$C$22, $C$13, 100%, $E$13)</f>
        <v>10.1052</v>
      </c>
    </row>
    <row r="613" spans="1:11" ht="15">
      <c r="A613" s="13">
        <v>60511</v>
      </c>
      <c r="B613" s="60">
        <f>8.6596 * CHOOSE(CONTROL!$C$22, $C$13, 100%, $E$13)</f>
        <v>8.6595999999999993</v>
      </c>
      <c r="C613" s="60">
        <f>8.6596 * CHOOSE(CONTROL!$C$22, $C$13, 100%, $E$13)</f>
        <v>8.6595999999999993</v>
      </c>
      <c r="D613" s="60">
        <f>8.6949 * CHOOSE(CONTROL!$C$22, $C$13, 100%, $E$13)</f>
        <v>8.6949000000000005</v>
      </c>
      <c r="E613" s="61">
        <f>10.0842 * CHOOSE(CONTROL!$C$22, $C$13, 100%, $E$13)</f>
        <v>10.084199999999999</v>
      </c>
      <c r="F613" s="61">
        <f>10.0842 * CHOOSE(CONTROL!$C$22, $C$13, 100%, $E$13)</f>
        <v>10.084199999999999</v>
      </c>
      <c r="G613" s="61">
        <f>10.0864 * CHOOSE(CONTROL!$C$22, $C$13, 100%, $E$13)</f>
        <v>10.086399999999999</v>
      </c>
      <c r="H613" s="61">
        <f>17.7747* CHOOSE(CONTROL!$C$22, $C$13, 100%, $E$13)</f>
        <v>17.774699999999999</v>
      </c>
      <c r="I613" s="61">
        <f>17.7768 * CHOOSE(CONTROL!$C$22, $C$13, 100%, $E$13)</f>
        <v>17.776800000000001</v>
      </c>
      <c r="J613" s="61">
        <f>10.0842 * CHOOSE(CONTROL!$C$22, $C$13, 100%, $E$13)</f>
        <v>10.084199999999999</v>
      </c>
      <c r="K613" s="61">
        <f>10.0864 * CHOOSE(CONTROL!$C$22, $C$13, 100%, $E$13)</f>
        <v>10.086399999999999</v>
      </c>
    </row>
    <row r="614" spans="1:11" ht="15">
      <c r="A614" s="13">
        <v>60541</v>
      </c>
      <c r="B614" s="60">
        <f>8.6724 * CHOOSE(CONTROL!$C$22, $C$13, 100%, $E$13)</f>
        <v>8.6723999999999997</v>
      </c>
      <c r="C614" s="60">
        <f>8.6724 * CHOOSE(CONTROL!$C$22, $C$13, 100%, $E$13)</f>
        <v>8.6723999999999997</v>
      </c>
      <c r="D614" s="60">
        <f>8.69 * CHOOSE(CONTROL!$C$22, $C$13, 100%, $E$13)</f>
        <v>8.69</v>
      </c>
      <c r="E614" s="61">
        <f>10.1378 * CHOOSE(CONTROL!$C$22, $C$13, 100%, $E$13)</f>
        <v>10.1378</v>
      </c>
      <c r="F614" s="61">
        <f>10.1378 * CHOOSE(CONTROL!$C$22, $C$13, 100%, $E$13)</f>
        <v>10.1378</v>
      </c>
      <c r="G614" s="61">
        <f>10.138 * CHOOSE(CONTROL!$C$22, $C$13, 100%, $E$13)</f>
        <v>10.138</v>
      </c>
      <c r="H614" s="61">
        <f>17.8117* CHOOSE(CONTROL!$C$22, $C$13, 100%, $E$13)</f>
        <v>17.811699999999998</v>
      </c>
      <c r="I614" s="61">
        <f>17.8119 * CHOOSE(CONTROL!$C$22, $C$13, 100%, $E$13)</f>
        <v>17.811900000000001</v>
      </c>
      <c r="J614" s="61">
        <f>10.1378 * CHOOSE(CONTROL!$C$22, $C$13, 100%, $E$13)</f>
        <v>10.1378</v>
      </c>
      <c r="K614" s="61">
        <f>10.138 * CHOOSE(CONTROL!$C$22, $C$13, 100%, $E$13)</f>
        <v>10.138</v>
      </c>
    </row>
    <row r="615" spans="1:11" ht="15">
      <c r="A615" s="13">
        <v>60572</v>
      </c>
      <c r="B615" s="60">
        <f>8.6754 * CHOOSE(CONTROL!$C$22, $C$13, 100%, $E$13)</f>
        <v>8.6753999999999998</v>
      </c>
      <c r="C615" s="60">
        <f>8.6754 * CHOOSE(CONTROL!$C$22, $C$13, 100%, $E$13)</f>
        <v>8.6753999999999998</v>
      </c>
      <c r="D615" s="60">
        <f>8.6931 * CHOOSE(CONTROL!$C$22, $C$13, 100%, $E$13)</f>
        <v>8.6930999999999994</v>
      </c>
      <c r="E615" s="61">
        <f>10.1734 * CHOOSE(CONTROL!$C$22, $C$13, 100%, $E$13)</f>
        <v>10.173400000000001</v>
      </c>
      <c r="F615" s="61">
        <f>10.1734 * CHOOSE(CONTROL!$C$22, $C$13, 100%, $E$13)</f>
        <v>10.173400000000001</v>
      </c>
      <c r="G615" s="61">
        <f>10.1736 * CHOOSE(CONTROL!$C$22, $C$13, 100%, $E$13)</f>
        <v>10.1736</v>
      </c>
      <c r="H615" s="61">
        <f>17.8488* CHOOSE(CONTROL!$C$22, $C$13, 100%, $E$13)</f>
        <v>17.848800000000001</v>
      </c>
      <c r="I615" s="61">
        <f>17.849 * CHOOSE(CONTROL!$C$22, $C$13, 100%, $E$13)</f>
        <v>17.849</v>
      </c>
      <c r="J615" s="61">
        <f>10.1734 * CHOOSE(CONTROL!$C$22, $C$13, 100%, $E$13)</f>
        <v>10.173400000000001</v>
      </c>
      <c r="K615" s="61">
        <f>10.1736 * CHOOSE(CONTROL!$C$22, $C$13, 100%, $E$13)</f>
        <v>10.1736</v>
      </c>
    </row>
    <row r="616" spans="1:11" ht="15">
      <c r="A616" s="13">
        <v>60602</v>
      </c>
      <c r="B616" s="60">
        <f>8.6754 * CHOOSE(CONTROL!$C$22, $C$13, 100%, $E$13)</f>
        <v>8.6753999999999998</v>
      </c>
      <c r="C616" s="60">
        <f>8.6754 * CHOOSE(CONTROL!$C$22, $C$13, 100%, $E$13)</f>
        <v>8.6753999999999998</v>
      </c>
      <c r="D616" s="60">
        <f>8.6931 * CHOOSE(CONTROL!$C$22, $C$13, 100%, $E$13)</f>
        <v>8.6930999999999994</v>
      </c>
      <c r="E616" s="61">
        <f>10.0896 * CHOOSE(CONTROL!$C$22, $C$13, 100%, $E$13)</f>
        <v>10.089600000000001</v>
      </c>
      <c r="F616" s="61">
        <f>10.0896 * CHOOSE(CONTROL!$C$22, $C$13, 100%, $E$13)</f>
        <v>10.089600000000001</v>
      </c>
      <c r="G616" s="61">
        <f>10.0898 * CHOOSE(CONTROL!$C$22, $C$13, 100%, $E$13)</f>
        <v>10.0898</v>
      </c>
      <c r="H616" s="61">
        <f>17.886* CHOOSE(CONTROL!$C$22, $C$13, 100%, $E$13)</f>
        <v>17.885999999999999</v>
      </c>
      <c r="I616" s="61">
        <f>17.8862 * CHOOSE(CONTROL!$C$22, $C$13, 100%, $E$13)</f>
        <v>17.886199999999999</v>
      </c>
      <c r="J616" s="61">
        <f>10.0896 * CHOOSE(CONTROL!$C$22, $C$13, 100%, $E$13)</f>
        <v>10.089600000000001</v>
      </c>
      <c r="K616" s="61">
        <f>10.0898 * CHOOSE(CONTROL!$C$22, $C$13, 100%, $E$13)</f>
        <v>10.0898</v>
      </c>
    </row>
    <row r="617" spans="1:11" ht="15">
      <c r="A617" s="13">
        <v>60633</v>
      </c>
      <c r="B617" s="60">
        <f>8.7273 * CHOOSE(CONTROL!$C$22, $C$13, 100%, $E$13)</f>
        <v>8.7272999999999996</v>
      </c>
      <c r="C617" s="60">
        <f>8.7273 * CHOOSE(CONTROL!$C$22, $C$13, 100%, $E$13)</f>
        <v>8.7272999999999996</v>
      </c>
      <c r="D617" s="60">
        <f>8.745 * CHOOSE(CONTROL!$C$22, $C$13, 100%, $E$13)</f>
        <v>8.7449999999999992</v>
      </c>
      <c r="E617" s="61">
        <f>10.2182 * CHOOSE(CONTROL!$C$22, $C$13, 100%, $E$13)</f>
        <v>10.2182</v>
      </c>
      <c r="F617" s="61">
        <f>10.2182 * CHOOSE(CONTROL!$C$22, $C$13, 100%, $E$13)</f>
        <v>10.2182</v>
      </c>
      <c r="G617" s="61">
        <f>10.2183 * CHOOSE(CONTROL!$C$22, $C$13, 100%, $E$13)</f>
        <v>10.218299999999999</v>
      </c>
      <c r="H617" s="61">
        <f>17.8826* CHOOSE(CONTROL!$C$22, $C$13, 100%, $E$13)</f>
        <v>17.8826</v>
      </c>
      <c r="I617" s="61">
        <f>17.8828 * CHOOSE(CONTROL!$C$22, $C$13, 100%, $E$13)</f>
        <v>17.8828</v>
      </c>
      <c r="J617" s="61">
        <f>10.2182 * CHOOSE(CONTROL!$C$22, $C$13, 100%, $E$13)</f>
        <v>10.2182</v>
      </c>
      <c r="K617" s="61">
        <f>10.2183 * CHOOSE(CONTROL!$C$22, $C$13, 100%, $E$13)</f>
        <v>10.218299999999999</v>
      </c>
    </row>
    <row r="618" spans="1:11" ht="15">
      <c r="A618" s="13">
        <v>60664</v>
      </c>
      <c r="B618" s="60">
        <f>8.7243 * CHOOSE(CONTROL!$C$22, $C$13, 100%, $E$13)</f>
        <v>8.7242999999999995</v>
      </c>
      <c r="C618" s="60">
        <f>8.7243 * CHOOSE(CONTROL!$C$22, $C$13, 100%, $E$13)</f>
        <v>8.7242999999999995</v>
      </c>
      <c r="D618" s="60">
        <f>8.7419 * CHOOSE(CONTROL!$C$22, $C$13, 100%, $E$13)</f>
        <v>8.7418999999999993</v>
      </c>
      <c r="E618" s="61">
        <f>10.0533 * CHOOSE(CONTROL!$C$22, $C$13, 100%, $E$13)</f>
        <v>10.0533</v>
      </c>
      <c r="F618" s="61">
        <f>10.0533 * CHOOSE(CONTROL!$C$22, $C$13, 100%, $E$13)</f>
        <v>10.0533</v>
      </c>
      <c r="G618" s="61">
        <f>10.0535 * CHOOSE(CONTROL!$C$22, $C$13, 100%, $E$13)</f>
        <v>10.0535</v>
      </c>
      <c r="H618" s="61">
        <f>17.9199* CHOOSE(CONTROL!$C$22, $C$13, 100%, $E$13)</f>
        <v>17.919899999999998</v>
      </c>
      <c r="I618" s="61">
        <f>17.9201 * CHOOSE(CONTROL!$C$22, $C$13, 100%, $E$13)</f>
        <v>17.920100000000001</v>
      </c>
      <c r="J618" s="61">
        <f>10.0533 * CHOOSE(CONTROL!$C$22, $C$13, 100%, $E$13)</f>
        <v>10.0533</v>
      </c>
      <c r="K618" s="61">
        <f>10.0535 * CHOOSE(CONTROL!$C$22, $C$13, 100%, $E$13)</f>
        <v>10.0535</v>
      </c>
    </row>
    <row r="619" spans="1:11" ht="15">
      <c r="A619" s="13">
        <v>60692</v>
      </c>
      <c r="B619" s="60">
        <f>8.7212 * CHOOSE(CONTROL!$C$22, $C$13, 100%, $E$13)</f>
        <v>8.7211999999999996</v>
      </c>
      <c r="C619" s="60">
        <f>8.7212 * CHOOSE(CONTROL!$C$22, $C$13, 100%, $E$13)</f>
        <v>8.7211999999999996</v>
      </c>
      <c r="D619" s="60">
        <f>8.7389 * CHOOSE(CONTROL!$C$22, $C$13, 100%, $E$13)</f>
        <v>8.7388999999999992</v>
      </c>
      <c r="E619" s="61">
        <f>10.1795 * CHOOSE(CONTROL!$C$22, $C$13, 100%, $E$13)</f>
        <v>10.179500000000001</v>
      </c>
      <c r="F619" s="61">
        <f>10.1795 * CHOOSE(CONTROL!$C$22, $C$13, 100%, $E$13)</f>
        <v>10.179500000000001</v>
      </c>
      <c r="G619" s="61">
        <f>10.1797 * CHOOSE(CONTROL!$C$22, $C$13, 100%, $E$13)</f>
        <v>10.1797</v>
      </c>
      <c r="H619" s="61">
        <f>17.9572* CHOOSE(CONTROL!$C$22, $C$13, 100%, $E$13)</f>
        <v>17.9572</v>
      </c>
      <c r="I619" s="61">
        <f>17.9574 * CHOOSE(CONTROL!$C$22, $C$13, 100%, $E$13)</f>
        <v>17.9574</v>
      </c>
      <c r="J619" s="61">
        <f>10.1795 * CHOOSE(CONTROL!$C$22, $C$13, 100%, $E$13)</f>
        <v>10.179500000000001</v>
      </c>
      <c r="K619" s="61">
        <f>10.1797 * CHOOSE(CONTROL!$C$22, $C$13, 100%, $E$13)</f>
        <v>10.1797</v>
      </c>
    </row>
    <row r="620" spans="1:11" ht="15">
      <c r="A620" s="13">
        <v>60723</v>
      </c>
      <c r="B620" s="60">
        <f>8.7235 * CHOOSE(CONTROL!$C$22, $C$13, 100%, $E$13)</f>
        <v>8.7234999999999996</v>
      </c>
      <c r="C620" s="60">
        <f>8.7235 * CHOOSE(CONTROL!$C$22, $C$13, 100%, $E$13)</f>
        <v>8.7234999999999996</v>
      </c>
      <c r="D620" s="60">
        <f>8.7412 * CHOOSE(CONTROL!$C$22, $C$13, 100%, $E$13)</f>
        <v>8.7411999999999992</v>
      </c>
      <c r="E620" s="61">
        <f>10.313 * CHOOSE(CONTROL!$C$22, $C$13, 100%, $E$13)</f>
        <v>10.313000000000001</v>
      </c>
      <c r="F620" s="61">
        <f>10.313 * CHOOSE(CONTROL!$C$22, $C$13, 100%, $E$13)</f>
        <v>10.313000000000001</v>
      </c>
      <c r="G620" s="61">
        <f>10.3132 * CHOOSE(CONTROL!$C$22, $C$13, 100%, $E$13)</f>
        <v>10.3132</v>
      </c>
      <c r="H620" s="61">
        <f>17.9946* CHOOSE(CONTROL!$C$22, $C$13, 100%, $E$13)</f>
        <v>17.994599999999998</v>
      </c>
      <c r="I620" s="61">
        <f>17.9948 * CHOOSE(CONTROL!$C$22, $C$13, 100%, $E$13)</f>
        <v>17.994800000000001</v>
      </c>
      <c r="J620" s="61">
        <f>10.313 * CHOOSE(CONTROL!$C$22, $C$13, 100%, $E$13)</f>
        <v>10.313000000000001</v>
      </c>
      <c r="K620" s="61">
        <f>10.3132 * CHOOSE(CONTROL!$C$22, $C$13, 100%, $E$13)</f>
        <v>10.3132</v>
      </c>
    </row>
    <row r="621" spans="1:11" ht="15">
      <c r="A621" s="13">
        <v>60753</v>
      </c>
      <c r="B621" s="60">
        <f>8.7235 * CHOOSE(CONTROL!$C$22, $C$13, 100%, $E$13)</f>
        <v>8.7234999999999996</v>
      </c>
      <c r="C621" s="60">
        <f>8.7235 * CHOOSE(CONTROL!$C$22, $C$13, 100%, $E$13)</f>
        <v>8.7234999999999996</v>
      </c>
      <c r="D621" s="60">
        <f>8.7589 * CHOOSE(CONTROL!$C$22, $C$13, 100%, $E$13)</f>
        <v>8.7589000000000006</v>
      </c>
      <c r="E621" s="61">
        <f>10.3647 * CHOOSE(CONTROL!$C$22, $C$13, 100%, $E$13)</f>
        <v>10.364699999999999</v>
      </c>
      <c r="F621" s="61">
        <f>10.3647 * CHOOSE(CONTROL!$C$22, $C$13, 100%, $E$13)</f>
        <v>10.364699999999999</v>
      </c>
      <c r="G621" s="61">
        <f>10.3669 * CHOOSE(CONTROL!$C$22, $C$13, 100%, $E$13)</f>
        <v>10.366899999999999</v>
      </c>
      <c r="H621" s="61">
        <f>18.0321* CHOOSE(CONTROL!$C$22, $C$13, 100%, $E$13)</f>
        <v>18.0321</v>
      </c>
      <c r="I621" s="61">
        <f>18.0343 * CHOOSE(CONTROL!$C$22, $C$13, 100%, $E$13)</f>
        <v>18.034300000000002</v>
      </c>
      <c r="J621" s="61">
        <f>10.3647 * CHOOSE(CONTROL!$C$22, $C$13, 100%, $E$13)</f>
        <v>10.364699999999999</v>
      </c>
      <c r="K621" s="61">
        <f>10.3669 * CHOOSE(CONTROL!$C$22, $C$13, 100%, $E$13)</f>
        <v>10.366899999999999</v>
      </c>
    </row>
    <row r="622" spans="1:11" ht="15">
      <c r="A622" s="13">
        <v>60784</v>
      </c>
      <c r="B622" s="60">
        <f>8.7296 * CHOOSE(CONTROL!$C$22, $C$13, 100%, $E$13)</f>
        <v>8.7295999999999996</v>
      </c>
      <c r="C622" s="60">
        <f>8.7296 * CHOOSE(CONTROL!$C$22, $C$13, 100%, $E$13)</f>
        <v>8.7295999999999996</v>
      </c>
      <c r="D622" s="60">
        <f>8.7649 * CHOOSE(CONTROL!$C$22, $C$13, 100%, $E$13)</f>
        <v>8.7649000000000008</v>
      </c>
      <c r="E622" s="61">
        <f>10.3173 * CHOOSE(CONTROL!$C$22, $C$13, 100%, $E$13)</f>
        <v>10.317299999999999</v>
      </c>
      <c r="F622" s="61">
        <f>10.3173 * CHOOSE(CONTROL!$C$22, $C$13, 100%, $E$13)</f>
        <v>10.317299999999999</v>
      </c>
      <c r="G622" s="61">
        <f>10.3195 * CHOOSE(CONTROL!$C$22, $C$13, 100%, $E$13)</f>
        <v>10.3195</v>
      </c>
      <c r="H622" s="61">
        <f>18.0697* CHOOSE(CONTROL!$C$22, $C$13, 100%, $E$13)</f>
        <v>18.069700000000001</v>
      </c>
      <c r="I622" s="61">
        <f>18.0719 * CHOOSE(CONTROL!$C$22, $C$13, 100%, $E$13)</f>
        <v>18.071899999999999</v>
      </c>
      <c r="J622" s="61">
        <f>10.3173 * CHOOSE(CONTROL!$C$22, $C$13, 100%, $E$13)</f>
        <v>10.317299999999999</v>
      </c>
      <c r="K622" s="61">
        <f>10.3195 * CHOOSE(CONTROL!$C$22, $C$13, 100%, $E$13)</f>
        <v>10.3195</v>
      </c>
    </row>
    <row r="623" spans="1:11" ht="15">
      <c r="A623" s="13">
        <v>60814</v>
      </c>
      <c r="B623" s="60">
        <f>8.8553 * CHOOSE(CONTROL!$C$22, $C$13, 100%, $E$13)</f>
        <v>8.8552999999999997</v>
      </c>
      <c r="C623" s="60">
        <f>8.8553 * CHOOSE(CONTROL!$C$22, $C$13, 100%, $E$13)</f>
        <v>8.8552999999999997</v>
      </c>
      <c r="D623" s="60">
        <f>8.8906 * CHOOSE(CONTROL!$C$22, $C$13, 100%, $E$13)</f>
        <v>8.8905999999999992</v>
      </c>
      <c r="E623" s="61">
        <f>10.5083 * CHOOSE(CONTROL!$C$22, $C$13, 100%, $E$13)</f>
        <v>10.5083</v>
      </c>
      <c r="F623" s="61">
        <f>10.5083 * CHOOSE(CONTROL!$C$22, $C$13, 100%, $E$13)</f>
        <v>10.5083</v>
      </c>
      <c r="G623" s="61">
        <f>10.5105 * CHOOSE(CONTROL!$C$22, $C$13, 100%, $E$13)</f>
        <v>10.5105</v>
      </c>
      <c r="H623" s="61">
        <f>18.1073* CHOOSE(CONTROL!$C$22, $C$13, 100%, $E$13)</f>
        <v>18.107299999999999</v>
      </c>
      <c r="I623" s="61">
        <f>18.1095 * CHOOSE(CONTROL!$C$22, $C$13, 100%, $E$13)</f>
        <v>18.109500000000001</v>
      </c>
      <c r="J623" s="61">
        <f>10.5083 * CHOOSE(CONTROL!$C$22, $C$13, 100%, $E$13)</f>
        <v>10.5083</v>
      </c>
      <c r="K623" s="61">
        <f>10.5105 * CHOOSE(CONTROL!$C$22, $C$13, 100%, $E$13)</f>
        <v>10.5105</v>
      </c>
    </row>
    <row r="624" spans="1:11" ht="15">
      <c r="A624" s="13">
        <v>60845</v>
      </c>
      <c r="B624" s="60">
        <f>8.8619 * CHOOSE(CONTROL!$C$22, $C$13, 100%, $E$13)</f>
        <v>8.8619000000000003</v>
      </c>
      <c r="C624" s="60">
        <f>8.8619 * CHOOSE(CONTROL!$C$22, $C$13, 100%, $E$13)</f>
        <v>8.8619000000000003</v>
      </c>
      <c r="D624" s="60">
        <f>8.8973 * CHOOSE(CONTROL!$C$22, $C$13, 100%, $E$13)</f>
        <v>8.8972999999999995</v>
      </c>
      <c r="E624" s="61">
        <f>10.3579 * CHOOSE(CONTROL!$C$22, $C$13, 100%, $E$13)</f>
        <v>10.357900000000001</v>
      </c>
      <c r="F624" s="61">
        <f>10.3579 * CHOOSE(CONTROL!$C$22, $C$13, 100%, $E$13)</f>
        <v>10.357900000000001</v>
      </c>
      <c r="G624" s="61">
        <f>10.3601 * CHOOSE(CONTROL!$C$22, $C$13, 100%, $E$13)</f>
        <v>10.360099999999999</v>
      </c>
      <c r="H624" s="61">
        <f>18.1451* CHOOSE(CONTROL!$C$22, $C$13, 100%, $E$13)</f>
        <v>18.145099999999999</v>
      </c>
      <c r="I624" s="61">
        <f>18.1473 * CHOOSE(CONTROL!$C$22, $C$13, 100%, $E$13)</f>
        <v>18.147300000000001</v>
      </c>
      <c r="J624" s="61">
        <f>10.3579 * CHOOSE(CONTROL!$C$22, $C$13, 100%, $E$13)</f>
        <v>10.357900000000001</v>
      </c>
      <c r="K624" s="61">
        <f>10.3601 * CHOOSE(CONTROL!$C$22, $C$13, 100%, $E$13)</f>
        <v>10.360099999999999</v>
      </c>
    </row>
    <row r="625" spans="1:11" ht="15">
      <c r="A625" s="13">
        <v>60876</v>
      </c>
      <c r="B625" s="60">
        <f>8.8589 * CHOOSE(CONTROL!$C$22, $C$13, 100%, $E$13)</f>
        <v>8.8589000000000002</v>
      </c>
      <c r="C625" s="60">
        <f>8.8589 * CHOOSE(CONTROL!$C$22, $C$13, 100%, $E$13)</f>
        <v>8.8589000000000002</v>
      </c>
      <c r="D625" s="60">
        <f>8.8942 * CHOOSE(CONTROL!$C$22, $C$13, 100%, $E$13)</f>
        <v>8.8941999999999997</v>
      </c>
      <c r="E625" s="61">
        <f>10.3386 * CHOOSE(CONTROL!$C$22, $C$13, 100%, $E$13)</f>
        <v>10.3386</v>
      </c>
      <c r="F625" s="61">
        <f>10.3386 * CHOOSE(CONTROL!$C$22, $C$13, 100%, $E$13)</f>
        <v>10.3386</v>
      </c>
      <c r="G625" s="61">
        <f>10.3407 * CHOOSE(CONTROL!$C$22, $C$13, 100%, $E$13)</f>
        <v>10.3407</v>
      </c>
      <c r="H625" s="61">
        <f>18.1829* CHOOSE(CONTROL!$C$22, $C$13, 100%, $E$13)</f>
        <v>18.1829</v>
      </c>
      <c r="I625" s="61">
        <f>18.1851 * CHOOSE(CONTROL!$C$22, $C$13, 100%, $E$13)</f>
        <v>18.185099999999998</v>
      </c>
      <c r="J625" s="61">
        <f>10.3386 * CHOOSE(CONTROL!$C$22, $C$13, 100%, $E$13)</f>
        <v>10.3386</v>
      </c>
      <c r="K625" s="61">
        <f>10.3407 * CHOOSE(CONTROL!$C$22, $C$13, 100%, $E$13)</f>
        <v>10.3407</v>
      </c>
    </row>
    <row r="626" spans="1:11" ht="15">
      <c r="A626" s="13">
        <v>60906</v>
      </c>
      <c r="B626" s="60">
        <f>8.8724 * CHOOSE(CONTROL!$C$22, $C$13, 100%, $E$13)</f>
        <v>8.8724000000000007</v>
      </c>
      <c r="C626" s="60">
        <f>8.8724 * CHOOSE(CONTROL!$C$22, $C$13, 100%, $E$13)</f>
        <v>8.8724000000000007</v>
      </c>
      <c r="D626" s="60">
        <f>8.8901 * CHOOSE(CONTROL!$C$22, $C$13, 100%, $E$13)</f>
        <v>8.8901000000000003</v>
      </c>
      <c r="E626" s="61">
        <f>10.394 * CHOOSE(CONTROL!$C$22, $C$13, 100%, $E$13)</f>
        <v>10.394</v>
      </c>
      <c r="F626" s="61">
        <f>10.394 * CHOOSE(CONTROL!$C$22, $C$13, 100%, $E$13)</f>
        <v>10.394</v>
      </c>
      <c r="G626" s="61">
        <f>10.3942 * CHOOSE(CONTROL!$C$22, $C$13, 100%, $E$13)</f>
        <v>10.3942</v>
      </c>
      <c r="H626" s="61">
        <f>18.2208* CHOOSE(CONTROL!$C$22, $C$13, 100%, $E$13)</f>
        <v>18.220800000000001</v>
      </c>
      <c r="I626" s="61">
        <f>18.2209 * CHOOSE(CONTROL!$C$22, $C$13, 100%, $E$13)</f>
        <v>18.2209</v>
      </c>
      <c r="J626" s="61">
        <f>10.394 * CHOOSE(CONTROL!$C$22, $C$13, 100%, $E$13)</f>
        <v>10.394</v>
      </c>
      <c r="K626" s="61">
        <f>10.3942 * CHOOSE(CONTROL!$C$22, $C$13, 100%, $E$13)</f>
        <v>10.3942</v>
      </c>
    </row>
    <row r="627" spans="1:11" ht="15">
      <c r="A627" s="13">
        <v>60937</v>
      </c>
      <c r="B627" s="60">
        <f>8.8755 * CHOOSE(CONTROL!$C$22, $C$13, 100%, $E$13)</f>
        <v>8.8755000000000006</v>
      </c>
      <c r="C627" s="60">
        <f>8.8755 * CHOOSE(CONTROL!$C$22, $C$13, 100%, $E$13)</f>
        <v>8.8755000000000006</v>
      </c>
      <c r="D627" s="60">
        <f>8.8931 * CHOOSE(CONTROL!$C$22, $C$13, 100%, $E$13)</f>
        <v>8.8931000000000004</v>
      </c>
      <c r="E627" s="61">
        <f>10.4306 * CHOOSE(CONTROL!$C$22, $C$13, 100%, $E$13)</f>
        <v>10.4306</v>
      </c>
      <c r="F627" s="61">
        <f>10.4306 * CHOOSE(CONTROL!$C$22, $C$13, 100%, $E$13)</f>
        <v>10.4306</v>
      </c>
      <c r="G627" s="61">
        <f>10.4308 * CHOOSE(CONTROL!$C$22, $C$13, 100%, $E$13)</f>
        <v>10.4308</v>
      </c>
      <c r="H627" s="61">
        <f>18.2587* CHOOSE(CONTROL!$C$22, $C$13, 100%, $E$13)</f>
        <v>18.258700000000001</v>
      </c>
      <c r="I627" s="61">
        <f>18.2589 * CHOOSE(CONTROL!$C$22, $C$13, 100%, $E$13)</f>
        <v>18.258900000000001</v>
      </c>
      <c r="J627" s="61">
        <f>10.4306 * CHOOSE(CONTROL!$C$22, $C$13, 100%, $E$13)</f>
        <v>10.4306</v>
      </c>
      <c r="K627" s="61">
        <f>10.4308 * CHOOSE(CONTROL!$C$22, $C$13, 100%, $E$13)</f>
        <v>10.4308</v>
      </c>
    </row>
    <row r="628" spans="1:11" ht="15">
      <c r="A628" s="13">
        <v>60967</v>
      </c>
      <c r="B628" s="60">
        <f>8.8755 * CHOOSE(CONTROL!$C$22, $C$13, 100%, $E$13)</f>
        <v>8.8755000000000006</v>
      </c>
      <c r="C628" s="60">
        <f>8.8755 * CHOOSE(CONTROL!$C$22, $C$13, 100%, $E$13)</f>
        <v>8.8755000000000006</v>
      </c>
      <c r="D628" s="60">
        <f>8.8931 * CHOOSE(CONTROL!$C$22, $C$13, 100%, $E$13)</f>
        <v>8.8931000000000004</v>
      </c>
      <c r="E628" s="61">
        <f>10.3445 * CHOOSE(CONTROL!$C$22, $C$13, 100%, $E$13)</f>
        <v>10.3445</v>
      </c>
      <c r="F628" s="61">
        <f>10.3445 * CHOOSE(CONTROL!$C$22, $C$13, 100%, $E$13)</f>
        <v>10.3445</v>
      </c>
      <c r="G628" s="61">
        <f>10.3447 * CHOOSE(CONTROL!$C$22, $C$13, 100%, $E$13)</f>
        <v>10.3447</v>
      </c>
      <c r="H628" s="61">
        <f>18.2967* CHOOSE(CONTROL!$C$22, $C$13, 100%, $E$13)</f>
        <v>18.296700000000001</v>
      </c>
      <c r="I628" s="61">
        <f>18.2969 * CHOOSE(CONTROL!$C$22, $C$13, 100%, $E$13)</f>
        <v>18.296900000000001</v>
      </c>
      <c r="J628" s="61">
        <f>10.3445 * CHOOSE(CONTROL!$C$22, $C$13, 100%, $E$13)</f>
        <v>10.3445</v>
      </c>
      <c r="K628" s="61">
        <f>10.3447 * CHOOSE(CONTROL!$C$22, $C$13, 100%, $E$13)</f>
        <v>10.3447</v>
      </c>
    </row>
    <row r="629" spans="1:11" ht="15">
      <c r="A629" s="13">
        <v>60998</v>
      </c>
      <c r="B629" s="60">
        <f>8.9239 * CHOOSE(CONTROL!$C$22, $C$13, 100%, $E$13)</f>
        <v>8.9238999999999997</v>
      </c>
      <c r="C629" s="60">
        <f>8.9239 * CHOOSE(CONTROL!$C$22, $C$13, 100%, $E$13)</f>
        <v>8.9238999999999997</v>
      </c>
      <c r="D629" s="60">
        <f>8.9416 * CHOOSE(CONTROL!$C$22, $C$13, 100%, $E$13)</f>
        <v>8.9415999999999993</v>
      </c>
      <c r="E629" s="61">
        <f>10.47 * CHOOSE(CONTROL!$C$22, $C$13, 100%, $E$13)</f>
        <v>10.47</v>
      </c>
      <c r="F629" s="61">
        <f>10.47 * CHOOSE(CONTROL!$C$22, $C$13, 100%, $E$13)</f>
        <v>10.47</v>
      </c>
      <c r="G629" s="61">
        <f>10.4702 * CHOOSE(CONTROL!$C$22, $C$13, 100%, $E$13)</f>
        <v>10.4702</v>
      </c>
      <c r="H629" s="61">
        <f>18.2841* CHOOSE(CONTROL!$C$22, $C$13, 100%, $E$13)</f>
        <v>18.284099999999999</v>
      </c>
      <c r="I629" s="61">
        <f>18.2843 * CHOOSE(CONTROL!$C$22, $C$13, 100%, $E$13)</f>
        <v>18.284300000000002</v>
      </c>
      <c r="J629" s="61">
        <f>10.47 * CHOOSE(CONTROL!$C$22, $C$13, 100%, $E$13)</f>
        <v>10.47</v>
      </c>
      <c r="K629" s="61">
        <f>10.4702 * CHOOSE(CONTROL!$C$22, $C$13, 100%, $E$13)</f>
        <v>10.4702</v>
      </c>
    </row>
    <row r="630" spans="1:11" ht="15">
      <c r="A630" s="13">
        <v>61029</v>
      </c>
      <c r="B630" s="60">
        <f>8.9209 * CHOOSE(CONTROL!$C$22, $C$13, 100%, $E$13)</f>
        <v>8.9208999999999996</v>
      </c>
      <c r="C630" s="60">
        <f>8.9209 * CHOOSE(CONTROL!$C$22, $C$13, 100%, $E$13)</f>
        <v>8.9208999999999996</v>
      </c>
      <c r="D630" s="60">
        <f>8.9385 * CHOOSE(CONTROL!$C$22, $C$13, 100%, $E$13)</f>
        <v>8.9384999999999994</v>
      </c>
      <c r="E630" s="61">
        <f>10.3006 * CHOOSE(CONTROL!$C$22, $C$13, 100%, $E$13)</f>
        <v>10.300599999999999</v>
      </c>
      <c r="F630" s="61">
        <f>10.3006 * CHOOSE(CONTROL!$C$22, $C$13, 100%, $E$13)</f>
        <v>10.300599999999999</v>
      </c>
      <c r="G630" s="61">
        <f>10.3008 * CHOOSE(CONTROL!$C$22, $C$13, 100%, $E$13)</f>
        <v>10.300800000000001</v>
      </c>
      <c r="H630" s="61">
        <f>18.3222* CHOOSE(CONTROL!$C$22, $C$13, 100%, $E$13)</f>
        <v>18.322199999999999</v>
      </c>
      <c r="I630" s="61">
        <f>18.3224 * CHOOSE(CONTROL!$C$22, $C$13, 100%, $E$13)</f>
        <v>18.322399999999998</v>
      </c>
      <c r="J630" s="61">
        <f>10.3006 * CHOOSE(CONTROL!$C$22, $C$13, 100%, $E$13)</f>
        <v>10.300599999999999</v>
      </c>
      <c r="K630" s="61">
        <f>10.3008 * CHOOSE(CONTROL!$C$22, $C$13, 100%, $E$13)</f>
        <v>10.300800000000001</v>
      </c>
    </row>
    <row r="631" spans="1:11" ht="15">
      <c r="A631" s="13">
        <v>61057</v>
      </c>
      <c r="B631" s="60">
        <f>8.9178 * CHOOSE(CONTROL!$C$22, $C$13, 100%, $E$13)</f>
        <v>8.9177999999999997</v>
      </c>
      <c r="C631" s="60">
        <f>8.9178 * CHOOSE(CONTROL!$C$22, $C$13, 100%, $E$13)</f>
        <v>8.9177999999999997</v>
      </c>
      <c r="D631" s="60">
        <f>8.9355 * CHOOSE(CONTROL!$C$22, $C$13, 100%, $E$13)</f>
        <v>8.9354999999999993</v>
      </c>
      <c r="E631" s="61">
        <f>10.4304 * CHOOSE(CONTROL!$C$22, $C$13, 100%, $E$13)</f>
        <v>10.430400000000001</v>
      </c>
      <c r="F631" s="61">
        <f>10.4304 * CHOOSE(CONTROL!$C$22, $C$13, 100%, $E$13)</f>
        <v>10.430400000000001</v>
      </c>
      <c r="G631" s="61">
        <f>10.4305 * CHOOSE(CONTROL!$C$22, $C$13, 100%, $E$13)</f>
        <v>10.4305</v>
      </c>
      <c r="H631" s="61">
        <f>18.3604* CHOOSE(CONTROL!$C$22, $C$13, 100%, $E$13)</f>
        <v>18.360399999999998</v>
      </c>
      <c r="I631" s="61">
        <f>18.3605 * CHOOSE(CONTROL!$C$22, $C$13, 100%, $E$13)</f>
        <v>18.360499999999998</v>
      </c>
      <c r="J631" s="61">
        <f>10.4304 * CHOOSE(CONTROL!$C$22, $C$13, 100%, $E$13)</f>
        <v>10.430400000000001</v>
      </c>
      <c r="K631" s="61">
        <f>10.4305 * CHOOSE(CONTROL!$C$22, $C$13, 100%, $E$13)</f>
        <v>10.4305</v>
      </c>
    </row>
    <row r="632" spans="1:11" ht="15">
      <c r="A632" s="13">
        <v>61088</v>
      </c>
      <c r="B632" s="60">
        <f>8.9203 * CHOOSE(CONTROL!$C$22, $C$13, 100%, $E$13)</f>
        <v>8.9202999999999992</v>
      </c>
      <c r="C632" s="60">
        <f>8.9203 * CHOOSE(CONTROL!$C$22, $C$13, 100%, $E$13)</f>
        <v>8.9202999999999992</v>
      </c>
      <c r="D632" s="60">
        <f>8.938 * CHOOSE(CONTROL!$C$22, $C$13, 100%, $E$13)</f>
        <v>8.9380000000000006</v>
      </c>
      <c r="E632" s="61">
        <f>10.5677 * CHOOSE(CONTROL!$C$22, $C$13, 100%, $E$13)</f>
        <v>10.5677</v>
      </c>
      <c r="F632" s="61">
        <f>10.5677 * CHOOSE(CONTROL!$C$22, $C$13, 100%, $E$13)</f>
        <v>10.5677</v>
      </c>
      <c r="G632" s="61">
        <f>10.5679 * CHOOSE(CONTROL!$C$22, $C$13, 100%, $E$13)</f>
        <v>10.5679</v>
      </c>
      <c r="H632" s="61">
        <f>18.3986* CHOOSE(CONTROL!$C$22, $C$13, 100%, $E$13)</f>
        <v>18.398599999999998</v>
      </c>
      <c r="I632" s="61">
        <f>18.3988 * CHOOSE(CONTROL!$C$22, $C$13, 100%, $E$13)</f>
        <v>18.398800000000001</v>
      </c>
      <c r="J632" s="61">
        <f>10.5677 * CHOOSE(CONTROL!$C$22, $C$13, 100%, $E$13)</f>
        <v>10.5677</v>
      </c>
      <c r="K632" s="61">
        <f>10.5679 * CHOOSE(CONTROL!$C$22, $C$13, 100%, $E$13)</f>
        <v>10.5679</v>
      </c>
    </row>
    <row r="633" spans="1:11" ht="15">
      <c r="A633" s="13">
        <v>61118</v>
      </c>
      <c r="B633" s="60">
        <f>8.9203 * CHOOSE(CONTROL!$C$22, $C$13, 100%, $E$13)</f>
        <v>8.9202999999999992</v>
      </c>
      <c r="C633" s="60">
        <f>8.9203 * CHOOSE(CONTROL!$C$22, $C$13, 100%, $E$13)</f>
        <v>8.9202999999999992</v>
      </c>
      <c r="D633" s="60">
        <f>8.9557 * CHOOSE(CONTROL!$C$22, $C$13, 100%, $E$13)</f>
        <v>8.9557000000000002</v>
      </c>
      <c r="E633" s="61">
        <f>10.6208 * CHOOSE(CONTROL!$C$22, $C$13, 100%, $E$13)</f>
        <v>10.620799999999999</v>
      </c>
      <c r="F633" s="61">
        <f>10.6208 * CHOOSE(CONTROL!$C$22, $C$13, 100%, $E$13)</f>
        <v>10.620799999999999</v>
      </c>
      <c r="G633" s="61">
        <f>10.623 * CHOOSE(CONTROL!$C$22, $C$13, 100%, $E$13)</f>
        <v>10.622999999999999</v>
      </c>
      <c r="H633" s="61">
        <f>18.4369* CHOOSE(CONTROL!$C$22, $C$13, 100%, $E$13)</f>
        <v>18.436900000000001</v>
      </c>
      <c r="I633" s="61">
        <f>18.4391 * CHOOSE(CONTROL!$C$22, $C$13, 100%, $E$13)</f>
        <v>18.4391</v>
      </c>
      <c r="J633" s="61">
        <f>10.6208 * CHOOSE(CONTROL!$C$22, $C$13, 100%, $E$13)</f>
        <v>10.620799999999999</v>
      </c>
      <c r="K633" s="61">
        <f>10.623 * CHOOSE(CONTROL!$C$22, $C$13, 100%, $E$13)</f>
        <v>10.622999999999999</v>
      </c>
    </row>
    <row r="634" spans="1:11" ht="15">
      <c r="A634" s="13">
        <v>61149</v>
      </c>
      <c r="B634" s="60">
        <f>8.9264 * CHOOSE(CONTROL!$C$22, $C$13, 100%, $E$13)</f>
        <v>8.9263999999999992</v>
      </c>
      <c r="C634" s="60">
        <f>8.9264 * CHOOSE(CONTROL!$C$22, $C$13, 100%, $E$13)</f>
        <v>8.9263999999999992</v>
      </c>
      <c r="D634" s="60">
        <f>8.9617 * CHOOSE(CONTROL!$C$22, $C$13, 100%, $E$13)</f>
        <v>8.9617000000000004</v>
      </c>
      <c r="E634" s="61">
        <f>10.572 * CHOOSE(CONTROL!$C$22, $C$13, 100%, $E$13)</f>
        <v>10.571999999999999</v>
      </c>
      <c r="F634" s="61">
        <f>10.572 * CHOOSE(CONTROL!$C$22, $C$13, 100%, $E$13)</f>
        <v>10.571999999999999</v>
      </c>
      <c r="G634" s="61">
        <f>10.5741 * CHOOSE(CONTROL!$C$22, $C$13, 100%, $E$13)</f>
        <v>10.5741</v>
      </c>
      <c r="H634" s="61">
        <f>18.4754* CHOOSE(CONTROL!$C$22, $C$13, 100%, $E$13)</f>
        <v>18.4754</v>
      </c>
      <c r="I634" s="61">
        <f>18.4775 * CHOOSE(CONTROL!$C$22, $C$13, 100%, $E$13)</f>
        <v>18.477499999999999</v>
      </c>
      <c r="J634" s="61">
        <f>10.572 * CHOOSE(CONTROL!$C$22, $C$13, 100%, $E$13)</f>
        <v>10.571999999999999</v>
      </c>
      <c r="K634" s="61">
        <f>10.5741 * CHOOSE(CONTROL!$C$22, $C$13, 100%, $E$13)</f>
        <v>10.5741</v>
      </c>
    </row>
    <row r="635" spans="1:11" ht="15">
      <c r="A635" s="13">
        <v>61179</v>
      </c>
      <c r="B635" s="60">
        <f>9.0546 * CHOOSE(CONTROL!$C$22, $C$13, 100%, $E$13)</f>
        <v>9.0546000000000006</v>
      </c>
      <c r="C635" s="60">
        <f>9.0546 * CHOOSE(CONTROL!$C$22, $C$13, 100%, $E$13)</f>
        <v>9.0546000000000006</v>
      </c>
      <c r="D635" s="60">
        <f>9.0899 * CHOOSE(CONTROL!$C$22, $C$13, 100%, $E$13)</f>
        <v>9.0899000000000001</v>
      </c>
      <c r="E635" s="61">
        <f>10.7674 * CHOOSE(CONTROL!$C$22, $C$13, 100%, $E$13)</f>
        <v>10.7674</v>
      </c>
      <c r="F635" s="61">
        <f>10.7674 * CHOOSE(CONTROL!$C$22, $C$13, 100%, $E$13)</f>
        <v>10.7674</v>
      </c>
      <c r="G635" s="61">
        <f>10.7696 * CHOOSE(CONTROL!$C$22, $C$13, 100%, $E$13)</f>
        <v>10.769600000000001</v>
      </c>
      <c r="H635" s="61">
        <f>18.5139* CHOOSE(CONTROL!$C$22, $C$13, 100%, $E$13)</f>
        <v>18.5139</v>
      </c>
      <c r="I635" s="61">
        <f>18.516 * CHOOSE(CONTROL!$C$22, $C$13, 100%, $E$13)</f>
        <v>18.515999999999998</v>
      </c>
      <c r="J635" s="61">
        <f>10.7674 * CHOOSE(CONTROL!$C$22, $C$13, 100%, $E$13)</f>
        <v>10.7674</v>
      </c>
      <c r="K635" s="61">
        <f>10.7696 * CHOOSE(CONTROL!$C$22, $C$13, 100%, $E$13)</f>
        <v>10.769600000000001</v>
      </c>
    </row>
    <row r="636" spans="1:11" ht="15">
      <c r="A636" s="13">
        <v>61210</v>
      </c>
      <c r="B636" s="60">
        <f>9.0613 * CHOOSE(CONTROL!$C$22, $C$13, 100%, $E$13)</f>
        <v>9.0612999999999992</v>
      </c>
      <c r="C636" s="60">
        <f>9.0613 * CHOOSE(CONTROL!$C$22, $C$13, 100%, $E$13)</f>
        <v>9.0612999999999992</v>
      </c>
      <c r="D636" s="60">
        <f>9.0966 * CHOOSE(CONTROL!$C$22, $C$13, 100%, $E$13)</f>
        <v>9.0966000000000005</v>
      </c>
      <c r="E636" s="61">
        <f>10.6127 * CHOOSE(CONTROL!$C$22, $C$13, 100%, $E$13)</f>
        <v>10.6127</v>
      </c>
      <c r="F636" s="61">
        <f>10.6127 * CHOOSE(CONTROL!$C$22, $C$13, 100%, $E$13)</f>
        <v>10.6127</v>
      </c>
      <c r="G636" s="61">
        <f>10.6149 * CHOOSE(CONTROL!$C$22, $C$13, 100%, $E$13)</f>
        <v>10.6149</v>
      </c>
      <c r="H636" s="61">
        <f>18.5524* CHOOSE(CONTROL!$C$22, $C$13, 100%, $E$13)</f>
        <v>18.552399999999999</v>
      </c>
      <c r="I636" s="61">
        <f>18.5546 * CHOOSE(CONTROL!$C$22, $C$13, 100%, $E$13)</f>
        <v>18.554600000000001</v>
      </c>
      <c r="J636" s="61">
        <f>10.6127 * CHOOSE(CONTROL!$C$22, $C$13, 100%, $E$13)</f>
        <v>10.6127</v>
      </c>
      <c r="K636" s="61">
        <f>10.6149 * CHOOSE(CONTROL!$C$22, $C$13, 100%, $E$13)</f>
        <v>10.6149</v>
      </c>
    </row>
    <row r="637" spans="1:11" ht="15">
      <c r="A637" s="13">
        <v>61241</v>
      </c>
      <c r="B637" s="60">
        <f>9.0582 * CHOOSE(CONTROL!$C$22, $C$13, 100%, $E$13)</f>
        <v>9.0581999999999994</v>
      </c>
      <c r="C637" s="60">
        <f>9.0582 * CHOOSE(CONTROL!$C$22, $C$13, 100%, $E$13)</f>
        <v>9.0581999999999994</v>
      </c>
      <c r="D637" s="60">
        <f>9.0935 * CHOOSE(CONTROL!$C$22, $C$13, 100%, $E$13)</f>
        <v>9.0935000000000006</v>
      </c>
      <c r="E637" s="61">
        <f>10.5929 * CHOOSE(CONTROL!$C$22, $C$13, 100%, $E$13)</f>
        <v>10.5929</v>
      </c>
      <c r="F637" s="61">
        <f>10.5929 * CHOOSE(CONTROL!$C$22, $C$13, 100%, $E$13)</f>
        <v>10.5929</v>
      </c>
      <c r="G637" s="61">
        <f>10.5951 * CHOOSE(CONTROL!$C$22, $C$13, 100%, $E$13)</f>
        <v>10.5951</v>
      </c>
      <c r="H637" s="61">
        <f>18.5911* CHOOSE(CONTROL!$C$22, $C$13, 100%, $E$13)</f>
        <v>18.591100000000001</v>
      </c>
      <c r="I637" s="61">
        <f>18.5933 * CHOOSE(CONTROL!$C$22, $C$13, 100%, $E$13)</f>
        <v>18.593299999999999</v>
      </c>
      <c r="J637" s="61">
        <f>10.5929 * CHOOSE(CONTROL!$C$22, $C$13, 100%, $E$13)</f>
        <v>10.5929</v>
      </c>
      <c r="K637" s="61">
        <f>10.5951 * CHOOSE(CONTROL!$C$22, $C$13, 100%, $E$13)</f>
        <v>10.5951</v>
      </c>
    </row>
    <row r="638" spans="1:11" ht="15">
      <c r="A638" s="13">
        <v>61271</v>
      </c>
      <c r="B638" s="60">
        <f>9.0725 * CHOOSE(CONTROL!$C$22, $C$13, 100%, $E$13)</f>
        <v>9.0724999999999998</v>
      </c>
      <c r="C638" s="60">
        <f>9.0725 * CHOOSE(CONTROL!$C$22, $C$13, 100%, $E$13)</f>
        <v>9.0724999999999998</v>
      </c>
      <c r="D638" s="60">
        <f>9.0902 * CHOOSE(CONTROL!$C$22, $C$13, 100%, $E$13)</f>
        <v>9.0901999999999994</v>
      </c>
      <c r="E638" s="61">
        <f>10.6503 * CHOOSE(CONTROL!$C$22, $C$13, 100%, $E$13)</f>
        <v>10.6503</v>
      </c>
      <c r="F638" s="61">
        <f>10.6503 * CHOOSE(CONTROL!$C$22, $C$13, 100%, $E$13)</f>
        <v>10.6503</v>
      </c>
      <c r="G638" s="61">
        <f>10.6505 * CHOOSE(CONTROL!$C$22, $C$13, 100%, $E$13)</f>
        <v>10.650499999999999</v>
      </c>
      <c r="H638" s="61">
        <f>18.6298* CHOOSE(CONTROL!$C$22, $C$13, 100%, $E$13)</f>
        <v>18.629799999999999</v>
      </c>
      <c r="I638" s="61">
        <f>18.63 * CHOOSE(CONTROL!$C$22, $C$13, 100%, $E$13)</f>
        <v>18.63</v>
      </c>
      <c r="J638" s="61">
        <f>10.6503 * CHOOSE(CONTROL!$C$22, $C$13, 100%, $E$13)</f>
        <v>10.6503</v>
      </c>
      <c r="K638" s="61">
        <f>10.6505 * CHOOSE(CONTROL!$C$22, $C$13, 100%, $E$13)</f>
        <v>10.650499999999999</v>
      </c>
    </row>
    <row r="639" spans="1:11" ht="15">
      <c r="A639" s="13">
        <v>61302</v>
      </c>
      <c r="B639" s="60">
        <f>9.0756 * CHOOSE(CONTROL!$C$22, $C$13, 100%, $E$13)</f>
        <v>9.0755999999999997</v>
      </c>
      <c r="C639" s="60">
        <f>9.0756 * CHOOSE(CONTROL!$C$22, $C$13, 100%, $E$13)</f>
        <v>9.0755999999999997</v>
      </c>
      <c r="D639" s="60">
        <f>9.0932 * CHOOSE(CONTROL!$C$22, $C$13, 100%, $E$13)</f>
        <v>9.0931999999999995</v>
      </c>
      <c r="E639" s="61">
        <f>10.6878 * CHOOSE(CONTROL!$C$22, $C$13, 100%, $E$13)</f>
        <v>10.687799999999999</v>
      </c>
      <c r="F639" s="61">
        <f>10.6878 * CHOOSE(CONTROL!$C$22, $C$13, 100%, $E$13)</f>
        <v>10.687799999999999</v>
      </c>
      <c r="G639" s="61">
        <f>10.688 * CHOOSE(CONTROL!$C$22, $C$13, 100%, $E$13)</f>
        <v>10.688000000000001</v>
      </c>
      <c r="H639" s="61">
        <f>18.6686* CHOOSE(CONTROL!$C$22, $C$13, 100%, $E$13)</f>
        <v>18.668600000000001</v>
      </c>
      <c r="I639" s="61">
        <f>18.6688 * CHOOSE(CONTROL!$C$22, $C$13, 100%, $E$13)</f>
        <v>18.668800000000001</v>
      </c>
      <c r="J639" s="61">
        <f>10.6878 * CHOOSE(CONTROL!$C$22, $C$13, 100%, $E$13)</f>
        <v>10.687799999999999</v>
      </c>
      <c r="K639" s="61">
        <f>10.688 * CHOOSE(CONTROL!$C$22, $C$13, 100%, $E$13)</f>
        <v>10.688000000000001</v>
      </c>
    </row>
    <row r="640" spans="1:11" ht="15">
      <c r="A640" s="13">
        <v>61332</v>
      </c>
      <c r="B640" s="60">
        <f>9.0756 * CHOOSE(CONTROL!$C$22, $C$13, 100%, $E$13)</f>
        <v>9.0755999999999997</v>
      </c>
      <c r="C640" s="60">
        <f>9.0756 * CHOOSE(CONTROL!$C$22, $C$13, 100%, $E$13)</f>
        <v>9.0755999999999997</v>
      </c>
      <c r="D640" s="60">
        <f>9.0932 * CHOOSE(CONTROL!$C$22, $C$13, 100%, $E$13)</f>
        <v>9.0931999999999995</v>
      </c>
      <c r="E640" s="61">
        <f>10.5993 * CHOOSE(CONTROL!$C$22, $C$13, 100%, $E$13)</f>
        <v>10.599299999999999</v>
      </c>
      <c r="F640" s="61">
        <f>10.5993 * CHOOSE(CONTROL!$C$22, $C$13, 100%, $E$13)</f>
        <v>10.599299999999999</v>
      </c>
      <c r="G640" s="61">
        <f>10.5995 * CHOOSE(CONTROL!$C$22, $C$13, 100%, $E$13)</f>
        <v>10.599500000000001</v>
      </c>
      <c r="H640" s="61">
        <f>18.7075* CHOOSE(CONTROL!$C$22, $C$13, 100%, $E$13)</f>
        <v>18.7075</v>
      </c>
      <c r="I640" s="61">
        <f>18.7077 * CHOOSE(CONTROL!$C$22, $C$13, 100%, $E$13)</f>
        <v>18.707699999999999</v>
      </c>
      <c r="J640" s="61">
        <f>10.5993 * CHOOSE(CONTROL!$C$22, $C$13, 100%, $E$13)</f>
        <v>10.599299999999999</v>
      </c>
      <c r="K640" s="61">
        <f>10.5995 * CHOOSE(CONTROL!$C$22, $C$13, 100%, $E$13)</f>
        <v>10.599500000000001</v>
      </c>
    </row>
    <row r="641" spans="1:11" ht="15">
      <c r="A641" s="13">
        <v>61363</v>
      </c>
      <c r="B641" s="60">
        <f>9.1205 * CHOOSE(CONTROL!$C$22, $C$13, 100%, $E$13)</f>
        <v>9.1204999999999998</v>
      </c>
      <c r="C641" s="60">
        <f>9.1205 * CHOOSE(CONTROL!$C$22, $C$13, 100%, $E$13)</f>
        <v>9.1204999999999998</v>
      </c>
      <c r="D641" s="60">
        <f>9.1382 * CHOOSE(CONTROL!$C$22, $C$13, 100%, $E$13)</f>
        <v>9.1381999999999994</v>
      </c>
      <c r="E641" s="61">
        <f>10.7218 * CHOOSE(CONTROL!$C$22, $C$13, 100%, $E$13)</f>
        <v>10.7218</v>
      </c>
      <c r="F641" s="61">
        <f>10.7218 * CHOOSE(CONTROL!$C$22, $C$13, 100%, $E$13)</f>
        <v>10.7218</v>
      </c>
      <c r="G641" s="61">
        <f>10.722 * CHOOSE(CONTROL!$C$22, $C$13, 100%, $E$13)</f>
        <v>10.722</v>
      </c>
      <c r="H641" s="61">
        <f>18.6856* CHOOSE(CONTROL!$C$22, $C$13, 100%, $E$13)</f>
        <v>18.685600000000001</v>
      </c>
      <c r="I641" s="61">
        <f>18.6857 * CHOOSE(CONTROL!$C$22, $C$13, 100%, $E$13)</f>
        <v>18.685700000000001</v>
      </c>
      <c r="J641" s="61">
        <f>10.7218 * CHOOSE(CONTROL!$C$22, $C$13, 100%, $E$13)</f>
        <v>10.7218</v>
      </c>
      <c r="K641" s="61">
        <f>10.722 * CHOOSE(CONTROL!$C$22, $C$13, 100%, $E$13)</f>
        <v>10.722</v>
      </c>
    </row>
    <row r="642" spans="1:11" ht="15">
      <c r="A642" s="13">
        <v>61394</v>
      </c>
      <c r="B642" s="60">
        <f>9.1175 * CHOOSE(CONTROL!$C$22, $C$13, 100%, $E$13)</f>
        <v>9.1174999999999997</v>
      </c>
      <c r="C642" s="60">
        <f>9.1175 * CHOOSE(CONTROL!$C$22, $C$13, 100%, $E$13)</f>
        <v>9.1174999999999997</v>
      </c>
      <c r="D642" s="60">
        <f>9.1352 * CHOOSE(CONTROL!$C$22, $C$13, 100%, $E$13)</f>
        <v>9.1351999999999993</v>
      </c>
      <c r="E642" s="61">
        <f>10.548 * CHOOSE(CONTROL!$C$22, $C$13, 100%, $E$13)</f>
        <v>10.548</v>
      </c>
      <c r="F642" s="61">
        <f>10.548 * CHOOSE(CONTROL!$C$22, $C$13, 100%, $E$13)</f>
        <v>10.548</v>
      </c>
      <c r="G642" s="61">
        <f>10.5482 * CHOOSE(CONTROL!$C$22, $C$13, 100%, $E$13)</f>
        <v>10.5482</v>
      </c>
      <c r="H642" s="61">
        <f>18.7245* CHOOSE(CONTROL!$C$22, $C$13, 100%, $E$13)</f>
        <v>18.724499999999999</v>
      </c>
      <c r="I642" s="61">
        <f>18.7247 * CHOOSE(CONTROL!$C$22, $C$13, 100%, $E$13)</f>
        <v>18.724699999999999</v>
      </c>
      <c r="J642" s="61">
        <f>10.548 * CHOOSE(CONTROL!$C$22, $C$13, 100%, $E$13)</f>
        <v>10.548</v>
      </c>
      <c r="K642" s="61">
        <f>10.5482 * CHOOSE(CONTROL!$C$22, $C$13, 100%, $E$13)</f>
        <v>10.5482</v>
      </c>
    </row>
    <row r="643" spans="1:11" ht="15">
      <c r="A643" s="13">
        <v>61423</v>
      </c>
      <c r="B643" s="60">
        <f>9.1145 * CHOOSE(CONTROL!$C$22, $C$13, 100%, $E$13)</f>
        <v>9.1144999999999996</v>
      </c>
      <c r="C643" s="60">
        <f>9.1145 * CHOOSE(CONTROL!$C$22, $C$13, 100%, $E$13)</f>
        <v>9.1144999999999996</v>
      </c>
      <c r="D643" s="60">
        <f>9.1321 * CHOOSE(CONTROL!$C$22, $C$13, 100%, $E$13)</f>
        <v>9.1320999999999994</v>
      </c>
      <c r="E643" s="61">
        <f>10.6813 * CHOOSE(CONTROL!$C$22, $C$13, 100%, $E$13)</f>
        <v>10.6813</v>
      </c>
      <c r="F643" s="61">
        <f>10.6813 * CHOOSE(CONTROL!$C$22, $C$13, 100%, $E$13)</f>
        <v>10.6813</v>
      </c>
      <c r="G643" s="61">
        <f>10.6814 * CHOOSE(CONTROL!$C$22, $C$13, 100%, $E$13)</f>
        <v>10.6814</v>
      </c>
      <c r="H643" s="61">
        <f>18.7635* CHOOSE(CONTROL!$C$22, $C$13, 100%, $E$13)</f>
        <v>18.763500000000001</v>
      </c>
      <c r="I643" s="61">
        <f>18.7637 * CHOOSE(CONTROL!$C$22, $C$13, 100%, $E$13)</f>
        <v>18.7637</v>
      </c>
      <c r="J643" s="61">
        <f>10.6813 * CHOOSE(CONTROL!$C$22, $C$13, 100%, $E$13)</f>
        <v>10.6813</v>
      </c>
      <c r="K643" s="61">
        <f>10.6814 * CHOOSE(CONTROL!$C$22, $C$13, 100%, $E$13)</f>
        <v>10.6814</v>
      </c>
    </row>
    <row r="644" spans="1:11" ht="15">
      <c r="A644" s="13">
        <v>61454</v>
      </c>
      <c r="B644" s="60">
        <f>9.1172 * CHOOSE(CONTROL!$C$22, $C$13, 100%, $E$13)</f>
        <v>9.1172000000000004</v>
      </c>
      <c r="C644" s="60">
        <f>9.1172 * CHOOSE(CONTROL!$C$22, $C$13, 100%, $E$13)</f>
        <v>9.1172000000000004</v>
      </c>
      <c r="D644" s="60">
        <f>9.1348 * CHOOSE(CONTROL!$C$22, $C$13, 100%, $E$13)</f>
        <v>9.1348000000000003</v>
      </c>
      <c r="E644" s="61">
        <f>10.8224 * CHOOSE(CONTROL!$C$22, $C$13, 100%, $E$13)</f>
        <v>10.8224</v>
      </c>
      <c r="F644" s="61">
        <f>10.8224 * CHOOSE(CONTROL!$C$22, $C$13, 100%, $E$13)</f>
        <v>10.8224</v>
      </c>
      <c r="G644" s="61">
        <f>10.8226 * CHOOSE(CONTROL!$C$22, $C$13, 100%, $E$13)</f>
        <v>10.8226</v>
      </c>
      <c r="H644" s="61">
        <f>18.8026* CHOOSE(CONTROL!$C$22, $C$13, 100%, $E$13)</f>
        <v>18.802600000000002</v>
      </c>
      <c r="I644" s="61">
        <f>18.8028 * CHOOSE(CONTROL!$C$22, $C$13, 100%, $E$13)</f>
        <v>18.802800000000001</v>
      </c>
      <c r="J644" s="61">
        <f>10.8224 * CHOOSE(CONTROL!$C$22, $C$13, 100%, $E$13)</f>
        <v>10.8224</v>
      </c>
      <c r="K644" s="61">
        <f>10.8226 * CHOOSE(CONTROL!$C$22, $C$13, 100%, $E$13)</f>
        <v>10.8226</v>
      </c>
    </row>
    <row r="645" spans="1:11" ht="15">
      <c r="A645" s="13">
        <v>61484</v>
      </c>
      <c r="B645" s="60">
        <f>9.1172 * CHOOSE(CONTROL!$C$22, $C$13, 100%, $E$13)</f>
        <v>9.1172000000000004</v>
      </c>
      <c r="C645" s="60">
        <f>9.1172 * CHOOSE(CONTROL!$C$22, $C$13, 100%, $E$13)</f>
        <v>9.1172000000000004</v>
      </c>
      <c r="D645" s="60">
        <f>9.1525 * CHOOSE(CONTROL!$C$22, $C$13, 100%, $E$13)</f>
        <v>9.1524999999999999</v>
      </c>
      <c r="E645" s="61">
        <f>10.8769 * CHOOSE(CONTROL!$C$22, $C$13, 100%, $E$13)</f>
        <v>10.876899999999999</v>
      </c>
      <c r="F645" s="61">
        <f>10.8769 * CHOOSE(CONTROL!$C$22, $C$13, 100%, $E$13)</f>
        <v>10.876899999999999</v>
      </c>
      <c r="G645" s="61">
        <f>10.8791 * CHOOSE(CONTROL!$C$22, $C$13, 100%, $E$13)</f>
        <v>10.879099999999999</v>
      </c>
      <c r="H645" s="61">
        <f>18.8418* CHOOSE(CONTROL!$C$22, $C$13, 100%, $E$13)</f>
        <v>18.841799999999999</v>
      </c>
      <c r="I645" s="61">
        <f>18.844 * CHOOSE(CONTROL!$C$22, $C$13, 100%, $E$13)</f>
        <v>18.844000000000001</v>
      </c>
      <c r="J645" s="61">
        <f>10.8769 * CHOOSE(CONTROL!$C$22, $C$13, 100%, $E$13)</f>
        <v>10.876899999999999</v>
      </c>
      <c r="K645" s="61">
        <f>10.8791 * CHOOSE(CONTROL!$C$22, $C$13, 100%, $E$13)</f>
        <v>10.879099999999999</v>
      </c>
    </row>
    <row r="646" spans="1:11" ht="15">
      <c r="A646" s="13">
        <v>61515</v>
      </c>
      <c r="B646" s="60">
        <f>9.1232 * CHOOSE(CONTROL!$C$22, $C$13, 100%, $E$13)</f>
        <v>9.1232000000000006</v>
      </c>
      <c r="C646" s="60">
        <f>9.1232 * CHOOSE(CONTROL!$C$22, $C$13, 100%, $E$13)</f>
        <v>9.1232000000000006</v>
      </c>
      <c r="D646" s="60">
        <f>9.1586 * CHOOSE(CONTROL!$C$22, $C$13, 100%, $E$13)</f>
        <v>9.1585999999999999</v>
      </c>
      <c r="E646" s="61">
        <f>10.8266 * CHOOSE(CONTROL!$C$22, $C$13, 100%, $E$13)</f>
        <v>10.826599999999999</v>
      </c>
      <c r="F646" s="61">
        <f>10.8266 * CHOOSE(CONTROL!$C$22, $C$13, 100%, $E$13)</f>
        <v>10.826599999999999</v>
      </c>
      <c r="G646" s="61">
        <f>10.8288 * CHOOSE(CONTROL!$C$22, $C$13, 100%, $E$13)</f>
        <v>10.828799999999999</v>
      </c>
      <c r="H646" s="61">
        <f>18.881* CHOOSE(CONTROL!$C$22, $C$13, 100%, $E$13)</f>
        <v>18.881</v>
      </c>
      <c r="I646" s="61">
        <f>18.8832 * CHOOSE(CONTROL!$C$22, $C$13, 100%, $E$13)</f>
        <v>18.883199999999999</v>
      </c>
      <c r="J646" s="61">
        <f>10.8266 * CHOOSE(CONTROL!$C$22, $C$13, 100%, $E$13)</f>
        <v>10.826599999999999</v>
      </c>
      <c r="K646" s="61">
        <f>10.8288 * CHOOSE(CONTROL!$C$22, $C$13, 100%, $E$13)</f>
        <v>10.828799999999999</v>
      </c>
    </row>
    <row r="647" spans="1:11" ht="15">
      <c r="A647" s="13">
        <v>61545</v>
      </c>
      <c r="B647" s="60">
        <f>9.2539 * CHOOSE(CONTROL!$C$22, $C$13, 100%, $E$13)</f>
        <v>9.2538999999999998</v>
      </c>
      <c r="C647" s="60">
        <f>9.2539 * CHOOSE(CONTROL!$C$22, $C$13, 100%, $E$13)</f>
        <v>9.2538999999999998</v>
      </c>
      <c r="D647" s="60">
        <f>9.2892 * CHOOSE(CONTROL!$C$22, $C$13, 100%, $E$13)</f>
        <v>9.2891999999999992</v>
      </c>
      <c r="E647" s="61">
        <f>11.0265 * CHOOSE(CONTROL!$C$22, $C$13, 100%, $E$13)</f>
        <v>11.0265</v>
      </c>
      <c r="F647" s="61">
        <f>11.0265 * CHOOSE(CONTROL!$C$22, $C$13, 100%, $E$13)</f>
        <v>11.0265</v>
      </c>
      <c r="G647" s="61">
        <f>11.0287 * CHOOSE(CONTROL!$C$22, $C$13, 100%, $E$13)</f>
        <v>11.028700000000001</v>
      </c>
      <c r="H647" s="61">
        <f>18.9204* CHOOSE(CONTROL!$C$22, $C$13, 100%, $E$13)</f>
        <v>18.920400000000001</v>
      </c>
      <c r="I647" s="61">
        <f>18.9225 * CHOOSE(CONTROL!$C$22, $C$13, 100%, $E$13)</f>
        <v>18.922499999999999</v>
      </c>
      <c r="J647" s="61">
        <f>11.0265 * CHOOSE(CONTROL!$C$22, $C$13, 100%, $E$13)</f>
        <v>11.0265</v>
      </c>
      <c r="K647" s="61">
        <f>11.0287 * CHOOSE(CONTROL!$C$22, $C$13, 100%, $E$13)</f>
        <v>11.028700000000001</v>
      </c>
    </row>
    <row r="648" spans="1:11" ht="15">
      <c r="A648" s="13">
        <v>61576</v>
      </c>
      <c r="B648" s="60">
        <f>9.2606 * CHOOSE(CONTROL!$C$22, $C$13, 100%, $E$13)</f>
        <v>9.2606000000000002</v>
      </c>
      <c r="C648" s="60">
        <f>9.2606 * CHOOSE(CONTROL!$C$22, $C$13, 100%, $E$13)</f>
        <v>9.2606000000000002</v>
      </c>
      <c r="D648" s="60">
        <f>9.2959 * CHOOSE(CONTROL!$C$22, $C$13, 100%, $E$13)</f>
        <v>9.2958999999999996</v>
      </c>
      <c r="E648" s="61">
        <f>10.8676 * CHOOSE(CONTROL!$C$22, $C$13, 100%, $E$13)</f>
        <v>10.867599999999999</v>
      </c>
      <c r="F648" s="61">
        <f>10.8676 * CHOOSE(CONTROL!$C$22, $C$13, 100%, $E$13)</f>
        <v>10.867599999999999</v>
      </c>
      <c r="G648" s="61">
        <f>10.8698 * CHOOSE(CONTROL!$C$22, $C$13, 100%, $E$13)</f>
        <v>10.8698</v>
      </c>
      <c r="H648" s="61">
        <f>18.9598* CHOOSE(CONTROL!$C$22, $C$13, 100%, $E$13)</f>
        <v>18.959800000000001</v>
      </c>
      <c r="I648" s="61">
        <f>18.962 * CHOOSE(CONTROL!$C$22, $C$13, 100%, $E$13)</f>
        <v>18.962</v>
      </c>
      <c r="J648" s="61">
        <f>10.8676 * CHOOSE(CONTROL!$C$22, $C$13, 100%, $E$13)</f>
        <v>10.867599999999999</v>
      </c>
      <c r="K648" s="61">
        <f>10.8698 * CHOOSE(CONTROL!$C$22, $C$13, 100%, $E$13)</f>
        <v>10.8698</v>
      </c>
    </row>
    <row r="649" spans="1:11" ht="15">
      <c r="A649" s="13">
        <v>61607</v>
      </c>
      <c r="B649" s="60">
        <f>9.2575 * CHOOSE(CONTROL!$C$22, $C$13, 100%, $E$13)</f>
        <v>9.2575000000000003</v>
      </c>
      <c r="C649" s="60">
        <f>9.2575 * CHOOSE(CONTROL!$C$22, $C$13, 100%, $E$13)</f>
        <v>9.2575000000000003</v>
      </c>
      <c r="D649" s="60">
        <f>9.2928 * CHOOSE(CONTROL!$C$22, $C$13, 100%, $E$13)</f>
        <v>9.2927999999999997</v>
      </c>
      <c r="E649" s="61">
        <f>10.8473 * CHOOSE(CONTROL!$C$22, $C$13, 100%, $E$13)</f>
        <v>10.847300000000001</v>
      </c>
      <c r="F649" s="61">
        <f>10.8473 * CHOOSE(CONTROL!$C$22, $C$13, 100%, $E$13)</f>
        <v>10.847300000000001</v>
      </c>
      <c r="G649" s="61">
        <f>10.8495 * CHOOSE(CONTROL!$C$22, $C$13, 100%, $E$13)</f>
        <v>10.849500000000001</v>
      </c>
      <c r="H649" s="61">
        <f>18.9993* CHOOSE(CONTROL!$C$22, $C$13, 100%, $E$13)</f>
        <v>18.999300000000002</v>
      </c>
      <c r="I649" s="61">
        <f>19.0015 * CHOOSE(CONTROL!$C$22, $C$13, 100%, $E$13)</f>
        <v>19.0015</v>
      </c>
      <c r="J649" s="61">
        <f>10.8473 * CHOOSE(CONTROL!$C$22, $C$13, 100%, $E$13)</f>
        <v>10.847300000000001</v>
      </c>
      <c r="K649" s="61">
        <f>10.8495 * CHOOSE(CONTROL!$C$22, $C$13, 100%, $E$13)</f>
        <v>10.849500000000001</v>
      </c>
    </row>
    <row r="650" spans="1:11" ht="15">
      <c r="A650" s="13">
        <v>61637</v>
      </c>
      <c r="B650" s="60">
        <f>9.2726 * CHOOSE(CONTROL!$C$22, $C$13, 100%, $E$13)</f>
        <v>9.2726000000000006</v>
      </c>
      <c r="C650" s="60">
        <f>9.2726 * CHOOSE(CONTROL!$C$22, $C$13, 100%, $E$13)</f>
        <v>9.2726000000000006</v>
      </c>
      <c r="D650" s="60">
        <f>9.2902 * CHOOSE(CONTROL!$C$22, $C$13, 100%, $E$13)</f>
        <v>9.2902000000000005</v>
      </c>
      <c r="E650" s="61">
        <f>10.9066 * CHOOSE(CONTROL!$C$22, $C$13, 100%, $E$13)</f>
        <v>10.906599999999999</v>
      </c>
      <c r="F650" s="61">
        <f>10.9066 * CHOOSE(CONTROL!$C$22, $C$13, 100%, $E$13)</f>
        <v>10.906599999999999</v>
      </c>
      <c r="G650" s="61">
        <f>10.9067 * CHOOSE(CONTROL!$C$22, $C$13, 100%, $E$13)</f>
        <v>10.906700000000001</v>
      </c>
      <c r="H650" s="61">
        <f>19.0389* CHOOSE(CONTROL!$C$22, $C$13, 100%, $E$13)</f>
        <v>19.038900000000002</v>
      </c>
      <c r="I650" s="61">
        <f>19.039 * CHOOSE(CONTROL!$C$22, $C$13, 100%, $E$13)</f>
        <v>19.039000000000001</v>
      </c>
      <c r="J650" s="61">
        <f>10.9066 * CHOOSE(CONTROL!$C$22, $C$13, 100%, $E$13)</f>
        <v>10.906599999999999</v>
      </c>
      <c r="K650" s="61">
        <f>10.9067 * CHOOSE(CONTROL!$C$22, $C$13, 100%, $E$13)</f>
        <v>10.906700000000001</v>
      </c>
    </row>
    <row r="651" spans="1:11" ht="15">
      <c r="A651" s="13">
        <v>61668</v>
      </c>
      <c r="B651" s="60">
        <f>9.2756 * CHOOSE(CONTROL!$C$22, $C$13, 100%, $E$13)</f>
        <v>9.2756000000000007</v>
      </c>
      <c r="C651" s="60">
        <f>9.2756 * CHOOSE(CONTROL!$C$22, $C$13, 100%, $E$13)</f>
        <v>9.2756000000000007</v>
      </c>
      <c r="D651" s="60">
        <f>9.2933 * CHOOSE(CONTROL!$C$22, $C$13, 100%, $E$13)</f>
        <v>9.2933000000000003</v>
      </c>
      <c r="E651" s="61">
        <f>10.945 * CHOOSE(CONTROL!$C$22, $C$13, 100%, $E$13)</f>
        <v>10.945</v>
      </c>
      <c r="F651" s="61">
        <f>10.945 * CHOOSE(CONTROL!$C$22, $C$13, 100%, $E$13)</f>
        <v>10.945</v>
      </c>
      <c r="G651" s="61">
        <f>10.9452 * CHOOSE(CONTROL!$C$22, $C$13, 100%, $E$13)</f>
        <v>10.9452</v>
      </c>
      <c r="H651" s="61">
        <f>19.0785* CHOOSE(CONTROL!$C$22, $C$13, 100%, $E$13)</f>
        <v>19.078499999999998</v>
      </c>
      <c r="I651" s="61">
        <f>19.0787 * CHOOSE(CONTROL!$C$22, $C$13, 100%, $E$13)</f>
        <v>19.078700000000001</v>
      </c>
      <c r="J651" s="61">
        <f>10.945 * CHOOSE(CONTROL!$C$22, $C$13, 100%, $E$13)</f>
        <v>10.945</v>
      </c>
      <c r="K651" s="61">
        <f>10.9452 * CHOOSE(CONTROL!$C$22, $C$13, 100%, $E$13)</f>
        <v>10.9452</v>
      </c>
    </row>
    <row r="652" spans="1:11" ht="15">
      <c r="A652" s="13">
        <v>61698</v>
      </c>
      <c r="B652" s="60">
        <f>9.2756 * CHOOSE(CONTROL!$C$22, $C$13, 100%, $E$13)</f>
        <v>9.2756000000000007</v>
      </c>
      <c r="C652" s="60">
        <f>9.2756 * CHOOSE(CONTROL!$C$22, $C$13, 100%, $E$13)</f>
        <v>9.2756000000000007</v>
      </c>
      <c r="D652" s="60">
        <f>9.2933 * CHOOSE(CONTROL!$C$22, $C$13, 100%, $E$13)</f>
        <v>9.2933000000000003</v>
      </c>
      <c r="E652" s="61">
        <f>10.8542 * CHOOSE(CONTROL!$C$22, $C$13, 100%, $E$13)</f>
        <v>10.854200000000001</v>
      </c>
      <c r="F652" s="61">
        <f>10.8542 * CHOOSE(CONTROL!$C$22, $C$13, 100%, $E$13)</f>
        <v>10.854200000000001</v>
      </c>
      <c r="G652" s="61">
        <f>10.8544 * CHOOSE(CONTROL!$C$22, $C$13, 100%, $E$13)</f>
        <v>10.8544</v>
      </c>
      <c r="H652" s="61">
        <f>19.1183* CHOOSE(CONTROL!$C$22, $C$13, 100%, $E$13)</f>
        <v>19.118300000000001</v>
      </c>
      <c r="I652" s="61">
        <f>19.1184 * CHOOSE(CONTROL!$C$22, $C$13, 100%, $E$13)</f>
        <v>19.118400000000001</v>
      </c>
      <c r="J652" s="61">
        <f>10.8542 * CHOOSE(CONTROL!$C$22, $C$13, 100%, $E$13)</f>
        <v>10.854200000000001</v>
      </c>
      <c r="K652" s="61">
        <f>10.8544 * CHOOSE(CONTROL!$C$22, $C$13, 100%, $E$13)</f>
        <v>10.8544</v>
      </c>
    </row>
    <row r="653" spans="1:11" ht="15">
      <c r="A653" s="13">
        <v>61729</v>
      </c>
      <c r="B653" s="60">
        <f>9.3172 * CHOOSE(CONTROL!$C$22, $C$13, 100%, $E$13)</f>
        <v>9.3171999999999997</v>
      </c>
      <c r="C653" s="60">
        <f>9.3172 * CHOOSE(CONTROL!$C$22, $C$13, 100%, $E$13)</f>
        <v>9.3171999999999997</v>
      </c>
      <c r="D653" s="60">
        <f>9.3348 * CHOOSE(CONTROL!$C$22, $C$13, 100%, $E$13)</f>
        <v>9.3347999999999995</v>
      </c>
      <c r="E653" s="61">
        <f>10.9737 * CHOOSE(CONTROL!$C$22, $C$13, 100%, $E$13)</f>
        <v>10.973699999999999</v>
      </c>
      <c r="F653" s="61">
        <f>10.9737 * CHOOSE(CONTROL!$C$22, $C$13, 100%, $E$13)</f>
        <v>10.973699999999999</v>
      </c>
      <c r="G653" s="61">
        <f>10.9738 * CHOOSE(CONTROL!$C$22, $C$13, 100%, $E$13)</f>
        <v>10.973800000000001</v>
      </c>
      <c r="H653" s="61">
        <f>19.087* CHOOSE(CONTROL!$C$22, $C$13, 100%, $E$13)</f>
        <v>19.087</v>
      </c>
      <c r="I653" s="61">
        <f>19.0872 * CHOOSE(CONTROL!$C$22, $C$13, 100%, $E$13)</f>
        <v>19.087199999999999</v>
      </c>
      <c r="J653" s="61">
        <f>10.9737 * CHOOSE(CONTROL!$C$22, $C$13, 100%, $E$13)</f>
        <v>10.973699999999999</v>
      </c>
      <c r="K653" s="61">
        <f>10.9738 * CHOOSE(CONTROL!$C$22, $C$13, 100%, $E$13)</f>
        <v>10.973800000000001</v>
      </c>
    </row>
    <row r="654" spans="1:11" ht="15">
      <c r="A654" s="13">
        <v>61760</v>
      </c>
      <c r="B654" s="60">
        <f>9.3141 * CHOOSE(CONTROL!$C$22, $C$13, 100%, $E$13)</f>
        <v>9.3140999999999998</v>
      </c>
      <c r="C654" s="60">
        <f>9.3141 * CHOOSE(CONTROL!$C$22, $C$13, 100%, $E$13)</f>
        <v>9.3140999999999998</v>
      </c>
      <c r="D654" s="60">
        <f>9.3318 * CHOOSE(CONTROL!$C$22, $C$13, 100%, $E$13)</f>
        <v>9.3317999999999994</v>
      </c>
      <c r="E654" s="61">
        <f>10.7954 * CHOOSE(CONTROL!$C$22, $C$13, 100%, $E$13)</f>
        <v>10.795400000000001</v>
      </c>
      <c r="F654" s="61">
        <f>10.7954 * CHOOSE(CONTROL!$C$22, $C$13, 100%, $E$13)</f>
        <v>10.795400000000001</v>
      </c>
      <c r="G654" s="61">
        <f>10.7956 * CHOOSE(CONTROL!$C$22, $C$13, 100%, $E$13)</f>
        <v>10.7956</v>
      </c>
      <c r="H654" s="61">
        <f>19.1268* CHOOSE(CONTROL!$C$22, $C$13, 100%, $E$13)</f>
        <v>19.126799999999999</v>
      </c>
      <c r="I654" s="61">
        <f>19.127 * CHOOSE(CONTROL!$C$22, $C$13, 100%, $E$13)</f>
        <v>19.126999999999999</v>
      </c>
      <c r="J654" s="61">
        <f>10.7954 * CHOOSE(CONTROL!$C$22, $C$13, 100%, $E$13)</f>
        <v>10.795400000000001</v>
      </c>
      <c r="K654" s="61">
        <f>10.7956 * CHOOSE(CONTROL!$C$22, $C$13, 100%, $E$13)</f>
        <v>10.7956</v>
      </c>
    </row>
    <row r="655" spans="1:11" ht="15">
      <c r="A655" s="13">
        <v>61788</v>
      </c>
      <c r="B655" s="60">
        <f>9.3111 * CHOOSE(CONTROL!$C$22, $C$13, 100%, $E$13)</f>
        <v>9.3110999999999997</v>
      </c>
      <c r="C655" s="60">
        <f>9.3111 * CHOOSE(CONTROL!$C$22, $C$13, 100%, $E$13)</f>
        <v>9.3110999999999997</v>
      </c>
      <c r="D655" s="60">
        <f>9.3287 * CHOOSE(CONTROL!$C$22, $C$13, 100%, $E$13)</f>
        <v>9.3286999999999995</v>
      </c>
      <c r="E655" s="61">
        <f>10.9321 * CHOOSE(CONTROL!$C$22, $C$13, 100%, $E$13)</f>
        <v>10.9321</v>
      </c>
      <c r="F655" s="61">
        <f>10.9321 * CHOOSE(CONTROL!$C$22, $C$13, 100%, $E$13)</f>
        <v>10.9321</v>
      </c>
      <c r="G655" s="61">
        <f>10.9323 * CHOOSE(CONTROL!$C$22, $C$13, 100%, $E$13)</f>
        <v>10.9323</v>
      </c>
      <c r="H655" s="61">
        <f>19.1666* CHOOSE(CONTROL!$C$22, $C$13, 100%, $E$13)</f>
        <v>19.166599999999999</v>
      </c>
      <c r="I655" s="61">
        <f>19.1668 * CHOOSE(CONTROL!$C$22, $C$13, 100%, $E$13)</f>
        <v>19.166799999999999</v>
      </c>
      <c r="J655" s="61">
        <f>10.9321 * CHOOSE(CONTROL!$C$22, $C$13, 100%, $E$13)</f>
        <v>10.9321</v>
      </c>
      <c r="K655" s="61">
        <f>10.9323 * CHOOSE(CONTROL!$C$22, $C$13, 100%, $E$13)</f>
        <v>10.9323</v>
      </c>
    </row>
    <row r="656" spans="1:11" ht="15">
      <c r="A656" s="13">
        <v>61819</v>
      </c>
      <c r="B656" s="60">
        <f>9.314 * CHOOSE(CONTROL!$C$22, $C$13, 100%, $E$13)</f>
        <v>9.3140000000000001</v>
      </c>
      <c r="C656" s="60">
        <f>9.314 * CHOOSE(CONTROL!$C$22, $C$13, 100%, $E$13)</f>
        <v>9.3140000000000001</v>
      </c>
      <c r="D656" s="60">
        <f>9.3316 * CHOOSE(CONTROL!$C$22, $C$13, 100%, $E$13)</f>
        <v>9.3315999999999999</v>
      </c>
      <c r="E656" s="61">
        <f>11.0771 * CHOOSE(CONTROL!$C$22, $C$13, 100%, $E$13)</f>
        <v>11.0771</v>
      </c>
      <c r="F656" s="61">
        <f>11.0771 * CHOOSE(CONTROL!$C$22, $C$13, 100%, $E$13)</f>
        <v>11.0771</v>
      </c>
      <c r="G656" s="61">
        <f>11.0772 * CHOOSE(CONTROL!$C$22, $C$13, 100%, $E$13)</f>
        <v>11.077199999999999</v>
      </c>
      <c r="H656" s="61">
        <f>19.2066* CHOOSE(CONTROL!$C$22, $C$13, 100%, $E$13)</f>
        <v>19.206600000000002</v>
      </c>
      <c r="I656" s="61">
        <f>19.2068 * CHOOSE(CONTROL!$C$22, $C$13, 100%, $E$13)</f>
        <v>19.206800000000001</v>
      </c>
      <c r="J656" s="61">
        <f>11.0771 * CHOOSE(CONTROL!$C$22, $C$13, 100%, $E$13)</f>
        <v>11.0771</v>
      </c>
      <c r="K656" s="61">
        <f>11.0772 * CHOOSE(CONTROL!$C$22, $C$13, 100%, $E$13)</f>
        <v>11.077199999999999</v>
      </c>
    </row>
    <row r="657" spans="1:11" ht="15">
      <c r="A657" s="13">
        <v>61849</v>
      </c>
      <c r="B657" s="60">
        <f>9.314 * CHOOSE(CONTROL!$C$22, $C$13, 100%, $E$13)</f>
        <v>9.3140000000000001</v>
      </c>
      <c r="C657" s="60">
        <f>9.314 * CHOOSE(CONTROL!$C$22, $C$13, 100%, $E$13)</f>
        <v>9.3140000000000001</v>
      </c>
      <c r="D657" s="60">
        <f>9.3493 * CHOOSE(CONTROL!$C$22, $C$13, 100%, $E$13)</f>
        <v>9.3492999999999995</v>
      </c>
      <c r="E657" s="61">
        <f>11.133 * CHOOSE(CONTROL!$C$22, $C$13, 100%, $E$13)</f>
        <v>11.132999999999999</v>
      </c>
      <c r="F657" s="61">
        <f>11.133 * CHOOSE(CONTROL!$C$22, $C$13, 100%, $E$13)</f>
        <v>11.132999999999999</v>
      </c>
      <c r="G657" s="61">
        <f>11.1352 * CHOOSE(CONTROL!$C$22, $C$13, 100%, $E$13)</f>
        <v>11.135199999999999</v>
      </c>
      <c r="H657" s="61">
        <f>19.2466* CHOOSE(CONTROL!$C$22, $C$13, 100%, $E$13)</f>
        <v>19.246600000000001</v>
      </c>
      <c r="I657" s="61">
        <f>19.2488 * CHOOSE(CONTROL!$C$22, $C$13, 100%, $E$13)</f>
        <v>19.248799999999999</v>
      </c>
      <c r="J657" s="61">
        <f>11.133 * CHOOSE(CONTROL!$C$22, $C$13, 100%, $E$13)</f>
        <v>11.132999999999999</v>
      </c>
      <c r="K657" s="61">
        <f>11.1352 * CHOOSE(CONTROL!$C$22, $C$13, 100%, $E$13)</f>
        <v>11.135199999999999</v>
      </c>
    </row>
    <row r="658" spans="1:11" ht="15">
      <c r="A658" s="13">
        <v>61880</v>
      </c>
      <c r="B658" s="60">
        <f>9.3201 * CHOOSE(CONTROL!$C$22, $C$13, 100%, $E$13)</f>
        <v>9.3201000000000001</v>
      </c>
      <c r="C658" s="60">
        <f>9.3201 * CHOOSE(CONTROL!$C$22, $C$13, 100%, $E$13)</f>
        <v>9.3201000000000001</v>
      </c>
      <c r="D658" s="60">
        <f>9.3554 * CHOOSE(CONTROL!$C$22, $C$13, 100%, $E$13)</f>
        <v>9.3553999999999995</v>
      </c>
      <c r="E658" s="61">
        <f>11.0813 * CHOOSE(CONTROL!$C$22, $C$13, 100%, $E$13)</f>
        <v>11.081300000000001</v>
      </c>
      <c r="F658" s="61">
        <f>11.0813 * CHOOSE(CONTROL!$C$22, $C$13, 100%, $E$13)</f>
        <v>11.081300000000001</v>
      </c>
      <c r="G658" s="61">
        <f>11.0835 * CHOOSE(CONTROL!$C$22, $C$13, 100%, $E$13)</f>
        <v>11.083500000000001</v>
      </c>
      <c r="H658" s="61">
        <f>19.2867* CHOOSE(CONTROL!$C$22, $C$13, 100%, $E$13)</f>
        <v>19.2867</v>
      </c>
      <c r="I658" s="61">
        <f>19.2889 * CHOOSE(CONTROL!$C$22, $C$13, 100%, $E$13)</f>
        <v>19.288900000000002</v>
      </c>
      <c r="J658" s="61">
        <f>11.0813 * CHOOSE(CONTROL!$C$22, $C$13, 100%, $E$13)</f>
        <v>11.081300000000001</v>
      </c>
      <c r="K658" s="61">
        <f>11.0835 * CHOOSE(CONTROL!$C$22, $C$13, 100%, $E$13)</f>
        <v>11.083500000000001</v>
      </c>
    </row>
    <row r="659" spans="1:11" ht="15">
      <c r="A659" s="13">
        <v>61910</v>
      </c>
      <c r="B659" s="60">
        <f>9.4532 * CHOOSE(CONTROL!$C$22, $C$13, 100%, $E$13)</f>
        <v>9.4532000000000007</v>
      </c>
      <c r="C659" s="60">
        <f>9.4532 * CHOOSE(CONTROL!$C$22, $C$13, 100%, $E$13)</f>
        <v>9.4532000000000007</v>
      </c>
      <c r="D659" s="60">
        <f>9.4885 * CHOOSE(CONTROL!$C$22, $C$13, 100%, $E$13)</f>
        <v>9.4885000000000002</v>
      </c>
      <c r="E659" s="61">
        <f>11.2856 * CHOOSE(CONTROL!$C$22, $C$13, 100%, $E$13)</f>
        <v>11.285600000000001</v>
      </c>
      <c r="F659" s="61">
        <f>11.2856 * CHOOSE(CONTROL!$C$22, $C$13, 100%, $E$13)</f>
        <v>11.285600000000001</v>
      </c>
      <c r="G659" s="61">
        <f>11.2878 * CHOOSE(CONTROL!$C$22, $C$13, 100%, $E$13)</f>
        <v>11.287800000000001</v>
      </c>
      <c r="H659" s="61">
        <f>19.3269* CHOOSE(CONTROL!$C$22, $C$13, 100%, $E$13)</f>
        <v>19.326899999999998</v>
      </c>
      <c r="I659" s="61">
        <f>19.329 * CHOOSE(CONTROL!$C$22, $C$13, 100%, $E$13)</f>
        <v>19.329000000000001</v>
      </c>
      <c r="J659" s="61">
        <f>11.2856 * CHOOSE(CONTROL!$C$22, $C$13, 100%, $E$13)</f>
        <v>11.285600000000001</v>
      </c>
      <c r="K659" s="61">
        <f>11.2878 * CHOOSE(CONTROL!$C$22, $C$13, 100%, $E$13)</f>
        <v>11.287800000000001</v>
      </c>
    </row>
    <row r="660" spans="1:11" ht="15">
      <c r="A660" s="13">
        <v>61941</v>
      </c>
      <c r="B660" s="60">
        <f>9.4599 * CHOOSE(CONTROL!$C$22, $C$13, 100%, $E$13)</f>
        <v>9.4598999999999993</v>
      </c>
      <c r="C660" s="60">
        <f>9.4599 * CHOOSE(CONTROL!$C$22, $C$13, 100%, $E$13)</f>
        <v>9.4598999999999993</v>
      </c>
      <c r="D660" s="60">
        <f>9.4952 * CHOOSE(CONTROL!$C$22, $C$13, 100%, $E$13)</f>
        <v>9.4952000000000005</v>
      </c>
      <c r="E660" s="61">
        <f>11.1224 * CHOOSE(CONTROL!$C$22, $C$13, 100%, $E$13)</f>
        <v>11.122400000000001</v>
      </c>
      <c r="F660" s="61">
        <f>11.1224 * CHOOSE(CONTROL!$C$22, $C$13, 100%, $E$13)</f>
        <v>11.122400000000001</v>
      </c>
      <c r="G660" s="61">
        <f>11.1246 * CHOOSE(CONTROL!$C$22, $C$13, 100%, $E$13)</f>
        <v>11.124599999999999</v>
      </c>
      <c r="H660" s="61">
        <f>19.3671* CHOOSE(CONTROL!$C$22, $C$13, 100%, $E$13)</f>
        <v>19.367100000000001</v>
      </c>
      <c r="I660" s="61">
        <f>19.3693 * CHOOSE(CONTROL!$C$22, $C$13, 100%, $E$13)</f>
        <v>19.369299999999999</v>
      </c>
      <c r="J660" s="61">
        <f>11.1224 * CHOOSE(CONTROL!$C$22, $C$13, 100%, $E$13)</f>
        <v>11.122400000000001</v>
      </c>
      <c r="K660" s="61">
        <f>11.1246 * CHOOSE(CONTROL!$C$22, $C$13, 100%, $E$13)</f>
        <v>11.124599999999999</v>
      </c>
    </row>
    <row r="661" spans="1:11" ht="15">
      <c r="A661" s="13">
        <v>61972</v>
      </c>
      <c r="B661" s="60">
        <f>9.4568 * CHOOSE(CONTROL!$C$22, $C$13, 100%, $E$13)</f>
        <v>9.4567999999999994</v>
      </c>
      <c r="C661" s="60">
        <f>9.4568 * CHOOSE(CONTROL!$C$22, $C$13, 100%, $E$13)</f>
        <v>9.4567999999999994</v>
      </c>
      <c r="D661" s="60">
        <f>9.4922 * CHOOSE(CONTROL!$C$22, $C$13, 100%, $E$13)</f>
        <v>9.4922000000000004</v>
      </c>
      <c r="E661" s="61">
        <f>11.1017 * CHOOSE(CONTROL!$C$22, $C$13, 100%, $E$13)</f>
        <v>11.101699999999999</v>
      </c>
      <c r="F661" s="61">
        <f>11.1017 * CHOOSE(CONTROL!$C$22, $C$13, 100%, $E$13)</f>
        <v>11.101699999999999</v>
      </c>
      <c r="G661" s="61">
        <f>11.1039 * CHOOSE(CONTROL!$C$22, $C$13, 100%, $E$13)</f>
        <v>11.103899999999999</v>
      </c>
      <c r="H661" s="61">
        <f>19.4075* CHOOSE(CONTROL!$C$22, $C$13, 100%, $E$13)</f>
        <v>19.407499999999999</v>
      </c>
      <c r="I661" s="61">
        <f>19.4097 * CHOOSE(CONTROL!$C$22, $C$13, 100%, $E$13)</f>
        <v>19.409700000000001</v>
      </c>
      <c r="J661" s="61">
        <f>11.1017 * CHOOSE(CONTROL!$C$22, $C$13, 100%, $E$13)</f>
        <v>11.101699999999999</v>
      </c>
      <c r="K661" s="61">
        <f>11.1039 * CHOOSE(CONTROL!$C$22, $C$13, 100%, $E$13)</f>
        <v>11.103899999999999</v>
      </c>
    </row>
    <row r="662" spans="1:11" ht="15">
      <c r="A662" s="13">
        <v>62002</v>
      </c>
      <c r="B662" s="60">
        <f>9.4727 * CHOOSE(CONTROL!$C$22, $C$13, 100%, $E$13)</f>
        <v>9.4726999999999997</v>
      </c>
      <c r="C662" s="60">
        <f>9.4727 * CHOOSE(CONTROL!$C$22, $C$13, 100%, $E$13)</f>
        <v>9.4726999999999997</v>
      </c>
      <c r="D662" s="60">
        <f>9.4903 * CHOOSE(CONTROL!$C$22, $C$13, 100%, $E$13)</f>
        <v>9.4902999999999995</v>
      </c>
      <c r="E662" s="61">
        <f>11.1628 * CHOOSE(CONTROL!$C$22, $C$13, 100%, $E$13)</f>
        <v>11.162800000000001</v>
      </c>
      <c r="F662" s="61">
        <f>11.1628 * CHOOSE(CONTROL!$C$22, $C$13, 100%, $E$13)</f>
        <v>11.162800000000001</v>
      </c>
      <c r="G662" s="61">
        <f>11.163 * CHOOSE(CONTROL!$C$22, $C$13, 100%, $E$13)</f>
        <v>11.163</v>
      </c>
      <c r="H662" s="61">
        <f>19.4479* CHOOSE(CONTROL!$C$22, $C$13, 100%, $E$13)</f>
        <v>19.447900000000001</v>
      </c>
      <c r="I662" s="61">
        <f>19.4481 * CHOOSE(CONTROL!$C$22, $C$13, 100%, $E$13)</f>
        <v>19.4481</v>
      </c>
      <c r="J662" s="61">
        <f>11.1628 * CHOOSE(CONTROL!$C$22, $C$13, 100%, $E$13)</f>
        <v>11.162800000000001</v>
      </c>
      <c r="K662" s="61">
        <f>11.163 * CHOOSE(CONTROL!$C$22, $C$13, 100%, $E$13)</f>
        <v>11.163</v>
      </c>
    </row>
    <row r="663" spans="1:11" ht="15">
      <c r="A663" s="13">
        <v>62033</v>
      </c>
      <c r="B663" s="60">
        <f>9.4757 * CHOOSE(CONTROL!$C$22, $C$13, 100%, $E$13)</f>
        <v>9.4756999999999998</v>
      </c>
      <c r="C663" s="60">
        <f>9.4757 * CHOOSE(CONTROL!$C$22, $C$13, 100%, $E$13)</f>
        <v>9.4756999999999998</v>
      </c>
      <c r="D663" s="60">
        <f>9.4934 * CHOOSE(CONTROL!$C$22, $C$13, 100%, $E$13)</f>
        <v>9.4933999999999994</v>
      </c>
      <c r="E663" s="61">
        <f>11.2022 * CHOOSE(CONTROL!$C$22, $C$13, 100%, $E$13)</f>
        <v>11.202199999999999</v>
      </c>
      <c r="F663" s="61">
        <f>11.2022 * CHOOSE(CONTROL!$C$22, $C$13, 100%, $E$13)</f>
        <v>11.202199999999999</v>
      </c>
      <c r="G663" s="61">
        <f>11.2024 * CHOOSE(CONTROL!$C$22, $C$13, 100%, $E$13)</f>
        <v>11.202400000000001</v>
      </c>
      <c r="H663" s="61">
        <f>19.4884* CHOOSE(CONTROL!$C$22, $C$13, 100%, $E$13)</f>
        <v>19.488399999999999</v>
      </c>
      <c r="I663" s="61">
        <f>19.4886 * CHOOSE(CONTROL!$C$22, $C$13, 100%, $E$13)</f>
        <v>19.488600000000002</v>
      </c>
      <c r="J663" s="61">
        <f>11.2022 * CHOOSE(CONTROL!$C$22, $C$13, 100%, $E$13)</f>
        <v>11.202199999999999</v>
      </c>
      <c r="K663" s="61">
        <f>11.2024 * CHOOSE(CONTROL!$C$22, $C$13, 100%, $E$13)</f>
        <v>11.202400000000001</v>
      </c>
    </row>
    <row r="664" spans="1:11" ht="15">
      <c r="A664" s="13">
        <v>62063</v>
      </c>
      <c r="B664" s="60">
        <f>9.4757 * CHOOSE(CONTROL!$C$22, $C$13, 100%, $E$13)</f>
        <v>9.4756999999999998</v>
      </c>
      <c r="C664" s="60">
        <f>9.4757 * CHOOSE(CONTROL!$C$22, $C$13, 100%, $E$13)</f>
        <v>9.4756999999999998</v>
      </c>
      <c r="D664" s="60">
        <f>9.4934 * CHOOSE(CONTROL!$C$22, $C$13, 100%, $E$13)</f>
        <v>9.4933999999999994</v>
      </c>
      <c r="E664" s="61">
        <f>11.109 * CHOOSE(CONTROL!$C$22, $C$13, 100%, $E$13)</f>
        <v>11.109</v>
      </c>
      <c r="F664" s="61">
        <f>11.109 * CHOOSE(CONTROL!$C$22, $C$13, 100%, $E$13)</f>
        <v>11.109</v>
      </c>
      <c r="G664" s="61">
        <f>11.1092 * CHOOSE(CONTROL!$C$22, $C$13, 100%, $E$13)</f>
        <v>11.1092</v>
      </c>
      <c r="H664" s="61">
        <f>19.529* CHOOSE(CONTROL!$C$22, $C$13, 100%, $E$13)</f>
        <v>19.529</v>
      </c>
      <c r="I664" s="61">
        <f>19.5292 * CHOOSE(CONTROL!$C$22, $C$13, 100%, $E$13)</f>
        <v>19.529199999999999</v>
      </c>
      <c r="J664" s="61">
        <f>11.109 * CHOOSE(CONTROL!$C$22, $C$13, 100%, $E$13)</f>
        <v>11.109</v>
      </c>
      <c r="K664" s="61">
        <f>11.1092 * CHOOSE(CONTROL!$C$22, $C$13, 100%, $E$13)</f>
        <v>11.1092</v>
      </c>
    </row>
    <row r="665" spans="1:11" ht="15">
      <c r="A665" s="13">
        <v>62094</v>
      </c>
      <c r="B665" s="60">
        <f>9.5138 * CHOOSE(CONTROL!$C$22, $C$13, 100%, $E$13)</f>
        <v>9.5137999999999998</v>
      </c>
      <c r="C665" s="60">
        <f>9.5138 * CHOOSE(CONTROL!$C$22, $C$13, 100%, $E$13)</f>
        <v>9.5137999999999998</v>
      </c>
      <c r="D665" s="60">
        <f>9.5314 * CHOOSE(CONTROL!$C$22, $C$13, 100%, $E$13)</f>
        <v>9.5313999999999997</v>
      </c>
      <c r="E665" s="61">
        <f>11.2255 * CHOOSE(CONTROL!$C$22, $C$13, 100%, $E$13)</f>
        <v>11.2255</v>
      </c>
      <c r="F665" s="61">
        <f>11.2255 * CHOOSE(CONTROL!$C$22, $C$13, 100%, $E$13)</f>
        <v>11.2255</v>
      </c>
      <c r="G665" s="61">
        <f>11.2257 * CHOOSE(CONTROL!$C$22, $C$13, 100%, $E$13)</f>
        <v>11.2257</v>
      </c>
      <c r="H665" s="61">
        <f>19.4885* CHOOSE(CONTROL!$C$22, $C$13, 100%, $E$13)</f>
        <v>19.488499999999998</v>
      </c>
      <c r="I665" s="61">
        <f>19.4887 * CHOOSE(CONTROL!$C$22, $C$13, 100%, $E$13)</f>
        <v>19.488700000000001</v>
      </c>
      <c r="J665" s="61">
        <f>11.2255 * CHOOSE(CONTROL!$C$22, $C$13, 100%, $E$13)</f>
        <v>11.2255</v>
      </c>
      <c r="K665" s="61">
        <f>11.2257 * CHOOSE(CONTROL!$C$22, $C$13, 100%, $E$13)</f>
        <v>11.2257</v>
      </c>
    </row>
    <row r="666" spans="1:11" ht="15">
      <c r="A666" s="13">
        <v>62125</v>
      </c>
      <c r="B666" s="60">
        <f>9.5107 * CHOOSE(CONTROL!$C$22, $C$13, 100%, $E$13)</f>
        <v>9.5106999999999999</v>
      </c>
      <c r="C666" s="60">
        <f>9.5107 * CHOOSE(CONTROL!$C$22, $C$13, 100%, $E$13)</f>
        <v>9.5106999999999999</v>
      </c>
      <c r="D666" s="60">
        <f>9.5284 * CHOOSE(CONTROL!$C$22, $C$13, 100%, $E$13)</f>
        <v>9.5283999999999995</v>
      </c>
      <c r="E666" s="61">
        <f>11.0428 * CHOOSE(CONTROL!$C$22, $C$13, 100%, $E$13)</f>
        <v>11.0428</v>
      </c>
      <c r="F666" s="61">
        <f>11.0428 * CHOOSE(CONTROL!$C$22, $C$13, 100%, $E$13)</f>
        <v>11.0428</v>
      </c>
      <c r="G666" s="61">
        <f>11.0429 * CHOOSE(CONTROL!$C$22, $C$13, 100%, $E$13)</f>
        <v>11.042899999999999</v>
      </c>
      <c r="H666" s="61">
        <f>19.5291* CHOOSE(CONTROL!$C$22, $C$13, 100%, $E$13)</f>
        <v>19.5291</v>
      </c>
      <c r="I666" s="61">
        <f>19.5293 * CHOOSE(CONTROL!$C$22, $C$13, 100%, $E$13)</f>
        <v>19.529299999999999</v>
      </c>
      <c r="J666" s="61">
        <f>11.0428 * CHOOSE(CONTROL!$C$22, $C$13, 100%, $E$13)</f>
        <v>11.0428</v>
      </c>
      <c r="K666" s="61">
        <f>11.0429 * CHOOSE(CONTROL!$C$22, $C$13, 100%, $E$13)</f>
        <v>11.042899999999999</v>
      </c>
    </row>
    <row r="667" spans="1:11" ht="15">
      <c r="A667" s="13">
        <v>62153</v>
      </c>
      <c r="B667" s="60">
        <f>9.5077 * CHOOSE(CONTROL!$C$22, $C$13, 100%, $E$13)</f>
        <v>9.5076999999999998</v>
      </c>
      <c r="C667" s="60">
        <f>9.5077 * CHOOSE(CONTROL!$C$22, $C$13, 100%, $E$13)</f>
        <v>9.5076999999999998</v>
      </c>
      <c r="D667" s="60">
        <f>9.5254 * CHOOSE(CONTROL!$C$22, $C$13, 100%, $E$13)</f>
        <v>9.5253999999999994</v>
      </c>
      <c r="E667" s="61">
        <f>11.183 * CHOOSE(CONTROL!$C$22, $C$13, 100%, $E$13)</f>
        <v>11.183</v>
      </c>
      <c r="F667" s="61">
        <f>11.183 * CHOOSE(CONTROL!$C$22, $C$13, 100%, $E$13)</f>
        <v>11.183</v>
      </c>
      <c r="G667" s="61">
        <f>11.1832 * CHOOSE(CONTROL!$C$22, $C$13, 100%, $E$13)</f>
        <v>11.183199999999999</v>
      </c>
      <c r="H667" s="61">
        <f>19.5698* CHOOSE(CONTROL!$C$22, $C$13, 100%, $E$13)</f>
        <v>19.569800000000001</v>
      </c>
      <c r="I667" s="61">
        <f>19.57 * CHOOSE(CONTROL!$C$22, $C$13, 100%, $E$13)</f>
        <v>19.57</v>
      </c>
      <c r="J667" s="61">
        <f>11.183 * CHOOSE(CONTROL!$C$22, $C$13, 100%, $E$13)</f>
        <v>11.183</v>
      </c>
      <c r="K667" s="61">
        <f>11.1832 * CHOOSE(CONTROL!$C$22, $C$13, 100%, $E$13)</f>
        <v>11.183199999999999</v>
      </c>
    </row>
    <row r="668" spans="1:11" ht="15">
      <c r="A668" s="13">
        <v>62184</v>
      </c>
      <c r="B668" s="60">
        <f>9.5108 * CHOOSE(CONTROL!$C$22, $C$13, 100%, $E$13)</f>
        <v>9.5107999999999997</v>
      </c>
      <c r="C668" s="60">
        <f>9.5108 * CHOOSE(CONTROL!$C$22, $C$13, 100%, $E$13)</f>
        <v>9.5107999999999997</v>
      </c>
      <c r="D668" s="60">
        <f>9.5284 * CHOOSE(CONTROL!$C$22, $C$13, 100%, $E$13)</f>
        <v>9.5283999999999995</v>
      </c>
      <c r="E668" s="61">
        <f>11.3317 * CHOOSE(CONTROL!$C$22, $C$13, 100%, $E$13)</f>
        <v>11.3317</v>
      </c>
      <c r="F668" s="61">
        <f>11.3317 * CHOOSE(CONTROL!$C$22, $C$13, 100%, $E$13)</f>
        <v>11.3317</v>
      </c>
      <c r="G668" s="61">
        <f>11.3319 * CHOOSE(CONTROL!$C$22, $C$13, 100%, $E$13)</f>
        <v>11.331899999999999</v>
      </c>
      <c r="H668" s="61">
        <f>19.6106* CHOOSE(CONTROL!$C$22, $C$13, 100%, $E$13)</f>
        <v>19.610600000000002</v>
      </c>
      <c r="I668" s="61">
        <f>19.6107 * CHOOSE(CONTROL!$C$22, $C$13, 100%, $E$13)</f>
        <v>19.610700000000001</v>
      </c>
      <c r="J668" s="61">
        <f>11.3317 * CHOOSE(CONTROL!$C$22, $C$13, 100%, $E$13)</f>
        <v>11.3317</v>
      </c>
      <c r="K668" s="61">
        <f>11.3319 * CHOOSE(CONTROL!$C$22, $C$13, 100%, $E$13)</f>
        <v>11.331899999999999</v>
      </c>
    </row>
    <row r="669" spans="1:11" ht="15">
      <c r="A669" s="13">
        <v>62214</v>
      </c>
      <c r="B669" s="60">
        <f>9.5108 * CHOOSE(CONTROL!$C$22, $C$13, 100%, $E$13)</f>
        <v>9.5107999999999997</v>
      </c>
      <c r="C669" s="60">
        <f>9.5108 * CHOOSE(CONTROL!$C$22, $C$13, 100%, $E$13)</f>
        <v>9.5107999999999997</v>
      </c>
      <c r="D669" s="60">
        <f>9.5461 * CHOOSE(CONTROL!$C$22, $C$13, 100%, $E$13)</f>
        <v>9.5460999999999991</v>
      </c>
      <c r="E669" s="61">
        <f>11.3891 * CHOOSE(CONTROL!$C$22, $C$13, 100%, $E$13)</f>
        <v>11.389099999999999</v>
      </c>
      <c r="F669" s="61">
        <f>11.3891 * CHOOSE(CONTROL!$C$22, $C$13, 100%, $E$13)</f>
        <v>11.389099999999999</v>
      </c>
      <c r="G669" s="61">
        <f>11.3913 * CHOOSE(CONTROL!$C$22, $C$13, 100%, $E$13)</f>
        <v>11.391299999999999</v>
      </c>
      <c r="H669" s="61">
        <f>19.6514* CHOOSE(CONTROL!$C$22, $C$13, 100%, $E$13)</f>
        <v>19.651399999999999</v>
      </c>
      <c r="I669" s="61">
        <f>19.6536 * CHOOSE(CONTROL!$C$22, $C$13, 100%, $E$13)</f>
        <v>19.653600000000001</v>
      </c>
      <c r="J669" s="61">
        <f>11.3891 * CHOOSE(CONTROL!$C$22, $C$13, 100%, $E$13)</f>
        <v>11.389099999999999</v>
      </c>
      <c r="K669" s="61">
        <f>11.3913 * CHOOSE(CONTROL!$C$22, $C$13, 100%, $E$13)</f>
        <v>11.391299999999999</v>
      </c>
    </row>
    <row r="670" spans="1:11" ht="15">
      <c r="A670" s="13">
        <v>62245</v>
      </c>
      <c r="B670" s="60">
        <f>9.5169 * CHOOSE(CONTROL!$C$22, $C$13, 100%, $E$13)</f>
        <v>9.5168999999999997</v>
      </c>
      <c r="C670" s="60">
        <f>9.5169 * CHOOSE(CONTROL!$C$22, $C$13, 100%, $E$13)</f>
        <v>9.5168999999999997</v>
      </c>
      <c r="D670" s="60">
        <f>9.5522 * CHOOSE(CONTROL!$C$22, $C$13, 100%, $E$13)</f>
        <v>9.5521999999999991</v>
      </c>
      <c r="E670" s="61">
        <f>11.336 * CHOOSE(CONTROL!$C$22, $C$13, 100%, $E$13)</f>
        <v>11.336</v>
      </c>
      <c r="F670" s="61">
        <f>11.336 * CHOOSE(CONTROL!$C$22, $C$13, 100%, $E$13)</f>
        <v>11.336</v>
      </c>
      <c r="G670" s="61">
        <f>11.3382 * CHOOSE(CONTROL!$C$22, $C$13, 100%, $E$13)</f>
        <v>11.338200000000001</v>
      </c>
      <c r="H670" s="61">
        <f>19.6923* CHOOSE(CONTROL!$C$22, $C$13, 100%, $E$13)</f>
        <v>19.692299999999999</v>
      </c>
      <c r="I670" s="61">
        <f>19.6945 * CHOOSE(CONTROL!$C$22, $C$13, 100%, $E$13)</f>
        <v>19.694500000000001</v>
      </c>
      <c r="J670" s="61">
        <f>11.336 * CHOOSE(CONTROL!$C$22, $C$13, 100%, $E$13)</f>
        <v>11.336</v>
      </c>
      <c r="K670" s="61">
        <f>11.3382 * CHOOSE(CONTROL!$C$22, $C$13, 100%, $E$13)</f>
        <v>11.338200000000001</v>
      </c>
    </row>
    <row r="671" spans="1:11" ht="15">
      <c r="A671" s="13">
        <v>62275</v>
      </c>
      <c r="B671" s="60">
        <f>9.6525 * CHOOSE(CONTROL!$C$22, $C$13, 100%, $E$13)</f>
        <v>9.6524999999999999</v>
      </c>
      <c r="C671" s="60">
        <f>9.6525 * CHOOSE(CONTROL!$C$22, $C$13, 100%, $E$13)</f>
        <v>9.6524999999999999</v>
      </c>
      <c r="D671" s="60">
        <f>9.6878 * CHOOSE(CONTROL!$C$22, $C$13, 100%, $E$13)</f>
        <v>9.6877999999999993</v>
      </c>
      <c r="E671" s="61">
        <f>11.5447 * CHOOSE(CONTROL!$C$22, $C$13, 100%, $E$13)</f>
        <v>11.544700000000001</v>
      </c>
      <c r="F671" s="61">
        <f>11.5447 * CHOOSE(CONTROL!$C$22, $C$13, 100%, $E$13)</f>
        <v>11.544700000000001</v>
      </c>
      <c r="G671" s="61">
        <f>11.5469 * CHOOSE(CONTROL!$C$22, $C$13, 100%, $E$13)</f>
        <v>11.546900000000001</v>
      </c>
      <c r="H671" s="61">
        <f>19.7334* CHOOSE(CONTROL!$C$22, $C$13, 100%, $E$13)</f>
        <v>19.7334</v>
      </c>
      <c r="I671" s="61">
        <f>19.7356 * CHOOSE(CONTROL!$C$22, $C$13, 100%, $E$13)</f>
        <v>19.735600000000002</v>
      </c>
      <c r="J671" s="61">
        <f>11.5447 * CHOOSE(CONTROL!$C$22, $C$13, 100%, $E$13)</f>
        <v>11.544700000000001</v>
      </c>
      <c r="K671" s="61">
        <f>11.5469 * CHOOSE(CONTROL!$C$22, $C$13, 100%, $E$13)</f>
        <v>11.546900000000001</v>
      </c>
    </row>
    <row r="672" spans="1:11" ht="15">
      <c r="A672" s="13">
        <v>62306</v>
      </c>
      <c r="B672" s="60">
        <f>9.6592 * CHOOSE(CONTROL!$C$22, $C$13, 100%, $E$13)</f>
        <v>9.6592000000000002</v>
      </c>
      <c r="C672" s="60">
        <f>9.6592 * CHOOSE(CONTROL!$C$22, $C$13, 100%, $E$13)</f>
        <v>9.6592000000000002</v>
      </c>
      <c r="D672" s="60">
        <f>9.6945 * CHOOSE(CONTROL!$C$22, $C$13, 100%, $E$13)</f>
        <v>9.6944999999999997</v>
      </c>
      <c r="E672" s="61">
        <f>11.3773 * CHOOSE(CONTROL!$C$22, $C$13, 100%, $E$13)</f>
        <v>11.3773</v>
      </c>
      <c r="F672" s="61">
        <f>11.3773 * CHOOSE(CONTROL!$C$22, $C$13, 100%, $E$13)</f>
        <v>11.3773</v>
      </c>
      <c r="G672" s="61">
        <f>11.3795 * CHOOSE(CONTROL!$C$22, $C$13, 100%, $E$13)</f>
        <v>11.3795</v>
      </c>
      <c r="H672" s="61">
        <f>19.7745* CHOOSE(CONTROL!$C$22, $C$13, 100%, $E$13)</f>
        <v>19.7745</v>
      </c>
      <c r="I672" s="61">
        <f>19.7767 * CHOOSE(CONTROL!$C$22, $C$13, 100%, $E$13)</f>
        <v>19.776700000000002</v>
      </c>
      <c r="J672" s="61">
        <f>11.3773 * CHOOSE(CONTROL!$C$22, $C$13, 100%, $E$13)</f>
        <v>11.3773</v>
      </c>
      <c r="K672" s="61">
        <f>11.3795 * CHOOSE(CONTROL!$C$22, $C$13, 100%, $E$13)</f>
        <v>11.3795</v>
      </c>
    </row>
    <row r="673" spans="1:11" ht="15">
      <c r="A673" s="13">
        <v>62337</v>
      </c>
      <c r="B673" s="60">
        <f>9.6562 * CHOOSE(CONTROL!$C$22, $C$13, 100%, $E$13)</f>
        <v>9.6562000000000001</v>
      </c>
      <c r="C673" s="60">
        <f>9.6562 * CHOOSE(CONTROL!$C$22, $C$13, 100%, $E$13)</f>
        <v>9.6562000000000001</v>
      </c>
      <c r="D673" s="60">
        <f>9.6915 * CHOOSE(CONTROL!$C$22, $C$13, 100%, $E$13)</f>
        <v>9.6914999999999996</v>
      </c>
      <c r="E673" s="61">
        <f>11.356 * CHOOSE(CONTROL!$C$22, $C$13, 100%, $E$13)</f>
        <v>11.356</v>
      </c>
      <c r="F673" s="61">
        <f>11.356 * CHOOSE(CONTROL!$C$22, $C$13, 100%, $E$13)</f>
        <v>11.356</v>
      </c>
      <c r="G673" s="61">
        <f>11.3582 * CHOOSE(CONTROL!$C$22, $C$13, 100%, $E$13)</f>
        <v>11.3582</v>
      </c>
      <c r="H673" s="61">
        <f>19.8157* CHOOSE(CONTROL!$C$22, $C$13, 100%, $E$13)</f>
        <v>19.8157</v>
      </c>
      <c r="I673" s="61">
        <f>19.8179 * CHOOSE(CONTROL!$C$22, $C$13, 100%, $E$13)</f>
        <v>19.817900000000002</v>
      </c>
      <c r="J673" s="61">
        <f>11.356 * CHOOSE(CONTROL!$C$22, $C$13, 100%, $E$13)</f>
        <v>11.356</v>
      </c>
      <c r="K673" s="61">
        <f>11.3582 * CHOOSE(CONTROL!$C$22, $C$13, 100%, $E$13)</f>
        <v>11.3582</v>
      </c>
    </row>
    <row r="674" spans="1:11" ht="15">
      <c r="A674" s="13">
        <v>62367</v>
      </c>
      <c r="B674" s="60">
        <f>9.6727 * CHOOSE(CONTROL!$C$22, $C$13, 100%, $E$13)</f>
        <v>9.6727000000000007</v>
      </c>
      <c r="C674" s="60">
        <f>9.6727 * CHOOSE(CONTROL!$C$22, $C$13, 100%, $E$13)</f>
        <v>9.6727000000000007</v>
      </c>
      <c r="D674" s="60">
        <f>9.6904 * CHOOSE(CONTROL!$C$22, $C$13, 100%, $E$13)</f>
        <v>9.6904000000000003</v>
      </c>
      <c r="E674" s="61">
        <f>11.4191 * CHOOSE(CONTROL!$C$22, $C$13, 100%, $E$13)</f>
        <v>11.4191</v>
      </c>
      <c r="F674" s="61">
        <f>11.4191 * CHOOSE(CONTROL!$C$22, $C$13, 100%, $E$13)</f>
        <v>11.4191</v>
      </c>
      <c r="G674" s="61">
        <f>11.4193 * CHOOSE(CONTROL!$C$22, $C$13, 100%, $E$13)</f>
        <v>11.4193</v>
      </c>
      <c r="H674" s="61">
        <f>19.857* CHOOSE(CONTROL!$C$22, $C$13, 100%, $E$13)</f>
        <v>19.856999999999999</v>
      </c>
      <c r="I674" s="61">
        <f>19.8571 * CHOOSE(CONTROL!$C$22, $C$13, 100%, $E$13)</f>
        <v>19.857099999999999</v>
      </c>
      <c r="J674" s="61">
        <f>11.4191 * CHOOSE(CONTROL!$C$22, $C$13, 100%, $E$13)</f>
        <v>11.4191</v>
      </c>
      <c r="K674" s="61">
        <f>11.4193 * CHOOSE(CONTROL!$C$22, $C$13, 100%, $E$13)</f>
        <v>11.4193</v>
      </c>
    </row>
    <row r="675" spans="1:11" ht="15">
      <c r="A675" s="13">
        <v>62398</v>
      </c>
      <c r="B675" s="60">
        <f>9.6758 * CHOOSE(CONTROL!$C$22, $C$13, 100%, $E$13)</f>
        <v>9.6758000000000006</v>
      </c>
      <c r="C675" s="60">
        <f>9.6758 * CHOOSE(CONTROL!$C$22, $C$13, 100%, $E$13)</f>
        <v>9.6758000000000006</v>
      </c>
      <c r="D675" s="60">
        <f>9.6934 * CHOOSE(CONTROL!$C$22, $C$13, 100%, $E$13)</f>
        <v>9.6934000000000005</v>
      </c>
      <c r="E675" s="61">
        <f>11.4594 * CHOOSE(CONTROL!$C$22, $C$13, 100%, $E$13)</f>
        <v>11.4594</v>
      </c>
      <c r="F675" s="61">
        <f>11.4594 * CHOOSE(CONTROL!$C$22, $C$13, 100%, $E$13)</f>
        <v>11.4594</v>
      </c>
      <c r="G675" s="61">
        <f>11.4596 * CHOOSE(CONTROL!$C$22, $C$13, 100%, $E$13)</f>
        <v>11.4596</v>
      </c>
      <c r="H675" s="61">
        <f>19.8983* CHOOSE(CONTROL!$C$22, $C$13, 100%, $E$13)</f>
        <v>19.898299999999999</v>
      </c>
      <c r="I675" s="61">
        <f>19.8985 * CHOOSE(CONTROL!$C$22, $C$13, 100%, $E$13)</f>
        <v>19.898499999999999</v>
      </c>
      <c r="J675" s="61">
        <f>11.4594 * CHOOSE(CONTROL!$C$22, $C$13, 100%, $E$13)</f>
        <v>11.4594</v>
      </c>
      <c r="K675" s="61">
        <f>11.4596 * CHOOSE(CONTROL!$C$22, $C$13, 100%, $E$13)</f>
        <v>11.4596</v>
      </c>
    </row>
    <row r="676" spans="1:11" ht="15">
      <c r="A676" s="13">
        <v>62428</v>
      </c>
      <c r="B676" s="60">
        <f>9.6758 * CHOOSE(CONTROL!$C$22, $C$13, 100%, $E$13)</f>
        <v>9.6758000000000006</v>
      </c>
      <c r="C676" s="60">
        <f>9.6758 * CHOOSE(CONTROL!$C$22, $C$13, 100%, $E$13)</f>
        <v>9.6758000000000006</v>
      </c>
      <c r="D676" s="60">
        <f>9.6934 * CHOOSE(CONTROL!$C$22, $C$13, 100%, $E$13)</f>
        <v>9.6934000000000005</v>
      </c>
      <c r="E676" s="61">
        <f>11.3639 * CHOOSE(CONTROL!$C$22, $C$13, 100%, $E$13)</f>
        <v>11.363899999999999</v>
      </c>
      <c r="F676" s="61">
        <f>11.3639 * CHOOSE(CONTROL!$C$22, $C$13, 100%, $E$13)</f>
        <v>11.363899999999999</v>
      </c>
      <c r="G676" s="61">
        <f>11.364 * CHOOSE(CONTROL!$C$22, $C$13, 100%, $E$13)</f>
        <v>11.364000000000001</v>
      </c>
      <c r="H676" s="61">
        <f>19.9398* CHOOSE(CONTROL!$C$22, $C$13, 100%, $E$13)</f>
        <v>19.939800000000002</v>
      </c>
      <c r="I676" s="61">
        <f>19.94 * CHOOSE(CONTROL!$C$22, $C$13, 100%, $E$13)</f>
        <v>19.940000000000001</v>
      </c>
      <c r="J676" s="61">
        <f>11.3639 * CHOOSE(CONTROL!$C$22, $C$13, 100%, $E$13)</f>
        <v>11.363899999999999</v>
      </c>
      <c r="K676" s="61">
        <f>11.364 * CHOOSE(CONTROL!$C$22, $C$13, 100%, $E$13)</f>
        <v>11.364000000000001</v>
      </c>
    </row>
    <row r="677" spans="1:11" ht="15">
      <c r="A677" s="13">
        <v>62459</v>
      </c>
      <c r="B677" s="60">
        <f>9.7104 * CHOOSE(CONTROL!$C$22, $C$13, 100%, $E$13)</f>
        <v>9.7103999999999999</v>
      </c>
      <c r="C677" s="60">
        <f>9.7104 * CHOOSE(CONTROL!$C$22, $C$13, 100%, $E$13)</f>
        <v>9.7103999999999999</v>
      </c>
      <c r="D677" s="60">
        <f>9.7281 * CHOOSE(CONTROL!$C$22, $C$13, 100%, $E$13)</f>
        <v>9.7280999999999995</v>
      </c>
      <c r="E677" s="61">
        <f>11.4773 * CHOOSE(CONTROL!$C$22, $C$13, 100%, $E$13)</f>
        <v>11.4773</v>
      </c>
      <c r="F677" s="61">
        <f>11.4773 * CHOOSE(CONTROL!$C$22, $C$13, 100%, $E$13)</f>
        <v>11.4773</v>
      </c>
      <c r="G677" s="61">
        <f>11.4775 * CHOOSE(CONTROL!$C$22, $C$13, 100%, $E$13)</f>
        <v>11.477499999999999</v>
      </c>
      <c r="H677" s="61">
        <f>19.89* CHOOSE(CONTROL!$C$22, $C$13, 100%, $E$13)</f>
        <v>19.89</v>
      </c>
      <c r="I677" s="61">
        <f>19.8901 * CHOOSE(CONTROL!$C$22, $C$13, 100%, $E$13)</f>
        <v>19.8901</v>
      </c>
      <c r="J677" s="61">
        <f>11.4773 * CHOOSE(CONTROL!$C$22, $C$13, 100%, $E$13)</f>
        <v>11.4773</v>
      </c>
      <c r="K677" s="61">
        <f>11.4775 * CHOOSE(CONTROL!$C$22, $C$13, 100%, $E$13)</f>
        <v>11.477499999999999</v>
      </c>
    </row>
    <row r="678" spans="1:11" ht="15">
      <c r="A678" s="13">
        <v>62490</v>
      </c>
      <c r="B678" s="60">
        <f>9.7074 * CHOOSE(CONTROL!$C$22, $C$13, 100%, $E$13)</f>
        <v>9.7073999999999998</v>
      </c>
      <c r="C678" s="60">
        <f>9.7074 * CHOOSE(CONTROL!$C$22, $C$13, 100%, $E$13)</f>
        <v>9.7073999999999998</v>
      </c>
      <c r="D678" s="60">
        <f>9.725 * CHOOSE(CONTROL!$C$22, $C$13, 100%, $E$13)</f>
        <v>9.7249999999999996</v>
      </c>
      <c r="E678" s="61">
        <f>11.2901 * CHOOSE(CONTROL!$C$22, $C$13, 100%, $E$13)</f>
        <v>11.290100000000001</v>
      </c>
      <c r="F678" s="61">
        <f>11.2901 * CHOOSE(CONTROL!$C$22, $C$13, 100%, $E$13)</f>
        <v>11.290100000000001</v>
      </c>
      <c r="G678" s="61">
        <f>11.2903 * CHOOSE(CONTROL!$C$22, $C$13, 100%, $E$13)</f>
        <v>11.2903</v>
      </c>
      <c r="H678" s="61">
        <f>19.9314* CHOOSE(CONTROL!$C$22, $C$13, 100%, $E$13)</f>
        <v>19.9314</v>
      </c>
      <c r="I678" s="61">
        <f>19.9316 * CHOOSE(CONTROL!$C$22, $C$13, 100%, $E$13)</f>
        <v>19.9316</v>
      </c>
      <c r="J678" s="61">
        <f>11.2901 * CHOOSE(CONTROL!$C$22, $C$13, 100%, $E$13)</f>
        <v>11.290100000000001</v>
      </c>
      <c r="K678" s="61">
        <f>11.2903 * CHOOSE(CONTROL!$C$22, $C$13, 100%, $E$13)</f>
        <v>11.2903</v>
      </c>
    </row>
    <row r="679" spans="1:11" ht="15">
      <c r="A679" s="13">
        <v>62518</v>
      </c>
      <c r="B679" s="60">
        <f>9.7043 * CHOOSE(CONTROL!$C$22, $C$13, 100%, $E$13)</f>
        <v>9.7042999999999999</v>
      </c>
      <c r="C679" s="60">
        <f>9.7043 * CHOOSE(CONTROL!$C$22, $C$13, 100%, $E$13)</f>
        <v>9.7042999999999999</v>
      </c>
      <c r="D679" s="60">
        <f>9.722 * CHOOSE(CONTROL!$C$22, $C$13, 100%, $E$13)</f>
        <v>9.7219999999999995</v>
      </c>
      <c r="E679" s="61">
        <f>11.4339 * CHOOSE(CONTROL!$C$22, $C$13, 100%, $E$13)</f>
        <v>11.4339</v>
      </c>
      <c r="F679" s="61">
        <f>11.4339 * CHOOSE(CONTROL!$C$22, $C$13, 100%, $E$13)</f>
        <v>11.4339</v>
      </c>
      <c r="G679" s="61">
        <f>11.4341 * CHOOSE(CONTROL!$C$22, $C$13, 100%, $E$13)</f>
        <v>11.434100000000001</v>
      </c>
      <c r="H679" s="61">
        <f>19.9729* CHOOSE(CONTROL!$C$22, $C$13, 100%, $E$13)</f>
        <v>19.972899999999999</v>
      </c>
      <c r="I679" s="61">
        <f>19.9731 * CHOOSE(CONTROL!$C$22, $C$13, 100%, $E$13)</f>
        <v>19.973099999999999</v>
      </c>
      <c r="J679" s="61">
        <f>11.4339 * CHOOSE(CONTROL!$C$22, $C$13, 100%, $E$13)</f>
        <v>11.4339</v>
      </c>
      <c r="K679" s="61">
        <f>11.4341 * CHOOSE(CONTROL!$C$22, $C$13, 100%, $E$13)</f>
        <v>11.434100000000001</v>
      </c>
    </row>
    <row r="680" spans="1:11" ht="15">
      <c r="A680" s="13">
        <v>62549</v>
      </c>
      <c r="B680" s="60">
        <f>9.7076 * CHOOSE(CONTROL!$C$22, $C$13, 100%, $E$13)</f>
        <v>9.7075999999999993</v>
      </c>
      <c r="C680" s="60">
        <f>9.7076 * CHOOSE(CONTROL!$C$22, $C$13, 100%, $E$13)</f>
        <v>9.7075999999999993</v>
      </c>
      <c r="D680" s="60">
        <f>9.7253 * CHOOSE(CONTROL!$C$22, $C$13, 100%, $E$13)</f>
        <v>9.7253000000000007</v>
      </c>
      <c r="E680" s="61">
        <f>11.5864 * CHOOSE(CONTROL!$C$22, $C$13, 100%, $E$13)</f>
        <v>11.586399999999999</v>
      </c>
      <c r="F680" s="61">
        <f>11.5864 * CHOOSE(CONTROL!$C$22, $C$13, 100%, $E$13)</f>
        <v>11.586399999999999</v>
      </c>
      <c r="G680" s="61">
        <f>11.5866 * CHOOSE(CONTROL!$C$22, $C$13, 100%, $E$13)</f>
        <v>11.586600000000001</v>
      </c>
      <c r="H680" s="61">
        <f>20.0145* CHOOSE(CONTROL!$C$22, $C$13, 100%, $E$13)</f>
        <v>20.014500000000002</v>
      </c>
      <c r="I680" s="61">
        <f>20.0147 * CHOOSE(CONTROL!$C$22, $C$13, 100%, $E$13)</f>
        <v>20.014700000000001</v>
      </c>
      <c r="J680" s="61">
        <f>11.5864 * CHOOSE(CONTROL!$C$22, $C$13, 100%, $E$13)</f>
        <v>11.586399999999999</v>
      </c>
      <c r="K680" s="61">
        <f>11.5866 * CHOOSE(CONTROL!$C$22, $C$13, 100%, $E$13)</f>
        <v>11.586600000000001</v>
      </c>
    </row>
    <row r="681" spans="1:11" ht="15">
      <c r="A681" s="13">
        <v>62579</v>
      </c>
      <c r="B681" s="60">
        <f>9.7076 * CHOOSE(CONTROL!$C$22, $C$13, 100%, $E$13)</f>
        <v>9.7075999999999993</v>
      </c>
      <c r="C681" s="60">
        <f>9.7076 * CHOOSE(CONTROL!$C$22, $C$13, 100%, $E$13)</f>
        <v>9.7075999999999993</v>
      </c>
      <c r="D681" s="60">
        <f>9.7429 * CHOOSE(CONTROL!$C$22, $C$13, 100%, $E$13)</f>
        <v>9.7429000000000006</v>
      </c>
      <c r="E681" s="61">
        <f>11.6452 * CHOOSE(CONTROL!$C$22, $C$13, 100%, $E$13)</f>
        <v>11.645200000000001</v>
      </c>
      <c r="F681" s="61">
        <f>11.6452 * CHOOSE(CONTROL!$C$22, $C$13, 100%, $E$13)</f>
        <v>11.645200000000001</v>
      </c>
      <c r="G681" s="61">
        <f>11.6474 * CHOOSE(CONTROL!$C$22, $C$13, 100%, $E$13)</f>
        <v>11.647399999999999</v>
      </c>
      <c r="H681" s="61">
        <f>20.0562* CHOOSE(CONTROL!$C$22, $C$13, 100%, $E$13)</f>
        <v>20.0562</v>
      </c>
      <c r="I681" s="61">
        <f>20.0584 * CHOOSE(CONTROL!$C$22, $C$13, 100%, $E$13)</f>
        <v>20.058399999999999</v>
      </c>
      <c r="J681" s="61">
        <f>11.6452 * CHOOSE(CONTROL!$C$22, $C$13, 100%, $E$13)</f>
        <v>11.645200000000001</v>
      </c>
      <c r="K681" s="61">
        <f>11.6474 * CHOOSE(CONTROL!$C$22, $C$13, 100%, $E$13)</f>
        <v>11.647399999999999</v>
      </c>
    </row>
    <row r="682" spans="1:11" ht="15">
      <c r="A682" s="13">
        <v>62610</v>
      </c>
      <c r="B682" s="60">
        <f>9.7137 * CHOOSE(CONTROL!$C$22, $C$13, 100%, $E$13)</f>
        <v>9.7136999999999993</v>
      </c>
      <c r="C682" s="60">
        <f>9.7137 * CHOOSE(CONTROL!$C$22, $C$13, 100%, $E$13)</f>
        <v>9.7136999999999993</v>
      </c>
      <c r="D682" s="60">
        <f>9.749 * CHOOSE(CONTROL!$C$22, $C$13, 100%, $E$13)</f>
        <v>9.7490000000000006</v>
      </c>
      <c r="E682" s="61">
        <f>11.5907 * CHOOSE(CONTROL!$C$22, $C$13, 100%, $E$13)</f>
        <v>11.5907</v>
      </c>
      <c r="F682" s="61">
        <f>11.5907 * CHOOSE(CONTROL!$C$22, $C$13, 100%, $E$13)</f>
        <v>11.5907</v>
      </c>
      <c r="G682" s="61">
        <f>11.5928 * CHOOSE(CONTROL!$C$22, $C$13, 100%, $E$13)</f>
        <v>11.5928</v>
      </c>
      <c r="H682" s="61">
        <f>20.098* CHOOSE(CONTROL!$C$22, $C$13, 100%, $E$13)</f>
        <v>20.097999999999999</v>
      </c>
      <c r="I682" s="61">
        <f>20.1002 * CHOOSE(CONTROL!$C$22, $C$13, 100%, $E$13)</f>
        <v>20.100200000000001</v>
      </c>
      <c r="J682" s="61">
        <f>11.5907 * CHOOSE(CONTROL!$C$22, $C$13, 100%, $E$13)</f>
        <v>11.5907</v>
      </c>
      <c r="K682" s="61">
        <f>11.5928 * CHOOSE(CONTROL!$C$22, $C$13, 100%, $E$13)</f>
        <v>11.5928</v>
      </c>
    </row>
    <row r="683" spans="1:11" ht="15">
      <c r="A683" s="13">
        <v>62640</v>
      </c>
      <c r="B683" s="60">
        <f>9.8518 * CHOOSE(CONTROL!$C$22, $C$13, 100%, $E$13)</f>
        <v>9.8518000000000008</v>
      </c>
      <c r="C683" s="60">
        <f>9.8518 * CHOOSE(CONTROL!$C$22, $C$13, 100%, $E$13)</f>
        <v>9.8518000000000008</v>
      </c>
      <c r="D683" s="60">
        <f>9.8871 * CHOOSE(CONTROL!$C$22, $C$13, 100%, $E$13)</f>
        <v>9.8871000000000002</v>
      </c>
      <c r="E683" s="61">
        <f>11.8038 * CHOOSE(CONTROL!$C$22, $C$13, 100%, $E$13)</f>
        <v>11.803800000000001</v>
      </c>
      <c r="F683" s="61">
        <f>11.8038 * CHOOSE(CONTROL!$C$22, $C$13, 100%, $E$13)</f>
        <v>11.803800000000001</v>
      </c>
      <c r="G683" s="61">
        <f>11.806 * CHOOSE(CONTROL!$C$22, $C$13, 100%, $E$13)</f>
        <v>11.805999999999999</v>
      </c>
      <c r="H683" s="61">
        <f>20.1399* CHOOSE(CONTROL!$C$22, $C$13, 100%, $E$13)</f>
        <v>20.139900000000001</v>
      </c>
      <c r="I683" s="61">
        <f>20.1421 * CHOOSE(CONTROL!$C$22, $C$13, 100%, $E$13)</f>
        <v>20.142099999999999</v>
      </c>
      <c r="J683" s="61">
        <f>11.8038 * CHOOSE(CONTROL!$C$22, $C$13, 100%, $E$13)</f>
        <v>11.803800000000001</v>
      </c>
      <c r="K683" s="61">
        <f>11.806 * CHOOSE(CONTROL!$C$22, $C$13, 100%, $E$13)</f>
        <v>11.805999999999999</v>
      </c>
    </row>
    <row r="684" spans="1:11" ht="15">
      <c r="A684" s="13">
        <v>62671</v>
      </c>
      <c r="B684" s="60">
        <f>9.8585 * CHOOSE(CONTROL!$C$22, $C$13, 100%, $E$13)</f>
        <v>9.8584999999999994</v>
      </c>
      <c r="C684" s="60">
        <f>9.8585 * CHOOSE(CONTROL!$C$22, $C$13, 100%, $E$13)</f>
        <v>9.8584999999999994</v>
      </c>
      <c r="D684" s="60">
        <f>9.8938 * CHOOSE(CONTROL!$C$22, $C$13, 100%, $E$13)</f>
        <v>9.8938000000000006</v>
      </c>
      <c r="E684" s="61">
        <f>11.6321 * CHOOSE(CONTROL!$C$22, $C$13, 100%, $E$13)</f>
        <v>11.632099999999999</v>
      </c>
      <c r="F684" s="61">
        <f>11.6321 * CHOOSE(CONTROL!$C$22, $C$13, 100%, $E$13)</f>
        <v>11.632099999999999</v>
      </c>
      <c r="G684" s="61">
        <f>11.6343 * CHOOSE(CONTROL!$C$22, $C$13, 100%, $E$13)</f>
        <v>11.6343</v>
      </c>
      <c r="H684" s="61">
        <f>20.1818* CHOOSE(CONTROL!$C$22, $C$13, 100%, $E$13)</f>
        <v>20.181799999999999</v>
      </c>
      <c r="I684" s="61">
        <f>20.184 * CHOOSE(CONTROL!$C$22, $C$13, 100%, $E$13)</f>
        <v>20.184000000000001</v>
      </c>
      <c r="J684" s="61">
        <f>11.6321 * CHOOSE(CONTROL!$C$22, $C$13, 100%, $E$13)</f>
        <v>11.632099999999999</v>
      </c>
      <c r="K684" s="61">
        <f>11.6343 * CHOOSE(CONTROL!$C$22, $C$13, 100%, $E$13)</f>
        <v>11.6343</v>
      </c>
    </row>
    <row r="685" spans="1:11" ht="15">
      <c r="A685" s="13">
        <v>62702</v>
      </c>
      <c r="B685" s="60">
        <f>9.8555 * CHOOSE(CONTROL!$C$22, $C$13, 100%, $E$13)</f>
        <v>9.8554999999999993</v>
      </c>
      <c r="C685" s="60">
        <f>9.8555 * CHOOSE(CONTROL!$C$22, $C$13, 100%, $E$13)</f>
        <v>9.8554999999999993</v>
      </c>
      <c r="D685" s="60">
        <f>9.8908 * CHOOSE(CONTROL!$C$22, $C$13, 100%, $E$13)</f>
        <v>9.8908000000000005</v>
      </c>
      <c r="E685" s="61">
        <f>11.6104 * CHOOSE(CONTROL!$C$22, $C$13, 100%, $E$13)</f>
        <v>11.6104</v>
      </c>
      <c r="F685" s="61">
        <f>11.6104 * CHOOSE(CONTROL!$C$22, $C$13, 100%, $E$13)</f>
        <v>11.6104</v>
      </c>
      <c r="G685" s="61">
        <f>11.6126 * CHOOSE(CONTROL!$C$22, $C$13, 100%, $E$13)</f>
        <v>11.6126</v>
      </c>
      <c r="H685" s="61">
        <f>20.2239* CHOOSE(CONTROL!$C$22, $C$13, 100%, $E$13)</f>
        <v>20.2239</v>
      </c>
      <c r="I685" s="61">
        <f>20.2261 * CHOOSE(CONTROL!$C$22, $C$13, 100%, $E$13)</f>
        <v>20.226099999999999</v>
      </c>
      <c r="J685" s="61">
        <f>11.6104 * CHOOSE(CONTROL!$C$22, $C$13, 100%, $E$13)</f>
        <v>11.6104</v>
      </c>
      <c r="K685" s="61">
        <f>11.6126 * CHOOSE(CONTROL!$C$22, $C$13, 100%, $E$13)</f>
        <v>11.6126</v>
      </c>
    </row>
    <row r="686" spans="1:11" ht="15">
      <c r="A686" s="13">
        <v>62732</v>
      </c>
      <c r="B686" s="60">
        <f>9.8728 * CHOOSE(CONTROL!$C$22, $C$13, 100%, $E$13)</f>
        <v>9.8727999999999998</v>
      </c>
      <c r="C686" s="60">
        <f>9.8728 * CHOOSE(CONTROL!$C$22, $C$13, 100%, $E$13)</f>
        <v>9.8727999999999998</v>
      </c>
      <c r="D686" s="60">
        <f>9.8905 * CHOOSE(CONTROL!$C$22, $C$13, 100%, $E$13)</f>
        <v>9.8904999999999994</v>
      </c>
      <c r="E686" s="61">
        <f>11.6754 * CHOOSE(CONTROL!$C$22, $C$13, 100%, $E$13)</f>
        <v>11.6754</v>
      </c>
      <c r="F686" s="61">
        <f>11.6754 * CHOOSE(CONTROL!$C$22, $C$13, 100%, $E$13)</f>
        <v>11.6754</v>
      </c>
      <c r="G686" s="61">
        <f>11.6755 * CHOOSE(CONTROL!$C$22, $C$13, 100%, $E$13)</f>
        <v>11.6755</v>
      </c>
      <c r="H686" s="61">
        <f>20.266* CHOOSE(CONTROL!$C$22, $C$13, 100%, $E$13)</f>
        <v>20.265999999999998</v>
      </c>
      <c r="I686" s="61">
        <f>20.2662 * CHOOSE(CONTROL!$C$22, $C$13, 100%, $E$13)</f>
        <v>20.266200000000001</v>
      </c>
      <c r="J686" s="61">
        <f>11.6754 * CHOOSE(CONTROL!$C$22, $C$13, 100%, $E$13)</f>
        <v>11.6754</v>
      </c>
      <c r="K686" s="61">
        <f>11.6755 * CHOOSE(CONTROL!$C$22, $C$13, 100%, $E$13)</f>
        <v>11.6755</v>
      </c>
    </row>
    <row r="687" spans="1:11" ht="15">
      <c r="A687" s="13">
        <v>62763</v>
      </c>
      <c r="B687" s="60">
        <f>9.8758 * CHOOSE(CONTROL!$C$22, $C$13, 100%, $E$13)</f>
        <v>9.8757999999999999</v>
      </c>
      <c r="C687" s="60">
        <f>9.8758 * CHOOSE(CONTROL!$C$22, $C$13, 100%, $E$13)</f>
        <v>9.8757999999999999</v>
      </c>
      <c r="D687" s="60">
        <f>9.8935 * CHOOSE(CONTROL!$C$22, $C$13, 100%, $E$13)</f>
        <v>9.8934999999999995</v>
      </c>
      <c r="E687" s="61">
        <f>11.7167 * CHOOSE(CONTROL!$C$22, $C$13, 100%, $E$13)</f>
        <v>11.716699999999999</v>
      </c>
      <c r="F687" s="61">
        <f>11.7167 * CHOOSE(CONTROL!$C$22, $C$13, 100%, $E$13)</f>
        <v>11.716699999999999</v>
      </c>
      <c r="G687" s="61">
        <f>11.7168 * CHOOSE(CONTROL!$C$22, $C$13, 100%, $E$13)</f>
        <v>11.716799999999999</v>
      </c>
      <c r="H687" s="61">
        <f>20.3082* CHOOSE(CONTROL!$C$22, $C$13, 100%, $E$13)</f>
        <v>20.308199999999999</v>
      </c>
      <c r="I687" s="61">
        <f>20.3084 * CHOOSE(CONTROL!$C$22, $C$13, 100%, $E$13)</f>
        <v>20.308399999999999</v>
      </c>
      <c r="J687" s="61">
        <f>11.7167 * CHOOSE(CONTROL!$C$22, $C$13, 100%, $E$13)</f>
        <v>11.716699999999999</v>
      </c>
      <c r="K687" s="61">
        <f>11.7168 * CHOOSE(CONTROL!$C$22, $C$13, 100%, $E$13)</f>
        <v>11.716799999999999</v>
      </c>
    </row>
    <row r="688" spans="1:11" ht="15">
      <c r="A688" s="13">
        <v>62793</v>
      </c>
      <c r="B688" s="60">
        <f>9.8758 * CHOOSE(CONTROL!$C$22, $C$13, 100%, $E$13)</f>
        <v>9.8757999999999999</v>
      </c>
      <c r="C688" s="60">
        <f>9.8758 * CHOOSE(CONTROL!$C$22, $C$13, 100%, $E$13)</f>
        <v>9.8757999999999999</v>
      </c>
      <c r="D688" s="60">
        <f>9.8935 * CHOOSE(CONTROL!$C$22, $C$13, 100%, $E$13)</f>
        <v>9.8934999999999995</v>
      </c>
      <c r="E688" s="61">
        <f>11.6187 * CHOOSE(CONTROL!$C$22, $C$13, 100%, $E$13)</f>
        <v>11.6187</v>
      </c>
      <c r="F688" s="61">
        <f>11.6187 * CHOOSE(CONTROL!$C$22, $C$13, 100%, $E$13)</f>
        <v>11.6187</v>
      </c>
      <c r="G688" s="61">
        <f>11.6189 * CHOOSE(CONTROL!$C$22, $C$13, 100%, $E$13)</f>
        <v>11.6189</v>
      </c>
      <c r="H688" s="61">
        <f>20.3505* CHOOSE(CONTROL!$C$22, $C$13, 100%, $E$13)</f>
        <v>20.3505</v>
      </c>
      <c r="I688" s="61">
        <f>20.3507 * CHOOSE(CONTROL!$C$22, $C$13, 100%, $E$13)</f>
        <v>20.3507</v>
      </c>
      <c r="J688" s="61">
        <f>11.6187 * CHOOSE(CONTROL!$C$22, $C$13, 100%, $E$13)</f>
        <v>11.6187</v>
      </c>
      <c r="K688" s="61">
        <f>11.6189 * CHOOSE(CONTROL!$C$22, $C$13, 100%, $E$13)</f>
        <v>11.6189</v>
      </c>
    </row>
    <row r="689" spans="1:11" ht="15">
      <c r="A689" s="13">
        <v>62824</v>
      </c>
      <c r="B689" s="60">
        <f>9.907 * CHOOSE(CONTROL!$C$22, $C$13, 100%, $E$13)</f>
        <v>9.907</v>
      </c>
      <c r="C689" s="60">
        <f>9.907 * CHOOSE(CONTROL!$C$22, $C$13, 100%, $E$13)</f>
        <v>9.907</v>
      </c>
      <c r="D689" s="60">
        <f>9.9247 * CHOOSE(CONTROL!$C$22, $C$13, 100%, $E$13)</f>
        <v>9.9246999999999996</v>
      </c>
      <c r="E689" s="61">
        <f>11.7292 * CHOOSE(CONTROL!$C$22, $C$13, 100%, $E$13)</f>
        <v>11.729200000000001</v>
      </c>
      <c r="F689" s="61">
        <f>11.7292 * CHOOSE(CONTROL!$C$22, $C$13, 100%, $E$13)</f>
        <v>11.729200000000001</v>
      </c>
      <c r="G689" s="61">
        <f>11.7294 * CHOOSE(CONTROL!$C$22, $C$13, 100%, $E$13)</f>
        <v>11.7294</v>
      </c>
      <c r="H689" s="61">
        <f>20.2914* CHOOSE(CONTROL!$C$22, $C$13, 100%, $E$13)</f>
        <v>20.291399999999999</v>
      </c>
      <c r="I689" s="61">
        <f>20.2916 * CHOOSE(CONTROL!$C$22, $C$13, 100%, $E$13)</f>
        <v>20.291599999999999</v>
      </c>
      <c r="J689" s="61">
        <f>11.7292 * CHOOSE(CONTROL!$C$22, $C$13, 100%, $E$13)</f>
        <v>11.729200000000001</v>
      </c>
      <c r="K689" s="61">
        <f>11.7294 * CHOOSE(CONTROL!$C$22, $C$13, 100%, $E$13)</f>
        <v>11.7294</v>
      </c>
    </row>
    <row r="690" spans="1:11" ht="15">
      <c r="A690" s="13">
        <v>62855</v>
      </c>
      <c r="B690" s="60">
        <f>9.904 * CHOOSE(CONTROL!$C$22, $C$13, 100%, $E$13)</f>
        <v>9.9039999999999999</v>
      </c>
      <c r="C690" s="60">
        <f>9.904 * CHOOSE(CONTROL!$C$22, $C$13, 100%, $E$13)</f>
        <v>9.9039999999999999</v>
      </c>
      <c r="D690" s="60">
        <f>9.9216 * CHOOSE(CONTROL!$C$22, $C$13, 100%, $E$13)</f>
        <v>9.9215999999999998</v>
      </c>
      <c r="E690" s="61">
        <f>11.5375 * CHOOSE(CONTROL!$C$22, $C$13, 100%, $E$13)</f>
        <v>11.5375</v>
      </c>
      <c r="F690" s="61">
        <f>11.5375 * CHOOSE(CONTROL!$C$22, $C$13, 100%, $E$13)</f>
        <v>11.5375</v>
      </c>
      <c r="G690" s="61">
        <f>11.5377 * CHOOSE(CONTROL!$C$22, $C$13, 100%, $E$13)</f>
        <v>11.537699999999999</v>
      </c>
      <c r="H690" s="61">
        <f>20.3337* CHOOSE(CONTROL!$C$22, $C$13, 100%, $E$13)</f>
        <v>20.3337</v>
      </c>
      <c r="I690" s="61">
        <f>20.3339 * CHOOSE(CONTROL!$C$22, $C$13, 100%, $E$13)</f>
        <v>20.3339</v>
      </c>
      <c r="J690" s="61">
        <f>11.5375 * CHOOSE(CONTROL!$C$22, $C$13, 100%, $E$13)</f>
        <v>11.5375</v>
      </c>
      <c r="K690" s="61">
        <f>11.5377 * CHOOSE(CONTROL!$C$22, $C$13, 100%, $E$13)</f>
        <v>11.537699999999999</v>
      </c>
    </row>
    <row r="691" spans="1:11" ht="15">
      <c r="A691" s="13">
        <v>62884</v>
      </c>
      <c r="B691" s="60">
        <f>9.9009 * CHOOSE(CONTROL!$C$22, $C$13, 100%, $E$13)</f>
        <v>9.9009</v>
      </c>
      <c r="C691" s="60">
        <f>9.9009 * CHOOSE(CONTROL!$C$22, $C$13, 100%, $E$13)</f>
        <v>9.9009</v>
      </c>
      <c r="D691" s="60">
        <f>9.9186 * CHOOSE(CONTROL!$C$22, $C$13, 100%, $E$13)</f>
        <v>9.9185999999999996</v>
      </c>
      <c r="E691" s="61">
        <f>11.6848 * CHOOSE(CONTROL!$C$22, $C$13, 100%, $E$13)</f>
        <v>11.684799999999999</v>
      </c>
      <c r="F691" s="61">
        <f>11.6848 * CHOOSE(CONTROL!$C$22, $C$13, 100%, $E$13)</f>
        <v>11.684799999999999</v>
      </c>
      <c r="G691" s="61">
        <f>11.685 * CHOOSE(CONTROL!$C$22, $C$13, 100%, $E$13)</f>
        <v>11.685</v>
      </c>
      <c r="H691" s="61">
        <f>20.3761* CHOOSE(CONTROL!$C$22, $C$13, 100%, $E$13)</f>
        <v>20.376100000000001</v>
      </c>
      <c r="I691" s="61">
        <f>20.3762 * CHOOSE(CONTROL!$C$22, $C$13, 100%, $E$13)</f>
        <v>20.376200000000001</v>
      </c>
      <c r="J691" s="61">
        <f>11.6848 * CHOOSE(CONTROL!$C$22, $C$13, 100%, $E$13)</f>
        <v>11.684799999999999</v>
      </c>
      <c r="K691" s="61">
        <f>11.685 * CHOOSE(CONTROL!$C$22, $C$13, 100%, $E$13)</f>
        <v>11.685</v>
      </c>
    </row>
    <row r="692" spans="1:11" ht="15">
      <c r="A692" s="13">
        <v>62915</v>
      </c>
      <c r="B692" s="60">
        <f>9.9044 * CHOOSE(CONTROL!$C$22, $C$13, 100%, $E$13)</f>
        <v>9.9044000000000008</v>
      </c>
      <c r="C692" s="60">
        <f>9.9044 * CHOOSE(CONTROL!$C$22, $C$13, 100%, $E$13)</f>
        <v>9.9044000000000008</v>
      </c>
      <c r="D692" s="60">
        <f>9.9221 * CHOOSE(CONTROL!$C$22, $C$13, 100%, $E$13)</f>
        <v>9.9221000000000004</v>
      </c>
      <c r="E692" s="61">
        <f>11.8411 * CHOOSE(CONTROL!$C$22, $C$13, 100%, $E$13)</f>
        <v>11.841100000000001</v>
      </c>
      <c r="F692" s="61">
        <f>11.8411 * CHOOSE(CONTROL!$C$22, $C$13, 100%, $E$13)</f>
        <v>11.841100000000001</v>
      </c>
      <c r="G692" s="61">
        <f>11.8413 * CHOOSE(CONTROL!$C$22, $C$13, 100%, $E$13)</f>
        <v>11.8413</v>
      </c>
      <c r="H692" s="61">
        <f>20.4185* CHOOSE(CONTROL!$C$22, $C$13, 100%, $E$13)</f>
        <v>20.418500000000002</v>
      </c>
      <c r="I692" s="61">
        <f>20.4187 * CHOOSE(CONTROL!$C$22, $C$13, 100%, $E$13)</f>
        <v>20.418700000000001</v>
      </c>
      <c r="J692" s="61">
        <f>11.8411 * CHOOSE(CONTROL!$C$22, $C$13, 100%, $E$13)</f>
        <v>11.841100000000001</v>
      </c>
      <c r="K692" s="61">
        <f>11.8413 * CHOOSE(CONTROL!$C$22, $C$13, 100%, $E$13)</f>
        <v>11.8413</v>
      </c>
    </row>
    <row r="693" spans="1:11" ht="15">
      <c r="A693" s="13">
        <v>62945</v>
      </c>
      <c r="B693" s="60">
        <f>9.9044 * CHOOSE(CONTROL!$C$22, $C$13, 100%, $E$13)</f>
        <v>9.9044000000000008</v>
      </c>
      <c r="C693" s="60">
        <f>9.9044 * CHOOSE(CONTROL!$C$22, $C$13, 100%, $E$13)</f>
        <v>9.9044000000000008</v>
      </c>
      <c r="D693" s="60">
        <f>9.9397 * CHOOSE(CONTROL!$C$22, $C$13, 100%, $E$13)</f>
        <v>9.9397000000000002</v>
      </c>
      <c r="E693" s="61">
        <f>11.9013 * CHOOSE(CONTROL!$C$22, $C$13, 100%, $E$13)</f>
        <v>11.901300000000001</v>
      </c>
      <c r="F693" s="61">
        <f>11.9013 * CHOOSE(CONTROL!$C$22, $C$13, 100%, $E$13)</f>
        <v>11.901300000000001</v>
      </c>
      <c r="G693" s="61">
        <f>11.9035 * CHOOSE(CONTROL!$C$22, $C$13, 100%, $E$13)</f>
        <v>11.903499999999999</v>
      </c>
      <c r="H693" s="61">
        <f>20.461* CHOOSE(CONTROL!$C$22, $C$13, 100%, $E$13)</f>
        <v>20.460999999999999</v>
      </c>
      <c r="I693" s="61">
        <f>20.4632 * CHOOSE(CONTROL!$C$22, $C$13, 100%, $E$13)</f>
        <v>20.463200000000001</v>
      </c>
      <c r="J693" s="61">
        <f>11.9013 * CHOOSE(CONTROL!$C$22, $C$13, 100%, $E$13)</f>
        <v>11.901300000000001</v>
      </c>
      <c r="K693" s="61">
        <f>11.9035 * CHOOSE(CONTROL!$C$22, $C$13, 100%, $E$13)</f>
        <v>11.903499999999999</v>
      </c>
    </row>
    <row r="694" spans="1:11" ht="15">
      <c r="A694" s="13">
        <v>62976</v>
      </c>
      <c r="B694" s="60">
        <f>9.9105 * CHOOSE(CONTROL!$C$22, $C$13, 100%, $E$13)</f>
        <v>9.9105000000000008</v>
      </c>
      <c r="C694" s="60">
        <f>9.9105 * CHOOSE(CONTROL!$C$22, $C$13, 100%, $E$13)</f>
        <v>9.9105000000000008</v>
      </c>
      <c r="D694" s="60">
        <f>9.9458 * CHOOSE(CONTROL!$C$22, $C$13, 100%, $E$13)</f>
        <v>9.9458000000000002</v>
      </c>
      <c r="E694" s="61">
        <f>11.8453 * CHOOSE(CONTROL!$C$22, $C$13, 100%, $E$13)</f>
        <v>11.8453</v>
      </c>
      <c r="F694" s="61">
        <f>11.8453 * CHOOSE(CONTROL!$C$22, $C$13, 100%, $E$13)</f>
        <v>11.8453</v>
      </c>
      <c r="G694" s="61">
        <f>11.8475 * CHOOSE(CONTROL!$C$22, $C$13, 100%, $E$13)</f>
        <v>11.8475</v>
      </c>
      <c r="H694" s="61">
        <f>20.5037* CHOOSE(CONTROL!$C$22, $C$13, 100%, $E$13)</f>
        <v>20.503699999999998</v>
      </c>
      <c r="I694" s="61">
        <f>20.5059 * CHOOSE(CONTROL!$C$22, $C$13, 100%, $E$13)</f>
        <v>20.5059</v>
      </c>
      <c r="J694" s="61">
        <f>11.8453 * CHOOSE(CONTROL!$C$22, $C$13, 100%, $E$13)</f>
        <v>11.8453</v>
      </c>
      <c r="K694" s="61">
        <f>11.8475 * CHOOSE(CONTROL!$C$22, $C$13, 100%, $E$13)</f>
        <v>11.8475</v>
      </c>
    </row>
    <row r="695" spans="1:11" ht="15">
      <c r="A695" s="13">
        <v>63006</v>
      </c>
      <c r="B695" s="60">
        <f>10.0511 * CHOOSE(CONTROL!$C$22, $C$13, 100%, $E$13)</f>
        <v>10.0511</v>
      </c>
      <c r="C695" s="60">
        <f>10.0511 * CHOOSE(CONTROL!$C$22, $C$13, 100%, $E$13)</f>
        <v>10.0511</v>
      </c>
      <c r="D695" s="60">
        <f>10.0865 * CHOOSE(CONTROL!$C$22, $C$13, 100%, $E$13)</f>
        <v>10.086499999999999</v>
      </c>
      <c r="E695" s="61">
        <f>12.0629 * CHOOSE(CONTROL!$C$22, $C$13, 100%, $E$13)</f>
        <v>12.062900000000001</v>
      </c>
      <c r="F695" s="61">
        <f>12.0629 * CHOOSE(CONTROL!$C$22, $C$13, 100%, $E$13)</f>
        <v>12.062900000000001</v>
      </c>
      <c r="G695" s="61">
        <f>12.0651 * CHOOSE(CONTROL!$C$22, $C$13, 100%, $E$13)</f>
        <v>12.065099999999999</v>
      </c>
      <c r="H695" s="61">
        <f>20.5464* CHOOSE(CONTROL!$C$22, $C$13, 100%, $E$13)</f>
        <v>20.546399999999998</v>
      </c>
      <c r="I695" s="61">
        <f>20.5486 * CHOOSE(CONTROL!$C$22, $C$13, 100%, $E$13)</f>
        <v>20.5486</v>
      </c>
      <c r="J695" s="61">
        <f>12.0629 * CHOOSE(CONTROL!$C$22, $C$13, 100%, $E$13)</f>
        <v>12.062900000000001</v>
      </c>
      <c r="K695" s="61">
        <f>12.0651 * CHOOSE(CONTROL!$C$22, $C$13, 100%, $E$13)</f>
        <v>12.065099999999999</v>
      </c>
    </row>
    <row r="696" spans="1:11" ht="15">
      <c r="A696" s="13">
        <v>63037</v>
      </c>
      <c r="B696" s="60">
        <f>10.0578 * CHOOSE(CONTROL!$C$22, $C$13, 100%, $E$13)</f>
        <v>10.0578</v>
      </c>
      <c r="C696" s="60">
        <f>10.0578 * CHOOSE(CONTROL!$C$22, $C$13, 100%, $E$13)</f>
        <v>10.0578</v>
      </c>
      <c r="D696" s="60">
        <f>10.0931 * CHOOSE(CONTROL!$C$22, $C$13, 100%, $E$13)</f>
        <v>10.0931</v>
      </c>
      <c r="E696" s="61">
        <f>11.887 * CHOOSE(CONTROL!$C$22, $C$13, 100%, $E$13)</f>
        <v>11.887</v>
      </c>
      <c r="F696" s="61">
        <f>11.887 * CHOOSE(CONTROL!$C$22, $C$13, 100%, $E$13)</f>
        <v>11.887</v>
      </c>
      <c r="G696" s="61">
        <f>11.8891 * CHOOSE(CONTROL!$C$22, $C$13, 100%, $E$13)</f>
        <v>11.889099999999999</v>
      </c>
      <c r="H696" s="61">
        <f>20.5892* CHOOSE(CONTROL!$C$22, $C$13, 100%, $E$13)</f>
        <v>20.589200000000002</v>
      </c>
      <c r="I696" s="61">
        <f>20.5914 * CHOOSE(CONTROL!$C$22, $C$13, 100%, $E$13)</f>
        <v>20.5914</v>
      </c>
      <c r="J696" s="61">
        <f>11.887 * CHOOSE(CONTROL!$C$22, $C$13, 100%, $E$13)</f>
        <v>11.887</v>
      </c>
      <c r="K696" s="61">
        <f>11.8891 * CHOOSE(CONTROL!$C$22, $C$13, 100%, $E$13)</f>
        <v>11.889099999999999</v>
      </c>
    </row>
    <row r="697" spans="1:11" ht="15">
      <c r="A697" s="13">
        <v>63068</v>
      </c>
      <c r="B697" s="60">
        <f>10.0548 * CHOOSE(CONTROL!$C$22, $C$13, 100%, $E$13)</f>
        <v>10.0548</v>
      </c>
      <c r="C697" s="60">
        <f>10.0548 * CHOOSE(CONTROL!$C$22, $C$13, 100%, $E$13)</f>
        <v>10.0548</v>
      </c>
      <c r="D697" s="60">
        <f>10.0901 * CHOOSE(CONTROL!$C$22, $C$13, 100%, $E$13)</f>
        <v>10.0901</v>
      </c>
      <c r="E697" s="61">
        <f>11.8648 * CHOOSE(CONTROL!$C$22, $C$13, 100%, $E$13)</f>
        <v>11.864800000000001</v>
      </c>
      <c r="F697" s="61">
        <f>11.8648 * CHOOSE(CONTROL!$C$22, $C$13, 100%, $E$13)</f>
        <v>11.864800000000001</v>
      </c>
      <c r="G697" s="61">
        <f>11.867 * CHOOSE(CONTROL!$C$22, $C$13, 100%, $E$13)</f>
        <v>11.867000000000001</v>
      </c>
      <c r="H697" s="61">
        <f>20.6321* CHOOSE(CONTROL!$C$22, $C$13, 100%, $E$13)</f>
        <v>20.632100000000001</v>
      </c>
      <c r="I697" s="61">
        <f>20.6343 * CHOOSE(CONTROL!$C$22, $C$13, 100%, $E$13)</f>
        <v>20.6343</v>
      </c>
      <c r="J697" s="61">
        <f>11.8648 * CHOOSE(CONTROL!$C$22, $C$13, 100%, $E$13)</f>
        <v>11.864800000000001</v>
      </c>
      <c r="K697" s="61">
        <f>11.867 * CHOOSE(CONTROL!$C$22, $C$13, 100%, $E$13)</f>
        <v>11.867000000000001</v>
      </c>
    </row>
    <row r="698" spans="1:11" ht="15">
      <c r="A698" s="13">
        <v>63098</v>
      </c>
      <c r="B698" s="60">
        <f>10.0729 * CHOOSE(CONTROL!$C$22, $C$13, 100%, $E$13)</f>
        <v>10.072900000000001</v>
      </c>
      <c r="C698" s="60">
        <f>10.0729 * CHOOSE(CONTROL!$C$22, $C$13, 100%, $E$13)</f>
        <v>10.072900000000001</v>
      </c>
      <c r="D698" s="60">
        <f>10.0905 * CHOOSE(CONTROL!$C$22, $C$13, 100%, $E$13)</f>
        <v>10.0905</v>
      </c>
      <c r="E698" s="61">
        <f>11.9316 * CHOOSE(CONTROL!$C$22, $C$13, 100%, $E$13)</f>
        <v>11.9316</v>
      </c>
      <c r="F698" s="61">
        <f>11.9316 * CHOOSE(CONTROL!$C$22, $C$13, 100%, $E$13)</f>
        <v>11.9316</v>
      </c>
      <c r="G698" s="61">
        <f>11.9318 * CHOOSE(CONTROL!$C$22, $C$13, 100%, $E$13)</f>
        <v>11.931800000000001</v>
      </c>
      <c r="H698" s="61">
        <f>20.6751* CHOOSE(CONTROL!$C$22, $C$13, 100%, $E$13)</f>
        <v>20.6751</v>
      </c>
      <c r="I698" s="61">
        <f>20.6752 * CHOOSE(CONTROL!$C$22, $C$13, 100%, $E$13)</f>
        <v>20.6752</v>
      </c>
      <c r="J698" s="61">
        <f>11.9316 * CHOOSE(CONTROL!$C$22, $C$13, 100%, $E$13)</f>
        <v>11.9316</v>
      </c>
      <c r="K698" s="61">
        <f>11.9318 * CHOOSE(CONTROL!$C$22, $C$13, 100%, $E$13)</f>
        <v>11.931800000000001</v>
      </c>
    </row>
    <row r="699" spans="1:11" ht="15">
      <c r="A699" s="13">
        <v>63129</v>
      </c>
      <c r="B699" s="60">
        <f>10.0759 * CHOOSE(CONTROL!$C$22, $C$13, 100%, $E$13)</f>
        <v>10.075900000000001</v>
      </c>
      <c r="C699" s="60">
        <f>10.0759 * CHOOSE(CONTROL!$C$22, $C$13, 100%, $E$13)</f>
        <v>10.075900000000001</v>
      </c>
      <c r="D699" s="60">
        <f>10.0936 * CHOOSE(CONTROL!$C$22, $C$13, 100%, $E$13)</f>
        <v>10.0936</v>
      </c>
      <c r="E699" s="61">
        <f>11.9739 * CHOOSE(CONTROL!$C$22, $C$13, 100%, $E$13)</f>
        <v>11.9739</v>
      </c>
      <c r="F699" s="61">
        <f>11.9739 * CHOOSE(CONTROL!$C$22, $C$13, 100%, $E$13)</f>
        <v>11.9739</v>
      </c>
      <c r="G699" s="61">
        <f>11.974 * CHOOSE(CONTROL!$C$22, $C$13, 100%, $E$13)</f>
        <v>11.974</v>
      </c>
      <c r="H699" s="61">
        <f>20.7181* CHOOSE(CONTROL!$C$22, $C$13, 100%, $E$13)</f>
        <v>20.7181</v>
      </c>
      <c r="I699" s="61">
        <f>20.7183 * CHOOSE(CONTROL!$C$22, $C$13, 100%, $E$13)</f>
        <v>20.718299999999999</v>
      </c>
      <c r="J699" s="61">
        <f>11.9739 * CHOOSE(CONTROL!$C$22, $C$13, 100%, $E$13)</f>
        <v>11.9739</v>
      </c>
      <c r="K699" s="61">
        <f>11.974 * CHOOSE(CONTROL!$C$22, $C$13, 100%, $E$13)</f>
        <v>11.974</v>
      </c>
    </row>
    <row r="700" spans="1:11" ht="15">
      <c r="A700" s="13">
        <v>63159</v>
      </c>
      <c r="B700" s="60">
        <f>10.0759 * CHOOSE(CONTROL!$C$22, $C$13, 100%, $E$13)</f>
        <v>10.075900000000001</v>
      </c>
      <c r="C700" s="60">
        <f>10.0759 * CHOOSE(CONTROL!$C$22, $C$13, 100%, $E$13)</f>
        <v>10.075900000000001</v>
      </c>
      <c r="D700" s="60">
        <f>10.0936 * CHOOSE(CONTROL!$C$22, $C$13, 100%, $E$13)</f>
        <v>10.0936</v>
      </c>
      <c r="E700" s="61">
        <f>11.8735 * CHOOSE(CONTROL!$C$22, $C$13, 100%, $E$13)</f>
        <v>11.8735</v>
      </c>
      <c r="F700" s="61">
        <f>11.8735 * CHOOSE(CONTROL!$C$22, $C$13, 100%, $E$13)</f>
        <v>11.8735</v>
      </c>
      <c r="G700" s="61">
        <f>11.8737 * CHOOSE(CONTROL!$C$22, $C$13, 100%, $E$13)</f>
        <v>11.873699999999999</v>
      </c>
      <c r="H700" s="61">
        <f>20.7613* CHOOSE(CONTROL!$C$22, $C$13, 100%, $E$13)</f>
        <v>20.761299999999999</v>
      </c>
      <c r="I700" s="61">
        <f>20.7615 * CHOOSE(CONTROL!$C$22, $C$13, 100%, $E$13)</f>
        <v>20.761500000000002</v>
      </c>
      <c r="J700" s="61">
        <f>11.8735 * CHOOSE(CONTROL!$C$22, $C$13, 100%, $E$13)</f>
        <v>11.8735</v>
      </c>
      <c r="K700" s="61">
        <f>11.8737 * CHOOSE(CONTROL!$C$22, $C$13, 100%, $E$13)</f>
        <v>11.873699999999999</v>
      </c>
    </row>
    <row r="701" spans="1:11" ht="15">
      <c r="A701" s="13">
        <v>63190</v>
      </c>
      <c r="B701" s="60">
        <f>10.1036 * CHOOSE(CONTROL!$C$22, $C$13, 100%, $E$13)</f>
        <v>10.1036</v>
      </c>
      <c r="C701" s="60">
        <f>10.1036 * CHOOSE(CONTROL!$C$22, $C$13, 100%, $E$13)</f>
        <v>10.1036</v>
      </c>
      <c r="D701" s="60">
        <f>10.1213 * CHOOSE(CONTROL!$C$22, $C$13, 100%, $E$13)</f>
        <v>10.1213</v>
      </c>
      <c r="E701" s="61">
        <f>11.981 * CHOOSE(CONTROL!$C$22, $C$13, 100%, $E$13)</f>
        <v>11.981</v>
      </c>
      <c r="F701" s="61">
        <f>11.981 * CHOOSE(CONTROL!$C$22, $C$13, 100%, $E$13)</f>
        <v>11.981</v>
      </c>
      <c r="G701" s="61">
        <f>11.9812 * CHOOSE(CONTROL!$C$22, $C$13, 100%, $E$13)</f>
        <v>11.981199999999999</v>
      </c>
      <c r="H701" s="61">
        <f>20.6929* CHOOSE(CONTROL!$C$22, $C$13, 100%, $E$13)</f>
        <v>20.692900000000002</v>
      </c>
      <c r="I701" s="61">
        <f>20.6931 * CHOOSE(CONTROL!$C$22, $C$13, 100%, $E$13)</f>
        <v>20.693100000000001</v>
      </c>
      <c r="J701" s="61">
        <f>11.981 * CHOOSE(CONTROL!$C$22, $C$13, 100%, $E$13)</f>
        <v>11.981</v>
      </c>
      <c r="K701" s="61">
        <f>11.9812 * CHOOSE(CONTROL!$C$22, $C$13, 100%, $E$13)</f>
        <v>11.981199999999999</v>
      </c>
    </row>
    <row r="702" spans="1:11" ht="15">
      <c r="A702" s="13">
        <v>63221</v>
      </c>
      <c r="B702" s="60">
        <f>10.1006 * CHOOSE(CONTROL!$C$22, $C$13, 100%, $E$13)</f>
        <v>10.1006</v>
      </c>
      <c r="C702" s="60">
        <f>10.1006 * CHOOSE(CONTROL!$C$22, $C$13, 100%, $E$13)</f>
        <v>10.1006</v>
      </c>
      <c r="D702" s="60">
        <f>10.1182 * CHOOSE(CONTROL!$C$22, $C$13, 100%, $E$13)</f>
        <v>10.1182</v>
      </c>
      <c r="E702" s="61">
        <f>11.7849 * CHOOSE(CONTROL!$C$22, $C$13, 100%, $E$13)</f>
        <v>11.7849</v>
      </c>
      <c r="F702" s="61">
        <f>11.7849 * CHOOSE(CONTROL!$C$22, $C$13, 100%, $E$13)</f>
        <v>11.7849</v>
      </c>
      <c r="G702" s="61">
        <f>11.785 * CHOOSE(CONTROL!$C$22, $C$13, 100%, $E$13)</f>
        <v>11.785</v>
      </c>
      <c r="H702" s="61">
        <f>20.736* CHOOSE(CONTROL!$C$22, $C$13, 100%, $E$13)</f>
        <v>20.736000000000001</v>
      </c>
      <c r="I702" s="61">
        <f>20.7362 * CHOOSE(CONTROL!$C$22, $C$13, 100%, $E$13)</f>
        <v>20.7362</v>
      </c>
      <c r="J702" s="61">
        <f>11.7849 * CHOOSE(CONTROL!$C$22, $C$13, 100%, $E$13)</f>
        <v>11.7849</v>
      </c>
      <c r="K702" s="61">
        <f>11.785 * CHOOSE(CONTROL!$C$22, $C$13, 100%, $E$13)</f>
        <v>11.785</v>
      </c>
    </row>
    <row r="703" spans="1:11" ht="15">
      <c r="A703" s="13">
        <v>63249</v>
      </c>
      <c r="B703" s="60">
        <f>10.0976 * CHOOSE(CONTROL!$C$22, $C$13, 100%, $E$13)</f>
        <v>10.0976</v>
      </c>
      <c r="C703" s="60">
        <f>10.0976 * CHOOSE(CONTROL!$C$22, $C$13, 100%, $E$13)</f>
        <v>10.0976</v>
      </c>
      <c r="D703" s="60">
        <f>10.1152 * CHOOSE(CONTROL!$C$22, $C$13, 100%, $E$13)</f>
        <v>10.1152</v>
      </c>
      <c r="E703" s="61">
        <f>11.9357 * CHOOSE(CONTROL!$C$22, $C$13, 100%, $E$13)</f>
        <v>11.935700000000001</v>
      </c>
      <c r="F703" s="61">
        <f>11.9357 * CHOOSE(CONTROL!$C$22, $C$13, 100%, $E$13)</f>
        <v>11.935700000000001</v>
      </c>
      <c r="G703" s="61">
        <f>11.9359 * CHOOSE(CONTROL!$C$22, $C$13, 100%, $E$13)</f>
        <v>11.9359</v>
      </c>
      <c r="H703" s="61">
        <f>20.7792* CHOOSE(CONTROL!$C$22, $C$13, 100%, $E$13)</f>
        <v>20.779199999999999</v>
      </c>
      <c r="I703" s="61">
        <f>20.7794 * CHOOSE(CONTROL!$C$22, $C$13, 100%, $E$13)</f>
        <v>20.779399999999999</v>
      </c>
      <c r="J703" s="61">
        <f>11.9357 * CHOOSE(CONTROL!$C$22, $C$13, 100%, $E$13)</f>
        <v>11.935700000000001</v>
      </c>
      <c r="K703" s="61">
        <f>11.9359 * CHOOSE(CONTROL!$C$22, $C$13, 100%, $E$13)</f>
        <v>11.9359</v>
      </c>
    </row>
    <row r="704" spans="1:11" ht="15">
      <c r="A704" s="13">
        <v>63280</v>
      </c>
      <c r="B704" s="60">
        <f>10.1012 * CHOOSE(CONTROL!$C$22, $C$13, 100%, $E$13)</f>
        <v>10.1012</v>
      </c>
      <c r="C704" s="60">
        <f>10.1012 * CHOOSE(CONTROL!$C$22, $C$13, 100%, $E$13)</f>
        <v>10.1012</v>
      </c>
      <c r="D704" s="60">
        <f>10.1189 * CHOOSE(CONTROL!$C$22, $C$13, 100%, $E$13)</f>
        <v>10.1189</v>
      </c>
      <c r="E704" s="61">
        <f>12.0958 * CHOOSE(CONTROL!$C$22, $C$13, 100%, $E$13)</f>
        <v>12.095800000000001</v>
      </c>
      <c r="F704" s="61">
        <f>12.0958 * CHOOSE(CONTROL!$C$22, $C$13, 100%, $E$13)</f>
        <v>12.095800000000001</v>
      </c>
      <c r="G704" s="61">
        <f>12.0959 * CHOOSE(CONTROL!$C$22, $C$13, 100%, $E$13)</f>
        <v>12.0959</v>
      </c>
      <c r="H704" s="61">
        <f>20.8225* CHOOSE(CONTROL!$C$22, $C$13, 100%, $E$13)</f>
        <v>20.822500000000002</v>
      </c>
      <c r="I704" s="61">
        <f>20.8227 * CHOOSE(CONTROL!$C$22, $C$13, 100%, $E$13)</f>
        <v>20.822700000000001</v>
      </c>
      <c r="J704" s="61">
        <f>12.0958 * CHOOSE(CONTROL!$C$22, $C$13, 100%, $E$13)</f>
        <v>12.095800000000001</v>
      </c>
      <c r="K704" s="61">
        <f>12.0959 * CHOOSE(CONTROL!$C$22, $C$13, 100%, $E$13)</f>
        <v>12.0959</v>
      </c>
    </row>
    <row r="705" spans="1:11" ht="15">
      <c r="A705" s="13">
        <v>63310</v>
      </c>
      <c r="B705" s="60">
        <f>10.1012 * CHOOSE(CONTROL!$C$22, $C$13, 100%, $E$13)</f>
        <v>10.1012</v>
      </c>
      <c r="C705" s="60">
        <f>10.1012 * CHOOSE(CONTROL!$C$22, $C$13, 100%, $E$13)</f>
        <v>10.1012</v>
      </c>
      <c r="D705" s="60">
        <f>10.1365 * CHOOSE(CONTROL!$C$22, $C$13, 100%, $E$13)</f>
        <v>10.1365</v>
      </c>
      <c r="E705" s="61">
        <f>12.1574 * CHOOSE(CONTROL!$C$22, $C$13, 100%, $E$13)</f>
        <v>12.157400000000001</v>
      </c>
      <c r="F705" s="61">
        <f>12.1574 * CHOOSE(CONTROL!$C$22, $C$13, 100%, $E$13)</f>
        <v>12.157400000000001</v>
      </c>
      <c r="G705" s="61">
        <f>12.1596 * CHOOSE(CONTROL!$C$22, $C$13, 100%, $E$13)</f>
        <v>12.159599999999999</v>
      </c>
      <c r="H705" s="61">
        <f>20.8659* CHOOSE(CONTROL!$C$22, $C$13, 100%, $E$13)</f>
        <v>20.8659</v>
      </c>
      <c r="I705" s="61">
        <f>20.868 * CHOOSE(CONTROL!$C$22, $C$13, 100%, $E$13)</f>
        <v>20.867999999999999</v>
      </c>
      <c r="J705" s="61">
        <f>12.1574 * CHOOSE(CONTROL!$C$22, $C$13, 100%, $E$13)</f>
        <v>12.157400000000001</v>
      </c>
      <c r="K705" s="61">
        <f>12.1596 * CHOOSE(CONTROL!$C$22, $C$13, 100%, $E$13)</f>
        <v>12.159599999999999</v>
      </c>
    </row>
    <row r="706" spans="1:11" ht="15">
      <c r="A706" s="13">
        <v>63341</v>
      </c>
      <c r="B706" s="60">
        <f>10.1073 * CHOOSE(CONTROL!$C$22, $C$13, 100%, $E$13)</f>
        <v>10.1073</v>
      </c>
      <c r="C706" s="60">
        <f>10.1073 * CHOOSE(CONTROL!$C$22, $C$13, 100%, $E$13)</f>
        <v>10.1073</v>
      </c>
      <c r="D706" s="60">
        <f>10.1426 * CHOOSE(CONTROL!$C$22, $C$13, 100%, $E$13)</f>
        <v>10.1426</v>
      </c>
      <c r="E706" s="61">
        <f>12.1 * CHOOSE(CONTROL!$C$22, $C$13, 100%, $E$13)</f>
        <v>12.1</v>
      </c>
      <c r="F706" s="61">
        <f>12.1 * CHOOSE(CONTROL!$C$22, $C$13, 100%, $E$13)</f>
        <v>12.1</v>
      </c>
      <c r="G706" s="61">
        <f>12.1022 * CHOOSE(CONTROL!$C$22, $C$13, 100%, $E$13)</f>
        <v>12.1022</v>
      </c>
      <c r="H706" s="61">
        <f>20.9093* CHOOSE(CONTROL!$C$22, $C$13, 100%, $E$13)</f>
        <v>20.909300000000002</v>
      </c>
      <c r="I706" s="61">
        <f>20.9115 * CHOOSE(CONTROL!$C$22, $C$13, 100%, $E$13)</f>
        <v>20.9115</v>
      </c>
      <c r="J706" s="61">
        <f>12.1 * CHOOSE(CONTROL!$C$22, $C$13, 100%, $E$13)</f>
        <v>12.1</v>
      </c>
      <c r="K706" s="61">
        <f>12.1022 * CHOOSE(CONTROL!$C$22, $C$13, 100%, $E$13)</f>
        <v>12.1022</v>
      </c>
    </row>
    <row r="707" spans="1:11" ht="15">
      <c r="A707" s="13">
        <v>63371</v>
      </c>
      <c r="B707" s="60">
        <f>10.2505 * CHOOSE(CONTROL!$C$22, $C$13, 100%, $E$13)</f>
        <v>10.250500000000001</v>
      </c>
      <c r="C707" s="60">
        <f>10.2505 * CHOOSE(CONTROL!$C$22, $C$13, 100%, $E$13)</f>
        <v>10.250500000000001</v>
      </c>
      <c r="D707" s="60">
        <f>10.2858 * CHOOSE(CONTROL!$C$22, $C$13, 100%, $E$13)</f>
        <v>10.2858</v>
      </c>
      <c r="E707" s="61">
        <f>12.322 * CHOOSE(CONTROL!$C$22, $C$13, 100%, $E$13)</f>
        <v>12.321999999999999</v>
      </c>
      <c r="F707" s="61">
        <f>12.322 * CHOOSE(CONTROL!$C$22, $C$13, 100%, $E$13)</f>
        <v>12.321999999999999</v>
      </c>
      <c r="G707" s="61">
        <f>12.3242 * CHOOSE(CONTROL!$C$22, $C$13, 100%, $E$13)</f>
        <v>12.324199999999999</v>
      </c>
      <c r="H707" s="61">
        <f>20.9529* CHOOSE(CONTROL!$C$22, $C$13, 100%, $E$13)</f>
        <v>20.9529</v>
      </c>
      <c r="I707" s="61">
        <f>20.9551 * CHOOSE(CONTROL!$C$22, $C$13, 100%, $E$13)</f>
        <v>20.955100000000002</v>
      </c>
      <c r="J707" s="61">
        <f>12.322 * CHOOSE(CONTROL!$C$22, $C$13, 100%, $E$13)</f>
        <v>12.321999999999999</v>
      </c>
      <c r="K707" s="61">
        <f>12.3242 * CHOOSE(CONTROL!$C$22, $C$13, 100%, $E$13)</f>
        <v>12.324199999999999</v>
      </c>
    </row>
    <row r="708" spans="1:11" ht="15">
      <c r="A708" s="13">
        <v>63402</v>
      </c>
      <c r="B708" s="60">
        <f>10.2571 * CHOOSE(CONTROL!$C$22, $C$13, 100%, $E$13)</f>
        <v>10.257099999999999</v>
      </c>
      <c r="C708" s="60">
        <f>10.2571 * CHOOSE(CONTROL!$C$22, $C$13, 100%, $E$13)</f>
        <v>10.257099999999999</v>
      </c>
      <c r="D708" s="60">
        <f>10.2925 * CHOOSE(CONTROL!$C$22, $C$13, 100%, $E$13)</f>
        <v>10.2925</v>
      </c>
      <c r="E708" s="61">
        <f>12.1418 * CHOOSE(CONTROL!$C$22, $C$13, 100%, $E$13)</f>
        <v>12.1418</v>
      </c>
      <c r="F708" s="61">
        <f>12.1418 * CHOOSE(CONTROL!$C$22, $C$13, 100%, $E$13)</f>
        <v>12.1418</v>
      </c>
      <c r="G708" s="61">
        <f>12.144 * CHOOSE(CONTROL!$C$22, $C$13, 100%, $E$13)</f>
        <v>12.144</v>
      </c>
      <c r="H708" s="61">
        <f>20.9965* CHOOSE(CONTROL!$C$22, $C$13, 100%, $E$13)</f>
        <v>20.996500000000001</v>
      </c>
      <c r="I708" s="61">
        <f>20.9987 * CHOOSE(CONTROL!$C$22, $C$13, 100%, $E$13)</f>
        <v>20.998699999999999</v>
      </c>
      <c r="J708" s="61">
        <f>12.1418 * CHOOSE(CONTROL!$C$22, $C$13, 100%, $E$13)</f>
        <v>12.1418</v>
      </c>
      <c r="K708" s="61">
        <f>12.144 * CHOOSE(CONTROL!$C$22, $C$13, 100%, $E$13)</f>
        <v>12.144</v>
      </c>
    </row>
    <row r="709" spans="1:11" ht="15">
      <c r="A709" s="13">
        <v>63433</v>
      </c>
      <c r="B709" s="60">
        <f>10.2541 * CHOOSE(CONTROL!$C$22, $C$13, 100%, $E$13)</f>
        <v>10.254099999999999</v>
      </c>
      <c r="C709" s="60">
        <f>10.2541 * CHOOSE(CONTROL!$C$22, $C$13, 100%, $E$13)</f>
        <v>10.254099999999999</v>
      </c>
      <c r="D709" s="60">
        <f>10.2894 * CHOOSE(CONTROL!$C$22, $C$13, 100%, $E$13)</f>
        <v>10.289400000000001</v>
      </c>
      <c r="E709" s="61">
        <f>12.1192 * CHOOSE(CONTROL!$C$22, $C$13, 100%, $E$13)</f>
        <v>12.119199999999999</v>
      </c>
      <c r="F709" s="61">
        <f>12.1192 * CHOOSE(CONTROL!$C$22, $C$13, 100%, $E$13)</f>
        <v>12.119199999999999</v>
      </c>
      <c r="G709" s="61">
        <f>12.1213 * CHOOSE(CONTROL!$C$22, $C$13, 100%, $E$13)</f>
        <v>12.1213</v>
      </c>
      <c r="H709" s="61">
        <f>21.0403* CHOOSE(CONTROL!$C$22, $C$13, 100%, $E$13)</f>
        <v>21.040299999999998</v>
      </c>
      <c r="I709" s="61">
        <f>21.0425 * CHOOSE(CONTROL!$C$22, $C$13, 100%, $E$13)</f>
        <v>21.0425</v>
      </c>
      <c r="J709" s="61">
        <f>12.1192 * CHOOSE(CONTROL!$C$22, $C$13, 100%, $E$13)</f>
        <v>12.119199999999999</v>
      </c>
      <c r="K709" s="61">
        <f>12.1213 * CHOOSE(CONTROL!$C$22, $C$13, 100%, $E$13)</f>
        <v>12.1213</v>
      </c>
    </row>
    <row r="710" spans="1:11" ht="15">
      <c r="A710" s="13">
        <v>63463</v>
      </c>
      <c r="B710" s="60">
        <f>10.2729 * CHOOSE(CONTROL!$C$22, $C$13, 100%, $E$13)</f>
        <v>10.2729</v>
      </c>
      <c r="C710" s="60">
        <f>10.2729 * CHOOSE(CONTROL!$C$22, $C$13, 100%, $E$13)</f>
        <v>10.2729</v>
      </c>
      <c r="D710" s="60">
        <f>10.2906 * CHOOSE(CONTROL!$C$22, $C$13, 100%, $E$13)</f>
        <v>10.2906</v>
      </c>
      <c r="E710" s="61">
        <f>12.1879 * CHOOSE(CONTROL!$C$22, $C$13, 100%, $E$13)</f>
        <v>12.187900000000001</v>
      </c>
      <c r="F710" s="61">
        <f>12.1879 * CHOOSE(CONTROL!$C$22, $C$13, 100%, $E$13)</f>
        <v>12.187900000000001</v>
      </c>
      <c r="G710" s="61">
        <f>12.1881 * CHOOSE(CONTROL!$C$22, $C$13, 100%, $E$13)</f>
        <v>12.1881</v>
      </c>
      <c r="H710" s="61">
        <f>21.0841* CHOOSE(CONTROL!$C$22, $C$13, 100%, $E$13)</f>
        <v>21.084099999999999</v>
      </c>
      <c r="I710" s="61">
        <f>21.0843 * CHOOSE(CONTROL!$C$22, $C$13, 100%, $E$13)</f>
        <v>21.084299999999999</v>
      </c>
      <c r="J710" s="61">
        <f>12.1879 * CHOOSE(CONTROL!$C$22, $C$13, 100%, $E$13)</f>
        <v>12.187900000000001</v>
      </c>
      <c r="K710" s="61">
        <f>12.1881 * CHOOSE(CONTROL!$C$22, $C$13, 100%, $E$13)</f>
        <v>12.1881</v>
      </c>
    </row>
    <row r="711" spans="1:11" ht="15">
      <c r="A711" s="13">
        <v>63494</v>
      </c>
      <c r="B711" s="60">
        <f>10.276 * CHOOSE(CONTROL!$C$22, $C$13, 100%, $E$13)</f>
        <v>10.276</v>
      </c>
      <c r="C711" s="60">
        <f>10.276 * CHOOSE(CONTROL!$C$22, $C$13, 100%, $E$13)</f>
        <v>10.276</v>
      </c>
      <c r="D711" s="60">
        <f>10.2936 * CHOOSE(CONTROL!$C$22, $C$13, 100%, $E$13)</f>
        <v>10.2936</v>
      </c>
      <c r="E711" s="61">
        <f>12.2311 * CHOOSE(CONTROL!$C$22, $C$13, 100%, $E$13)</f>
        <v>12.2311</v>
      </c>
      <c r="F711" s="61">
        <f>12.2311 * CHOOSE(CONTROL!$C$22, $C$13, 100%, $E$13)</f>
        <v>12.2311</v>
      </c>
      <c r="G711" s="61">
        <f>12.2312 * CHOOSE(CONTROL!$C$22, $C$13, 100%, $E$13)</f>
        <v>12.231199999999999</v>
      </c>
      <c r="H711" s="61">
        <f>21.128* CHOOSE(CONTROL!$C$22, $C$13, 100%, $E$13)</f>
        <v>21.128</v>
      </c>
      <c r="I711" s="61">
        <f>21.1282 * CHOOSE(CONTROL!$C$22, $C$13, 100%, $E$13)</f>
        <v>21.1282</v>
      </c>
      <c r="J711" s="61">
        <f>12.2311 * CHOOSE(CONTROL!$C$22, $C$13, 100%, $E$13)</f>
        <v>12.2311</v>
      </c>
      <c r="K711" s="61">
        <f>12.2312 * CHOOSE(CONTROL!$C$22, $C$13, 100%, $E$13)</f>
        <v>12.231199999999999</v>
      </c>
    </row>
    <row r="712" spans="1:11" ht="15">
      <c r="A712" s="13">
        <v>63524</v>
      </c>
      <c r="B712" s="60">
        <f>10.276 * CHOOSE(CONTROL!$C$22, $C$13, 100%, $E$13)</f>
        <v>10.276</v>
      </c>
      <c r="C712" s="60">
        <f>10.276 * CHOOSE(CONTROL!$C$22, $C$13, 100%, $E$13)</f>
        <v>10.276</v>
      </c>
      <c r="D712" s="60">
        <f>10.2936 * CHOOSE(CONTROL!$C$22, $C$13, 100%, $E$13)</f>
        <v>10.2936</v>
      </c>
      <c r="E712" s="61">
        <f>12.1284 * CHOOSE(CONTROL!$C$22, $C$13, 100%, $E$13)</f>
        <v>12.128399999999999</v>
      </c>
      <c r="F712" s="61">
        <f>12.1284 * CHOOSE(CONTROL!$C$22, $C$13, 100%, $E$13)</f>
        <v>12.128399999999999</v>
      </c>
      <c r="G712" s="61">
        <f>12.1286 * CHOOSE(CONTROL!$C$22, $C$13, 100%, $E$13)</f>
        <v>12.1286</v>
      </c>
      <c r="H712" s="61">
        <f>21.1721* CHOOSE(CONTROL!$C$22, $C$13, 100%, $E$13)</f>
        <v>21.1721</v>
      </c>
      <c r="I712" s="61">
        <f>21.1722 * CHOOSE(CONTROL!$C$22, $C$13, 100%, $E$13)</f>
        <v>21.1722</v>
      </c>
      <c r="J712" s="61">
        <f>12.1284 * CHOOSE(CONTROL!$C$22, $C$13, 100%, $E$13)</f>
        <v>12.128399999999999</v>
      </c>
      <c r="K712" s="61">
        <f>12.1286 * CHOOSE(CONTROL!$C$22, $C$13, 100%, $E$13)</f>
        <v>12.1286</v>
      </c>
    </row>
    <row r="713" spans="1:11" ht="15">
      <c r="A713" s="13">
        <v>63555</v>
      </c>
      <c r="B713" s="60">
        <f>10.3002 * CHOOSE(CONTROL!$C$22, $C$13, 100%, $E$13)</f>
        <v>10.3002</v>
      </c>
      <c r="C713" s="60">
        <f>10.3002 * CHOOSE(CONTROL!$C$22, $C$13, 100%, $E$13)</f>
        <v>10.3002</v>
      </c>
      <c r="D713" s="60">
        <f>10.3179 * CHOOSE(CONTROL!$C$22, $C$13, 100%, $E$13)</f>
        <v>10.3179</v>
      </c>
      <c r="E713" s="61">
        <f>12.2329 * CHOOSE(CONTROL!$C$22, $C$13, 100%, $E$13)</f>
        <v>12.232900000000001</v>
      </c>
      <c r="F713" s="61">
        <f>12.2329 * CHOOSE(CONTROL!$C$22, $C$13, 100%, $E$13)</f>
        <v>12.232900000000001</v>
      </c>
      <c r="G713" s="61">
        <f>12.233 * CHOOSE(CONTROL!$C$22, $C$13, 100%, $E$13)</f>
        <v>12.233000000000001</v>
      </c>
      <c r="H713" s="61">
        <f>21.0943* CHOOSE(CONTROL!$C$22, $C$13, 100%, $E$13)</f>
        <v>21.0943</v>
      </c>
      <c r="I713" s="61">
        <f>21.0945 * CHOOSE(CONTROL!$C$22, $C$13, 100%, $E$13)</f>
        <v>21.0945</v>
      </c>
      <c r="J713" s="61">
        <f>12.2329 * CHOOSE(CONTROL!$C$22, $C$13, 100%, $E$13)</f>
        <v>12.232900000000001</v>
      </c>
      <c r="K713" s="61">
        <f>12.233 * CHOOSE(CONTROL!$C$22, $C$13, 100%, $E$13)</f>
        <v>12.233000000000001</v>
      </c>
    </row>
    <row r="714" spans="1:11" ht="15">
      <c r="A714" s="13">
        <v>63586</v>
      </c>
      <c r="B714" s="60">
        <f>10.2972 * CHOOSE(CONTROL!$C$22, $C$13, 100%, $E$13)</f>
        <v>10.2972</v>
      </c>
      <c r="C714" s="60">
        <f>10.2972 * CHOOSE(CONTROL!$C$22, $C$13, 100%, $E$13)</f>
        <v>10.2972</v>
      </c>
      <c r="D714" s="60">
        <f>10.3149 * CHOOSE(CONTROL!$C$22, $C$13, 100%, $E$13)</f>
        <v>10.3149</v>
      </c>
      <c r="E714" s="61">
        <f>12.0322 * CHOOSE(CONTROL!$C$22, $C$13, 100%, $E$13)</f>
        <v>12.0322</v>
      </c>
      <c r="F714" s="61">
        <f>12.0322 * CHOOSE(CONTROL!$C$22, $C$13, 100%, $E$13)</f>
        <v>12.0322</v>
      </c>
      <c r="G714" s="61">
        <f>12.0324 * CHOOSE(CONTROL!$C$22, $C$13, 100%, $E$13)</f>
        <v>12.032400000000001</v>
      </c>
      <c r="H714" s="61">
        <f>21.1383* CHOOSE(CONTROL!$C$22, $C$13, 100%, $E$13)</f>
        <v>21.138300000000001</v>
      </c>
      <c r="I714" s="61">
        <f>21.1385 * CHOOSE(CONTROL!$C$22, $C$13, 100%, $E$13)</f>
        <v>21.138500000000001</v>
      </c>
      <c r="J714" s="61">
        <f>12.0322 * CHOOSE(CONTROL!$C$22, $C$13, 100%, $E$13)</f>
        <v>12.0322</v>
      </c>
      <c r="K714" s="61">
        <f>12.0324 * CHOOSE(CONTROL!$C$22, $C$13, 100%, $E$13)</f>
        <v>12.032400000000001</v>
      </c>
    </row>
    <row r="715" spans="1:11" ht="15">
      <c r="A715" s="13">
        <v>63614</v>
      </c>
      <c r="B715" s="60">
        <f>10.2942 * CHOOSE(CONTROL!$C$22, $C$13, 100%, $E$13)</f>
        <v>10.2942</v>
      </c>
      <c r="C715" s="60">
        <f>10.2942 * CHOOSE(CONTROL!$C$22, $C$13, 100%, $E$13)</f>
        <v>10.2942</v>
      </c>
      <c r="D715" s="60">
        <f>10.3118 * CHOOSE(CONTROL!$C$22, $C$13, 100%, $E$13)</f>
        <v>10.3118</v>
      </c>
      <c r="E715" s="61">
        <f>12.1866 * CHOOSE(CONTROL!$C$22, $C$13, 100%, $E$13)</f>
        <v>12.1866</v>
      </c>
      <c r="F715" s="61">
        <f>12.1866 * CHOOSE(CONTROL!$C$22, $C$13, 100%, $E$13)</f>
        <v>12.1866</v>
      </c>
      <c r="G715" s="61">
        <f>12.1868 * CHOOSE(CONTROL!$C$22, $C$13, 100%, $E$13)</f>
        <v>12.1868</v>
      </c>
      <c r="H715" s="61">
        <f>21.1823* CHOOSE(CONTROL!$C$22, $C$13, 100%, $E$13)</f>
        <v>21.182300000000001</v>
      </c>
      <c r="I715" s="61">
        <f>21.1825 * CHOOSE(CONTROL!$C$22, $C$13, 100%, $E$13)</f>
        <v>21.182500000000001</v>
      </c>
      <c r="J715" s="61">
        <f>12.1866 * CHOOSE(CONTROL!$C$22, $C$13, 100%, $E$13)</f>
        <v>12.1866</v>
      </c>
      <c r="K715" s="61">
        <f>12.1868 * CHOOSE(CONTROL!$C$22, $C$13, 100%, $E$13)</f>
        <v>12.1868</v>
      </c>
    </row>
    <row r="716" spans="1:11" ht="15">
      <c r="A716" s="13">
        <v>63645</v>
      </c>
      <c r="B716" s="60">
        <f>10.298 * CHOOSE(CONTROL!$C$22, $C$13, 100%, $E$13)</f>
        <v>10.298</v>
      </c>
      <c r="C716" s="60">
        <f>10.298 * CHOOSE(CONTROL!$C$22, $C$13, 100%, $E$13)</f>
        <v>10.298</v>
      </c>
      <c r="D716" s="60">
        <f>10.3157 * CHOOSE(CONTROL!$C$22, $C$13, 100%, $E$13)</f>
        <v>10.3157</v>
      </c>
      <c r="E716" s="61">
        <f>12.3504 * CHOOSE(CONTROL!$C$22, $C$13, 100%, $E$13)</f>
        <v>12.3504</v>
      </c>
      <c r="F716" s="61">
        <f>12.3504 * CHOOSE(CONTROL!$C$22, $C$13, 100%, $E$13)</f>
        <v>12.3504</v>
      </c>
      <c r="G716" s="61">
        <f>12.3506 * CHOOSE(CONTROL!$C$22, $C$13, 100%, $E$13)</f>
        <v>12.3506</v>
      </c>
      <c r="H716" s="61">
        <f>21.2265* CHOOSE(CONTROL!$C$22, $C$13, 100%, $E$13)</f>
        <v>21.226500000000001</v>
      </c>
      <c r="I716" s="61">
        <f>21.2266 * CHOOSE(CONTROL!$C$22, $C$13, 100%, $E$13)</f>
        <v>21.226600000000001</v>
      </c>
      <c r="J716" s="61">
        <f>12.3504 * CHOOSE(CONTROL!$C$22, $C$13, 100%, $E$13)</f>
        <v>12.3504</v>
      </c>
      <c r="K716" s="61">
        <f>12.3506 * CHOOSE(CONTROL!$C$22, $C$13, 100%, $E$13)</f>
        <v>12.3506</v>
      </c>
    </row>
    <row r="717" spans="1:11" ht="15">
      <c r="A717" s="13">
        <v>63675</v>
      </c>
      <c r="B717" s="60">
        <f>10.298 * CHOOSE(CONTROL!$C$22, $C$13, 100%, $E$13)</f>
        <v>10.298</v>
      </c>
      <c r="C717" s="60">
        <f>10.298 * CHOOSE(CONTROL!$C$22, $C$13, 100%, $E$13)</f>
        <v>10.298</v>
      </c>
      <c r="D717" s="60">
        <f>10.3333 * CHOOSE(CONTROL!$C$22, $C$13, 100%, $E$13)</f>
        <v>10.333299999999999</v>
      </c>
      <c r="E717" s="61">
        <f>12.4135 * CHOOSE(CONTROL!$C$22, $C$13, 100%, $E$13)</f>
        <v>12.413500000000001</v>
      </c>
      <c r="F717" s="61">
        <f>12.4135 * CHOOSE(CONTROL!$C$22, $C$13, 100%, $E$13)</f>
        <v>12.413500000000001</v>
      </c>
      <c r="G717" s="61">
        <f>12.4156 * CHOOSE(CONTROL!$C$22, $C$13, 100%, $E$13)</f>
        <v>12.4156</v>
      </c>
      <c r="H717" s="61">
        <f>21.2707* CHOOSE(CONTROL!$C$22, $C$13, 100%, $E$13)</f>
        <v>21.270700000000001</v>
      </c>
      <c r="I717" s="61">
        <f>21.2729 * CHOOSE(CONTROL!$C$22, $C$13, 100%, $E$13)</f>
        <v>21.2729</v>
      </c>
      <c r="J717" s="61">
        <f>12.4135 * CHOOSE(CONTROL!$C$22, $C$13, 100%, $E$13)</f>
        <v>12.413500000000001</v>
      </c>
      <c r="K717" s="61">
        <f>12.4156 * CHOOSE(CONTROL!$C$22, $C$13, 100%, $E$13)</f>
        <v>12.4156</v>
      </c>
    </row>
    <row r="718" spans="1:11" ht="15">
      <c r="A718" s="13">
        <v>63706</v>
      </c>
      <c r="B718" s="60">
        <f>10.3041 * CHOOSE(CONTROL!$C$22, $C$13, 100%, $E$13)</f>
        <v>10.3041</v>
      </c>
      <c r="C718" s="60">
        <f>10.3041 * CHOOSE(CONTROL!$C$22, $C$13, 100%, $E$13)</f>
        <v>10.3041</v>
      </c>
      <c r="D718" s="60">
        <f>10.3394 * CHOOSE(CONTROL!$C$22, $C$13, 100%, $E$13)</f>
        <v>10.339399999999999</v>
      </c>
      <c r="E718" s="61">
        <f>12.3547 * CHOOSE(CONTROL!$C$22, $C$13, 100%, $E$13)</f>
        <v>12.354699999999999</v>
      </c>
      <c r="F718" s="61">
        <f>12.3547 * CHOOSE(CONTROL!$C$22, $C$13, 100%, $E$13)</f>
        <v>12.354699999999999</v>
      </c>
      <c r="G718" s="61">
        <f>12.3569 * CHOOSE(CONTROL!$C$22, $C$13, 100%, $E$13)</f>
        <v>12.3569</v>
      </c>
      <c r="H718" s="61">
        <f>21.315* CHOOSE(CONTROL!$C$22, $C$13, 100%, $E$13)</f>
        <v>21.315000000000001</v>
      </c>
      <c r="I718" s="61">
        <f>21.3172 * CHOOSE(CONTROL!$C$22, $C$13, 100%, $E$13)</f>
        <v>21.3172</v>
      </c>
      <c r="J718" s="61">
        <f>12.3547 * CHOOSE(CONTROL!$C$22, $C$13, 100%, $E$13)</f>
        <v>12.354699999999999</v>
      </c>
      <c r="K718" s="61">
        <f>12.3569 * CHOOSE(CONTROL!$C$22, $C$13, 100%, $E$13)</f>
        <v>12.3569</v>
      </c>
    </row>
    <row r="719" spans="1:11" ht="15">
      <c r="A719" s="13">
        <v>63736</v>
      </c>
      <c r="B719" s="60">
        <f>10.4498 * CHOOSE(CONTROL!$C$22, $C$13, 100%, $E$13)</f>
        <v>10.4498</v>
      </c>
      <c r="C719" s="60">
        <f>10.4498 * CHOOSE(CONTROL!$C$22, $C$13, 100%, $E$13)</f>
        <v>10.4498</v>
      </c>
      <c r="D719" s="60">
        <f>10.4851 * CHOOSE(CONTROL!$C$22, $C$13, 100%, $E$13)</f>
        <v>10.485099999999999</v>
      </c>
      <c r="E719" s="61">
        <f>12.5811 * CHOOSE(CONTROL!$C$22, $C$13, 100%, $E$13)</f>
        <v>12.581099999999999</v>
      </c>
      <c r="F719" s="61">
        <f>12.5811 * CHOOSE(CONTROL!$C$22, $C$13, 100%, $E$13)</f>
        <v>12.581099999999999</v>
      </c>
      <c r="G719" s="61">
        <f>12.5833 * CHOOSE(CONTROL!$C$22, $C$13, 100%, $E$13)</f>
        <v>12.583299999999999</v>
      </c>
      <c r="H719" s="61">
        <f>21.3594* CHOOSE(CONTROL!$C$22, $C$13, 100%, $E$13)</f>
        <v>21.359400000000001</v>
      </c>
      <c r="I719" s="61">
        <f>21.3616 * CHOOSE(CONTROL!$C$22, $C$13, 100%, $E$13)</f>
        <v>21.361599999999999</v>
      </c>
      <c r="J719" s="61">
        <f>12.5811 * CHOOSE(CONTROL!$C$22, $C$13, 100%, $E$13)</f>
        <v>12.581099999999999</v>
      </c>
      <c r="K719" s="61">
        <f>12.5833 * CHOOSE(CONTROL!$C$22, $C$13, 100%, $E$13)</f>
        <v>12.583299999999999</v>
      </c>
    </row>
    <row r="720" spans="1:11" ht="15">
      <c r="A720" s="13">
        <v>63767</v>
      </c>
      <c r="B720" s="60">
        <f>10.4565 * CHOOSE(CONTROL!$C$22, $C$13, 100%, $E$13)</f>
        <v>10.4565</v>
      </c>
      <c r="C720" s="60">
        <f>10.4565 * CHOOSE(CONTROL!$C$22, $C$13, 100%, $E$13)</f>
        <v>10.4565</v>
      </c>
      <c r="D720" s="60">
        <f>10.4918 * CHOOSE(CONTROL!$C$22, $C$13, 100%, $E$13)</f>
        <v>10.4918</v>
      </c>
      <c r="E720" s="61">
        <f>12.3967 * CHOOSE(CONTROL!$C$22, $C$13, 100%, $E$13)</f>
        <v>12.396699999999999</v>
      </c>
      <c r="F720" s="61">
        <f>12.3967 * CHOOSE(CONTROL!$C$22, $C$13, 100%, $E$13)</f>
        <v>12.396699999999999</v>
      </c>
      <c r="G720" s="61">
        <f>12.3988 * CHOOSE(CONTROL!$C$22, $C$13, 100%, $E$13)</f>
        <v>12.3988</v>
      </c>
      <c r="H720" s="61">
        <f>21.4039* CHOOSE(CONTROL!$C$22, $C$13, 100%, $E$13)</f>
        <v>21.4039</v>
      </c>
      <c r="I720" s="61">
        <f>21.4061 * CHOOSE(CONTROL!$C$22, $C$13, 100%, $E$13)</f>
        <v>21.406099999999999</v>
      </c>
      <c r="J720" s="61">
        <f>12.3967 * CHOOSE(CONTROL!$C$22, $C$13, 100%, $E$13)</f>
        <v>12.396699999999999</v>
      </c>
      <c r="K720" s="61">
        <f>12.3988 * CHOOSE(CONTROL!$C$22, $C$13, 100%, $E$13)</f>
        <v>12.3988</v>
      </c>
    </row>
    <row r="721" spans="1:11" ht="15">
      <c r="A721" s="13">
        <v>63798</v>
      </c>
      <c r="B721" s="60">
        <f>10.4534 * CHOOSE(CONTROL!$C$22, $C$13, 100%, $E$13)</f>
        <v>10.4534</v>
      </c>
      <c r="C721" s="60">
        <f>10.4534 * CHOOSE(CONTROL!$C$22, $C$13, 100%, $E$13)</f>
        <v>10.4534</v>
      </c>
      <c r="D721" s="60">
        <f>10.4887 * CHOOSE(CONTROL!$C$22, $C$13, 100%, $E$13)</f>
        <v>10.4887</v>
      </c>
      <c r="E721" s="61">
        <f>12.3735 * CHOOSE(CONTROL!$C$22, $C$13, 100%, $E$13)</f>
        <v>12.3735</v>
      </c>
      <c r="F721" s="61">
        <f>12.3735 * CHOOSE(CONTROL!$C$22, $C$13, 100%, $E$13)</f>
        <v>12.3735</v>
      </c>
      <c r="G721" s="61">
        <f>12.3757 * CHOOSE(CONTROL!$C$22, $C$13, 100%, $E$13)</f>
        <v>12.3757</v>
      </c>
      <c r="H721" s="61">
        <f>21.4485* CHOOSE(CONTROL!$C$22, $C$13, 100%, $E$13)</f>
        <v>21.448499999999999</v>
      </c>
      <c r="I721" s="61">
        <f>21.4507 * CHOOSE(CONTROL!$C$22, $C$13, 100%, $E$13)</f>
        <v>21.450700000000001</v>
      </c>
      <c r="J721" s="61">
        <f>12.3735 * CHOOSE(CONTROL!$C$22, $C$13, 100%, $E$13)</f>
        <v>12.3735</v>
      </c>
      <c r="K721" s="61">
        <f>12.3757 * CHOOSE(CONTROL!$C$22, $C$13, 100%, $E$13)</f>
        <v>12.3757</v>
      </c>
    </row>
    <row r="722" spans="1:11" ht="15">
      <c r="A722" s="13">
        <v>63828</v>
      </c>
      <c r="B722" s="60">
        <f>10.473 * CHOOSE(CONTROL!$C$22, $C$13, 100%, $E$13)</f>
        <v>10.473000000000001</v>
      </c>
      <c r="C722" s="60">
        <f>10.473 * CHOOSE(CONTROL!$C$22, $C$13, 100%, $E$13)</f>
        <v>10.473000000000001</v>
      </c>
      <c r="D722" s="60">
        <f>10.4907 * CHOOSE(CONTROL!$C$22, $C$13, 100%, $E$13)</f>
        <v>10.4907</v>
      </c>
      <c r="E722" s="61">
        <f>12.4441 * CHOOSE(CONTROL!$C$22, $C$13, 100%, $E$13)</f>
        <v>12.444100000000001</v>
      </c>
      <c r="F722" s="61">
        <f>12.4441 * CHOOSE(CONTROL!$C$22, $C$13, 100%, $E$13)</f>
        <v>12.444100000000001</v>
      </c>
      <c r="G722" s="61">
        <f>12.4443 * CHOOSE(CONTROL!$C$22, $C$13, 100%, $E$13)</f>
        <v>12.4443</v>
      </c>
      <c r="H722" s="61">
        <f>21.4932* CHOOSE(CONTROL!$C$22, $C$13, 100%, $E$13)</f>
        <v>21.493200000000002</v>
      </c>
      <c r="I722" s="61">
        <f>21.4934 * CHOOSE(CONTROL!$C$22, $C$13, 100%, $E$13)</f>
        <v>21.493400000000001</v>
      </c>
      <c r="J722" s="61">
        <f>12.4441 * CHOOSE(CONTROL!$C$22, $C$13, 100%, $E$13)</f>
        <v>12.444100000000001</v>
      </c>
      <c r="K722" s="61">
        <f>12.4443 * CHOOSE(CONTROL!$C$22, $C$13, 100%, $E$13)</f>
        <v>12.4443</v>
      </c>
    </row>
    <row r="723" spans="1:11" ht="15">
      <c r="A723" s="13">
        <v>63859</v>
      </c>
      <c r="B723" s="60">
        <f>10.476 * CHOOSE(CONTROL!$C$22, $C$13, 100%, $E$13)</f>
        <v>10.476000000000001</v>
      </c>
      <c r="C723" s="60">
        <f>10.476 * CHOOSE(CONTROL!$C$22, $C$13, 100%, $E$13)</f>
        <v>10.476000000000001</v>
      </c>
      <c r="D723" s="60">
        <f>10.4937 * CHOOSE(CONTROL!$C$22, $C$13, 100%, $E$13)</f>
        <v>10.4937</v>
      </c>
      <c r="E723" s="61">
        <f>12.4883 * CHOOSE(CONTROL!$C$22, $C$13, 100%, $E$13)</f>
        <v>12.488300000000001</v>
      </c>
      <c r="F723" s="61">
        <f>12.4883 * CHOOSE(CONTROL!$C$22, $C$13, 100%, $E$13)</f>
        <v>12.488300000000001</v>
      </c>
      <c r="G723" s="61">
        <f>12.4885 * CHOOSE(CONTROL!$C$22, $C$13, 100%, $E$13)</f>
        <v>12.4885</v>
      </c>
      <c r="H723" s="61">
        <f>21.538* CHOOSE(CONTROL!$C$22, $C$13, 100%, $E$13)</f>
        <v>21.538</v>
      </c>
      <c r="I723" s="61">
        <f>21.5381 * CHOOSE(CONTROL!$C$22, $C$13, 100%, $E$13)</f>
        <v>21.5381</v>
      </c>
      <c r="J723" s="61">
        <f>12.4883 * CHOOSE(CONTROL!$C$22, $C$13, 100%, $E$13)</f>
        <v>12.488300000000001</v>
      </c>
      <c r="K723" s="61">
        <f>12.4885 * CHOOSE(CONTROL!$C$22, $C$13, 100%, $E$13)</f>
        <v>12.4885</v>
      </c>
    </row>
    <row r="724" spans="1:11" ht="15">
      <c r="A724" s="13">
        <v>63889</v>
      </c>
      <c r="B724" s="60">
        <f>10.476 * CHOOSE(CONTROL!$C$22, $C$13, 100%, $E$13)</f>
        <v>10.476000000000001</v>
      </c>
      <c r="C724" s="60">
        <f>10.476 * CHOOSE(CONTROL!$C$22, $C$13, 100%, $E$13)</f>
        <v>10.476000000000001</v>
      </c>
      <c r="D724" s="60">
        <f>10.4937 * CHOOSE(CONTROL!$C$22, $C$13, 100%, $E$13)</f>
        <v>10.4937</v>
      </c>
      <c r="E724" s="61">
        <f>12.3832 * CHOOSE(CONTROL!$C$22, $C$13, 100%, $E$13)</f>
        <v>12.3832</v>
      </c>
      <c r="F724" s="61">
        <f>12.3832 * CHOOSE(CONTROL!$C$22, $C$13, 100%, $E$13)</f>
        <v>12.3832</v>
      </c>
      <c r="G724" s="61">
        <f>12.3834 * CHOOSE(CONTROL!$C$22, $C$13, 100%, $E$13)</f>
        <v>12.3834</v>
      </c>
      <c r="H724" s="61">
        <f>21.5828* CHOOSE(CONTROL!$C$22, $C$13, 100%, $E$13)</f>
        <v>21.582799999999999</v>
      </c>
      <c r="I724" s="61">
        <f>21.583 * CHOOSE(CONTROL!$C$22, $C$13, 100%, $E$13)</f>
        <v>21.582999999999998</v>
      </c>
      <c r="J724" s="61">
        <f>12.3832 * CHOOSE(CONTROL!$C$22, $C$13, 100%, $E$13)</f>
        <v>12.3832</v>
      </c>
      <c r="K724" s="61">
        <f>12.3834 * CHOOSE(CONTROL!$C$22, $C$13, 100%, $E$13)</f>
        <v>12.3834</v>
      </c>
    </row>
    <row r="725" spans="1:11" ht="15">
      <c r="A725" s="13">
        <v>63920</v>
      </c>
      <c r="B725" s="60">
        <f>10.4969 * CHOOSE(CONTROL!$C$22, $C$13, 100%, $E$13)</f>
        <v>10.4969</v>
      </c>
      <c r="C725" s="60">
        <f>10.4969 * CHOOSE(CONTROL!$C$22, $C$13, 100%, $E$13)</f>
        <v>10.4969</v>
      </c>
      <c r="D725" s="60">
        <f>10.5145 * CHOOSE(CONTROL!$C$22, $C$13, 100%, $E$13)</f>
        <v>10.5145</v>
      </c>
      <c r="E725" s="61">
        <f>12.4847 * CHOOSE(CONTROL!$C$22, $C$13, 100%, $E$13)</f>
        <v>12.4847</v>
      </c>
      <c r="F725" s="61">
        <f>12.4847 * CHOOSE(CONTROL!$C$22, $C$13, 100%, $E$13)</f>
        <v>12.4847</v>
      </c>
      <c r="G725" s="61">
        <f>12.4849 * CHOOSE(CONTROL!$C$22, $C$13, 100%, $E$13)</f>
        <v>12.4849</v>
      </c>
      <c r="H725" s="61">
        <f>21.4958* CHOOSE(CONTROL!$C$22, $C$13, 100%, $E$13)</f>
        <v>21.495799999999999</v>
      </c>
      <c r="I725" s="61">
        <f>21.496 * CHOOSE(CONTROL!$C$22, $C$13, 100%, $E$13)</f>
        <v>21.495999999999999</v>
      </c>
      <c r="J725" s="61">
        <f>12.4847 * CHOOSE(CONTROL!$C$22, $C$13, 100%, $E$13)</f>
        <v>12.4847</v>
      </c>
      <c r="K725" s="61">
        <f>12.4849 * CHOOSE(CONTROL!$C$22, $C$13, 100%, $E$13)</f>
        <v>12.4849</v>
      </c>
    </row>
    <row r="726" spans="1:11" ht="15">
      <c r="A726" s="13">
        <v>63951</v>
      </c>
      <c r="B726" s="60">
        <f>10.4938 * CHOOSE(CONTROL!$C$22, $C$13, 100%, $E$13)</f>
        <v>10.4938</v>
      </c>
      <c r="C726" s="60">
        <f>10.4938 * CHOOSE(CONTROL!$C$22, $C$13, 100%, $E$13)</f>
        <v>10.4938</v>
      </c>
      <c r="D726" s="60">
        <f>10.5115 * CHOOSE(CONTROL!$C$22, $C$13, 100%, $E$13)</f>
        <v>10.5115</v>
      </c>
      <c r="E726" s="61">
        <f>12.2796 * CHOOSE(CONTROL!$C$22, $C$13, 100%, $E$13)</f>
        <v>12.2796</v>
      </c>
      <c r="F726" s="61">
        <f>12.2796 * CHOOSE(CONTROL!$C$22, $C$13, 100%, $E$13)</f>
        <v>12.2796</v>
      </c>
      <c r="G726" s="61">
        <f>12.2798 * CHOOSE(CONTROL!$C$22, $C$13, 100%, $E$13)</f>
        <v>12.2798</v>
      </c>
      <c r="H726" s="61">
        <f>21.5406* CHOOSE(CONTROL!$C$22, $C$13, 100%, $E$13)</f>
        <v>21.540600000000001</v>
      </c>
      <c r="I726" s="61">
        <f>21.5408 * CHOOSE(CONTROL!$C$22, $C$13, 100%, $E$13)</f>
        <v>21.540800000000001</v>
      </c>
      <c r="J726" s="61">
        <f>12.2796 * CHOOSE(CONTROL!$C$22, $C$13, 100%, $E$13)</f>
        <v>12.2796</v>
      </c>
      <c r="K726" s="61">
        <f>12.2798 * CHOOSE(CONTROL!$C$22, $C$13, 100%, $E$13)</f>
        <v>12.2798</v>
      </c>
    </row>
    <row r="727" spans="1:11" ht="15">
      <c r="A727" s="13">
        <v>63979</v>
      </c>
      <c r="B727" s="60">
        <f>10.4908 * CHOOSE(CONTROL!$C$22, $C$13, 100%, $E$13)</f>
        <v>10.4908</v>
      </c>
      <c r="C727" s="60">
        <f>10.4908 * CHOOSE(CONTROL!$C$22, $C$13, 100%, $E$13)</f>
        <v>10.4908</v>
      </c>
      <c r="D727" s="60">
        <f>10.5084 * CHOOSE(CONTROL!$C$22, $C$13, 100%, $E$13)</f>
        <v>10.5084</v>
      </c>
      <c r="E727" s="61">
        <f>12.4375 * CHOOSE(CONTROL!$C$22, $C$13, 100%, $E$13)</f>
        <v>12.4375</v>
      </c>
      <c r="F727" s="61">
        <f>12.4375 * CHOOSE(CONTROL!$C$22, $C$13, 100%, $E$13)</f>
        <v>12.4375</v>
      </c>
      <c r="G727" s="61">
        <f>12.4377 * CHOOSE(CONTROL!$C$22, $C$13, 100%, $E$13)</f>
        <v>12.4377</v>
      </c>
      <c r="H727" s="61">
        <f>21.5855* CHOOSE(CONTROL!$C$22, $C$13, 100%, $E$13)</f>
        <v>21.5855</v>
      </c>
      <c r="I727" s="61">
        <f>21.5856 * CHOOSE(CONTROL!$C$22, $C$13, 100%, $E$13)</f>
        <v>21.585599999999999</v>
      </c>
      <c r="J727" s="61">
        <f>12.4375 * CHOOSE(CONTROL!$C$22, $C$13, 100%, $E$13)</f>
        <v>12.4375</v>
      </c>
      <c r="K727" s="61">
        <f>12.4377 * CHOOSE(CONTROL!$C$22, $C$13, 100%, $E$13)</f>
        <v>12.4377</v>
      </c>
    </row>
    <row r="728" spans="1:11" ht="15">
      <c r="A728" s="13">
        <v>64010</v>
      </c>
      <c r="B728" s="60">
        <f>10.4948 * CHOOSE(CONTROL!$C$22, $C$13, 100%, $E$13)</f>
        <v>10.4948</v>
      </c>
      <c r="C728" s="60">
        <f>10.4948 * CHOOSE(CONTROL!$C$22, $C$13, 100%, $E$13)</f>
        <v>10.4948</v>
      </c>
      <c r="D728" s="60">
        <f>10.5125 * CHOOSE(CONTROL!$C$22, $C$13, 100%, $E$13)</f>
        <v>10.512499999999999</v>
      </c>
      <c r="E728" s="61">
        <f>12.6051 * CHOOSE(CONTROL!$C$22, $C$13, 100%, $E$13)</f>
        <v>12.6051</v>
      </c>
      <c r="F728" s="61">
        <f>12.6051 * CHOOSE(CONTROL!$C$22, $C$13, 100%, $E$13)</f>
        <v>12.6051</v>
      </c>
      <c r="G728" s="61">
        <f>12.6053 * CHOOSE(CONTROL!$C$22, $C$13, 100%, $E$13)</f>
        <v>12.6053</v>
      </c>
      <c r="H728" s="61">
        <f>21.6304* CHOOSE(CONTROL!$C$22, $C$13, 100%, $E$13)</f>
        <v>21.630400000000002</v>
      </c>
      <c r="I728" s="61">
        <f>21.6306 * CHOOSE(CONTROL!$C$22, $C$13, 100%, $E$13)</f>
        <v>21.630600000000001</v>
      </c>
      <c r="J728" s="61">
        <f>12.6051 * CHOOSE(CONTROL!$C$22, $C$13, 100%, $E$13)</f>
        <v>12.6051</v>
      </c>
      <c r="K728" s="61">
        <f>12.6053 * CHOOSE(CONTROL!$C$22, $C$13, 100%, $E$13)</f>
        <v>12.6053</v>
      </c>
    </row>
    <row r="729" spans="1:11" ht="15">
      <c r="A729" s="13">
        <v>64040</v>
      </c>
      <c r="B729" s="60">
        <f>10.4948 * CHOOSE(CONTROL!$C$22, $C$13, 100%, $E$13)</f>
        <v>10.4948</v>
      </c>
      <c r="C729" s="60">
        <f>10.4948 * CHOOSE(CONTROL!$C$22, $C$13, 100%, $E$13)</f>
        <v>10.4948</v>
      </c>
      <c r="D729" s="60">
        <f>10.5302 * CHOOSE(CONTROL!$C$22, $C$13, 100%, $E$13)</f>
        <v>10.530200000000001</v>
      </c>
      <c r="E729" s="61">
        <f>12.6696 * CHOOSE(CONTROL!$C$22, $C$13, 100%, $E$13)</f>
        <v>12.669600000000001</v>
      </c>
      <c r="F729" s="61">
        <f>12.6696 * CHOOSE(CONTROL!$C$22, $C$13, 100%, $E$13)</f>
        <v>12.669600000000001</v>
      </c>
      <c r="G729" s="61">
        <f>12.6717 * CHOOSE(CONTROL!$C$22, $C$13, 100%, $E$13)</f>
        <v>12.6717</v>
      </c>
      <c r="H729" s="61">
        <f>21.6755* CHOOSE(CONTROL!$C$22, $C$13, 100%, $E$13)</f>
        <v>21.6755</v>
      </c>
      <c r="I729" s="61">
        <f>21.6777 * CHOOSE(CONTROL!$C$22, $C$13, 100%, $E$13)</f>
        <v>21.677700000000002</v>
      </c>
      <c r="J729" s="61">
        <f>12.6696 * CHOOSE(CONTROL!$C$22, $C$13, 100%, $E$13)</f>
        <v>12.669600000000001</v>
      </c>
      <c r="K729" s="61">
        <f>12.6717 * CHOOSE(CONTROL!$C$22, $C$13, 100%, $E$13)</f>
        <v>12.6717</v>
      </c>
    </row>
    <row r="730" spans="1:11" ht="15">
      <c r="A730" s="13">
        <v>64071</v>
      </c>
      <c r="B730" s="60">
        <f>10.5009 * CHOOSE(CONTROL!$C$22, $C$13, 100%, $E$13)</f>
        <v>10.5009</v>
      </c>
      <c r="C730" s="60">
        <f>10.5009 * CHOOSE(CONTROL!$C$22, $C$13, 100%, $E$13)</f>
        <v>10.5009</v>
      </c>
      <c r="D730" s="60">
        <f>10.5362 * CHOOSE(CONTROL!$C$22, $C$13, 100%, $E$13)</f>
        <v>10.536199999999999</v>
      </c>
      <c r="E730" s="61">
        <f>12.6093 * CHOOSE(CONTROL!$C$22, $C$13, 100%, $E$13)</f>
        <v>12.609299999999999</v>
      </c>
      <c r="F730" s="61">
        <f>12.6093 * CHOOSE(CONTROL!$C$22, $C$13, 100%, $E$13)</f>
        <v>12.609299999999999</v>
      </c>
      <c r="G730" s="61">
        <f>12.6115 * CHOOSE(CONTROL!$C$22, $C$13, 100%, $E$13)</f>
        <v>12.611499999999999</v>
      </c>
      <c r="H730" s="61">
        <f>21.7207* CHOOSE(CONTROL!$C$22, $C$13, 100%, $E$13)</f>
        <v>21.720700000000001</v>
      </c>
      <c r="I730" s="61">
        <f>21.7228 * CHOOSE(CONTROL!$C$22, $C$13, 100%, $E$13)</f>
        <v>21.722799999999999</v>
      </c>
      <c r="J730" s="61">
        <f>12.6093 * CHOOSE(CONTROL!$C$22, $C$13, 100%, $E$13)</f>
        <v>12.609299999999999</v>
      </c>
      <c r="K730" s="61">
        <f>12.6115 * CHOOSE(CONTROL!$C$22, $C$13, 100%, $E$13)</f>
        <v>12.611499999999999</v>
      </c>
    </row>
    <row r="731" spans="1:11" ht="15">
      <c r="A731" s="13">
        <v>64101</v>
      </c>
      <c r="B731" s="60">
        <f>10.6491 * CHOOSE(CONTROL!$C$22, $C$13, 100%, $E$13)</f>
        <v>10.649100000000001</v>
      </c>
      <c r="C731" s="60">
        <f>10.6491 * CHOOSE(CONTROL!$C$22, $C$13, 100%, $E$13)</f>
        <v>10.649100000000001</v>
      </c>
      <c r="D731" s="60">
        <f>10.6844 * CHOOSE(CONTROL!$C$22, $C$13, 100%, $E$13)</f>
        <v>10.6844</v>
      </c>
      <c r="E731" s="61">
        <f>12.8402 * CHOOSE(CONTROL!$C$22, $C$13, 100%, $E$13)</f>
        <v>12.840199999999999</v>
      </c>
      <c r="F731" s="61">
        <f>12.8402 * CHOOSE(CONTROL!$C$22, $C$13, 100%, $E$13)</f>
        <v>12.840199999999999</v>
      </c>
      <c r="G731" s="61">
        <f>12.8424 * CHOOSE(CONTROL!$C$22, $C$13, 100%, $E$13)</f>
        <v>12.8424</v>
      </c>
      <c r="H731" s="61">
        <f>21.7659* CHOOSE(CONTROL!$C$22, $C$13, 100%, $E$13)</f>
        <v>21.765899999999998</v>
      </c>
      <c r="I731" s="61">
        <f>21.7681 * CHOOSE(CONTROL!$C$22, $C$13, 100%, $E$13)</f>
        <v>21.7681</v>
      </c>
      <c r="J731" s="61">
        <f>12.8402 * CHOOSE(CONTROL!$C$22, $C$13, 100%, $E$13)</f>
        <v>12.840199999999999</v>
      </c>
      <c r="K731" s="61">
        <f>12.8424 * CHOOSE(CONTROL!$C$22, $C$13, 100%, $E$13)</f>
        <v>12.8424</v>
      </c>
    </row>
    <row r="732" spans="1:11" ht="15">
      <c r="A732" s="13">
        <v>64132</v>
      </c>
      <c r="B732" s="60">
        <f>10.6558 * CHOOSE(CONTROL!$C$22, $C$13, 100%, $E$13)</f>
        <v>10.655799999999999</v>
      </c>
      <c r="C732" s="60">
        <f>10.6558 * CHOOSE(CONTROL!$C$22, $C$13, 100%, $E$13)</f>
        <v>10.655799999999999</v>
      </c>
      <c r="D732" s="60">
        <f>10.6911 * CHOOSE(CONTROL!$C$22, $C$13, 100%, $E$13)</f>
        <v>10.6911</v>
      </c>
      <c r="E732" s="61">
        <f>12.6515 * CHOOSE(CONTROL!$C$22, $C$13, 100%, $E$13)</f>
        <v>12.6515</v>
      </c>
      <c r="F732" s="61">
        <f>12.6515 * CHOOSE(CONTROL!$C$22, $C$13, 100%, $E$13)</f>
        <v>12.6515</v>
      </c>
      <c r="G732" s="61">
        <f>12.6537 * CHOOSE(CONTROL!$C$22, $C$13, 100%, $E$13)</f>
        <v>12.653700000000001</v>
      </c>
      <c r="H732" s="61">
        <f>21.8113* CHOOSE(CONTROL!$C$22, $C$13, 100%, $E$13)</f>
        <v>21.811299999999999</v>
      </c>
      <c r="I732" s="61">
        <f>21.8134 * CHOOSE(CONTROL!$C$22, $C$13, 100%, $E$13)</f>
        <v>21.813400000000001</v>
      </c>
      <c r="J732" s="61">
        <f>12.6515 * CHOOSE(CONTROL!$C$22, $C$13, 100%, $E$13)</f>
        <v>12.6515</v>
      </c>
      <c r="K732" s="61">
        <f>12.6537 * CHOOSE(CONTROL!$C$22, $C$13, 100%, $E$13)</f>
        <v>12.653700000000001</v>
      </c>
    </row>
    <row r="733" spans="1:11" ht="15">
      <c r="A733" s="13">
        <v>64163</v>
      </c>
      <c r="B733" s="60">
        <f>10.6527 * CHOOSE(CONTROL!$C$22, $C$13, 100%, $E$13)</f>
        <v>10.652699999999999</v>
      </c>
      <c r="C733" s="60">
        <f>10.6527 * CHOOSE(CONTROL!$C$22, $C$13, 100%, $E$13)</f>
        <v>10.652699999999999</v>
      </c>
      <c r="D733" s="60">
        <f>10.688 * CHOOSE(CONTROL!$C$22, $C$13, 100%, $E$13)</f>
        <v>10.688000000000001</v>
      </c>
      <c r="E733" s="61">
        <f>12.6279 * CHOOSE(CONTROL!$C$22, $C$13, 100%, $E$13)</f>
        <v>12.6279</v>
      </c>
      <c r="F733" s="61">
        <f>12.6279 * CHOOSE(CONTROL!$C$22, $C$13, 100%, $E$13)</f>
        <v>12.6279</v>
      </c>
      <c r="G733" s="61">
        <f>12.6301 * CHOOSE(CONTROL!$C$22, $C$13, 100%, $E$13)</f>
        <v>12.630100000000001</v>
      </c>
      <c r="H733" s="61">
        <f>21.8567* CHOOSE(CONTROL!$C$22, $C$13, 100%, $E$13)</f>
        <v>21.8567</v>
      </c>
      <c r="I733" s="61">
        <f>21.8589 * CHOOSE(CONTROL!$C$22, $C$13, 100%, $E$13)</f>
        <v>21.858899999999998</v>
      </c>
      <c r="J733" s="61">
        <f>12.6279 * CHOOSE(CONTROL!$C$22, $C$13, 100%, $E$13)</f>
        <v>12.6279</v>
      </c>
      <c r="K733" s="61">
        <f>12.6301 * CHOOSE(CONTROL!$C$22, $C$13, 100%, $E$13)</f>
        <v>12.630100000000001</v>
      </c>
    </row>
    <row r="734" spans="1:11" ht="15">
      <c r="A734" s="13">
        <v>64193</v>
      </c>
      <c r="B734" s="60">
        <f>10.6731 * CHOOSE(CONTROL!$C$22, $C$13, 100%, $E$13)</f>
        <v>10.6731</v>
      </c>
      <c r="C734" s="60">
        <f>10.6731 * CHOOSE(CONTROL!$C$22, $C$13, 100%, $E$13)</f>
        <v>10.6731</v>
      </c>
      <c r="D734" s="60">
        <f>10.6907 * CHOOSE(CONTROL!$C$22, $C$13, 100%, $E$13)</f>
        <v>10.6907</v>
      </c>
      <c r="E734" s="61">
        <f>12.7004 * CHOOSE(CONTROL!$C$22, $C$13, 100%, $E$13)</f>
        <v>12.7004</v>
      </c>
      <c r="F734" s="61">
        <f>12.7004 * CHOOSE(CONTROL!$C$22, $C$13, 100%, $E$13)</f>
        <v>12.7004</v>
      </c>
      <c r="G734" s="61">
        <f>12.7006 * CHOOSE(CONTROL!$C$22, $C$13, 100%, $E$13)</f>
        <v>12.7006</v>
      </c>
      <c r="H734" s="61">
        <f>21.9022* CHOOSE(CONTROL!$C$22, $C$13, 100%, $E$13)</f>
        <v>21.902200000000001</v>
      </c>
      <c r="I734" s="61">
        <f>21.9024 * CHOOSE(CONTROL!$C$22, $C$13, 100%, $E$13)</f>
        <v>21.9024</v>
      </c>
      <c r="J734" s="61">
        <f>12.7004 * CHOOSE(CONTROL!$C$22, $C$13, 100%, $E$13)</f>
        <v>12.7004</v>
      </c>
      <c r="K734" s="61">
        <f>12.7006 * CHOOSE(CONTROL!$C$22, $C$13, 100%, $E$13)</f>
        <v>12.7006</v>
      </c>
    </row>
    <row r="735" spans="1:11" ht="15">
      <c r="A735" s="13">
        <v>64224</v>
      </c>
      <c r="B735" s="60">
        <f>10.6761 * CHOOSE(CONTROL!$C$22, $C$13, 100%, $E$13)</f>
        <v>10.6761</v>
      </c>
      <c r="C735" s="60">
        <f>10.6761 * CHOOSE(CONTROL!$C$22, $C$13, 100%, $E$13)</f>
        <v>10.6761</v>
      </c>
      <c r="D735" s="60">
        <f>10.6938 * CHOOSE(CONTROL!$C$22, $C$13, 100%, $E$13)</f>
        <v>10.6938</v>
      </c>
      <c r="E735" s="61">
        <f>12.7455 * CHOOSE(CONTROL!$C$22, $C$13, 100%, $E$13)</f>
        <v>12.7455</v>
      </c>
      <c r="F735" s="61">
        <f>12.7455 * CHOOSE(CONTROL!$C$22, $C$13, 100%, $E$13)</f>
        <v>12.7455</v>
      </c>
      <c r="G735" s="61">
        <f>12.7457 * CHOOSE(CONTROL!$C$22, $C$13, 100%, $E$13)</f>
        <v>12.745699999999999</v>
      </c>
      <c r="H735" s="61">
        <f>21.9479* CHOOSE(CONTROL!$C$22, $C$13, 100%, $E$13)</f>
        <v>21.947900000000001</v>
      </c>
      <c r="I735" s="61">
        <f>21.948 * CHOOSE(CONTROL!$C$22, $C$13, 100%, $E$13)</f>
        <v>21.948</v>
      </c>
      <c r="J735" s="61">
        <f>12.7455 * CHOOSE(CONTROL!$C$22, $C$13, 100%, $E$13)</f>
        <v>12.7455</v>
      </c>
      <c r="K735" s="61">
        <f>12.7457 * CHOOSE(CONTROL!$C$22, $C$13, 100%, $E$13)</f>
        <v>12.745699999999999</v>
      </c>
    </row>
    <row r="736" spans="1:11" ht="15">
      <c r="A736" s="13">
        <v>64254</v>
      </c>
      <c r="B736" s="60">
        <f>10.6761 * CHOOSE(CONTROL!$C$22, $C$13, 100%, $E$13)</f>
        <v>10.6761</v>
      </c>
      <c r="C736" s="60">
        <f>10.6761 * CHOOSE(CONTROL!$C$22, $C$13, 100%, $E$13)</f>
        <v>10.6761</v>
      </c>
      <c r="D736" s="60">
        <f>10.6938 * CHOOSE(CONTROL!$C$22, $C$13, 100%, $E$13)</f>
        <v>10.6938</v>
      </c>
      <c r="E736" s="61">
        <f>12.6381 * CHOOSE(CONTROL!$C$22, $C$13, 100%, $E$13)</f>
        <v>12.6381</v>
      </c>
      <c r="F736" s="61">
        <f>12.6381 * CHOOSE(CONTROL!$C$22, $C$13, 100%, $E$13)</f>
        <v>12.6381</v>
      </c>
      <c r="G736" s="61">
        <f>12.6383 * CHOOSE(CONTROL!$C$22, $C$13, 100%, $E$13)</f>
        <v>12.638299999999999</v>
      </c>
      <c r="H736" s="61">
        <f>21.9936* CHOOSE(CONTROL!$C$22, $C$13, 100%, $E$13)</f>
        <v>21.993600000000001</v>
      </c>
      <c r="I736" s="61">
        <f>21.9938 * CHOOSE(CONTROL!$C$22, $C$13, 100%, $E$13)</f>
        <v>21.9938</v>
      </c>
      <c r="J736" s="61">
        <f>12.6381 * CHOOSE(CONTROL!$C$22, $C$13, 100%, $E$13)</f>
        <v>12.6381</v>
      </c>
      <c r="K736" s="61">
        <f>12.6383 * CHOOSE(CONTROL!$C$22, $C$13, 100%, $E$13)</f>
        <v>12.638299999999999</v>
      </c>
    </row>
    <row r="737" spans="1:11" ht="15">
      <c r="A737" s="13">
        <v>64285</v>
      </c>
      <c r="B737" s="60">
        <f>10.6935 * CHOOSE(CONTROL!$C$22, $C$13, 100%, $E$13)</f>
        <v>10.6935</v>
      </c>
      <c r="C737" s="60">
        <f>10.6935 * CHOOSE(CONTROL!$C$22, $C$13, 100%, $E$13)</f>
        <v>10.6935</v>
      </c>
      <c r="D737" s="60">
        <f>10.7111 * CHOOSE(CONTROL!$C$22, $C$13, 100%, $E$13)</f>
        <v>10.7111</v>
      </c>
      <c r="E737" s="61">
        <f>12.7365 * CHOOSE(CONTROL!$C$22, $C$13, 100%, $E$13)</f>
        <v>12.736499999999999</v>
      </c>
      <c r="F737" s="61">
        <f>12.7365 * CHOOSE(CONTROL!$C$22, $C$13, 100%, $E$13)</f>
        <v>12.736499999999999</v>
      </c>
      <c r="G737" s="61">
        <f>12.7367 * CHOOSE(CONTROL!$C$22, $C$13, 100%, $E$13)</f>
        <v>12.736700000000001</v>
      </c>
      <c r="H737" s="61">
        <f>21.8973* CHOOSE(CONTROL!$C$22, $C$13, 100%, $E$13)</f>
        <v>21.897300000000001</v>
      </c>
      <c r="I737" s="61">
        <f>21.8974 * CHOOSE(CONTROL!$C$22, $C$13, 100%, $E$13)</f>
        <v>21.897400000000001</v>
      </c>
      <c r="J737" s="61">
        <f>12.7365 * CHOOSE(CONTROL!$C$22, $C$13, 100%, $E$13)</f>
        <v>12.736499999999999</v>
      </c>
      <c r="K737" s="61">
        <f>12.7367 * CHOOSE(CONTROL!$C$22, $C$13, 100%, $E$13)</f>
        <v>12.736700000000001</v>
      </c>
    </row>
    <row r="738" spans="1:11" ht="15">
      <c r="A738" s="13">
        <v>64316</v>
      </c>
      <c r="B738" s="60">
        <f>10.6904 * CHOOSE(CONTROL!$C$22, $C$13, 100%, $E$13)</f>
        <v>10.6904</v>
      </c>
      <c r="C738" s="60">
        <f>10.6904 * CHOOSE(CONTROL!$C$22, $C$13, 100%, $E$13)</f>
        <v>10.6904</v>
      </c>
      <c r="D738" s="60">
        <f>10.7081 * CHOOSE(CONTROL!$C$22, $C$13, 100%, $E$13)</f>
        <v>10.7081</v>
      </c>
      <c r="E738" s="61">
        <f>12.527 * CHOOSE(CONTROL!$C$22, $C$13, 100%, $E$13)</f>
        <v>12.526999999999999</v>
      </c>
      <c r="F738" s="61">
        <f>12.527 * CHOOSE(CONTROL!$C$22, $C$13, 100%, $E$13)</f>
        <v>12.526999999999999</v>
      </c>
      <c r="G738" s="61">
        <f>12.5271 * CHOOSE(CONTROL!$C$22, $C$13, 100%, $E$13)</f>
        <v>12.527100000000001</v>
      </c>
      <c r="H738" s="61">
        <f>21.9429* CHOOSE(CONTROL!$C$22, $C$13, 100%, $E$13)</f>
        <v>21.942900000000002</v>
      </c>
      <c r="I738" s="61">
        <f>21.9431 * CHOOSE(CONTROL!$C$22, $C$13, 100%, $E$13)</f>
        <v>21.943100000000001</v>
      </c>
      <c r="J738" s="61">
        <f>12.527 * CHOOSE(CONTROL!$C$22, $C$13, 100%, $E$13)</f>
        <v>12.526999999999999</v>
      </c>
      <c r="K738" s="61">
        <f>12.5271 * CHOOSE(CONTROL!$C$22, $C$13, 100%, $E$13)</f>
        <v>12.527100000000001</v>
      </c>
    </row>
    <row r="739" spans="1:11" ht="15">
      <c r="A739" s="13">
        <v>64345</v>
      </c>
      <c r="B739" s="60">
        <f>10.6874 * CHOOSE(CONTROL!$C$22, $C$13, 100%, $E$13)</f>
        <v>10.6874</v>
      </c>
      <c r="C739" s="60">
        <f>10.6874 * CHOOSE(CONTROL!$C$22, $C$13, 100%, $E$13)</f>
        <v>10.6874</v>
      </c>
      <c r="D739" s="60">
        <f>10.7051 * CHOOSE(CONTROL!$C$22, $C$13, 100%, $E$13)</f>
        <v>10.7051</v>
      </c>
      <c r="E739" s="61">
        <f>12.6884 * CHOOSE(CONTROL!$C$22, $C$13, 100%, $E$13)</f>
        <v>12.6884</v>
      </c>
      <c r="F739" s="61">
        <f>12.6884 * CHOOSE(CONTROL!$C$22, $C$13, 100%, $E$13)</f>
        <v>12.6884</v>
      </c>
      <c r="G739" s="61">
        <f>12.6886 * CHOOSE(CONTROL!$C$22, $C$13, 100%, $E$13)</f>
        <v>12.688599999999999</v>
      </c>
      <c r="H739" s="61">
        <f>21.9886* CHOOSE(CONTROL!$C$22, $C$13, 100%, $E$13)</f>
        <v>21.988600000000002</v>
      </c>
      <c r="I739" s="61">
        <f>21.9888 * CHOOSE(CONTROL!$C$22, $C$13, 100%, $E$13)</f>
        <v>21.988800000000001</v>
      </c>
      <c r="J739" s="61">
        <f>12.6884 * CHOOSE(CONTROL!$C$22, $C$13, 100%, $E$13)</f>
        <v>12.6884</v>
      </c>
      <c r="K739" s="61">
        <f>12.6886 * CHOOSE(CONTROL!$C$22, $C$13, 100%, $E$13)</f>
        <v>12.688599999999999</v>
      </c>
    </row>
    <row r="740" spans="1:11" ht="15">
      <c r="A740" s="13">
        <v>64376</v>
      </c>
      <c r="B740" s="60">
        <f>10.6917 * CHOOSE(CONTROL!$C$22, $C$13, 100%, $E$13)</f>
        <v>10.691700000000001</v>
      </c>
      <c r="C740" s="60">
        <f>10.6917 * CHOOSE(CONTROL!$C$22, $C$13, 100%, $E$13)</f>
        <v>10.691700000000001</v>
      </c>
      <c r="D740" s="60">
        <f>10.7093 * CHOOSE(CONTROL!$C$22, $C$13, 100%, $E$13)</f>
        <v>10.709300000000001</v>
      </c>
      <c r="E740" s="61">
        <f>12.8598 * CHOOSE(CONTROL!$C$22, $C$13, 100%, $E$13)</f>
        <v>12.8598</v>
      </c>
      <c r="F740" s="61">
        <f>12.8598 * CHOOSE(CONTROL!$C$22, $C$13, 100%, $E$13)</f>
        <v>12.8598</v>
      </c>
      <c r="G740" s="61">
        <f>12.86 * CHOOSE(CONTROL!$C$22, $C$13, 100%, $E$13)</f>
        <v>12.86</v>
      </c>
      <c r="H740" s="61">
        <f>22.0344* CHOOSE(CONTROL!$C$22, $C$13, 100%, $E$13)</f>
        <v>22.034400000000002</v>
      </c>
      <c r="I740" s="61">
        <f>22.0346 * CHOOSE(CONTROL!$C$22, $C$13, 100%, $E$13)</f>
        <v>22.034600000000001</v>
      </c>
      <c r="J740" s="61">
        <f>12.8598 * CHOOSE(CONTROL!$C$22, $C$13, 100%, $E$13)</f>
        <v>12.8598</v>
      </c>
      <c r="K740" s="61">
        <f>12.86 * CHOOSE(CONTROL!$C$22, $C$13, 100%, $E$13)</f>
        <v>12.86</v>
      </c>
    </row>
    <row r="741" spans="1:11" ht="15">
      <c r="A741" s="13">
        <v>64406</v>
      </c>
      <c r="B741" s="60">
        <f>10.6917 * CHOOSE(CONTROL!$C$22, $C$13, 100%, $E$13)</f>
        <v>10.691700000000001</v>
      </c>
      <c r="C741" s="60">
        <f>10.6917 * CHOOSE(CONTROL!$C$22, $C$13, 100%, $E$13)</f>
        <v>10.691700000000001</v>
      </c>
      <c r="D741" s="60">
        <f>10.727 * CHOOSE(CONTROL!$C$22, $C$13, 100%, $E$13)</f>
        <v>10.727</v>
      </c>
      <c r="E741" s="61">
        <f>12.9257 * CHOOSE(CONTROL!$C$22, $C$13, 100%, $E$13)</f>
        <v>12.925700000000001</v>
      </c>
      <c r="F741" s="61">
        <f>12.9257 * CHOOSE(CONTROL!$C$22, $C$13, 100%, $E$13)</f>
        <v>12.925700000000001</v>
      </c>
      <c r="G741" s="61">
        <f>12.9278 * CHOOSE(CONTROL!$C$22, $C$13, 100%, $E$13)</f>
        <v>12.9278</v>
      </c>
      <c r="H741" s="61">
        <f>22.0803* CHOOSE(CONTROL!$C$22, $C$13, 100%, $E$13)</f>
        <v>22.080300000000001</v>
      </c>
      <c r="I741" s="61">
        <f>22.0825 * CHOOSE(CONTROL!$C$22, $C$13, 100%, $E$13)</f>
        <v>22.0825</v>
      </c>
      <c r="J741" s="61">
        <f>12.9257 * CHOOSE(CONTROL!$C$22, $C$13, 100%, $E$13)</f>
        <v>12.925700000000001</v>
      </c>
      <c r="K741" s="61">
        <f>12.9278 * CHOOSE(CONTROL!$C$22, $C$13, 100%, $E$13)</f>
        <v>12.9278</v>
      </c>
    </row>
    <row r="742" spans="1:11" ht="15">
      <c r="A742" s="13">
        <v>64437</v>
      </c>
      <c r="B742" s="60">
        <f>10.6977 * CHOOSE(CONTROL!$C$22, $C$13, 100%, $E$13)</f>
        <v>10.697699999999999</v>
      </c>
      <c r="C742" s="60">
        <f>10.6977 * CHOOSE(CONTROL!$C$22, $C$13, 100%, $E$13)</f>
        <v>10.697699999999999</v>
      </c>
      <c r="D742" s="60">
        <f>10.7331 * CHOOSE(CONTROL!$C$22, $C$13, 100%, $E$13)</f>
        <v>10.7331</v>
      </c>
      <c r="E742" s="61">
        <f>12.864 * CHOOSE(CONTROL!$C$22, $C$13, 100%, $E$13)</f>
        <v>12.864000000000001</v>
      </c>
      <c r="F742" s="61">
        <f>12.864 * CHOOSE(CONTROL!$C$22, $C$13, 100%, $E$13)</f>
        <v>12.864000000000001</v>
      </c>
      <c r="G742" s="61">
        <f>12.8662 * CHOOSE(CONTROL!$C$22, $C$13, 100%, $E$13)</f>
        <v>12.866199999999999</v>
      </c>
      <c r="H742" s="61">
        <f>22.1263* CHOOSE(CONTROL!$C$22, $C$13, 100%, $E$13)</f>
        <v>22.126300000000001</v>
      </c>
      <c r="I742" s="61">
        <f>22.1285 * CHOOSE(CONTROL!$C$22, $C$13, 100%, $E$13)</f>
        <v>22.128499999999999</v>
      </c>
      <c r="J742" s="61">
        <f>12.864 * CHOOSE(CONTROL!$C$22, $C$13, 100%, $E$13)</f>
        <v>12.864000000000001</v>
      </c>
      <c r="K742" s="61">
        <f>12.8662 * CHOOSE(CONTROL!$C$22, $C$13, 100%, $E$13)</f>
        <v>12.866199999999999</v>
      </c>
    </row>
    <row r="743" spans="1:11" ht="15">
      <c r="A743" s="13">
        <v>64467</v>
      </c>
      <c r="B743" s="60">
        <f>10.8484 * CHOOSE(CONTROL!$C$22, $C$13, 100%, $E$13)</f>
        <v>10.8484</v>
      </c>
      <c r="C743" s="60">
        <f>10.8484 * CHOOSE(CONTROL!$C$22, $C$13, 100%, $E$13)</f>
        <v>10.8484</v>
      </c>
      <c r="D743" s="60">
        <f>10.8837 * CHOOSE(CONTROL!$C$22, $C$13, 100%, $E$13)</f>
        <v>10.883699999999999</v>
      </c>
      <c r="E743" s="61">
        <f>13.0993 * CHOOSE(CONTROL!$C$22, $C$13, 100%, $E$13)</f>
        <v>13.099299999999999</v>
      </c>
      <c r="F743" s="61">
        <f>13.0993 * CHOOSE(CONTROL!$C$22, $C$13, 100%, $E$13)</f>
        <v>13.099299999999999</v>
      </c>
      <c r="G743" s="61">
        <f>13.1015 * CHOOSE(CONTROL!$C$22, $C$13, 100%, $E$13)</f>
        <v>13.1015</v>
      </c>
      <c r="H743" s="61">
        <f>22.1724* CHOOSE(CONTROL!$C$22, $C$13, 100%, $E$13)</f>
        <v>22.1724</v>
      </c>
      <c r="I743" s="61">
        <f>22.1746 * CHOOSE(CONTROL!$C$22, $C$13, 100%, $E$13)</f>
        <v>22.174600000000002</v>
      </c>
      <c r="J743" s="61">
        <f>13.0993 * CHOOSE(CONTROL!$C$22, $C$13, 100%, $E$13)</f>
        <v>13.099299999999999</v>
      </c>
      <c r="K743" s="61">
        <f>13.1015 * CHOOSE(CONTROL!$C$22, $C$13, 100%, $E$13)</f>
        <v>13.1015</v>
      </c>
    </row>
    <row r="744" spans="1:11" ht="15">
      <c r="A744" s="13">
        <v>64498</v>
      </c>
      <c r="B744" s="60">
        <f>10.8551 * CHOOSE(CONTROL!$C$22, $C$13, 100%, $E$13)</f>
        <v>10.8551</v>
      </c>
      <c r="C744" s="60">
        <f>10.8551 * CHOOSE(CONTROL!$C$22, $C$13, 100%, $E$13)</f>
        <v>10.8551</v>
      </c>
      <c r="D744" s="60">
        <f>10.8904 * CHOOSE(CONTROL!$C$22, $C$13, 100%, $E$13)</f>
        <v>10.8904</v>
      </c>
      <c r="E744" s="61">
        <f>12.9063 * CHOOSE(CONTROL!$C$22, $C$13, 100%, $E$13)</f>
        <v>12.9063</v>
      </c>
      <c r="F744" s="61">
        <f>12.9063 * CHOOSE(CONTROL!$C$22, $C$13, 100%, $E$13)</f>
        <v>12.9063</v>
      </c>
      <c r="G744" s="61">
        <f>12.9085 * CHOOSE(CONTROL!$C$22, $C$13, 100%, $E$13)</f>
        <v>12.9085</v>
      </c>
      <c r="H744" s="61">
        <f>22.2186* CHOOSE(CONTROL!$C$22, $C$13, 100%, $E$13)</f>
        <v>22.218599999999999</v>
      </c>
      <c r="I744" s="61">
        <f>22.2208 * CHOOSE(CONTROL!$C$22, $C$13, 100%, $E$13)</f>
        <v>22.220800000000001</v>
      </c>
      <c r="J744" s="61">
        <f>12.9063 * CHOOSE(CONTROL!$C$22, $C$13, 100%, $E$13)</f>
        <v>12.9063</v>
      </c>
      <c r="K744" s="61">
        <f>12.9085 * CHOOSE(CONTROL!$C$22, $C$13, 100%, $E$13)</f>
        <v>12.9085</v>
      </c>
    </row>
    <row r="745" spans="1:11" ht="15">
      <c r="A745" s="13">
        <v>64529</v>
      </c>
      <c r="B745" s="60">
        <f>10.852 * CHOOSE(CONTROL!$C$22, $C$13, 100%, $E$13)</f>
        <v>10.852</v>
      </c>
      <c r="C745" s="60">
        <f>10.852 * CHOOSE(CONTROL!$C$22, $C$13, 100%, $E$13)</f>
        <v>10.852</v>
      </c>
      <c r="D745" s="60">
        <f>10.8874 * CHOOSE(CONTROL!$C$22, $C$13, 100%, $E$13)</f>
        <v>10.8874</v>
      </c>
      <c r="E745" s="61">
        <f>12.8823 * CHOOSE(CONTROL!$C$22, $C$13, 100%, $E$13)</f>
        <v>12.882300000000001</v>
      </c>
      <c r="F745" s="61">
        <f>12.8823 * CHOOSE(CONTROL!$C$22, $C$13, 100%, $E$13)</f>
        <v>12.882300000000001</v>
      </c>
      <c r="G745" s="61">
        <f>12.8844 * CHOOSE(CONTROL!$C$22, $C$13, 100%, $E$13)</f>
        <v>12.884399999999999</v>
      </c>
      <c r="H745" s="61">
        <f>22.2649* CHOOSE(CONTROL!$C$22, $C$13, 100%, $E$13)</f>
        <v>22.264900000000001</v>
      </c>
      <c r="I745" s="61">
        <f>22.2671 * CHOOSE(CONTROL!$C$22, $C$13, 100%, $E$13)</f>
        <v>22.267099999999999</v>
      </c>
      <c r="J745" s="61">
        <f>12.8823 * CHOOSE(CONTROL!$C$22, $C$13, 100%, $E$13)</f>
        <v>12.882300000000001</v>
      </c>
      <c r="K745" s="61">
        <f>12.8844 * CHOOSE(CONTROL!$C$22, $C$13, 100%, $E$13)</f>
        <v>12.884399999999999</v>
      </c>
    </row>
    <row r="746" spans="1:11" ht="15">
      <c r="A746" s="13">
        <v>64559</v>
      </c>
      <c r="B746" s="60">
        <f>10.8731 * CHOOSE(CONTROL!$C$22, $C$13, 100%, $E$13)</f>
        <v>10.873100000000001</v>
      </c>
      <c r="C746" s="60">
        <f>10.8731 * CHOOSE(CONTROL!$C$22, $C$13, 100%, $E$13)</f>
        <v>10.873100000000001</v>
      </c>
      <c r="D746" s="60">
        <f>10.8908 * CHOOSE(CONTROL!$C$22, $C$13, 100%, $E$13)</f>
        <v>10.8908</v>
      </c>
      <c r="E746" s="61">
        <f>12.9567 * CHOOSE(CONTROL!$C$22, $C$13, 100%, $E$13)</f>
        <v>12.9567</v>
      </c>
      <c r="F746" s="61">
        <f>12.9567 * CHOOSE(CONTROL!$C$22, $C$13, 100%, $E$13)</f>
        <v>12.9567</v>
      </c>
      <c r="G746" s="61">
        <f>12.9568 * CHOOSE(CONTROL!$C$22, $C$13, 100%, $E$13)</f>
        <v>12.956799999999999</v>
      </c>
      <c r="H746" s="61">
        <f>22.3113* CHOOSE(CONTROL!$C$22, $C$13, 100%, $E$13)</f>
        <v>22.311299999999999</v>
      </c>
      <c r="I746" s="61">
        <f>22.3115 * CHOOSE(CONTROL!$C$22, $C$13, 100%, $E$13)</f>
        <v>22.311499999999999</v>
      </c>
      <c r="J746" s="61">
        <f>12.9567 * CHOOSE(CONTROL!$C$22, $C$13, 100%, $E$13)</f>
        <v>12.9567</v>
      </c>
      <c r="K746" s="61">
        <f>12.9568 * CHOOSE(CONTROL!$C$22, $C$13, 100%, $E$13)</f>
        <v>12.956799999999999</v>
      </c>
    </row>
    <row r="747" spans="1:11" ht="15">
      <c r="A747" s="13">
        <v>64590</v>
      </c>
      <c r="B747" s="60">
        <f>10.8762 * CHOOSE(CONTROL!$C$22, $C$13, 100%, $E$13)</f>
        <v>10.876200000000001</v>
      </c>
      <c r="C747" s="60">
        <f>10.8762 * CHOOSE(CONTROL!$C$22, $C$13, 100%, $E$13)</f>
        <v>10.876200000000001</v>
      </c>
      <c r="D747" s="60">
        <f>10.8938 * CHOOSE(CONTROL!$C$22, $C$13, 100%, $E$13)</f>
        <v>10.893800000000001</v>
      </c>
      <c r="E747" s="61">
        <f>13.0027 * CHOOSE(CONTROL!$C$22, $C$13, 100%, $E$13)</f>
        <v>13.002700000000001</v>
      </c>
      <c r="F747" s="61">
        <f>13.0027 * CHOOSE(CONTROL!$C$22, $C$13, 100%, $E$13)</f>
        <v>13.002700000000001</v>
      </c>
      <c r="G747" s="61">
        <f>13.0029 * CHOOSE(CONTROL!$C$22, $C$13, 100%, $E$13)</f>
        <v>13.0029</v>
      </c>
      <c r="H747" s="61">
        <f>22.3578* CHOOSE(CONTROL!$C$22, $C$13, 100%, $E$13)</f>
        <v>22.357800000000001</v>
      </c>
      <c r="I747" s="61">
        <f>22.3579 * CHOOSE(CONTROL!$C$22, $C$13, 100%, $E$13)</f>
        <v>22.357900000000001</v>
      </c>
      <c r="J747" s="61">
        <f>13.0027 * CHOOSE(CONTROL!$C$22, $C$13, 100%, $E$13)</f>
        <v>13.002700000000001</v>
      </c>
      <c r="K747" s="61">
        <f>13.0029 * CHOOSE(CONTROL!$C$22, $C$13, 100%, $E$13)</f>
        <v>13.0029</v>
      </c>
    </row>
    <row r="748" spans="1:11" ht="15">
      <c r="A748" s="13">
        <v>64620</v>
      </c>
      <c r="B748" s="60">
        <f>10.8762 * CHOOSE(CONTROL!$C$22, $C$13, 100%, $E$13)</f>
        <v>10.876200000000001</v>
      </c>
      <c r="C748" s="60">
        <f>10.8762 * CHOOSE(CONTROL!$C$22, $C$13, 100%, $E$13)</f>
        <v>10.876200000000001</v>
      </c>
      <c r="D748" s="60">
        <f>10.8938 * CHOOSE(CONTROL!$C$22, $C$13, 100%, $E$13)</f>
        <v>10.893800000000001</v>
      </c>
      <c r="E748" s="61">
        <f>12.8929 * CHOOSE(CONTROL!$C$22, $C$13, 100%, $E$13)</f>
        <v>12.892899999999999</v>
      </c>
      <c r="F748" s="61">
        <f>12.8929 * CHOOSE(CONTROL!$C$22, $C$13, 100%, $E$13)</f>
        <v>12.892899999999999</v>
      </c>
      <c r="G748" s="61">
        <f>12.8931 * CHOOSE(CONTROL!$C$22, $C$13, 100%, $E$13)</f>
        <v>12.8931</v>
      </c>
      <c r="H748" s="61">
        <f>22.4043* CHOOSE(CONTROL!$C$22, $C$13, 100%, $E$13)</f>
        <v>22.404299999999999</v>
      </c>
      <c r="I748" s="61">
        <f>22.4045 * CHOOSE(CONTROL!$C$22, $C$13, 100%, $E$13)</f>
        <v>22.404499999999999</v>
      </c>
      <c r="J748" s="61">
        <f>12.8929 * CHOOSE(CONTROL!$C$22, $C$13, 100%, $E$13)</f>
        <v>12.892899999999999</v>
      </c>
      <c r="K748" s="61">
        <f>12.8931 * CHOOSE(CONTROL!$C$22, $C$13, 100%, $E$13)</f>
        <v>12.8931</v>
      </c>
    </row>
    <row r="749" spans="1:11" ht="15">
      <c r="A749" s="13">
        <v>64651</v>
      </c>
      <c r="B749" s="60">
        <f>10.8901 * CHOOSE(CONTROL!$C$22, $C$13, 100%, $E$13)</f>
        <v>10.8901</v>
      </c>
      <c r="C749" s="60">
        <f>10.8901 * CHOOSE(CONTROL!$C$22, $C$13, 100%, $E$13)</f>
        <v>10.8901</v>
      </c>
      <c r="D749" s="60">
        <f>10.9078 * CHOOSE(CONTROL!$C$22, $C$13, 100%, $E$13)</f>
        <v>10.9078</v>
      </c>
      <c r="E749" s="61">
        <f>12.9884 * CHOOSE(CONTROL!$C$22, $C$13, 100%, $E$13)</f>
        <v>12.9884</v>
      </c>
      <c r="F749" s="61">
        <f>12.9884 * CHOOSE(CONTROL!$C$22, $C$13, 100%, $E$13)</f>
        <v>12.9884</v>
      </c>
      <c r="G749" s="61">
        <f>12.9885 * CHOOSE(CONTROL!$C$22, $C$13, 100%, $E$13)</f>
        <v>12.9885</v>
      </c>
      <c r="H749" s="61">
        <f>22.2987* CHOOSE(CONTROL!$C$22, $C$13, 100%, $E$13)</f>
        <v>22.2987</v>
      </c>
      <c r="I749" s="61">
        <f>22.2989 * CHOOSE(CONTROL!$C$22, $C$13, 100%, $E$13)</f>
        <v>22.2989</v>
      </c>
      <c r="J749" s="61">
        <f>12.9884 * CHOOSE(CONTROL!$C$22, $C$13, 100%, $E$13)</f>
        <v>12.9884</v>
      </c>
      <c r="K749" s="61">
        <f>12.9885 * CHOOSE(CONTROL!$C$22, $C$13, 100%, $E$13)</f>
        <v>12.9885</v>
      </c>
    </row>
    <row r="750" spans="1:11" ht="15">
      <c r="A750" s="13">
        <v>64682</v>
      </c>
      <c r="B750" s="60">
        <f>10.8871 * CHOOSE(CONTROL!$C$22, $C$13, 100%, $E$13)</f>
        <v>10.8871</v>
      </c>
      <c r="C750" s="60">
        <f>10.8871 * CHOOSE(CONTROL!$C$22, $C$13, 100%, $E$13)</f>
        <v>10.8871</v>
      </c>
      <c r="D750" s="60">
        <f>10.9047 * CHOOSE(CONTROL!$C$22, $C$13, 100%, $E$13)</f>
        <v>10.9047</v>
      </c>
      <c r="E750" s="61">
        <f>12.7743 * CHOOSE(CONTROL!$C$22, $C$13, 100%, $E$13)</f>
        <v>12.7743</v>
      </c>
      <c r="F750" s="61">
        <f>12.7743 * CHOOSE(CONTROL!$C$22, $C$13, 100%, $E$13)</f>
        <v>12.7743</v>
      </c>
      <c r="G750" s="61">
        <f>12.7745 * CHOOSE(CONTROL!$C$22, $C$13, 100%, $E$13)</f>
        <v>12.7745</v>
      </c>
      <c r="H750" s="61">
        <f>22.3452* CHOOSE(CONTROL!$C$22, $C$13, 100%, $E$13)</f>
        <v>22.345199999999998</v>
      </c>
      <c r="I750" s="61">
        <f>22.3454 * CHOOSE(CONTROL!$C$22, $C$13, 100%, $E$13)</f>
        <v>22.345400000000001</v>
      </c>
      <c r="J750" s="61">
        <f>12.7743 * CHOOSE(CONTROL!$C$22, $C$13, 100%, $E$13)</f>
        <v>12.7743</v>
      </c>
      <c r="K750" s="61">
        <f>12.7745 * CHOOSE(CONTROL!$C$22, $C$13, 100%, $E$13)</f>
        <v>12.7745</v>
      </c>
    </row>
    <row r="751" spans="1:11" ht="15">
      <c r="A751" s="13">
        <v>64710</v>
      </c>
      <c r="B751" s="60">
        <f>10.884 * CHOOSE(CONTROL!$C$22, $C$13, 100%, $E$13)</f>
        <v>10.884</v>
      </c>
      <c r="C751" s="60">
        <f>10.884 * CHOOSE(CONTROL!$C$22, $C$13, 100%, $E$13)</f>
        <v>10.884</v>
      </c>
      <c r="D751" s="60">
        <f>10.9017 * CHOOSE(CONTROL!$C$22, $C$13, 100%, $E$13)</f>
        <v>10.9017</v>
      </c>
      <c r="E751" s="61">
        <f>12.9393 * CHOOSE(CONTROL!$C$22, $C$13, 100%, $E$13)</f>
        <v>12.939299999999999</v>
      </c>
      <c r="F751" s="61">
        <f>12.9393 * CHOOSE(CONTROL!$C$22, $C$13, 100%, $E$13)</f>
        <v>12.939299999999999</v>
      </c>
      <c r="G751" s="61">
        <f>12.9394 * CHOOSE(CONTROL!$C$22, $C$13, 100%, $E$13)</f>
        <v>12.939399999999999</v>
      </c>
      <c r="H751" s="61">
        <f>22.3917* CHOOSE(CONTROL!$C$22, $C$13, 100%, $E$13)</f>
        <v>22.3917</v>
      </c>
      <c r="I751" s="61">
        <f>22.3919 * CHOOSE(CONTROL!$C$22, $C$13, 100%, $E$13)</f>
        <v>22.3919</v>
      </c>
      <c r="J751" s="61">
        <f>12.9393 * CHOOSE(CONTROL!$C$22, $C$13, 100%, $E$13)</f>
        <v>12.939299999999999</v>
      </c>
      <c r="K751" s="61">
        <f>12.9394 * CHOOSE(CONTROL!$C$22, $C$13, 100%, $E$13)</f>
        <v>12.939399999999999</v>
      </c>
    </row>
    <row r="752" spans="1:11" ht="15">
      <c r="A752" s="13">
        <v>64741</v>
      </c>
      <c r="B752" s="60">
        <f>10.8885 * CHOOSE(CONTROL!$C$22, $C$13, 100%, $E$13)</f>
        <v>10.888500000000001</v>
      </c>
      <c r="C752" s="60">
        <f>10.8885 * CHOOSE(CONTROL!$C$22, $C$13, 100%, $E$13)</f>
        <v>10.888500000000001</v>
      </c>
      <c r="D752" s="60">
        <f>10.9061 * CHOOSE(CONTROL!$C$22, $C$13, 100%, $E$13)</f>
        <v>10.9061</v>
      </c>
      <c r="E752" s="61">
        <f>13.1145 * CHOOSE(CONTROL!$C$22, $C$13, 100%, $E$13)</f>
        <v>13.1145</v>
      </c>
      <c r="F752" s="61">
        <f>13.1145 * CHOOSE(CONTROL!$C$22, $C$13, 100%, $E$13)</f>
        <v>13.1145</v>
      </c>
      <c r="G752" s="61">
        <f>13.1146 * CHOOSE(CONTROL!$C$22, $C$13, 100%, $E$13)</f>
        <v>13.114599999999999</v>
      </c>
      <c r="H752" s="61">
        <f>22.4384* CHOOSE(CONTROL!$C$22, $C$13, 100%, $E$13)</f>
        <v>22.438400000000001</v>
      </c>
      <c r="I752" s="61">
        <f>22.4386 * CHOOSE(CONTROL!$C$22, $C$13, 100%, $E$13)</f>
        <v>22.438600000000001</v>
      </c>
      <c r="J752" s="61">
        <f>13.1145 * CHOOSE(CONTROL!$C$22, $C$13, 100%, $E$13)</f>
        <v>13.1145</v>
      </c>
      <c r="K752" s="61">
        <f>13.1146 * CHOOSE(CONTROL!$C$22, $C$13, 100%, $E$13)</f>
        <v>13.114599999999999</v>
      </c>
    </row>
    <row r="753" spans="1:11" ht="15">
      <c r="A753" s="13">
        <v>64771</v>
      </c>
      <c r="B753" s="60">
        <f>10.8885 * CHOOSE(CONTROL!$C$22, $C$13, 100%, $E$13)</f>
        <v>10.888500000000001</v>
      </c>
      <c r="C753" s="60">
        <f>10.8885 * CHOOSE(CONTROL!$C$22, $C$13, 100%, $E$13)</f>
        <v>10.888500000000001</v>
      </c>
      <c r="D753" s="60">
        <f>10.9238 * CHOOSE(CONTROL!$C$22, $C$13, 100%, $E$13)</f>
        <v>10.9238</v>
      </c>
      <c r="E753" s="61">
        <f>13.1817 * CHOOSE(CONTROL!$C$22, $C$13, 100%, $E$13)</f>
        <v>13.181699999999999</v>
      </c>
      <c r="F753" s="61">
        <f>13.1817 * CHOOSE(CONTROL!$C$22, $C$13, 100%, $E$13)</f>
        <v>13.181699999999999</v>
      </c>
      <c r="G753" s="61">
        <f>13.1839 * CHOOSE(CONTROL!$C$22, $C$13, 100%, $E$13)</f>
        <v>13.1839</v>
      </c>
      <c r="H753" s="61">
        <f>22.4851* CHOOSE(CONTROL!$C$22, $C$13, 100%, $E$13)</f>
        <v>22.485099999999999</v>
      </c>
      <c r="I753" s="61">
        <f>22.4873 * CHOOSE(CONTROL!$C$22, $C$13, 100%, $E$13)</f>
        <v>22.487300000000001</v>
      </c>
      <c r="J753" s="61">
        <f>13.1817 * CHOOSE(CONTROL!$C$22, $C$13, 100%, $E$13)</f>
        <v>13.181699999999999</v>
      </c>
      <c r="K753" s="61">
        <f>13.1839 * CHOOSE(CONTROL!$C$22, $C$13, 100%, $E$13)</f>
        <v>13.1839</v>
      </c>
    </row>
    <row r="754" spans="1:11" ht="15">
      <c r="A754" s="13">
        <v>64802</v>
      </c>
      <c r="B754" s="60">
        <f>10.8946 * CHOOSE(CONTROL!$C$22, $C$13, 100%, $E$13)</f>
        <v>10.894600000000001</v>
      </c>
      <c r="C754" s="60">
        <f>10.8946 * CHOOSE(CONTROL!$C$22, $C$13, 100%, $E$13)</f>
        <v>10.894600000000001</v>
      </c>
      <c r="D754" s="60">
        <f>10.9299 * CHOOSE(CONTROL!$C$22, $C$13, 100%, $E$13)</f>
        <v>10.9299</v>
      </c>
      <c r="E754" s="61">
        <f>13.1187 * CHOOSE(CONTROL!$C$22, $C$13, 100%, $E$13)</f>
        <v>13.1187</v>
      </c>
      <c r="F754" s="61">
        <f>13.1187 * CHOOSE(CONTROL!$C$22, $C$13, 100%, $E$13)</f>
        <v>13.1187</v>
      </c>
      <c r="G754" s="61">
        <f>13.1209 * CHOOSE(CONTROL!$C$22, $C$13, 100%, $E$13)</f>
        <v>13.120900000000001</v>
      </c>
      <c r="H754" s="61">
        <f>22.532* CHOOSE(CONTROL!$C$22, $C$13, 100%, $E$13)</f>
        <v>22.532</v>
      </c>
      <c r="I754" s="61">
        <f>22.5342 * CHOOSE(CONTROL!$C$22, $C$13, 100%, $E$13)</f>
        <v>22.534199999999998</v>
      </c>
      <c r="J754" s="61">
        <f>13.1187 * CHOOSE(CONTROL!$C$22, $C$13, 100%, $E$13)</f>
        <v>13.1187</v>
      </c>
      <c r="K754" s="61">
        <f>13.1209 * CHOOSE(CONTROL!$C$22, $C$13, 100%, $E$13)</f>
        <v>13.120900000000001</v>
      </c>
    </row>
    <row r="755" spans="1:11" ht="15">
      <c r="A755" s="13">
        <v>64832</v>
      </c>
      <c r="B755" s="60">
        <f>11.0477 * CHOOSE(CONTROL!$C$22, $C$13, 100%, $E$13)</f>
        <v>11.047700000000001</v>
      </c>
      <c r="C755" s="60">
        <f>11.0477 * CHOOSE(CONTROL!$C$22, $C$13, 100%, $E$13)</f>
        <v>11.047700000000001</v>
      </c>
      <c r="D755" s="60">
        <f>11.083 * CHOOSE(CONTROL!$C$22, $C$13, 100%, $E$13)</f>
        <v>11.083</v>
      </c>
      <c r="E755" s="61">
        <f>13.3584 * CHOOSE(CONTROL!$C$22, $C$13, 100%, $E$13)</f>
        <v>13.3584</v>
      </c>
      <c r="F755" s="61">
        <f>13.3584 * CHOOSE(CONTROL!$C$22, $C$13, 100%, $E$13)</f>
        <v>13.3584</v>
      </c>
      <c r="G755" s="61">
        <f>13.3606 * CHOOSE(CONTROL!$C$22, $C$13, 100%, $E$13)</f>
        <v>13.3606</v>
      </c>
      <c r="H755" s="61">
        <f>22.5789* CHOOSE(CONTROL!$C$22, $C$13, 100%, $E$13)</f>
        <v>22.578900000000001</v>
      </c>
      <c r="I755" s="61">
        <f>22.5811 * CHOOSE(CONTROL!$C$22, $C$13, 100%, $E$13)</f>
        <v>22.581099999999999</v>
      </c>
      <c r="J755" s="61">
        <f>13.3584 * CHOOSE(CONTROL!$C$22, $C$13, 100%, $E$13)</f>
        <v>13.3584</v>
      </c>
      <c r="K755" s="61">
        <f>13.3606 * CHOOSE(CONTROL!$C$22, $C$13, 100%, $E$13)</f>
        <v>13.3606</v>
      </c>
    </row>
    <row r="756" spans="1:11" ht="15">
      <c r="A756" s="13">
        <v>64863</v>
      </c>
      <c r="B756" s="60">
        <f>11.0544 * CHOOSE(CONTROL!$C$22, $C$13, 100%, $E$13)</f>
        <v>11.054399999999999</v>
      </c>
      <c r="C756" s="60">
        <f>11.0544 * CHOOSE(CONTROL!$C$22, $C$13, 100%, $E$13)</f>
        <v>11.054399999999999</v>
      </c>
      <c r="D756" s="60">
        <f>11.0897 * CHOOSE(CONTROL!$C$22, $C$13, 100%, $E$13)</f>
        <v>11.089700000000001</v>
      </c>
      <c r="E756" s="61">
        <f>13.1612 * CHOOSE(CONTROL!$C$22, $C$13, 100%, $E$13)</f>
        <v>13.161199999999999</v>
      </c>
      <c r="F756" s="61">
        <f>13.1612 * CHOOSE(CONTROL!$C$22, $C$13, 100%, $E$13)</f>
        <v>13.161199999999999</v>
      </c>
      <c r="G756" s="61">
        <f>13.1634 * CHOOSE(CONTROL!$C$22, $C$13, 100%, $E$13)</f>
        <v>13.163399999999999</v>
      </c>
      <c r="H756" s="61">
        <f>22.626* CHOOSE(CONTROL!$C$22, $C$13, 100%, $E$13)</f>
        <v>22.626000000000001</v>
      </c>
      <c r="I756" s="61">
        <f>22.6281 * CHOOSE(CONTROL!$C$22, $C$13, 100%, $E$13)</f>
        <v>22.6281</v>
      </c>
      <c r="J756" s="61">
        <f>13.1612 * CHOOSE(CONTROL!$C$22, $C$13, 100%, $E$13)</f>
        <v>13.161199999999999</v>
      </c>
      <c r="K756" s="61">
        <f>13.1634 * CHOOSE(CONTROL!$C$22, $C$13, 100%, $E$13)</f>
        <v>13.163399999999999</v>
      </c>
    </row>
    <row r="757" spans="1:11" ht="15">
      <c r="A757" s="13">
        <v>64894</v>
      </c>
      <c r="B757" s="60">
        <f>11.0514 * CHOOSE(CONTROL!$C$22, $C$13, 100%, $E$13)</f>
        <v>11.051399999999999</v>
      </c>
      <c r="C757" s="60">
        <f>11.0514 * CHOOSE(CONTROL!$C$22, $C$13, 100%, $E$13)</f>
        <v>11.051399999999999</v>
      </c>
      <c r="D757" s="60">
        <f>11.0867 * CHOOSE(CONTROL!$C$22, $C$13, 100%, $E$13)</f>
        <v>11.0867</v>
      </c>
      <c r="E757" s="61">
        <f>13.1366 * CHOOSE(CONTROL!$C$22, $C$13, 100%, $E$13)</f>
        <v>13.1366</v>
      </c>
      <c r="F757" s="61">
        <f>13.1366 * CHOOSE(CONTROL!$C$22, $C$13, 100%, $E$13)</f>
        <v>13.1366</v>
      </c>
      <c r="G757" s="61">
        <f>13.1388 * CHOOSE(CONTROL!$C$22, $C$13, 100%, $E$13)</f>
        <v>13.1388</v>
      </c>
      <c r="H757" s="61">
        <f>22.6731* CHOOSE(CONTROL!$C$22, $C$13, 100%, $E$13)</f>
        <v>22.673100000000002</v>
      </c>
      <c r="I757" s="61">
        <f>22.6753 * CHOOSE(CONTROL!$C$22, $C$13, 100%, $E$13)</f>
        <v>22.6753</v>
      </c>
      <c r="J757" s="61">
        <f>13.1366 * CHOOSE(CONTROL!$C$22, $C$13, 100%, $E$13)</f>
        <v>13.1366</v>
      </c>
      <c r="K757" s="61">
        <f>13.1388 * CHOOSE(CONTROL!$C$22, $C$13, 100%, $E$13)</f>
        <v>13.1388</v>
      </c>
    </row>
    <row r="758" spans="1:11" ht="15">
      <c r="A758" s="13">
        <v>64924</v>
      </c>
      <c r="B758" s="60">
        <f>11.0732 * CHOOSE(CONTROL!$C$22, $C$13, 100%, $E$13)</f>
        <v>11.0732</v>
      </c>
      <c r="C758" s="60">
        <f>11.0732 * CHOOSE(CONTROL!$C$22, $C$13, 100%, $E$13)</f>
        <v>11.0732</v>
      </c>
      <c r="D758" s="60">
        <f>11.0909 * CHOOSE(CONTROL!$C$22, $C$13, 100%, $E$13)</f>
        <v>11.0909</v>
      </c>
      <c r="E758" s="61">
        <f>13.2129 * CHOOSE(CONTROL!$C$22, $C$13, 100%, $E$13)</f>
        <v>13.212899999999999</v>
      </c>
      <c r="F758" s="61">
        <f>13.2129 * CHOOSE(CONTROL!$C$22, $C$13, 100%, $E$13)</f>
        <v>13.212899999999999</v>
      </c>
      <c r="G758" s="61">
        <f>13.2131 * CHOOSE(CONTROL!$C$22, $C$13, 100%, $E$13)</f>
        <v>13.213100000000001</v>
      </c>
      <c r="H758" s="61">
        <f>22.7203* CHOOSE(CONTROL!$C$22, $C$13, 100%, $E$13)</f>
        <v>22.720300000000002</v>
      </c>
      <c r="I758" s="61">
        <f>22.7205 * CHOOSE(CONTROL!$C$22, $C$13, 100%, $E$13)</f>
        <v>22.720500000000001</v>
      </c>
      <c r="J758" s="61">
        <f>13.2129 * CHOOSE(CONTROL!$C$22, $C$13, 100%, $E$13)</f>
        <v>13.212899999999999</v>
      </c>
      <c r="K758" s="61">
        <f>13.2131 * CHOOSE(CONTROL!$C$22, $C$13, 100%, $E$13)</f>
        <v>13.213100000000001</v>
      </c>
    </row>
    <row r="759" spans="1:11" ht="15">
      <c r="A759" s="13">
        <v>64955</v>
      </c>
      <c r="B759" s="60">
        <f>11.0762 * CHOOSE(CONTROL!$C$22, $C$13, 100%, $E$13)</f>
        <v>11.0762</v>
      </c>
      <c r="C759" s="60">
        <f>11.0762 * CHOOSE(CONTROL!$C$22, $C$13, 100%, $E$13)</f>
        <v>11.0762</v>
      </c>
      <c r="D759" s="60">
        <f>11.0939 * CHOOSE(CONTROL!$C$22, $C$13, 100%, $E$13)</f>
        <v>11.0939</v>
      </c>
      <c r="E759" s="61">
        <f>13.2599 * CHOOSE(CONTROL!$C$22, $C$13, 100%, $E$13)</f>
        <v>13.2599</v>
      </c>
      <c r="F759" s="61">
        <f>13.2599 * CHOOSE(CONTROL!$C$22, $C$13, 100%, $E$13)</f>
        <v>13.2599</v>
      </c>
      <c r="G759" s="61">
        <f>13.2601 * CHOOSE(CONTROL!$C$22, $C$13, 100%, $E$13)</f>
        <v>13.2601</v>
      </c>
      <c r="H759" s="61">
        <f>22.7677* CHOOSE(CONTROL!$C$22, $C$13, 100%, $E$13)</f>
        <v>22.767700000000001</v>
      </c>
      <c r="I759" s="61">
        <f>22.7678 * CHOOSE(CONTROL!$C$22, $C$13, 100%, $E$13)</f>
        <v>22.767800000000001</v>
      </c>
      <c r="J759" s="61">
        <f>13.2599 * CHOOSE(CONTROL!$C$22, $C$13, 100%, $E$13)</f>
        <v>13.2599</v>
      </c>
      <c r="K759" s="61">
        <f>13.2601 * CHOOSE(CONTROL!$C$22, $C$13, 100%, $E$13)</f>
        <v>13.2601</v>
      </c>
    </row>
    <row r="760" spans="1:11" ht="15">
      <c r="A760" s="13">
        <v>64985</v>
      </c>
      <c r="B760" s="60">
        <f>11.0762 * CHOOSE(CONTROL!$C$22, $C$13, 100%, $E$13)</f>
        <v>11.0762</v>
      </c>
      <c r="C760" s="60">
        <f>11.0762 * CHOOSE(CONTROL!$C$22, $C$13, 100%, $E$13)</f>
        <v>11.0762</v>
      </c>
      <c r="D760" s="60">
        <f>11.0939 * CHOOSE(CONTROL!$C$22, $C$13, 100%, $E$13)</f>
        <v>11.0939</v>
      </c>
      <c r="E760" s="61">
        <f>13.1478 * CHOOSE(CONTROL!$C$22, $C$13, 100%, $E$13)</f>
        <v>13.1478</v>
      </c>
      <c r="F760" s="61">
        <f>13.1478 * CHOOSE(CONTROL!$C$22, $C$13, 100%, $E$13)</f>
        <v>13.1478</v>
      </c>
      <c r="G760" s="61">
        <f>13.1479 * CHOOSE(CONTROL!$C$22, $C$13, 100%, $E$13)</f>
        <v>13.1479</v>
      </c>
      <c r="H760" s="61">
        <f>22.8151* CHOOSE(CONTROL!$C$22, $C$13, 100%, $E$13)</f>
        <v>22.815100000000001</v>
      </c>
      <c r="I760" s="61">
        <f>22.8153 * CHOOSE(CONTROL!$C$22, $C$13, 100%, $E$13)</f>
        <v>22.815300000000001</v>
      </c>
      <c r="J760" s="61">
        <f>13.1478 * CHOOSE(CONTROL!$C$22, $C$13, 100%, $E$13)</f>
        <v>13.1478</v>
      </c>
      <c r="K760" s="61">
        <f>13.1479 * CHOOSE(CONTROL!$C$22, $C$13, 100%, $E$13)</f>
        <v>13.1479</v>
      </c>
    </row>
    <row r="761" spans="1:11" ht="15">
      <c r="A761" s="13">
        <v>65016</v>
      </c>
      <c r="B761" s="60">
        <f>11.0867 * CHOOSE(CONTROL!$C$22, $C$13, 100%, $E$13)</f>
        <v>11.0867</v>
      </c>
      <c r="C761" s="60">
        <f>11.0867 * CHOOSE(CONTROL!$C$22, $C$13, 100%, $E$13)</f>
        <v>11.0867</v>
      </c>
      <c r="D761" s="60">
        <f>11.1044 * CHOOSE(CONTROL!$C$22, $C$13, 100%, $E$13)</f>
        <v>11.1044</v>
      </c>
      <c r="E761" s="61">
        <f>13.2402 * CHOOSE(CONTROL!$C$22, $C$13, 100%, $E$13)</f>
        <v>13.2402</v>
      </c>
      <c r="F761" s="61">
        <f>13.2402 * CHOOSE(CONTROL!$C$22, $C$13, 100%, $E$13)</f>
        <v>13.2402</v>
      </c>
      <c r="G761" s="61">
        <f>13.2404 * CHOOSE(CONTROL!$C$22, $C$13, 100%, $E$13)</f>
        <v>13.240399999999999</v>
      </c>
      <c r="H761" s="61">
        <f>22.7002* CHOOSE(CONTROL!$C$22, $C$13, 100%, $E$13)</f>
        <v>22.700199999999999</v>
      </c>
      <c r="I761" s="61">
        <f>22.7004 * CHOOSE(CONTROL!$C$22, $C$13, 100%, $E$13)</f>
        <v>22.700399999999998</v>
      </c>
      <c r="J761" s="61">
        <f>13.2402 * CHOOSE(CONTROL!$C$22, $C$13, 100%, $E$13)</f>
        <v>13.2402</v>
      </c>
      <c r="K761" s="61">
        <f>13.2404 * CHOOSE(CONTROL!$C$22, $C$13, 100%, $E$13)</f>
        <v>13.240399999999999</v>
      </c>
    </row>
    <row r="762" spans="1:11" ht="15">
      <c r="A762" s="13">
        <v>65047</v>
      </c>
      <c r="B762" s="60">
        <f>11.0837 * CHOOSE(CONTROL!$C$22, $C$13, 100%, $E$13)</f>
        <v>11.0837</v>
      </c>
      <c r="C762" s="60">
        <f>11.0837 * CHOOSE(CONTROL!$C$22, $C$13, 100%, $E$13)</f>
        <v>11.0837</v>
      </c>
      <c r="D762" s="60">
        <f>11.1013 * CHOOSE(CONTROL!$C$22, $C$13, 100%, $E$13)</f>
        <v>11.1013</v>
      </c>
      <c r="E762" s="61">
        <f>13.0217 * CHOOSE(CONTROL!$C$22, $C$13, 100%, $E$13)</f>
        <v>13.021699999999999</v>
      </c>
      <c r="F762" s="61">
        <f>13.0217 * CHOOSE(CONTROL!$C$22, $C$13, 100%, $E$13)</f>
        <v>13.021699999999999</v>
      </c>
      <c r="G762" s="61">
        <f>13.0219 * CHOOSE(CONTROL!$C$22, $C$13, 100%, $E$13)</f>
        <v>13.0219</v>
      </c>
      <c r="H762" s="61">
        <f>22.7475* CHOOSE(CONTROL!$C$22, $C$13, 100%, $E$13)</f>
        <v>22.747499999999999</v>
      </c>
      <c r="I762" s="61">
        <f>22.7477 * CHOOSE(CONTROL!$C$22, $C$13, 100%, $E$13)</f>
        <v>22.747699999999998</v>
      </c>
      <c r="J762" s="61">
        <f>13.0217 * CHOOSE(CONTROL!$C$22, $C$13, 100%, $E$13)</f>
        <v>13.021699999999999</v>
      </c>
      <c r="K762" s="61">
        <f>13.0219 * CHOOSE(CONTROL!$C$22, $C$13, 100%, $E$13)</f>
        <v>13.0219</v>
      </c>
    </row>
    <row r="763" spans="1:11" ht="15">
      <c r="A763" s="13">
        <v>65075</v>
      </c>
      <c r="B763" s="60">
        <f>11.0806 * CHOOSE(CONTROL!$C$22, $C$13, 100%, $E$13)</f>
        <v>11.0806</v>
      </c>
      <c r="C763" s="60">
        <f>11.0806 * CHOOSE(CONTROL!$C$22, $C$13, 100%, $E$13)</f>
        <v>11.0806</v>
      </c>
      <c r="D763" s="60">
        <f>11.0983 * CHOOSE(CONTROL!$C$22, $C$13, 100%, $E$13)</f>
        <v>11.0983</v>
      </c>
      <c r="E763" s="61">
        <f>13.1902 * CHOOSE(CONTROL!$C$22, $C$13, 100%, $E$13)</f>
        <v>13.190200000000001</v>
      </c>
      <c r="F763" s="61">
        <f>13.1902 * CHOOSE(CONTROL!$C$22, $C$13, 100%, $E$13)</f>
        <v>13.190200000000001</v>
      </c>
      <c r="G763" s="61">
        <f>13.1903 * CHOOSE(CONTROL!$C$22, $C$13, 100%, $E$13)</f>
        <v>13.190300000000001</v>
      </c>
      <c r="H763" s="61">
        <f>22.7949* CHOOSE(CONTROL!$C$22, $C$13, 100%, $E$13)</f>
        <v>22.794899999999998</v>
      </c>
      <c r="I763" s="61">
        <f>22.7951 * CHOOSE(CONTROL!$C$22, $C$13, 100%, $E$13)</f>
        <v>22.795100000000001</v>
      </c>
      <c r="J763" s="61">
        <f>13.1902 * CHOOSE(CONTROL!$C$22, $C$13, 100%, $E$13)</f>
        <v>13.190200000000001</v>
      </c>
      <c r="K763" s="61">
        <f>13.1903 * CHOOSE(CONTROL!$C$22, $C$13, 100%, $E$13)</f>
        <v>13.190300000000001</v>
      </c>
    </row>
    <row r="764" spans="1:11" ht="15">
      <c r="A764" s="13">
        <v>65106</v>
      </c>
      <c r="B764" s="60">
        <f>11.0853 * CHOOSE(CONTROL!$C$22, $C$13, 100%, $E$13)</f>
        <v>11.0853</v>
      </c>
      <c r="C764" s="60">
        <f>11.0853 * CHOOSE(CONTROL!$C$22, $C$13, 100%, $E$13)</f>
        <v>11.0853</v>
      </c>
      <c r="D764" s="60">
        <f>11.1029 * CHOOSE(CONTROL!$C$22, $C$13, 100%, $E$13)</f>
        <v>11.1029</v>
      </c>
      <c r="E764" s="61">
        <f>13.3691 * CHOOSE(CONTROL!$C$22, $C$13, 100%, $E$13)</f>
        <v>13.3691</v>
      </c>
      <c r="F764" s="61">
        <f>13.3691 * CHOOSE(CONTROL!$C$22, $C$13, 100%, $E$13)</f>
        <v>13.3691</v>
      </c>
      <c r="G764" s="61">
        <f>13.3693 * CHOOSE(CONTROL!$C$22, $C$13, 100%, $E$13)</f>
        <v>13.369300000000001</v>
      </c>
      <c r="H764" s="61">
        <f>22.8424* CHOOSE(CONTROL!$C$22, $C$13, 100%, $E$13)</f>
        <v>22.842400000000001</v>
      </c>
      <c r="I764" s="61">
        <f>22.8425 * CHOOSE(CONTROL!$C$22, $C$13, 100%, $E$13)</f>
        <v>22.842500000000001</v>
      </c>
      <c r="J764" s="61">
        <f>13.3691 * CHOOSE(CONTROL!$C$22, $C$13, 100%, $E$13)</f>
        <v>13.3691</v>
      </c>
      <c r="K764" s="61">
        <f>13.3693 * CHOOSE(CONTROL!$C$22, $C$13, 100%, $E$13)</f>
        <v>13.369300000000001</v>
      </c>
    </row>
    <row r="765" spans="1:11" ht="15">
      <c r="A765" s="13">
        <v>65136</v>
      </c>
      <c r="B765" s="60">
        <f>11.0853 * CHOOSE(CONTROL!$C$22, $C$13, 100%, $E$13)</f>
        <v>11.0853</v>
      </c>
      <c r="C765" s="60">
        <f>11.0853 * CHOOSE(CONTROL!$C$22, $C$13, 100%, $E$13)</f>
        <v>11.0853</v>
      </c>
      <c r="D765" s="60">
        <f>11.1206 * CHOOSE(CONTROL!$C$22, $C$13, 100%, $E$13)</f>
        <v>11.1206</v>
      </c>
      <c r="E765" s="61">
        <f>13.4378 * CHOOSE(CONTROL!$C$22, $C$13, 100%, $E$13)</f>
        <v>13.437799999999999</v>
      </c>
      <c r="F765" s="61">
        <f>13.4378 * CHOOSE(CONTROL!$C$22, $C$13, 100%, $E$13)</f>
        <v>13.437799999999999</v>
      </c>
      <c r="G765" s="61">
        <f>13.44 * CHOOSE(CONTROL!$C$22, $C$13, 100%, $E$13)</f>
        <v>13.44</v>
      </c>
      <c r="H765" s="61">
        <f>22.89* CHOOSE(CONTROL!$C$22, $C$13, 100%, $E$13)</f>
        <v>22.89</v>
      </c>
      <c r="I765" s="61">
        <f>22.8921 * CHOOSE(CONTROL!$C$22, $C$13, 100%, $E$13)</f>
        <v>22.892099999999999</v>
      </c>
      <c r="J765" s="61">
        <f>13.4378 * CHOOSE(CONTROL!$C$22, $C$13, 100%, $E$13)</f>
        <v>13.437799999999999</v>
      </c>
      <c r="K765" s="61">
        <f>13.44 * CHOOSE(CONTROL!$C$22, $C$13, 100%, $E$13)</f>
        <v>13.44</v>
      </c>
    </row>
    <row r="766" spans="1:11" ht="15">
      <c r="A766" s="13">
        <v>65167</v>
      </c>
      <c r="B766" s="60">
        <f>11.0914 * CHOOSE(CONTROL!$C$22, $C$13, 100%, $E$13)</f>
        <v>11.0914</v>
      </c>
      <c r="C766" s="60">
        <f>11.0914 * CHOOSE(CONTROL!$C$22, $C$13, 100%, $E$13)</f>
        <v>11.0914</v>
      </c>
      <c r="D766" s="60">
        <f>11.1267 * CHOOSE(CONTROL!$C$22, $C$13, 100%, $E$13)</f>
        <v>11.1267</v>
      </c>
      <c r="E766" s="61">
        <f>13.3734 * CHOOSE(CONTROL!$C$22, $C$13, 100%, $E$13)</f>
        <v>13.3734</v>
      </c>
      <c r="F766" s="61">
        <f>13.3734 * CHOOSE(CONTROL!$C$22, $C$13, 100%, $E$13)</f>
        <v>13.3734</v>
      </c>
      <c r="G766" s="61">
        <f>13.3756 * CHOOSE(CONTROL!$C$22, $C$13, 100%, $E$13)</f>
        <v>13.3756</v>
      </c>
      <c r="H766" s="61">
        <f>22.9376* CHOOSE(CONTROL!$C$22, $C$13, 100%, $E$13)</f>
        <v>22.9376</v>
      </c>
      <c r="I766" s="61">
        <f>22.9398 * CHOOSE(CONTROL!$C$22, $C$13, 100%, $E$13)</f>
        <v>22.939800000000002</v>
      </c>
      <c r="J766" s="61">
        <f>13.3734 * CHOOSE(CONTROL!$C$22, $C$13, 100%, $E$13)</f>
        <v>13.3734</v>
      </c>
      <c r="K766" s="61">
        <f>13.3756 * CHOOSE(CONTROL!$C$22, $C$13, 100%, $E$13)</f>
        <v>13.3756</v>
      </c>
    </row>
    <row r="767" spans="1:11" ht="15">
      <c r="A767" s="13">
        <v>65197</v>
      </c>
      <c r="B767" s="60">
        <f>11.247 * CHOOSE(CONTROL!$C$22, $C$13, 100%, $E$13)</f>
        <v>11.247</v>
      </c>
      <c r="C767" s="60">
        <f>11.247 * CHOOSE(CONTROL!$C$22, $C$13, 100%, $E$13)</f>
        <v>11.247</v>
      </c>
      <c r="D767" s="60">
        <f>11.2823 * CHOOSE(CONTROL!$C$22, $C$13, 100%, $E$13)</f>
        <v>11.282299999999999</v>
      </c>
      <c r="E767" s="61">
        <f>13.6175 * CHOOSE(CONTROL!$C$22, $C$13, 100%, $E$13)</f>
        <v>13.6175</v>
      </c>
      <c r="F767" s="61">
        <f>13.6175 * CHOOSE(CONTROL!$C$22, $C$13, 100%, $E$13)</f>
        <v>13.6175</v>
      </c>
      <c r="G767" s="61">
        <f>13.6197 * CHOOSE(CONTROL!$C$22, $C$13, 100%, $E$13)</f>
        <v>13.6197</v>
      </c>
      <c r="H767" s="61">
        <f>22.9854* CHOOSE(CONTROL!$C$22, $C$13, 100%, $E$13)</f>
        <v>22.985399999999998</v>
      </c>
      <c r="I767" s="61">
        <f>22.9876 * CHOOSE(CONTROL!$C$22, $C$13, 100%, $E$13)</f>
        <v>22.9876</v>
      </c>
      <c r="J767" s="61">
        <f>13.6175 * CHOOSE(CONTROL!$C$22, $C$13, 100%, $E$13)</f>
        <v>13.6175</v>
      </c>
      <c r="K767" s="61">
        <f>13.6197 * CHOOSE(CONTROL!$C$22, $C$13, 100%, $E$13)</f>
        <v>13.6197</v>
      </c>
    </row>
    <row r="768" spans="1:11" ht="15">
      <c r="A768" s="13">
        <v>65228</v>
      </c>
      <c r="B768" s="60">
        <f>11.2537 * CHOOSE(CONTROL!$C$22, $C$13, 100%, $E$13)</f>
        <v>11.2537</v>
      </c>
      <c r="C768" s="60">
        <f>11.2537 * CHOOSE(CONTROL!$C$22, $C$13, 100%, $E$13)</f>
        <v>11.2537</v>
      </c>
      <c r="D768" s="60">
        <f>11.289 * CHOOSE(CONTROL!$C$22, $C$13, 100%, $E$13)</f>
        <v>11.289</v>
      </c>
      <c r="E768" s="61">
        <f>13.416 * CHOOSE(CONTROL!$C$22, $C$13, 100%, $E$13)</f>
        <v>13.416</v>
      </c>
      <c r="F768" s="61">
        <f>13.416 * CHOOSE(CONTROL!$C$22, $C$13, 100%, $E$13)</f>
        <v>13.416</v>
      </c>
      <c r="G768" s="61">
        <f>13.4182 * CHOOSE(CONTROL!$C$22, $C$13, 100%, $E$13)</f>
        <v>13.418200000000001</v>
      </c>
      <c r="H768" s="61">
        <f>23.0333* CHOOSE(CONTROL!$C$22, $C$13, 100%, $E$13)</f>
        <v>23.033300000000001</v>
      </c>
      <c r="I768" s="61">
        <f>23.0355 * CHOOSE(CONTROL!$C$22, $C$13, 100%, $E$13)</f>
        <v>23.035499999999999</v>
      </c>
      <c r="J768" s="61">
        <f>13.416 * CHOOSE(CONTROL!$C$22, $C$13, 100%, $E$13)</f>
        <v>13.416</v>
      </c>
      <c r="K768" s="61">
        <f>13.4182 * CHOOSE(CONTROL!$C$22, $C$13, 100%, $E$13)</f>
        <v>13.418200000000001</v>
      </c>
    </row>
    <row r="769" spans="1:11" ht="15">
      <c r="A769" s="13">
        <v>65259</v>
      </c>
      <c r="B769" s="60">
        <f>11.2507 * CHOOSE(CONTROL!$C$22, $C$13, 100%, $E$13)</f>
        <v>11.2507</v>
      </c>
      <c r="C769" s="60">
        <f>11.2507 * CHOOSE(CONTROL!$C$22, $C$13, 100%, $E$13)</f>
        <v>11.2507</v>
      </c>
      <c r="D769" s="60">
        <f>11.286 * CHOOSE(CONTROL!$C$22, $C$13, 100%, $E$13)</f>
        <v>11.286</v>
      </c>
      <c r="E769" s="61">
        <f>13.391 * CHOOSE(CONTROL!$C$22, $C$13, 100%, $E$13)</f>
        <v>13.391</v>
      </c>
      <c r="F769" s="61">
        <f>13.391 * CHOOSE(CONTROL!$C$22, $C$13, 100%, $E$13)</f>
        <v>13.391</v>
      </c>
      <c r="G769" s="61">
        <f>13.3932 * CHOOSE(CONTROL!$C$22, $C$13, 100%, $E$13)</f>
        <v>13.3932</v>
      </c>
      <c r="H769" s="61">
        <f>23.0813* CHOOSE(CONTROL!$C$22, $C$13, 100%, $E$13)</f>
        <v>23.081299999999999</v>
      </c>
      <c r="I769" s="61">
        <f>23.0835 * CHOOSE(CONTROL!$C$22, $C$13, 100%, $E$13)</f>
        <v>23.083500000000001</v>
      </c>
      <c r="J769" s="61">
        <f>13.391 * CHOOSE(CONTROL!$C$22, $C$13, 100%, $E$13)</f>
        <v>13.391</v>
      </c>
      <c r="K769" s="61">
        <f>13.3932 * CHOOSE(CONTROL!$C$22, $C$13, 100%, $E$13)</f>
        <v>13.3932</v>
      </c>
    </row>
    <row r="770" spans="1:11" ht="15">
      <c r="A770" s="13">
        <v>65289</v>
      </c>
      <c r="B770" s="60">
        <f>11.2733 * CHOOSE(CONTROL!$C$22, $C$13, 100%, $E$13)</f>
        <v>11.273300000000001</v>
      </c>
      <c r="C770" s="60">
        <f>11.2733 * CHOOSE(CONTROL!$C$22, $C$13, 100%, $E$13)</f>
        <v>11.273300000000001</v>
      </c>
      <c r="D770" s="60">
        <f>11.2909 * CHOOSE(CONTROL!$C$22, $C$13, 100%, $E$13)</f>
        <v>11.290900000000001</v>
      </c>
      <c r="E770" s="61">
        <f>13.4692 * CHOOSE(CONTROL!$C$22, $C$13, 100%, $E$13)</f>
        <v>13.469200000000001</v>
      </c>
      <c r="F770" s="61">
        <f>13.4692 * CHOOSE(CONTROL!$C$22, $C$13, 100%, $E$13)</f>
        <v>13.469200000000001</v>
      </c>
      <c r="G770" s="61">
        <f>13.4694 * CHOOSE(CONTROL!$C$22, $C$13, 100%, $E$13)</f>
        <v>13.4694</v>
      </c>
      <c r="H770" s="61">
        <f>23.1294* CHOOSE(CONTROL!$C$22, $C$13, 100%, $E$13)</f>
        <v>23.1294</v>
      </c>
      <c r="I770" s="61">
        <f>23.1296 * CHOOSE(CONTROL!$C$22, $C$13, 100%, $E$13)</f>
        <v>23.1296</v>
      </c>
      <c r="J770" s="61">
        <f>13.4692 * CHOOSE(CONTROL!$C$22, $C$13, 100%, $E$13)</f>
        <v>13.469200000000001</v>
      </c>
      <c r="K770" s="61">
        <f>13.4694 * CHOOSE(CONTROL!$C$22, $C$13, 100%, $E$13)</f>
        <v>13.4694</v>
      </c>
    </row>
    <row r="771" spans="1:11" ht="15">
      <c r="A771" s="13">
        <v>65320</v>
      </c>
      <c r="B771" s="60">
        <f>11.2763 * CHOOSE(CONTROL!$C$22, $C$13, 100%, $E$13)</f>
        <v>11.276300000000001</v>
      </c>
      <c r="C771" s="60">
        <f>11.2763 * CHOOSE(CONTROL!$C$22, $C$13, 100%, $E$13)</f>
        <v>11.276300000000001</v>
      </c>
      <c r="D771" s="60">
        <f>11.294 * CHOOSE(CONTROL!$C$22, $C$13, 100%, $E$13)</f>
        <v>11.294</v>
      </c>
      <c r="E771" s="61">
        <f>13.5171 * CHOOSE(CONTROL!$C$22, $C$13, 100%, $E$13)</f>
        <v>13.517099999999999</v>
      </c>
      <c r="F771" s="61">
        <f>13.5171 * CHOOSE(CONTROL!$C$22, $C$13, 100%, $E$13)</f>
        <v>13.517099999999999</v>
      </c>
      <c r="G771" s="61">
        <f>13.5173 * CHOOSE(CONTROL!$C$22, $C$13, 100%, $E$13)</f>
        <v>13.517300000000001</v>
      </c>
      <c r="H771" s="61">
        <f>23.1776* CHOOSE(CONTROL!$C$22, $C$13, 100%, $E$13)</f>
        <v>23.177600000000002</v>
      </c>
      <c r="I771" s="61">
        <f>23.1778 * CHOOSE(CONTROL!$C$22, $C$13, 100%, $E$13)</f>
        <v>23.177800000000001</v>
      </c>
      <c r="J771" s="61">
        <f>13.5171 * CHOOSE(CONTROL!$C$22, $C$13, 100%, $E$13)</f>
        <v>13.517099999999999</v>
      </c>
      <c r="K771" s="61">
        <f>13.5173 * CHOOSE(CONTROL!$C$22, $C$13, 100%, $E$13)</f>
        <v>13.517300000000001</v>
      </c>
    </row>
    <row r="772" spans="1:11" ht="15">
      <c r="A772" s="13">
        <v>65350</v>
      </c>
      <c r="B772" s="60">
        <f>11.2763 * CHOOSE(CONTROL!$C$22, $C$13, 100%, $E$13)</f>
        <v>11.276300000000001</v>
      </c>
      <c r="C772" s="60">
        <f>11.2763 * CHOOSE(CONTROL!$C$22, $C$13, 100%, $E$13)</f>
        <v>11.276300000000001</v>
      </c>
      <c r="D772" s="60">
        <f>11.294 * CHOOSE(CONTROL!$C$22, $C$13, 100%, $E$13)</f>
        <v>11.294</v>
      </c>
      <c r="E772" s="61">
        <f>13.4026 * CHOOSE(CONTROL!$C$22, $C$13, 100%, $E$13)</f>
        <v>13.4026</v>
      </c>
      <c r="F772" s="61">
        <f>13.4026 * CHOOSE(CONTROL!$C$22, $C$13, 100%, $E$13)</f>
        <v>13.4026</v>
      </c>
      <c r="G772" s="61">
        <f>13.4028 * CHOOSE(CONTROL!$C$22, $C$13, 100%, $E$13)</f>
        <v>13.402799999999999</v>
      </c>
      <c r="H772" s="61">
        <f>23.2259* CHOOSE(CONTROL!$C$22, $C$13, 100%, $E$13)</f>
        <v>23.225899999999999</v>
      </c>
      <c r="I772" s="61">
        <f>23.226 * CHOOSE(CONTROL!$C$22, $C$13, 100%, $E$13)</f>
        <v>23.225999999999999</v>
      </c>
      <c r="J772" s="61">
        <f>13.4026 * CHOOSE(CONTROL!$C$22, $C$13, 100%, $E$13)</f>
        <v>13.4026</v>
      </c>
      <c r="K772" s="61">
        <f>13.4028 * CHOOSE(CONTROL!$C$22, $C$13, 100%, $E$13)</f>
        <v>13.402799999999999</v>
      </c>
    </row>
    <row r="773" spans="1:11" ht="15">
      <c r="A773" s="13">
        <v>65381</v>
      </c>
      <c r="B773" s="60">
        <f>11.2833 * CHOOSE(CONTROL!$C$22, $C$13, 100%, $E$13)</f>
        <v>11.283300000000001</v>
      </c>
      <c r="C773" s="60">
        <f>11.2833 * CHOOSE(CONTROL!$C$22, $C$13, 100%, $E$13)</f>
        <v>11.283300000000001</v>
      </c>
      <c r="D773" s="60">
        <f>11.301 * CHOOSE(CONTROL!$C$22, $C$13, 100%, $E$13)</f>
        <v>11.301</v>
      </c>
      <c r="E773" s="61">
        <f>13.492 * CHOOSE(CONTROL!$C$22, $C$13, 100%, $E$13)</f>
        <v>13.492000000000001</v>
      </c>
      <c r="F773" s="61">
        <f>13.492 * CHOOSE(CONTROL!$C$22, $C$13, 100%, $E$13)</f>
        <v>13.492000000000001</v>
      </c>
      <c r="G773" s="61">
        <f>13.4922 * CHOOSE(CONTROL!$C$22, $C$13, 100%, $E$13)</f>
        <v>13.4922</v>
      </c>
      <c r="H773" s="61">
        <f>23.1017* CHOOSE(CONTROL!$C$22, $C$13, 100%, $E$13)</f>
        <v>23.101700000000001</v>
      </c>
      <c r="I773" s="61">
        <f>23.1018 * CHOOSE(CONTROL!$C$22, $C$13, 100%, $E$13)</f>
        <v>23.101800000000001</v>
      </c>
      <c r="J773" s="61">
        <f>13.492 * CHOOSE(CONTROL!$C$22, $C$13, 100%, $E$13)</f>
        <v>13.492000000000001</v>
      </c>
      <c r="K773" s="61">
        <f>13.4922 * CHOOSE(CONTROL!$C$22, $C$13, 100%, $E$13)</f>
        <v>13.4922</v>
      </c>
    </row>
    <row r="774" spans="1:11" ht="15">
      <c r="A774" s="13">
        <v>65412</v>
      </c>
      <c r="B774" s="60">
        <f>11.2803 * CHOOSE(CONTROL!$C$22, $C$13, 100%, $E$13)</f>
        <v>11.2803</v>
      </c>
      <c r="C774" s="60">
        <f>11.2803 * CHOOSE(CONTROL!$C$22, $C$13, 100%, $E$13)</f>
        <v>11.2803</v>
      </c>
      <c r="D774" s="60">
        <f>11.298 * CHOOSE(CONTROL!$C$22, $C$13, 100%, $E$13)</f>
        <v>11.298</v>
      </c>
      <c r="E774" s="61">
        <f>13.2691 * CHOOSE(CONTROL!$C$22, $C$13, 100%, $E$13)</f>
        <v>13.2691</v>
      </c>
      <c r="F774" s="61">
        <f>13.2691 * CHOOSE(CONTROL!$C$22, $C$13, 100%, $E$13)</f>
        <v>13.2691</v>
      </c>
      <c r="G774" s="61">
        <f>13.2692 * CHOOSE(CONTROL!$C$22, $C$13, 100%, $E$13)</f>
        <v>13.2692</v>
      </c>
      <c r="H774" s="61">
        <f>23.1498* CHOOSE(CONTROL!$C$22, $C$13, 100%, $E$13)</f>
        <v>23.149799999999999</v>
      </c>
      <c r="I774" s="61">
        <f>23.15 * CHOOSE(CONTROL!$C$22, $C$13, 100%, $E$13)</f>
        <v>23.15</v>
      </c>
      <c r="J774" s="61">
        <f>13.2691 * CHOOSE(CONTROL!$C$22, $C$13, 100%, $E$13)</f>
        <v>13.2691</v>
      </c>
      <c r="K774" s="61">
        <f>13.2692 * CHOOSE(CONTROL!$C$22, $C$13, 100%, $E$13)</f>
        <v>13.2692</v>
      </c>
    </row>
    <row r="775" spans="1:11" ht="15">
      <c r="A775" s="13">
        <v>65440</v>
      </c>
      <c r="B775" s="60">
        <f>11.2773 * CHOOSE(CONTROL!$C$22, $C$13, 100%, $E$13)</f>
        <v>11.2773</v>
      </c>
      <c r="C775" s="60">
        <f>11.2773 * CHOOSE(CONTROL!$C$22, $C$13, 100%, $E$13)</f>
        <v>11.2773</v>
      </c>
      <c r="D775" s="60">
        <f>11.2949 * CHOOSE(CONTROL!$C$22, $C$13, 100%, $E$13)</f>
        <v>11.2949</v>
      </c>
      <c r="E775" s="61">
        <f>13.4411 * CHOOSE(CONTROL!$C$22, $C$13, 100%, $E$13)</f>
        <v>13.4411</v>
      </c>
      <c r="F775" s="61">
        <f>13.4411 * CHOOSE(CONTROL!$C$22, $C$13, 100%, $E$13)</f>
        <v>13.4411</v>
      </c>
      <c r="G775" s="61">
        <f>13.4412 * CHOOSE(CONTROL!$C$22, $C$13, 100%, $E$13)</f>
        <v>13.4412</v>
      </c>
      <c r="H775" s="61">
        <f>23.198* CHOOSE(CONTROL!$C$22, $C$13, 100%, $E$13)</f>
        <v>23.198</v>
      </c>
      <c r="I775" s="61">
        <f>23.1982 * CHOOSE(CONTROL!$C$22, $C$13, 100%, $E$13)</f>
        <v>23.1982</v>
      </c>
      <c r="J775" s="61">
        <f>13.4411 * CHOOSE(CONTROL!$C$22, $C$13, 100%, $E$13)</f>
        <v>13.4411</v>
      </c>
      <c r="K775" s="61">
        <f>13.4412 * CHOOSE(CONTROL!$C$22, $C$13, 100%, $E$13)</f>
        <v>13.4412</v>
      </c>
    </row>
    <row r="776" spans="1:11" ht="15">
      <c r="A776" s="13">
        <v>65471</v>
      </c>
      <c r="B776" s="60">
        <f>11.2821 * CHOOSE(CONTROL!$C$22, $C$13, 100%, $E$13)</f>
        <v>11.2821</v>
      </c>
      <c r="C776" s="60">
        <f>11.2821 * CHOOSE(CONTROL!$C$22, $C$13, 100%, $E$13)</f>
        <v>11.2821</v>
      </c>
      <c r="D776" s="60">
        <f>11.2998 * CHOOSE(CONTROL!$C$22, $C$13, 100%, $E$13)</f>
        <v>11.299799999999999</v>
      </c>
      <c r="E776" s="61">
        <f>13.6238 * CHOOSE(CONTROL!$C$22, $C$13, 100%, $E$13)</f>
        <v>13.623799999999999</v>
      </c>
      <c r="F776" s="61">
        <f>13.6238 * CHOOSE(CONTROL!$C$22, $C$13, 100%, $E$13)</f>
        <v>13.623799999999999</v>
      </c>
      <c r="G776" s="61">
        <f>13.624 * CHOOSE(CONTROL!$C$22, $C$13, 100%, $E$13)</f>
        <v>13.624000000000001</v>
      </c>
      <c r="H776" s="61">
        <f>23.2463* CHOOSE(CONTROL!$C$22, $C$13, 100%, $E$13)</f>
        <v>23.246300000000002</v>
      </c>
      <c r="I776" s="61">
        <f>23.2465 * CHOOSE(CONTROL!$C$22, $C$13, 100%, $E$13)</f>
        <v>23.246500000000001</v>
      </c>
      <c r="J776" s="61">
        <f>13.6238 * CHOOSE(CONTROL!$C$22, $C$13, 100%, $E$13)</f>
        <v>13.623799999999999</v>
      </c>
      <c r="K776" s="61">
        <f>13.624 * CHOOSE(CONTROL!$C$22, $C$13, 100%, $E$13)</f>
        <v>13.624000000000001</v>
      </c>
    </row>
    <row r="777" spans="1:11" ht="15">
      <c r="A777" s="13">
        <v>65501</v>
      </c>
      <c r="B777" s="60">
        <f>11.2821 * CHOOSE(CONTROL!$C$22, $C$13, 100%, $E$13)</f>
        <v>11.2821</v>
      </c>
      <c r="C777" s="60">
        <f>11.2821 * CHOOSE(CONTROL!$C$22, $C$13, 100%, $E$13)</f>
        <v>11.2821</v>
      </c>
      <c r="D777" s="60">
        <f>11.3174 * CHOOSE(CONTROL!$C$22, $C$13, 100%, $E$13)</f>
        <v>11.317399999999999</v>
      </c>
      <c r="E777" s="61">
        <f>13.6939 * CHOOSE(CONTROL!$C$22, $C$13, 100%, $E$13)</f>
        <v>13.693899999999999</v>
      </c>
      <c r="F777" s="61">
        <f>13.6939 * CHOOSE(CONTROL!$C$22, $C$13, 100%, $E$13)</f>
        <v>13.693899999999999</v>
      </c>
      <c r="G777" s="61">
        <f>13.6961 * CHOOSE(CONTROL!$C$22, $C$13, 100%, $E$13)</f>
        <v>13.696099999999999</v>
      </c>
      <c r="H777" s="61">
        <f>23.2948* CHOOSE(CONTROL!$C$22, $C$13, 100%, $E$13)</f>
        <v>23.294799999999999</v>
      </c>
      <c r="I777" s="61">
        <f>23.297 * CHOOSE(CONTROL!$C$22, $C$13, 100%, $E$13)</f>
        <v>23.297000000000001</v>
      </c>
      <c r="J777" s="61">
        <f>13.6939 * CHOOSE(CONTROL!$C$22, $C$13, 100%, $E$13)</f>
        <v>13.693899999999999</v>
      </c>
      <c r="K777" s="61">
        <f>13.6961 * CHOOSE(CONTROL!$C$22, $C$13, 100%, $E$13)</f>
        <v>13.696099999999999</v>
      </c>
    </row>
    <row r="778" spans="1:11" ht="15">
      <c r="A778" s="13">
        <v>65532</v>
      </c>
      <c r="B778" s="60">
        <f>11.2882 * CHOOSE(CONTROL!$C$22, $C$13, 100%, $E$13)</f>
        <v>11.2882</v>
      </c>
      <c r="C778" s="60">
        <f>11.2882 * CHOOSE(CONTROL!$C$22, $C$13, 100%, $E$13)</f>
        <v>11.2882</v>
      </c>
      <c r="D778" s="60">
        <f>11.3235 * CHOOSE(CONTROL!$C$22, $C$13, 100%, $E$13)</f>
        <v>11.323499999999999</v>
      </c>
      <c r="E778" s="61">
        <f>13.628 * CHOOSE(CONTROL!$C$22, $C$13, 100%, $E$13)</f>
        <v>13.628</v>
      </c>
      <c r="F778" s="61">
        <f>13.628 * CHOOSE(CONTROL!$C$22, $C$13, 100%, $E$13)</f>
        <v>13.628</v>
      </c>
      <c r="G778" s="61">
        <f>13.6302 * CHOOSE(CONTROL!$C$22, $C$13, 100%, $E$13)</f>
        <v>13.6302</v>
      </c>
      <c r="H778" s="61">
        <f>23.3433* CHOOSE(CONTROL!$C$22, $C$13, 100%, $E$13)</f>
        <v>23.343299999999999</v>
      </c>
      <c r="I778" s="61">
        <f>23.3455 * CHOOSE(CONTROL!$C$22, $C$13, 100%, $E$13)</f>
        <v>23.345500000000001</v>
      </c>
      <c r="J778" s="61">
        <f>13.628 * CHOOSE(CONTROL!$C$22, $C$13, 100%, $E$13)</f>
        <v>13.628</v>
      </c>
      <c r="K778" s="61">
        <f>13.6302 * CHOOSE(CONTROL!$C$22, $C$13, 100%, $E$13)</f>
        <v>13.6302</v>
      </c>
    </row>
    <row r="779" spans="1:11" ht="15">
      <c r="A779" s="13">
        <v>65562</v>
      </c>
      <c r="B779" s="60">
        <f>11.4463 * CHOOSE(CONTROL!$C$22, $C$13, 100%, $E$13)</f>
        <v>11.446300000000001</v>
      </c>
      <c r="C779" s="60">
        <f>11.4463 * CHOOSE(CONTROL!$C$22, $C$13, 100%, $E$13)</f>
        <v>11.446300000000001</v>
      </c>
      <c r="D779" s="60">
        <f>11.4816 * CHOOSE(CONTROL!$C$22, $C$13, 100%, $E$13)</f>
        <v>11.4816</v>
      </c>
      <c r="E779" s="61">
        <f>13.8766 * CHOOSE(CONTROL!$C$22, $C$13, 100%, $E$13)</f>
        <v>13.8766</v>
      </c>
      <c r="F779" s="61">
        <f>13.8766 * CHOOSE(CONTROL!$C$22, $C$13, 100%, $E$13)</f>
        <v>13.8766</v>
      </c>
      <c r="G779" s="61">
        <f>13.8788 * CHOOSE(CONTROL!$C$22, $C$13, 100%, $E$13)</f>
        <v>13.8788</v>
      </c>
      <c r="H779" s="61">
        <f>23.3919* CHOOSE(CONTROL!$C$22, $C$13, 100%, $E$13)</f>
        <v>23.3919</v>
      </c>
      <c r="I779" s="61">
        <f>23.3941 * CHOOSE(CONTROL!$C$22, $C$13, 100%, $E$13)</f>
        <v>23.394100000000002</v>
      </c>
      <c r="J779" s="61">
        <f>13.8766 * CHOOSE(CONTROL!$C$22, $C$13, 100%, $E$13)</f>
        <v>13.8766</v>
      </c>
      <c r="K779" s="61">
        <f>13.8788 * CHOOSE(CONTROL!$C$22, $C$13, 100%, $E$13)</f>
        <v>13.8788</v>
      </c>
    </row>
    <row r="780" spans="1:11" ht="15">
      <c r="A780" s="13">
        <v>65593</v>
      </c>
      <c r="B780" s="60">
        <f>11.453 * CHOOSE(CONTROL!$C$22, $C$13, 100%, $E$13)</f>
        <v>11.452999999999999</v>
      </c>
      <c r="C780" s="60">
        <f>11.453 * CHOOSE(CONTROL!$C$22, $C$13, 100%, $E$13)</f>
        <v>11.452999999999999</v>
      </c>
      <c r="D780" s="60">
        <f>11.4883 * CHOOSE(CONTROL!$C$22, $C$13, 100%, $E$13)</f>
        <v>11.488300000000001</v>
      </c>
      <c r="E780" s="61">
        <f>13.6709 * CHOOSE(CONTROL!$C$22, $C$13, 100%, $E$13)</f>
        <v>13.6709</v>
      </c>
      <c r="F780" s="61">
        <f>13.6709 * CHOOSE(CONTROL!$C$22, $C$13, 100%, $E$13)</f>
        <v>13.6709</v>
      </c>
      <c r="G780" s="61">
        <f>13.673 * CHOOSE(CONTROL!$C$22, $C$13, 100%, $E$13)</f>
        <v>13.673</v>
      </c>
      <c r="H780" s="61">
        <f>23.4407* CHOOSE(CONTROL!$C$22, $C$13, 100%, $E$13)</f>
        <v>23.4407</v>
      </c>
      <c r="I780" s="61">
        <f>23.4429 * CHOOSE(CONTROL!$C$22, $C$13, 100%, $E$13)</f>
        <v>23.442900000000002</v>
      </c>
      <c r="J780" s="61">
        <f>13.6709 * CHOOSE(CONTROL!$C$22, $C$13, 100%, $E$13)</f>
        <v>13.6709</v>
      </c>
      <c r="K780" s="61">
        <f>13.673 * CHOOSE(CONTROL!$C$22, $C$13, 100%, $E$13)</f>
        <v>13.673</v>
      </c>
    </row>
    <row r="781" spans="1:11" ht="15">
      <c r="A781" s="13">
        <v>65624</v>
      </c>
      <c r="B781" s="60">
        <f>11.45 * CHOOSE(CONTROL!$C$22, $C$13, 100%, $E$13)</f>
        <v>11.45</v>
      </c>
      <c r="C781" s="60">
        <f>11.45 * CHOOSE(CONTROL!$C$22, $C$13, 100%, $E$13)</f>
        <v>11.45</v>
      </c>
      <c r="D781" s="60">
        <f>11.4853 * CHOOSE(CONTROL!$C$22, $C$13, 100%, $E$13)</f>
        <v>11.485300000000001</v>
      </c>
      <c r="E781" s="61">
        <f>13.6454 * CHOOSE(CONTROL!$C$22, $C$13, 100%, $E$13)</f>
        <v>13.6454</v>
      </c>
      <c r="F781" s="61">
        <f>13.6454 * CHOOSE(CONTROL!$C$22, $C$13, 100%, $E$13)</f>
        <v>13.6454</v>
      </c>
      <c r="G781" s="61">
        <f>13.6476 * CHOOSE(CONTROL!$C$22, $C$13, 100%, $E$13)</f>
        <v>13.647600000000001</v>
      </c>
      <c r="H781" s="61">
        <f>23.4895* CHOOSE(CONTROL!$C$22, $C$13, 100%, $E$13)</f>
        <v>23.4895</v>
      </c>
      <c r="I781" s="61">
        <f>23.4917 * CHOOSE(CONTROL!$C$22, $C$13, 100%, $E$13)</f>
        <v>23.491700000000002</v>
      </c>
      <c r="J781" s="61">
        <f>13.6454 * CHOOSE(CONTROL!$C$22, $C$13, 100%, $E$13)</f>
        <v>13.6454</v>
      </c>
      <c r="K781" s="61">
        <f>13.6476 * CHOOSE(CONTROL!$C$22, $C$13, 100%, $E$13)</f>
        <v>13.647600000000001</v>
      </c>
    </row>
    <row r="782" spans="1:11" ht="15">
      <c r="A782" s="13">
        <v>65654</v>
      </c>
      <c r="B782" s="60">
        <f>11.4733 * CHOOSE(CONTROL!$C$22, $C$13, 100%, $E$13)</f>
        <v>11.4733</v>
      </c>
      <c r="C782" s="60">
        <f>11.4733 * CHOOSE(CONTROL!$C$22, $C$13, 100%, $E$13)</f>
        <v>11.4733</v>
      </c>
      <c r="D782" s="60">
        <f>11.491 * CHOOSE(CONTROL!$C$22, $C$13, 100%, $E$13)</f>
        <v>11.491</v>
      </c>
      <c r="E782" s="61">
        <f>13.7255 * CHOOSE(CONTROL!$C$22, $C$13, 100%, $E$13)</f>
        <v>13.7255</v>
      </c>
      <c r="F782" s="61">
        <f>13.7255 * CHOOSE(CONTROL!$C$22, $C$13, 100%, $E$13)</f>
        <v>13.7255</v>
      </c>
      <c r="G782" s="61">
        <f>13.7256 * CHOOSE(CONTROL!$C$22, $C$13, 100%, $E$13)</f>
        <v>13.7256</v>
      </c>
      <c r="H782" s="61">
        <f>23.5384* CHOOSE(CONTROL!$C$22, $C$13, 100%, $E$13)</f>
        <v>23.538399999999999</v>
      </c>
      <c r="I782" s="61">
        <f>23.5386 * CHOOSE(CONTROL!$C$22, $C$13, 100%, $E$13)</f>
        <v>23.538599999999999</v>
      </c>
      <c r="J782" s="61">
        <f>13.7255 * CHOOSE(CONTROL!$C$22, $C$13, 100%, $E$13)</f>
        <v>13.7255</v>
      </c>
      <c r="K782" s="61">
        <f>13.7256 * CHOOSE(CONTROL!$C$22, $C$13, 100%, $E$13)</f>
        <v>13.7256</v>
      </c>
    </row>
    <row r="783" spans="1:11" ht="15">
      <c r="A783" s="13">
        <v>65685</v>
      </c>
      <c r="B783" s="60">
        <f>11.4764 * CHOOSE(CONTROL!$C$22, $C$13, 100%, $E$13)</f>
        <v>11.4764</v>
      </c>
      <c r="C783" s="60">
        <f>11.4764 * CHOOSE(CONTROL!$C$22, $C$13, 100%, $E$13)</f>
        <v>11.4764</v>
      </c>
      <c r="D783" s="60">
        <f>11.494 * CHOOSE(CONTROL!$C$22, $C$13, 100%, $E$13)</f>
        <v>11.494</v>
      </c>
      <c r="E783" s="61">
        <f>13.7743 * CHOOSE(CONTROL!$C$22, $C$13, 100%, $E$13)</f>
        <v>13.7743</v>
      </c>
      <c r="F783" s="61">
        <f>13.7743 * CHOOSE(CONTROL!$C$22, $C$13, 100%, $E$13)</f>
        <v>13.7743</v>
      </c>
      <c r="G783" s="61">
        <f>13.7745 * CHOOSE(CONTROL!$C$22, $C$13, 100%, $E$13)</f>
        <v>13.7745</v>
      </c>
      <c r="H783" s="61">
        <f>23.5875* CHOOSE(CONTROL!$C$22, $C$13, 100%, $E$13)</f>
        <v>23.587499999999999</v>
      </c>
      <c r="I783" s="61">
        <f>23.5877 * CHOOSE(CONTROL!$C$22, $C$13, 100%, $E$13)</f>
        <v>23.587700000000002</v>
      </c>
      <c r="J783" s="61">
        <f>13.7743 * CHOOSE(CONTROL!$C$22, $C$13, 100%, $E$13)</f>
        <v>13.7743</v>
      </c>
      <c r="K783" s="61">
        <f>13.7745 * CHOOSE(CONTROL!$C$22, $C$13, 100%, $E$13)</f>
        <v>13.7745</v>
      </c>
    </row>
    <row r="784" spans="1:11" ht="15">
      <c r="A784" s="13">
        <v>65715</v>
      </c>
      <c r="B784" s="60">
        <f>11.4764 * CHOOSE(CONTROL!$C$22, $C$13, 100%, $E$13)</f>
        <v>11.4764</v>
      </c>
      <c r="C784" s="60">
        <f>11.4764 * CHOOSE(CONTROL!$C$22, $C$13, 100%, $E$13)</f>
        <v>11.4764</v>
      </c>
      <c r="D784" s="60">
        <f>11.494 * CHOOSE(CONTROL!$C$22, $C$13, 100%, $E$13)</f>
        <v>11.494</v>
      </c>
      <c r="E784" s="61">
        <f>13.6574 * CHOOSE(CONTROL!$C$22, $C$13, 100%, $E$13)</f>
        <v>13.657400000000001</v>
      </c>
      <c r="F784" s="61">
        <f>13.6574 * CHOOSE(CONTROL!$C$22, $C$13, 100%, $E$13)</f>
        <v>13.657400000000001</v>
      </c>
      <c r="G784" s="61">
        <f>13.6576 * CHOOSE(CONTROL!$C$22, $C$13, 100%, $E$13)</f>
        <v>13.6576</v>
      </c>
      <c r="H784" s="61">
        <f>23.6366* CHOOSE(CONTROL!$C$22, $C$13, 100%, $E$13)</f>
        <v>23.636600000000001</v>
      </c>
      <c r="I784" s="61">
        <f>23.6368 * CHOOSE(CONTROL!$C$22, $C$13, 100%, $E$13)</f>
        <v>23.636800000000001</v>
      </c>
      <c r="J784" s="61">
        <f>13.6574 * CHOOSE(CONTROL!$C$22, $C$13, 100%, $E$13)</f>
        <v>13.657400000000001</v>
      </c>
      <c r="K784" s="61">
        <f>13.6576 * CHOOSE(CONTROL!$C$22, $C$13, 100%, $E$13)</f>
        <v>13.6576</v>
      </c>
    </row>
    <row r="785" spans="1:11" ht="15">
      <c r="A785" s="13">
        <v>65746</v>
      </c>
      <c r="B785" s="60">
        <f>11.48 * CHOOSE(CONTROL!$C$22, $C$13, 100%, $E$13)</f>
        <v>11.48</v>
      </c>
      <c r="C785" s="60">
        <f>11.48 * CHOOSE(CONTROL!$C$22, $C$13, 100%, $E$13)</f>
        <v>11.48</v>
      </c>
      <c r="D785" s="60">
        <f>11.4976 * CHOOSE(CONTROL!$C$22, $C$13, 100%, $E$13)</f>
        <v>11.4976</v>
      </c>
      <c r="E785" s="61">
        <f>13.7439 * CHOOSE(CONTROL!$C$22, $C$13, 100%, $E$13)</f>
        <v>13.7439</v>
      </c>
      <c r="F785" s="61">
        <f>13.7439 * CHOOSE(CONTROL!$C$22, $C$13, 100%, $E$13)</f>
        <v>13.7439</v>
      </c>
      <c r="G785" s="61">
        <f>13.7441 * CHOOSE(CONTROL!$C$22, $C$13, 100%, $E$13)</f>
        <v>13.7441</v>
      </c>
      <c r="H785" s="61">
        <f>23.5031* CHOOSE(CONTROL!$C$22, $C$13, 100%, $E$13)</f>
        <v>23.5031</v>
      </c>
      <c r="I785" s="61">
        <f>23.5033 * CHOOSE(CONTROL!$C$22, $C$13, 100%, $E$13)</f>
        <v>23.503299999999999</v>
      </c>
      <c r="J785" s="61">
        <f>13.7439 * CHOOSE(CONTROL!$C$22, $C$13, 100%, $E$13)</f>
        <v>13.7439</v>
      </c>
      <c r="K785" s="61">
        <f>13.7441 * CHOOSE(CONTROL!$C$22, $C$13, 100%, $E$13)</f>
        <v>13.7441</v>
      </c>
    </row>
    <row r="786" spans="1:11" ht="15">
      <c r="A786" s="13">
        <v>65777</v>
      </c>
      <c r="B786" s="60">
        <f>11.4769 * CHOOSE(CONTROL!$C$22, $C$13, 100%, $E$13)</f>
        <v>11.476900000000001</v>
      </c>
      <c r="C786" s="60">
        <f>11.4769 * CHOOSE(CONTROL!$C$22, $C$13, 100%, $E$13)</f>
        <v>11.476900000000001</v>
      </c>
      <c r="D786" s="60">
        <f>11.4946 * CHOOSE(CONTROL!$C$22, $C$13, 100%, $E$13)</f>
        <v>11.4946</v>
      </c>
      <c r="E786" s="61">
        <f>13.5164 * CHOOSE(CONTROL!$C$22, $C$13, 100%, $E$13)</f>
        <v>13.516400000000001</v>
      </c>
      <c r="F786" s="61">
        <f>13.5164 * CHOOSE(CONTROL!$C$22, $C$13, 100%, $E$13)</f>
        <v>13.516400000000001</v>
      </c>
      <c r="G786" s="61">
        <f>13.5166 * CHOOSE(CONTROL!$C$22, $C$13, 100%, $E$13)</f>
        <v>13.5166</v>
      </c>
      <c r="H786" s="61">
        <f>23.5521* CHOOSE(CONTROL!$C$22, $C$13, 100%, $E$13)</f>
        <v>23.552099999999999</v>
      </c>
      <c r="I786" s="61">
        <f>23.5523 * CHOOSE(CONTROL!$C$22, $C$13, 100%, $E$13)</f>
        <v>23.552299999999999</v>
      </c>
      <c r="J786" s="61">
        <f>13.5164 * CHOOSE(CONTROL!$C$22, $C$13, 100%, $E$13)</f>
        <v>13.516400000000001</v>
      </c>
      <c r="K786" s="61">
        <f>13.5166 * CHOOSE(CONTROL!$C$22, $C$13, 100%, $E$13)</f>
        <v>13.5166</v>
      </c>
    </row>
    <row r="787" spans="1:11" ht="15">
      <c r="A787" s="13">
        <v>65806</v>
      </c>
      <c r="B787" s="60">
        <f>11.4739 * CHOOSE(CONTROL!$C$22, $C$13, 100%, $E$13)</f>
        <v>11.4739</v>
      </c>
      <c r="C787" s="60">
        <f>11.4739 * CHOOSE(CONTROL!$C$22, $C$13, 100%, $E$13)</f>
        <v>11.4739</v>
      </c>
      <c r="D787" s="60">
        <f>11.4915 * CHOOSE(CONTROL!$C$22, $C$13, 100%, $E$13)</f>
        <v>11.4915</v>
      </c>
      <c r="E787" s="61">
        <f>13.6919 * CHOOSE(CONTROL!$C$22, $C$13, 100%, $E$13)</f>
        <v>13.6919</v>
      </c>
      <c r="F787" s="61">
        <f>13.6919 * CHOOSE(CONTROL!$C$22, $C$13, 100%, $E$13)</f>
        <v>13.6919</v>
      </c>
      <c r="G787" s="61">
        <f>13.6921 * CHOOSE(CONTROL!$C$22, $C$13, 100%, $E$13)</f>
        <v>13.6921</v>
      </c>
      <c r="H787" s="61">
        <f>23.6012* CHOOSE(CONTROL!$C$22, $C$13, 100%, $E$13)</f>
        <v>23.601199999999999</v>
      </c>
      <c r="I787" s="61">
        <f>23.6013 * CHOOSE(CONTROL!$C$22, $C$13, 100%, $E$13)</f>
        <v>23.601299999999998</v>
      </c>
      <c r="J787" s="61">
        <f>13.6919 * CHOOSE(CONTROL!$C$22, $C$13, 100%, $E$13)</f>
        <v>13.6919</v>
      </c>
      <c r="K787" s="61">
        <f>13.6921 * CHOOSE(CONTROL!$C$22, $C$13, 100%, $E$13)</f>
        <v>13.6921</v>
      </c>
    </row>
    <row r="788" spans="1:11" ht="15">
      <c r="A788" s="13">
        <v>65837</v>
      </c>
      <c r="B788" s="60">
        <f>11.4789 * CHOOSE(CONTROL!$C$22, $C$13, 100%, $E$13)</f>
        <v>11.478899999999999</v>
      </c>
      <c r="C788" s="60">
        <f>11.4789 * CHOOSE(CONTROL!$C$22, $C$13, 100%, $E$13)</f>
        <v>11.478899999999999</v>
      </c>
      <c r="D788" s="60">
        <f>11.4966 * CHOOSE(CONTROL!$C$22, $C$13, 100%, $E$13)</f>
        <v>11.496600000000001</v>
      </c>
      <c r="E788" s="61">
        <f>13.8785 * CHOOSE(CONTROL!$C$22, $C$13, 100%, $E$13)</f>
        <v>13.878500000000001</v>
      </c>
      <c r="F788" s="61">
        <f>13.8785 * CHOOSE(CONTROL!$C$22, $C$13, 100%, $E$13)</f>
        <v>13.878500000000001</v>
      </c>
      <c r="G788" s="61">
        <f>13.8787 * CHOOSE(CONTROL!$C$22, $C$13, 100%, $E$13)</f>
        <v>13.8787</v>
      </c>
      <c r="H788" s="61">
        <f>23.6503* CHOOSE(CONTROL!$C$22, $C$13, 100%, $E$13)</f>
        <v>23.650300000000001</v>
      </c>
      <c r="I788" s="61">
        <f>23.6505 * CHOOSE(CONTROL!$C$22, $C$13, 100%, $E$13)</f>
        <v>23.650500000000001</v>
      </c>
      <c r="J788" s="61">
        <f>13.8785 * CHOOSE(CONTROL!$C$22, $C$13, 100%, $E$13)</f>
        <v>13.878500000000001</v>
      </c>
      <c r="K788" s="61">
        <f>13.8787 * CHOOSE(CONTROL!$C$22, $C$13, 100%, $E$13)</f>
        <v>13.8787</v>
      </c>
    </row>
    <row r="789" spans="1:11" ht="15">
      <c r="A789" s="13">
        <v>65867</v>
      </c>
      <c r="B789" s="60">
        <f>11.4789 * CHOOSE(CONTROL!$C$22, $C$13, 100%, $E$13)</f>
        <v>11.478899999999999</v>
      </c>
      <c r="C789" s="60">
        <f>11.4789 * CHOOSE(CONTROL!$C$22, $C$13, 100%, $E$13)</f>
        <v>11.478899999999999</v>
      </c>
      <c r="D789" s="60">
        <f>11.5142 * CHOOSE(CONTROL!$C$22, $C$13, 100%, $E$13)</f>
        <v>11.514200000000001</v>
      </c>
      <c r="E789" s="61">
        <f>13.95 * CHOOSE(CONTROL!$C$22, $C$13, 100%, $E$13)</f>
        <v>13.95</v>
      </c>
      <c r="F789" s="61">
        <f>13.95 * CHOOSE(CONTROL!$C$22, $C$13, 100%, $E$13)</f>
        <v>13.95</v>
      </c>
      <c r="G789" s="61">
        <f>13.9522 * CHOOSE(CONTROL!$C$22, $C$13, 100%, $E$13)</f>
        <v>13.952199999999999</v>
      </c>
      <c r="H789" s="61">
        <f>23.6996* CHOOSE(CONTROL!$C$22, $C$13, 100%, $E$13)</f>
        <v>23.6996</v>
      </c>
      <c r="I789" s="61">
        <f>23.7018 * CHOOSE(CONTROL!$C$22, $C$13, 100%, $E$13)</f>
        <v>23.701799999999999</v>
      </c>
      <c r="J789" s="61">
        <f>13.95 * CHOOSE(CONTROL!$C$22, $C$13, 100%, $E$13)</f>
        <v>13.95</v>
      </c>
      <c r="K789" s="61">
        <f>13.9522 * CHOOSE(CONTROL!$C$22, $C$13, 100%, $E$13)</f>
        <v>13.952199999999999</v>
      </c>
    </row>
    <row r="790" spans="1:11" ht="15">
      <c r="A790" s="13">
        <v>65898</v>
      </c>
      <c r="B790" s="60">
        <f>11.485 * CHOOSE(CONTROL!$C$22, $C$13, 100%, $E$13)</f>
        <v>11.484999999999999</v>
      </c>
      <c r="C790" s="60">
        <f>11.485 * CHOOSE(CONTROL!$C$22, $C$13, 100%, $E$13)</f>
        <v>11.484999999999999</v>
      </c>
      <c r="D790" s="60">
        <f>11.5203 * CHOOSE(CONTROL!$C$22, $C$13, 100%, $E$13)</f>
        <v>11.520300000000001</v>
      </c>
      <c r="E790" s="61">
        <f>13.8827 * CHOOSE(CONTROL!$C$22, $C$13, 100%, $E$13)</f>
        <v>13.8827</v>
      </c>
      <c r="F790" s="61">
        <f>13.8827 * CHOOSE(CONTROL!$C$22, $C$13, 100%, $E$13)</f>
        <v>13.8827</v>
      </c>
      <c r="G790" s="61">
        <f>13.8849 * CHOOSE(CONTROL!$C$22, $C$13, 100%, $E$13)</f>
        <v>13.8849</v>
      </c>
      <c r="H790" s="61">
        <f>23.749* CHOOSE(CONTROL!$C$22, $C$13, 100%, $E$13)</f>
        <v>23.748999999999999</v>
      </c>
      <c r="I790" s="61">
        <f>23.7511 * CHOOSE(CONTROL!$C$22, $C$13, 100%, $E$13)</f>
        <v>23.751100000000001</v>
      </c>
      <c r="J790" s="61">
        <f>13.8827 * CHOOSE(CONTROL!$C$22, $C$13, 100%, $E$13)</f>
        <v>13.8827</v>
      </c>
      <c r="K790" s="61">
        <f>13.8849 * CHOOSE(CONTROL!$C$22, $C$13, 100%, $E$13)</f>
        <v>13.8849</v>
      </c>
    </row>
    <row r="791" spans="1:11" ht="15">
      <c r="A791" s="13">
        <v>65928</v>
      </c>
      <c r="B791" s="60">
        <f>11.6456 * CHOOSE(CONTROL!$C$22, $C$13, 100%, $E$13)</f>
        <v>11.6456</v>
      </c>
      <c r="C791" s="60">
        <f>11.6456 * CHOOSE(CONTROL!$C$22, $C$13, 100%, $E$13)</f>
        <v>11.6456</v>
      </c>
      <c r="D791" s="60">
        <f>11.681 * CHOOSE(CONTROL!$C$22, $C$13, 100%, $E$13)</f>
        <v>11.680999999999999</v>
      </c>
      <c r="E791" s="61">
        <f>14.1357 * CHOOSE(CONTROL!$C$22, $C$13, 100%, $E$13)</f>
        <v>14.1357</v>
      </c>
      <c r="F791" s="61">
        <f>14.1357 * CHOOSE(CONTROL!$C$22, $C$13, 100%, $E$13)</f>
        <v>14.1357</v>
      </c>
      <c r="G791" s="61">
        <f>14.1379 * CHOOSE(CONTROL!$C$22, $C$13, 100%, $E$13)</f>
        <v>14.1379</v>
      </c>
      <c r="H791" s="61">
        <f>23.7984* CHOOSE(CONTROL!$C$22, $C$13, 100%, $E$13)</f>
        <v>23.798400000000001</v>
      </c>
      <c r="I791" s="61">
        <f>23.8006 * CHOOSE(CONTROL!$C$22, $C$13, 100%, $E$13)</f>
        <v>23.800599999999999</v>
      </c>
      <c r="J791" s="61">
        <f>14.1357 * CHOOSE(CONTROL!$C$22, $C$13, 100%, $E$13)</f>
        <v>14.1357</v>
      </c>
      <c r="K791" s="61">
        <f>14.1379 * CHOOSE(CONTROL!$C$22, $C$13, 100%, $E$13)</f>
        <v>14.1379</v>
      </c>
    </row>
    <row r="792" spans="1:11" ht="15">
      <c r="A792" s="13">
        <v>65959</v>
      </c>
      <c r="B792" s="60">
        <f>11.6523 * CHOOSE(CONTROL!$C$22, $C$13, 100%, $E$13)</f>
        <v>11.6523</v>
      </c>
      <c r="C792" s="60">
        <f>11.6523 * CHOOSE(CONTROL!$C$22, $C$13, 100%, $E$13)</f>
        <v>11.6523</v>
      </c>
      <c r="D792" s="60">
        <f>11.6876 * CHOOSE(CONTROL!$C$22, $C$13, 100%, $E$13)</f>
        <v>11.6876</v>
      </c>
      <c r="E792" s="61">
        <f>13.9257 * CHOOSE(CONTROL!$C$22, $C$13, 100%, $E$13)</f>
        <v>13.925700000000001</v>
      </c>
      <c r="F792" s="61">
        <f>13.9257 * CHOOSE(CONTROL!$C$22, $C$13, 100%, $E$13)</f>
        <v>13.925700000000001</v>
      </c>
      <c r="G792" s="61">
        <f>13.9279 * CHOOSE(CONTROL!$C$22, $C$13, 100%, $E$13)</f>
        <v>13.927899999999999</v>
      </c>
      <c r="H792" s="61">
        <f>23.848* CHOOSE(CONTROL!$C$22, $C$13, 100%, $E$13)</f>
        <v>23.847999999999999</v>
      </c>
      <c r="I792" s="61">
        <f>23.8502 * CHOOSE(CONTROL!$C$22, $C$13, 100%, $E$13)</f>
        <v>23.850200000000001</v>
      </c>
      <c r="J792" s="61">
        <f>13.9257 * CHOOSE(CONTROL!$C$22, $C$13, 100%, $E$13)</f>
        <v>13.925700000000001</v>
      </c>
      <c r="K792" s="61">
        <f>13.9279 * CHOOSE(CONTROL!$C$22, $C$13, 100%, $E$13)</f>
        <v>13.927899999999999</v>
      </c>
    </row>
    <row r="793" spans="1:11" ht="15">
      <c r="A793" s="13">
        <v>65990</v>
      </c>
      <c r="B793" s="60">
        <f>11.6493 * CHOOSE(CONTROL!$C$22, $C$13, 100%, $E$13)</f>
        <v>11.6493</v>
      </c>
      <c r="C793" s="60">
        <f>11.6493 * CHOOSE(CONTROL!$C$22, $C$13, 100%, $E$13)</f>
        <v>11.6493</v>
      </c>
      <c r="D793" s="60">
        <f>11.6846 * CHOOSE(CONTROL!$C$22, $C$13, 100%, $E$13)</f>
        <v>11.6846</v>
      </c>
      <c r="E793" s="61">
        <f>13.8997 * CHOOSE(CONTROL!$C$22, $C$13, 100%, $E$13)</f>
        <v>13.899699999999999</v>
      </c>
      <c r="F793" s="61">
        <f>13.8997 * CHOOSE(CONTROL!$C$22, $C$13, 100%, $E$13)</f>
        <v>13.899699999999999</v>
      </c>
      <c r="G793" s="61">
        <f>13.9019 * CHOOSE(CONTROL!$C$22, $C$13, 100%, $E$13)</f>
        <v>13.901899999999999</v>
      </c>
      <c r="H793" s="61">
        <f>23.8977* CHOOSE(CONTROL!$C$22, $C$13, 100%, $E$13)</f>
        <v>23.8977</v>
      </c>
      <c r="I793" s="61">
        <f>23.8999 * CHOOSE(CONTROL!$C$22, $C$13, 100%, $E$13)</f>
        <v>23.899899999999999</v>
      </c>
      <c r="J793" s="61">
        <f>13.8997 * CHOOSE(CONTROL!$C$22, $C$13, 100%, $E$13)</f>
        <v>13.899699999999999</v>
      </c>
      <c r="K793" s="61">
        <f>13.9019 * CHOOSE(CONTROL!$C$22, $C$13, 100%, $E$13)</f>
        <v>13.901899999999999</v>
      </c>
    </row>
    <row r="794" spans="1:11" ht="15">
      <c r="A794" s="13">
        <v>66020</v>
      </c>
      <c r="B794" s="60">
        <f>11.6734 * CHOOSE(CONTROL!$C$22, $C$13, 100%, $E$13)</f>
        <v>11.673400000000001</v>
      </c>
      <c r="C794" s="60">
        <f>11.6734 * CHOOSE(CONTROL!$C$22, $C$13, 100%, $E$13)</f>
        <v>11.673400000000001</v>
      </c>
      <c r="D794" s="60">
        <f>11.6911 * CHOOSE(CONTROL!$C$22, $C$13, 100%, $E$13)</f>
        <v>11.6911</v>
      </c>
      <c r="E794" s="61">
        <f>13.9817 * CHOOSE(CONTROL!$C$22, $C$13, 100%, $E$13)</f>
        <v>13.9817</v>
      </c>
      <c r="F794" s="61">
        <f>13.9817 * CHOOSE(CONTROL!$C$22, $C$13, 100%, $E$13)</f>
        <v>13.9817</v>
      </c>
      <c r="G794" s="61">
        <f>13.9819 * CHOOSE(CONTROL!$C$22, $C$13, 100%, $E$13)</f>
        <v>13.9819</v>
      </c>
      <c r="H794" s="61">
        <f>23.9475* CHOOSE(CONTROL!$C$22, $C$13, 100%, $E$13)</f>
        <v>23.947500000000002</v>
      </c>
      <c r="I794" s="61">
        <f>23.9477 * CHOOSE(CONTROL!$C$22, $C$13, 100%, $E$13)</f>
        <v>23.947700000000001</v>
      </c>
      <c r="J794" s="61">
        <f>13.9817 * CHOOSE(CONTROL!$C$22, $C$13, 100%, $E$13)</f>
        <v>13.9817</v>
      </c>
      <c r="K794" s="61">
        <f>13.9819 * CHOOSE(CONTROL!$C$22, $C$13, 100%, $E$13)</f>
        <v>13.9819</v>
      </c>
    </row>
    <row r="795" spans="1:11" ht="15">
      <c r="A795" s="13">
        <v>66051</v>
      </c>
      <c r="B795" s="60">
        <f>11.6765 * CHOOSE(CONTROL!$C$22, $C$13, 100%, $E$13)</f>
        <v>11.676500000000001</v>
      </c>
      <c r="C795" s="60">
        <f>11.6765 * CHOOSE(CONTROL!$C$22, $C$13, 100%, $E$13)</f>
        <v>11.676500000000001</v>
      </c>
      <c r="D795" s="60">
        <f>11.6941 * CHOOSE(CONTROL!$C$22, $C$13, 100%, $E$13)</f>
        <v>11.694100000000001</v>
      </c>
      <c r="E795" s="61">
        <f>14.0315 * CHOOSE(CONTROL!$C$22, $C$13, 100%, $E$13)</f>
        <v>14.031499999999999</v>
      </c>
      <c r="F795" s="61">
        <f>14.0315 * CHOOSE(CONTROL!$C$22, $C$13, 100%, $E$13)</f>
        <v>14.031499999999999</v>
      </c>
      <c r="G795" s="61">
        <f>14.0317 * CHOOSE(CONTROL!$C$22, $C$13, 100%, $E$13)</f>
        <v>14.031700000000001</v>
      </c>
      <c r="H795" s="61">
        <f>23.9974* CHOOSE(CONTROL!$C$22, $C$13, 100%, $E$13)</f>
        <v>23.997399999999999</v>
      </c>
      <c r="I795" s="61">
        <f>23.9976 * CHOOSE(CONTROL!$C$22, $C$13, 100%, $E$13)</f>
        <v>23.997599999999998</v>
      </c>
      <c r="J795" s="61">
        <f>14.0315 * CHOOSE(CONTROL!$C$22, $C$13, 100%, $E$13)</f>
        <v>14.031499999999999</v>
      </c>
      <c r="K795" s="61">
        <f>14.0317 * CHOOSE(CONTROL!$C$22, $C$13, 100%, $E$13)</f>
        <v>14.031700000000001</v>
      </c>
    </row>
    <row r="796" spans="1:11" ht="15">
      <c r="A796" s="13">
        <v>66081</v>
      </c>
      <c r="B796" s="60">
        <f>11.6765 * CHOOSE(CONTROL!$C$22, $C$13, 100%, $E$13)</f>
        <v>11.676500000000001</v>
      </c>
      <c r="C796" s="60">
        <f>11.6765 * CHOOSE(CONTROL!$C$22, $C$13, 100%, $E$13)</f>
        <v>11.676500000000001</v>
      </c>
      <c r="D796" s="60">
        <f>11.6941 * CHOOSE(CONTROL!$C$22, $C$13, 100%, $E$13)</f>
        <v>11.694100000000001</v>
      </c>
      <c r="E796" s="61">
        <f>13.9123 * CHOOSE(CONTROL!$C$22, $C$13, 100%, $E$13)</f>
        <v>13.9123</v>
      </c>
      <c r="F796" s="61">
        <f>13.9123 * CHOOSE(CONTROL!$C$22, $C$13, 100%, $E$13)</f>
        <v>13.9123</v>
      </c>
      <c r="G796" s="61">
        <f>13.9125 * CHOOSE(CONTROL!$C$22, $C$13, 100%, $E$13)</f>
        <v>13.9125</v>
      </c>
      <c r="H796" s="61">
        <f>24.0474* CHOOSE(CONTROL!$C$22, $C$13, 100%, $E$13)</f>
        <v>24.0474</v>
      </c>
      <c r="I796" s="61">
        <f>24.0476 * CHOOSE(CONTROL!$C$22, $C$13, 100%, $E$13)</f>
        <v>24.047599999999999</v>
      </c>
      <c r="J796" s="61">
        <f>13.9123 * CHOOSE(CONTROL!$C$22, $C$13, 100%, $E$13)</f>
        <v>13.9123</v>
      </c>
      <c r="K796" s="61">
        <f>13.9125 * CHOOSE(CONTROL!$C$22, $C$13, 100%, $E$13)</f>
        <v>13.9125</v>
      </c>
    </row>
    <row r="797" spans="1:11" ht="15">
      <c r="A797" s="13">
        <v>66112</v>
      </c>
      <c r="B797" s="60">
        <f>11.6766 * CHOOSE(CONTROL!$C$22, $C$13, 100%, $E$13)</f>
        <v>11.676600000000001</v>
      </c>
      <c r="C797" s="60">
        <f>11.6766 * CHOOSE(CONTROL!$C$22, $C$13, 100%, $E$13)</f>
        <v>11.676600000000001</v>
      </c>
      <c r="D797" s="60">
        <f>11.6942 * CHOOSE(CONTROL!$C$22, $C$13, 100%, $E$13)</f>
        <v>11.6942</v>
      </c>
      <c r="E797" s="61">
        <f>13.9957 * CHOOSE(CONTROL!$C$22, $C$13, 100%, $E$13)</f>
        <v>13.995699999999999</v>
      </c>
      <c r="F797" s="61">
        <f>13.9957 * CHOOSE(CONTROL!$C$22, $C$13, 100%, $E$13)</f>
        <v>13.995699999999999</v>
      </c>
      <c r="G797" s="61">
        <f>13.9959 * CHOOSE(CONTROL!$C$22, $C$13, 100%, $E$13)</f>
        <v>13.995900000000001</v>
      </c>
      <c r="H797" s="61">
        <f>23.9046* CHOOSE(CONTROL!$C$22, $C$13, 100%, $E$13)</f>
        <v>23.904599999999999</v>
      </c>
      <c r="I797" s="61">
        <f>23.9048 * CHOOSE(CONTROL!$C$22, $C$13, 100%, $E$13)</f>
        <v>23.904800000000002</v>
      </c>
      <c r="J797" s="61">
        <f>13.9957 * CHOOSE(CONTROL!$C$22, $C$13, 100%, $E$13)</f>
        <v>13.995699999999999</v>
      </c>
      <c r="K797" s="61">
        <f>13.9959 * CHOOSE(CONTROL!$C$22, $C$13, 100%, $E$13)</f>
        <v>13.995900000000001</v>
      </c>
    </row>
    <row r="798" spans="1:11" ht="15">
      <c r="A798" s="13">
        <v>66143</v>
      </c>
      <c r="B798" s="60">
        <f>11.6735 * CHOOSE(CONTROL!$C$22, $C$13, 100%, $E$13)</f>
        <v>11.673500000000001</v>
      </c>
      <c r="C798" s="60">
        <f>11.6735 * CHOOSE(CONTROL!$C$22, $C$13, 100%, $E$13)</f>
        <v>11.673500000000001</v>
      </c>
      <c r="D798" s="60">
        <f>11.6912 * CHOOSE(CONTROL!$C$22, $C$13, 100%, $E$13)</f>
        <v>11.6912</v>
      </c>
      <c r="E798" s="61">
        <f>13.7638 * CHOOSE(CONTROL!$C$22, $C$13, 100%, $E$13)</f>
        <v>13.7638</v>
      </c>
      <c r="F798" s="61">
        <f>13.7638 * CHOOSE(CONTROL!$C$22, $C$13, 100%, $E$13)</f>
        <v>13.7638</v>
      </c>
      <c r="G798" s="61">
        <f>13.764 * CHOOSE(CONTROL!$C$22, $C$13, 100%, $E$13)</f>
        <v>13.763999999999999</v>
      </c>
      <c r="H798" s="61">
        <f>23.9544* CHOOSE(CONTROL!$C$22, $C$13, 100%, $E$13)</f>
        <v>23.9544</v>
      </c>
      <c r="I798" s="61">
        <f>23.9546 * CHOOSE(CONTROL!$C$22, $C$13, 100%, $E$13)</f>
        <v>23.954599999999999</v>
      </c>
      <c r="J798" s="61">
        <f>13.7638 * CHOOSE(CONTROL!$C$22, $C$13, 100%, $E$13)</f>
        <v>13.7638</v>
      </c>
      <c r="K798" s="61">
        <f>13.764 * CHOOSE(CONTROL!$C$22, $C$13, 100%, $E$13)</f>
        <v>13.763999999999999</v>
      </c>
    </row>
    <row r="799" spans="1:11" ht="15">
      <c r="A799" s="13">
        <v>66171</v>
      </c>
      <c r="B799" s="60">
        <f>11.6705 * CHOOSE(CONTROL!$C$22, $C$13, 100%, $E$13)</f>
        <v>11.670500000000001</v>
      </c>
      <c r="C799" s="60">
        <f>11.6705 * CHOOSE(CONTROL!$C$22, $C$13, 100%, $E$13)</f>
        <v>11.670500000000001</v>
      </c>
      <c r="D799" s="60">
        <f>11.6882 * CHOOSE(CONTROL!$C$22, $C$13, 100%, $E$13)</f>
        <v>11.6882</v>
      </c>
      <c r="E799" s="61">
        <f>13.9428 * CHOOSE(CONTROL!$C$22, $C$13, 100%, $E$13)</f>
        <v>13.9428</v>
      </c>
      <c r="F799" s="61">
        <f>13.9428 * CHOOSE(CONTROL!$C$22, $C$13, 100%, $E$13)</f>
        <v>13.9428</v>
      </c>
      <c r="G799" s="61">
        <f>13.943 * CHOOSE(CONTROL!$C$22, $C$13, 100%, $E$13)</f>
        <v>13.943</v>
      </c>
      <c r="H799" s="61">
        <f>24.0043* CHOOSE(CONTROL!$C$22, $C$13, 100%, $E$13)</f>
        <v>24.004300000000001</v>
      </c>
      <c r="I799" s="61">
        <f>24.0045 * CHOOSE(CONTROL!$C$22, $C$13, 100%, $E$13)</f>
        <v>24.0045</v>
      </c>
      <c r="J799" s="61">
        <f>13.9428 * CHOOSE(CONTROL!$C$22, $C$13, 100%, $E$13)</f>
        <v>13.9428</v>
      </c>
      <c r="K799" s="61">
        <f>13.943 * CHOOSE(CONTROL!$C$22, $C$13, 100%, $E$13)</f>
        <v>13.943</v>
      </c>
    </row>
    <row r="800" spans="1:11" ht="15">
      <c r="A800" s="13">
        <v>66202</v>
      </c>
      <c r="B800" s="60">
        <f>11.6757 * CHOOSE(CONTROL!$C$22, $C$13, 100%, $E$13)</f>
        <v>11.675700000000001</v>
      </c>
      <c r="C800" s="60">
        <f>11.6757 * CHOOSE(CONTROL!$C$22, $C$13, 100%, $E$13)</f>
        <v>11.675700000000001</v>
      </c>
      <c r="D800" s="60">
        <f>11.6934 * CHOOSE(CONTROL!$C$22, $C$13, 100%, $E$13)</f>
        <v>11.6934</v>
      </c>
      <c r="E800" s="61">
        <f>14.1332 * CHOOSE(CONTROL!$C$22, $C$13, 100%, $E$13)</f>
        <v>14.1332</v>
      </c>
      <c r="F800" s="61">
        <f>14.1332 * CHOOSE(CONTROL!$C$22, $C$13, 100%, $E$13)</f>
        <v>14.1332</v>
      </c>
      <c r="G800" s="61">
        <f>14.1333 * CHOOSE(CONTROL!$C$22, $C$13, 100%, $E$13)</f>
        <v>14.1333</v>
      </c>
      <c r="H800" s="61">
        <f>24.0543* CHOOSE(CONTROL!$C$22, $C$13, 100%, $E$13)</f>
        <v>24.054300000000001</v>
      </c>
      <c r="I800" s="61">
        <f>24.0545 * CHOOSE(CONTROL!$C$22, $C$13, 100%, $E$13)</f>
        <v>24.054500000000001</v>
      </c>
      <c r="J800" s="61">
        <f>14.1332 * CHOOSE(CONTROL!$C$22, $C$13, 100%, $E$13)</f>
        <v>14.1332</v>
      </c>
      <c r="K800" s="61">
        <f>14.1333 * CHOOSE(CONTROL!$C$22, $C$13, 100%, $E$13)</f>
        <v>14.1333</v>
      </c>
    </row>
    <row r="801" spans="1:11" ht="15">
      <c r="A801" s="13">
        <v>66232</v>
      </c>
      <c r="B801" s="60">
        <f>11.6757 * CHOOSE(CONTROL!$C$22, $C$13, 100%, $E$13)</f>
        <v>11.675700000000001</v>
      </c>
      <c r="C801" s="60">
        <f>11.6757 * CHOOSE(CONTROL!$C$22, $C$13, 100%, $E$13)</f>
        <v>11.675700000000001</v>
      </c>
      <c r="D801" s="60">
        <f>11.711 * CHOOSE(CONTROL!$C$22, $C$13, 100%, $E$13)</f>
        <v>11.711</v>
      </c>
      <c r="E801" s="61">
        <f>14.2061 * CHOOSE(CONTROL!$C$22, $C$13, 100%, $E$13)</f>
        <v>14.206099999999999</v>
      </c>
      <c r="F801" s="61">
        <f>14.2061 * CHOOSE(CONTROL!$C$22, $C$13, 100%, $E$13)</f>
        <v>14.206099999999999</v>
      </c>
      <c r="G801" s="61">
        <f>14.2083 * CHOOSE(CONTROL!$C$22, $C$13, 100%, $E$13)</f>
        <v>14.208299999999999</v>
      </c>
      <c r="H801" s="61">
        <f>24.1044* CHOOSE(CONTROL!$C$22, $C$13, 100%, $E$13)</f>
        <v>24.104399999999998</v>
      </c>
      <c r="I801" s="61">
        <f>24.1066 * CHOOSE(CONTROL!$C$22, $C$13, 100%, $E$13)</f>
        <v>24.1066</v>
      </c>
      <c r="J801" s="61">
        <f>14.2061 * CHOOSE(CONTROL!$C$22, $C$13, 100%, $E$13)</f>
        <v>14.206099999999999</v>
      </c>
      <c r="K801" s="61">
        <f>14.2083 * CHOOSE(CONTROL!$C$22, $C$13, 100%, $E$13)</f>
        <v>14.208299999999999</v>
      </c>
    </row>
    <row r="802" spans="1:11" ht="15">
      <c r="A802" s="13">
        <v>66263</v>
      </c>
      <c r="B802" s="60">
        <f>11.6818 * CHOOSE(CONTROL!$C$22, $C$13, 100%, $E$13)</f>
        <v>11.681800000000001</v>
      </c>
      <c r="C802" s="60">
        <f>11.6818 * CHOOSE(CONTROL!$C$22, $C$13, 100%, $E$13)</f>
        <v>11.681800000000001</v>
      </c>
      <c r="D802" s="60">
        <f>11.7171 * CHOOSE(CONTROL!$C$22, $C$13, 100%, $E$13)</f>
        <v>11.7171</v>
      </c>
      <c r="E802" s="61">
        <f>14.1374 * CHOOSE(CONTROL!$C$22, $C$13, 100%, $E$13)</f>
        <v>14.1374</v>
      </c>
      <c r="F802" s="61">
        <f>14.1374 * CHOOSE(CONTROL!$C$22, $C$13, 100%, $E$13)</f>
        <v>14.1374</v>
      </c>
      <c r="G802" s="61">
        <f>14.1396 * CHOOSE(CONTROL!$C$22, $C$13, 100%, $E$13)</f>
        <v>14.1396</v>
      </c>
      <c r="H802" s="61">
        <f>24.1546* CHOOSE(CONTROL!$C$22, $C$13, 100%, $E$13)</f>
        <v>24.154599999999999</v>
      </c>
      <c r="I802" s="61">
        <f>24.1568 * CHOOSE(CONTROL!$C$22, $C$13, 100%, $E$13)</f>
        <v>24.1568</v>
      </c>
      <c r="J802" s="61">
        <f>14.1374 * CHOOSE(CONTROL!$C$22, $C$13, 100%, $E$13)</f>
        <v>14.1374</v>
      </c>
      <c r="K802" s="61">
        <f>14.1396 * CHOOSE(CONTROL!$C$22, $C$13, 100%, $E$13)</f>
        <v>14.1396</v>
      </c>
    </row>
    <row r="803" spans="1:11" ht="15">
      <c r="A803" s="13">
        <v>66293</v>
      </c>
      <c r="B803" s="60">
        <f>11.845 * CHOOSE(CONTROL!$C$22, $C$13, 100%, $E$13)</f>
        <v>11.845000000000001</v>
      </c>
      <c r="C803" s="60">
        <f>11.845 * CHOOSE(CONTROL!$C$22, $C$13, 100%, $E$13)</f>
        <v>11.845000000000001</v>
      </c>
      <c r="D803" s="60">
        <f>11.8803 * CHOOSE(CONTROL!$C$22, $C$13, 100%, $E$13)</f>
        <v>11.8803</v>
      </c>
      <c r="E803" s="61">
        <f>14.3948 * CHOOSE(CONTROL!$C$22, $C$13, 100%, $E$13)</f>
        <v>14.3948</v>
      </c>
      <c r="F803" s="61">
        <f>14.3948 * CHOOSE(CONTROL!$C$22, $C$13, 100%, $E$13)</f>
        <v>14.3948</v>
      </c>
      <c r="G803" s="61">
        <f>14.397 * CHOOSE(CONTROL!$C$22, $C$13, 100%, $E$13)</f>
        <v>14.397</v>
      </c>
      <c r="H803" s="61">
        <f>24.2049* CHOOSE(CONTROL!$C$22, $C$13, 100%, $E$13)</f>
        <v>24.204899999999999</v>
      </c>
      <c r="I803" s="61">
        <f>24.2071 * CHOOSE(CONTROL!$C$22, $C$13, 100%, $E$13)</f>
        <v>24.207100000000001</v>
      </c>
      <c r="J803" s="61">
        <f>14.3948 * CHOOSE(CONTROL!$C$22, $C$13, 100%, $E$13)</f>
        <v>14.3948</v>
      </c>
      <c r="K803" s="61">
        <f>14.397 * CHOOSE(CONTROL!$C$22, $C$13, 100%, $E$13)</f>
        <v>14.397</v>
      </c>
    </row>
    <row r="804" spans="1:11" ht="15">
      <c r="A804" s="13">
        <v>66324</v>
      </c>
      <c r="B804" s="60">
        <f>11.8516 * CHOOSE(CONTROL!$C$22, $C$13, 100%, $E$13)</f>
        <v>11.851599999999999</v>
      </c>
      <c r="C804" s="60">
        <f>11.8516 * CHOOSE(CONTROL!$C$22, $C$13, 100%, $E$13)</f>
        <v>11.851599999999999</v>
      </c>
      <c r="D804" s="60">
        <f>11.887 * CHOOSE(CONTROL!$C$22, $C$13, 100%, $E$13)</f>
        <v>11.887</v>
      </c>
      <c r="E804" s="61">
        <f>14.1806 * CHOOSE(CONTROL!$C$22, $C$13, 100%, $E$13)</f>
        <v>14.1806</v>
      </c>
      <c r="F804" s="61">
        <f>14.1806 * CHOOSE(CONTROL!$C$22, $C$13, 100%, $E$13)</f>
        <v>14.1806</v>
      </c>
      <c r="G804" s="61">
        <f>14.1827 * CHOOSE(CONTROL!$C$22, $C$13, 100%, $E$13)</f>
        <v>14.182700000000001</v>
      </c>
      <c r="H804" s="61">
        <f>24.2554* CHOOSE(CONTROL!$C$22, $C$13, 100%, $E$13)</f>
        <v>24.255400000000002</v>
      </c>
      <c r="I804" s="61">
        <f>24.2576 * CHOOSE(CONTROL!$C$22, $C$13, 100%, $E$13)</f>
        <v>24.2576</v>
      </c>
      <c r="J804" s="61">
        <f>14.1806 * CHOOSE(CONTROL!$C$22, $C$13, 100%, $E$13)</f>
        <v>14.1806</v>
      </c>
      <c r="K804" s="61">
        <f>14.1827 * CHOOSE(CONTROL!$C$22, $C$13, 100%, $E$13)</f>
        <v>14.182700000000001</v>
      </c>
    </row>
    <row r="805" spans="1:11" ht="15">
      <c r="A805" s="13">
        <v>66355</v>
      </c>
      <c r="B805" s="60">
        <f>11.8486 * CHOOSE(CONTROL!$C$22, $C$13, 100%, $E$13)</f>
        <v>11.848599999999999</v>
      </c>
      <c r="C805" s="60">
        <f>11.8486 * CHOOSE(CONTROL!$C$22, $C$13, 100%, $E$13)</f>
        <v>11.848599999999999</v>
      </c>
      <c r="D805" s="60">
        <f>11.8839 * CHOOSE(CONTROL!$C$22, $C$13, 100%, $E$13)</f>
        <v>11.883900000000001</v>
      </c>
      <c r="E805" s="61">
        <f>14.1541 * CHOOSE(CONTROL!$C$22, $C$13, 100%, $E$13)</f>
        <v>14.1541</v>
      </c>
      <c r="F805" s="61">
        <f>14.1541 * CHOOSE(CONTROL!$C$22, $C$13, 100%, $E$13)</f>
        <v>14.1541</v>
      </c>
      <c r="G805" s="61">
        <f>14.1563 * CHOOSE(CONTROL!$C$22, $C$13, 100%, $E$13)</f>
        <v>14.1563</v>
      </c>
      <c r="H805" s="61">
        <f>24.3059* CHOOSE(CONTROL!$C$22, $C$13, 100%, $E$13)</f>
        <v>24.305900000000001</v>
      </c>
      <c r="I805" s="61">
        <f>24.3081 * CHOOSE(CONTROL!$C$22, $C$13, 100%, $E$13)</f>
        <v>24.3081</v>
      </c>
      <c r="J805" s="61">
        <f>14.1541 * CHOOSE(CONTROL!$C$22, $C$13, 100%, $E$13)</f>
        <v>14.1541</v>
      </c>
      <c r="K805" s="61">
        <f>14.1563 * CHOOSE(CONTROL!$C$22, $C$13, 100%, $E$13)</f>
        <v>14.1563</v>
      </c>
    </row>
    <row r="806" spans="1:11" ht="15">
      <c r="A806" s="13">
        <v>66385</v>
      </c>
      <c r="B806" s="60">
        <f>11.8735 * CHOOSE(CONTROL!$C$22, $C$13, 100%, $E$13)</f>
        <v>11.8735</v>
      </c>
      <c r="C806" s="60">
        <f>11.8735 * CHOOSE(CONTROL!$C$22, $C$13, 100%, $E$13)</f>
        <v>11.8735</v>
      </c>
      <c r="D806" s="60">
        <f>11.8911 * CHOOSE(CONTROL!$C$22, $C$13, 100%, $E$13)</f>
        <v>11.8911</v>
      </c>
      <c r="E806" s="61">
        <f>14.238 * CHOOSE(CONTROL!$C$22, $C$13, 100%, $E$13)</f>
        <v>14.238</v>
      </c>
      <c r="F806" s="61">
        <f>14.238 * CHOOSE(CONTROL!$C$22, $C$13, 100%, $E$13)</f>
        <v>14.238</v>
      </c>
      <c r="G806" s="61">
        <f>14.2382 * CHOOSE(CONTROL!$C$22, $C$13, 100%, $E$13)</f>
        <v>14.238200000000001</v>
      </c>
      <c r="H806" s="61">
        <f>24.3565* CHOOSE(CONTROL!$C$22, $C$13, 100%, $E$13)</f>
        <v>24.3565</v>
      </c>
      <c r="I806" s="61">
        <f>24.3567 * CHOOSE(CONTROL!$C$22, $C$13, 100%, $E$13)</f>
        <v>24.3567</v>
      </c>
      <c r="J806" s="61">
        <f>14.238 * CHOOSE(CONTROL!$C$22, $C$13, 100%, $E$13)</f>
        <v>14.238</v>
      </c>
      <c r="K806" s="61">
        <f>14.2382 * CHOOSE(CONTROL!$C$22, $C$13, 100%, $E$13)</f>
        <v>14.238200000000001</v>
      </c>
    </row>
    <row r="807" spans="1:11" ht="15">
      <c r="A807" s="13">
        <v>66416</v>
      </c>
      <c r="B807" s="60">
        <f>11.8765 * CHOOSE(CONTROL!$C$22, $C$13, 100%, $E$13)</f>
        <v>11.8765</v>
      </c>
      <c r="C807" s="60">
        <f>11.8765 * CHOOSE(CONTROL!$C$22, $C$13, 100%, $E$13)</f>
        <v>11.8765</v>
      </c>
      <c r="D807" s="60">
        <f>11.8942 * CHOOSE(CONTROL!$C$22, $C$13, 100%, $E$13)</f>
        <v>11.8942</v>
      </c>
      <c r="E807" s="61">
        <f>14.2887 * CHOOSE(CONTROL!$C$22, $C$13, 100%, $E$13)</f>
        <v>14.2887</v>
      </c>
      <c r="F807" s="61">
        <f>14.2887 * CHOOSE(CONTROL!$C$22, $C$13, 100%, $E$13)</f>
        <v>14.2887</v>
      </c>
      <c r="G807" s="61">
        <f>14.2889 * CHOOSE(CONTROL!$C$22, $C$13, 100%, $E$13)</f>
        <v>14.2889</v>
      </c>
      <c r="H807" s="61">
        <f>24.4073* CHOOSE(CONTROL!$C$22, $C$13, 100%, $E$13)</f>
        <v>24.407299999999999</v>
      </c>
      <c r="I807" s="61">
        <f>24.4075 * CHOOSE(CONTROL!$C$22, $C$13, 100%, $E$13)</f>
        <v>24.407499999999999</v>
      </c>
      <c r="J807" s="61">
        <f>14.2887 * CHOOSE(CONTROL!$C$22, $C$13, 100%, $E$13)</f>
        <v>14.2887</v>
      </c>
      <c r="K807" s="61">
        <f>14.2889 * CHOOSE(CONTROL!$C$22, $C$13, 100%, $E$13)</f>
        <v>14.2889</v>
      </c>
    </row>
    <row r="808" spans="1:11" ht="15">
      <c r="A808" s="13">
        <v>66446</v>
      </c>
      <c r="B808" s="60">
        <f>11.8765 * CHOOSE(CONTROL!$C$22, $C$13, 100%, $E$13)</f>
        <v>11.8765</v>
      </c>
      <c r="C808" s="60">
        <f>11.8765 * CHOOSE(CONTROL!$C$22, $C$13, 100%, $E$13)</f>
        <v>11.8765</v>
      </c>
      <c r="D808" s="60">
        <f>11.8942 * CHOOSE(CONTROL!$C$22, $C$13, 100%, $E$13)</f>
        <v>11.8942</v>
      </c>
      <c r="E808" s="61">
        <f>14.1671 * CHOOSE(CONTROL!$C$22, $C$13, 100%, $E$13)</f>
        <v>14.1671</v>
      </c>
      <c r="F808" s="61">
        <f>14.1671 * CHOOSE(CONTROL!$C$22, $C$13, 100%, $E$13)</f>
        <v>14.1671</v>
      </c>
      <c r="G808" s="61">
        <f>14.1673 * CHOOSE(CONTROL!$C$22, $C$13, 100%, $E$13)</f>
        <v>14.167299999999999</v>
      </c>
      <c r="H808" s="61">
        <f>24.4581* CHOOSE(CONTROL!$C$22, $C$13, 100%, $E$13)</f>
        <v>24.458100000000002</v>
      </c>
      <c r="I808" s="61">
        <f>24.4583 * CHOOSE(CONTROL!$C$22, $C$13, 100%, $E$13)</f>
        <v>24.458300000000001</v>
      </c>
      <c r="J808" s="61">
        <f>14.1671 * CHOOSE(CONTROL!$C$22, $C$13, 100%, $E$13)</f>
        <v>14.1671</v>
      </c>
      <c r="K808" s="61">
        <f>14.1673 * CHOOSE(CONTROL!$C$22, $C$13, 100%, $E$13)</f>
        <v>14.167299999999999</v>
      </c>
    </row>
    <row r="809" spans="1:11" ht="15">
      <c r="A809" s="13">
        <v>66477</v>
      </c>
      <c r="B809" s="60">
        <f>11.8732 * CHOOSE(CONTROL!$C$22, $C$13, 100%, $E$13)</f>
        <v>11.873200000000001</v>
      </c>
      <c r="C809" s="60">
        <f>11.8732 * CHOOSE(CONTROL!$C$22, $C$13, 100%, $E$13)</f>
        <v>11.873200000000001</v>
      </c>
      <c r="D809" s="60">
        <f>11.8909 * CHOOSE(CONTROL!$C$22, $C$13, 100%, $E$13)</f>
        <v>11.8909</v>
      </c>
      <c r="E809" s="61">
        <f>14.2475 * CHOOSE(CONTROL!$C$22, $C$13, 100%, $E$13)</f>
        <v>14.2475</v>
      </c>
      <c r="F809" s="61">
        <f>14.2475 * CHOOSE(CONTROL!$C$22, $C$13, 100%, $E$13)</f>
        <v>14.2475</v>
      </c>
      <c r="G809" s="61">
        <f>14.2477 * CHOOSE(CONTROL!$C$22, $C$13, 100%, $E$13)</f>
        <v>14.2477</v>
      </c>
      <c r="H809" s="61">
        <f>24.306* CHOOSE(CONTROL!$C$22, $C$13, 100%, $E$13)</f>
        <v>24.306000000000001</v>
      </c>
      <c r="I809" s="61">
        <f>24.3062 * CHOOSE(CONTROL!$C$22, $C$13, 100%, $E$13)</f>
        <v>24.3062</v>
      </c>
      <c r="J809" s="61">
        <f>14.2475 * CHOOSE(CONTROL!$C$22, $C$13, 100%, $E$13)</f>
        <v>14.2475</v>
      </c>
      <c r="K809" s="61">
        <f>14.2477 * CHOOSE(CONTROL!$C$22, $C$13, 100%, $E$13)</f>
        <v>14.2477</v>
      </c>
    </row>
    <row r="810" spans="1:11" ht="15">
      <c r="A810" s="13">
        <v>66508</v>
      </c>
      <c r="B810" s="60">
        <f>11.8702 * CHOOSE(CONTROL!$C$22, $C$13, 100%, $E$13)</f>
        <v>11.870200000000001</v>
      </c>
      <c r="C810" s="60">
        <f>11.8702 * CHOOSE(CONTROL!$C$22, $C$13, 100%, $E$13)</f>
        <v>11.870200000000001</v>
      </c>
      <c r="D810" s="60">
        <f>11.8878 * CHOOSE(CONTROL!$C$22, $C$13, 100%, $E$13)</f>
        <v>11.8878</v>
      </c>
      <c r="E810" s="61">
        <f>14.0112 * CHOOSE(CONTROL!$C$22, $C$13, 100%, $E$13)</f>
        <v>14.011200000000001</v>
      </c>
      <c r="F810" s="61">
        <f>14.0112 * CHOOSE(CONTROL!$C$22, $C$13, 100%, $E$13)</f>
        <v>14.011200000000001</v>
      </c>
      <c r="G810" s="61">
        <f>14.0113 * CHOOSE(CONTROL!$C$22, $C$13, 100%, $E$13)</f>
        <v>14.0113</v>
      </c>
      <c r="H810" s="61">
        <f>24.3567* CHOOSE(CONTROL!$C$22, $C$13, 100%, $E$13)</f>
        <v>24.3567</v>
      </c>
      <c r="I810" s="61">
        <f>24.3569 * CHOOSE(CONTROL!$C$22, $C$13, 100%, $E$13)</f>
        <v>24.3569</v>
      </c>
      <c r="J810" s="61">
        <f>14.0112 * CHOOSE(CONTROL!$C$22, $C$13, 100%, $E$13)</f>
        <v>14.011200000000001</v>
      </c>
      <c r="K810" s="61">
        <f>14.0113 * CHOOSE(CONTROL!$C$22, $C$13, 100%, $E$13)</f>
        <v>14.0113</v>
      </c>
    </row>
    <row r="811" spans="1:11" ht="15">
      <c r="A811" s="13">
        <v>66536</v>
      </c>
      <c r="B811" s="60">
        <f>11.8671 * CHOOSE(CONTROL!$C$22, $C$13, 100%, $E$13)</f>
        <v>11.867100000000001</v>
      </c>
      <c r="C811" s="60">
        <f>11.8671 * CHOOSE(CONTROL!$C$22, $C$13, 100%, $E$13)</f>
        <v>11.867100000000001</v>
      </c>
      <c r="D811" s="60">
        <f>11.8848 * CHOOSE(CONTROL!$C$22, $C$13, 100%, $E$13)</f>
        <v>11.8848</v>
      </c>
      <c r="E811" s="61">
        <f>14.1937 * CHOOSE(CONTROL!$C$22, $C$13, 100%, $E$13)</f>
        <v>14.1937</v>
      </c>
      <c r="F811" s="61">
        <f>14.1937 * CHOOSE(CONTROL!$C$22, $C$13, 100%, $E$13)</f>
        <v>14.1937</v>
      </c>
      <c r="G811" s="61">
        <f>14.1939 * CHOOSE(CONTROL!$C$22, $C$13, 100%, $E$13)</f>
        <v>14.193899999999999</v>
      </c>
      <c r="H811" s="61">
        <f>24.4074* CHOOSE(CONTROL!$C$22, $C$13, 100%, $E$13)</f>
        <v>24.407399999999999</v>
      </c>
      <c r="I811" s="61">
        <f>24.4076 * CHOOSE(CONTROL!$C$22, $C$13, 100%, $E$13)</f>
        <v>24.407599999999999</v>
      </c>
      <c r="J811" s="61">
        <f>14.1937 * CHOOSE(CONTROL!$C$22, $C$13, 100%, $E$13)</f>
        <v>14.1937</v>
      </c>
      <c r="K811" s="61">
        <f>14.1939 * CHOOSE(CONTROL!$C$22, $C$13, 100%, $E$13)</f>
        <v>14.193899999999999</v>
      </c>
    </row>
    <row r="812" spans="1:11" ht="15">
      <c r="A812" s="13">
        <v>66567</v>
      </c>
      <c r="B812" s="60">
        <f>11.8725 * CHOOSE(CONTROL!$C$22, $C$13, 100%, $E$13)</f>
        <v>11.8725</v>
      </c>
      <c r="C812" s="60">
        <f>11.8725 * CHOOSE(CONTROL!$C$22, $C$13, 100%, $E$13)</f>
        <v>11.8725</v>
      </c>
      <c r="D812" s="60">
        <f>11.8902 * CHOOSE(CONTROL!$C$22, $C$13, 100%, $E$13)</f>
        <v>11.8902</v>
      </c>
      <c r="E812" s="61">
        <f>14.3878 * CHOOSE(CONTROL!$C$22, $C$13, 100%, $E$13)</f>
        <v>14.3878</v>
      </c>
      <c r="F812" s="61">
        <f>14.3878 * CHOOSE(CONTROL!$C$22, $C$13, 100%, $E$13)</f>
        <v>14.3878</v>
      </c>
      <c r="G812" s="61">
        <f>14.388 * CHOOSE(CONTROL!$C$22, $C$13, 100%, $E$13)</f>
        <v>14.388</v>
      </c>
      <c r="H812" s="61">
        <f>24.4583* CHOOSE(CONTROL!$C$22, $C$13, 100%, $E$13)</f>
        <v>24.458300000000001</v>
      </c>
      <c r="I812" s="61">
        <f>24.4585 * CHOOSE(CONTROL!$C$22, $C$13, 100%, $E$13)</f>
        <v>24.458500000000001</v>
      </c>
      <c r="J812" s="61">
        <f>14.3878 * CHOOSE(CONTROL!$C$22, $C$13, 100%, $E$13)</f>
        <v>14.3878</v>
      </c>
      <c r="K812" s="61">
        <f>14.388 * CHOOSE(CONTROL!$C$22, $C$13, 100%, $E$13)</f>
        <v>14.388</v>
      </c>
    </row>
    <row r="813" spans="1:11" ht="15">
      <c r="A813" s="13">
        <v>66597</v>
      </c>
      <c r="B813" s="60">
        <f>11.8725 * CHOOSE(CONTROL!$C$22, $C$13, 100%, $E$13)</f>
        <v>11.8725</v>
      </c>
      <c r="C813" s="60">
        <f>11.8725 * CHOOSE(CONTROL!$C$22, $C$13, 100%, $E$13)</f>
        <v>11.8725</v>
      </c>
      <c r="D813" s="60">
        <f>11.9078 * CHOOSE(CONTROL!$C$22, $C$13, 100%, $E$13)</f>
        <v>11.9078</v>
      </c>
      <c r="E813" s="61">
        <f>14.4622 * CHOOSE(CONTROL!$C$22, $C$13, 100%, $E$13)</f>
        <v>14.462199999999999</v>
      </c>
      <c r="F813" s="61">
        <f>14.4622 * CHOOSE(CONTROL!$C$22, $C$13, 100%, $E$13)</f>
        <v>14.462199999999999</v>
      </c>
      <c r="G813" s="61">
        <f>14.4644 * CHOOSE(CONTROL!$C$22, $C$13, 100%, $E$13)</f>
        <v>14.464399999999999</v>
      </c>
      <c r="H813" s="61">
        <f>24.5092* CHOOSE(CONTROL!$C$22, $C$13, 100%, $E$13)</f>
        <v>24.5092</v>
      </c>
      <c r="I813" s="61">
        <f>24.5114 * CHOOSE(CONTROL!$C$22, $C$13, 100%, $E$13)</f>
        <v>24.511399999999998</v>
      </c>
      <c r="J813" s="61">
        <f>14.4622 * CHOOSE(CONTROL!$C$22, $C$13, 100%, $E$13)</f>
        <v>14.462199999999999</v>
      </c>
      <c r="K813" s="61">
        <f>14.4644 * CHOOSE(CONTROL!$C$22, $C$13, 100%, $E$13)</f>
        <v>14.464399999999999</v>
      </c>
    </row>
    <row r="814" spans="1:11" ht="15">
      <c r="A814" s="13">
        <v>66628</v>
      </c>
      <c r="B814" s="60">
        <f>11.8786 * CHOOSE(CONTROL!$C$22, $C$13, 100%, $E$13)</f>
        <v>11.8786</v>
      </c>
      <c r="C814" s="60">
        <f>11.8786 * CHOOSE(CONTROL!$C$22, $C$13, 100%, $E$13)</f>
        <v>11.8786</v>
      </c>
      <c r="D814" s="60">
        <f>11.9139 * CHOOSE(CONTROL!$C$22, $C$13, 100%, $E$13)</f>
        <v>11.9139</v>
      </c>
      <c r="E814" s="61">
        <f>14.3921 * CHOOSE(CONTROL!$C$22, $C$13, 100%, $E$13)</f>
        <v>14.392099999999999</v>
      </c>
      <c r="F814" s="61">
        <f>14.3921 * CHOOSE(CONTROL!$C$22, $C$13, 100%, $E$13)</f>
        <v>14.392099999999999</v>
      </c>
      <c r="G814" s="61">
        <f>14.3943 * CHOOSE(CONTROL!$C$22, $C$13, 100%, $E$13)</f>
        <v>14.394299999999999</v>
      </c>
      <c r="H814" s="61">
        <f>24.5603* CHOOSE(CONTROL!$C$22, $C$13, 100%, $E$13)</f>
        <v>24.560300000000002</v>
      </c>
      <c r="I814" s="61">
        <f>24.5625 * CHOOSE(CONTROL!$C$22, $C$13, 100%, $E$13)</f>
        <v>24.5625</v>
      </c>
      <c r="J814" s="61">
        <f>14.3921 * CHOOSE(CONTROL!$C$22, $C$13, 100%, $E$13)</f>
        <v>14.392099999999999</v>
      </c>
      <c r="K814" s="61">
        <f>14.3943 * CHOOSE(CONTROL!$C$22, $C$13, 100%, $E$13)</f>
        <v>14.394299999999999</v>
      </c>
    </row>
    <row r="815" spans="1:11" ht="15">
      <c r="A815" s="13">
        <v>66658</v>
      </c>
      <c r="B815" s="60">
        <f>12.0443 * CHOOSE(CONTROL!$C$22, $C$13, 100%, $E$13)</f>
        <v>12.0443</v>
      </c>
      <c r="C815" s="60">
        <f>12.0443 * CHOOSE(CONTROL!$C$22, $C$13, 100%, $E$13)</f>
        <v>12.0443</v>
      </c>
      <c r="D815" s="60">
        <f>12.0796 * CHOOSE(CONTROL!$C$22, $C$13, 100%, $E$13)</f>
        <v>12.079599999999999</v>
      </c>
      <c r="E815" s="61">
        <f>14.6539 * CHOOSE(CONTROL!$C$22, $C$13, 100%, $E$13)</f>
        <v>14.6539</v>
      </c>
      <c r="F815" s="61">
        <f>14.6539 * CHOOSE(CONTROL!$C$22, $C$13, 100%, $E$13)</f>
        <v>14.6539</v>
      </c>
      <c r="G815" s="61">
        <f>14.6561 * CHOOSE(CONTROL!$C$22, $C$13, 100%, $E$13)</f>
        <v>14.6561</v>
      </c>
      <c r="H815" s="61">
        <f>24.6115* CHOOSE(CONTROL!$C$22, $C$13, 100%, $E$13)</f>
        <v>24.611499999999999</v>
      </c>
      <c r="I815" s="61">
        <f>24.6136 * CHOOSE(CONTROL!$C$22, $C$13, 100%, $E$13)</f>
        <v>24.613600000000002</v>
      </c>
      <c r="J815" s="61">
        <f>14.6539 * CHOOSE(CONTROL!$C$22, $C$13, 100%, $E$13)</f>
        <v>14.6539</v>
      </c>
      <c r="K815" s="61">
        <f>14.6561 * CHOOSE(CONTROL!$C$22, $C$13, 100%, $E$13)</f>
        <v>14.6561</v>
      </c>
    </row>
    <row r="816" spans="1:11" ht="15">
      <c r="A816" s="13">
        <v>66689</v>
      </c>
      <c r="B816" s="60">
        <f>12.051 * CHOOSE(CONTROL!$C$22, $C$13, 100%, $E$13)</f>
        <v>12.051</v>
      </c>
      <c r="C816" s="60">
        <f>12.051 * CHOOSE(CONTROL!$C$22, $C$13, 100%, $E$13)</f>
        <v>12.051</v>
      </c>
      <c r="D816" s="60">
        <f>12.0863 * CHOOSE(CONTROL!$C$22, $C$13, 100%, $E$13)</f>
        <v>12.0863</v>
      </c>
      <c r="E816" s="61">
        <f>14.4354 * CHOOSE(CONTROL!$C$22, $C$13, 100%, $E$13)</f>
        <v>14.4354</v>
      </c>
      <c r="F816" s="61">
        <f>14.4354 * CHOOSE(CONTROL!$C$22, $C$13, 100%, $E$13)</f>
        <v>14.4354</v>
      </c>
      <c r="G816" s="61">
        <f>14.4376 * CHOOSE(CONTROL!$C$22, $C$13, 100%, $E$13)</f>
        <v>14.4376</v>
      </c>
      <c r="H816" s="61">
        <f>24.6627* CHOOSE(CONTROL!$C$22, $C$13, 100%, $E$13)</f>
        <v>24.662700000000001</v>
      </c>
      <c r="I816" s="61">
        <f>24.6649 * CHOOSE(CONTROL!$C$22, $C$13, 100%, $E$13)</f>
        <v>24.664899999999999</v>
      </c>
      <c r="J816" s="61">
        <f>14.4354 * CHOOSE(CONTROL!$C$22, $C$13, 100%, $E$13)</f>
        <v>14.4354</v>
      </c>
      <c r="K816" s="61">
        <f>14.4376 * CHOOSE(CONTROL!$C$22, $C$13, 100%, $E$13)</f>
        <v>14.4376</v>
      </c>
    </row>
    <row r="817" spans="1:11" ht="15">
      <c r="A817" s="13">
        <v>66720</v>
      </c>
      <c r="B817" s="60">
        <f>12.0479 * CHOOSE(CONTROL!$C$22, $C$13, 100%, $E$13)</f>
        <v>12.0479</v>
      </c>
      <c r="C817" s="60">
        <f>12.0479 * CHOOSE(CONTROL!$C$22, $C$13, 100%, $E$13)</f>
        <v>12.0479</v>
      </c>
      <c r="D817" s="60">
        <f>12.0832 * CHOOSE(CONTROL!$C$22, $C$13, 100%, $E$13)</f>
        <v>12.0832</v>
      </c>
      <c r="E817" s="61">
        <f>14.4085 * CHOOSE(CONTROL!$C$22, $C$13, 100%, $E$13)</f>
        <v>14.4085</v>
      </c>
      <c r="F817" s="61">
        <f>14.4085 * CHOOSE(CONTROL!$C$22, $C$13, 100%, $E$13)</f>
        <v>14.4085</v>
      </c>
      <c r="G817" s="61">
        <f>14.4107 * CHOOSE(CONTROL!$C$22, $C$13, 100%, $E$13)</f>
        <v>14.4107</v>
      </c>
      <c r="H817" s="61">
        <f>24.7141* CHOOSE(CONTROL!$C$22, $C$13, 100%, $E$13)</f>
        <v>24.714099999999998</v>
      </c>
      <c r="I817" s="61">
        <f>24.7163 * CHOOSE(CONTROL!$C$22, $C$13, 100%, $E$13)</f>
        <v>24.7163</v>
      </c>
      <c r="J817" s="61">
        <f>14.4085 * CHOOSE(CONTROL!$C$22, $C$13, 100%, $E$13)</f>
        <v>14.4085</v>
      </c>
      <c r="K817" s="61">
        <f>14.4107 * CHOOSE(CONTROL!$C$22, $C$13, 100%, $E$13)</f>
        <v>14.4107</v>
      </c>
    </row>
    <row r="818" spans="1:11" ht="15">
      <c r="A818" s="13">
        <v>66750</v>
      </c>
      <c r="B818" s="60">
        <f>12.0736 * CHOOSE(CONTROL!$C$22, $C$13, 100%, $E$13)</f>
        <v>12.073600000000001</v>
      </c>
      <c r="C818" s="60">
        <f>12.0736 * CHOOSE(CONTROL!$C$22, $C$13, 100%, $E$13)</f>
        <v>12.073600000000001</v>
      </c>
      <c r="D818" s="60">
        <f>12.0912 * CHOOSE(CONTROL!$C$22, $C$13, 100%, $E$13)</f>
        <v>12.091200000000001</v>
      </c>
      <c r="E818" s="61">
        <f>14.4942 * CHOOSE(CONTROL!$C$22, $C$13, 100%, $E$13)</f>
        <v>14.494199999999999</v>
      </c>
      <c r="F818" s="61">
        <f>14.4942 * CHOOSE(CONTROL!$C$22, $C$13, 100%, $E$13)</f>
        <v>14.494199999999999</v>
      </c>
      <c r="G818" s="61">
        <f>14.4944 * CHOOSE(CONTROL!$C$22, $C$13, 100%, $E$13)</f>
        <v>14.494400000000001</v>
      </c>
      <c r="H818" s="61">
        <f>24.7656* CHOOSE(CONTROL!$C$22, $C$13, 100%, $E$13)</f>
        <v>24.765599999999999</v>
      </c>
      <c r="I818" s="61">
        <f>24.7658 * CHOOSE(CONTROL!$C$22, $C$13, 100%, $E$13)</f>
        <v>24.765799999999999</v>
      </c>
      <c r="J818" s="61">
        <f>14.4942 * CHOOSE(CONTROL!$C$22, $C$13, 100%, $E$13)</f>
        <v>14.494199999999999</v>
      </c>
      <c r="K818" s="61">
        <f>14.4944 * CHOOSE(CONTROL!$C$22, $C$13, 100%, $E$13)</f>
        <v>14.494400000000001</v>
      </c>
    </row>
    <row r="819" spans="1:11" ht="15">
      <c r="A819" s="13">
        <v>66781</v>
      </c>
      <c r="B819" s="60">
        <f>12.0766 * CHOOSE(CONTROL!$C$22, $C$13, 100%, $E$13)</f>
        <v>12.076599999999999</v>
      </c>
      <c r="C819" s="60">
        <f>12.0766 * CHOOSE(CONTROL!$C$22, $C$13, 100%, $E$13)</f>
        <v>12.076599999999999</v>
      </c>
      <c r="D819" s="60">
        <f>12.0943 * CHOOSE(CONTROL!$C$22, $C$13, 100%, $E$13)</f>
        <v>12.0943</v>
      </c>
      <c r="E819" s="61">
        <f>14.5459 * CHOOSE(CONTROL!$C$22, $C$13, 100%, $E$13)</f>
        <v>14.5459</v>
      </c>
      <c r="F819" s="61">
        <f>14.5459 * CHOOSE(CONTROL!$C$22, $C$13, 100%, $E$13)</f>
        <v>14.5459</v>
      </c>
      <c r="G819" s="61">
        <f>14.5461 * CHOOSE(CONTROL!$C$22, $C$13, 100%, $E$13)</f>
        <v>14.546099999999999</v>
      </c>
      <c r="H819" s="61">
        <f>24.8172* CHOOSE(CONTROL!$C$22, $C$13, 100%, $E$13)</f>
        <v>24.8172</v>
      </c>
      <c r="I819" s="61">
        <f>24.8174 * CHOOSE(CONTROL!$C$22, $C$13, 100%, $E$13)</f>
        <v>24.817399999999999</v>
      </c>
      <c r="J819" s="61">
        <f>14.5459 * CHOOSE(CONTROL!$C$22, $C$13, 100%, $E$13)</f>
        <v>14.5459</v>
      </c>
      <c r="K819" s="61">
        <f>14.5461 * CHOOSE(CONTROL!$C$22, $C$13, 100%, $E$13)</f>
        <v>14.546099999999999</v>
      </c>
    </row>
    <row r="820" spans="1:11" ht="15">
      <c r="A820" s="13">
        <v>66811</v>
      </c>
      <c r="B820" s="60">
        <f>12.0766 * CHOOSE(CONTROL!$C$22, $C$13, 100%, $E$13)</f>
        <v>12.076599999999999</v>
      </c>
      <c r="C820" s="60">
        <f>12.0766 * CHOOSE(CONTROL!$C$22, $C$13, 100%, $E$13)</f>
        <v>12.076599999999999</v>
      </c>
      <c r="D820" s="60">
        <f>12.0943 * CHOOSE(CONTROL!$C$22, $C$13, 100%, $E$13)</f>
        <v>12.0943</v>
      </c>
      <c r="E820" s="61">
        <f>14.422 * CHOOSE(CONTROL!$C$22, $C$13, 100%, $E$13)</f>
        <v>14.422000000000001</v>
      </c>
      <c r="F820" s="61">
        <f>14.422 * CHOOSE(CONTROL!$C$22, $C$13, 100%, $E$13)</f>
        <v>14.422000000000001</v>
      </c>
      <c r="G820" s="61">
        <f>14.4222 * CHOOSE(CONTROL!$C$22, $C$13, 100%, $E$13)</f>
        <v>14.4222</v>
      </c>
      <c r="H820" s="61">
        <f>24.8689* CHOOSE(CONTROL!$C$22, $C$13, 100%, $E$13)</f>
        <v>24.8689</v>
      </c>
      <c r="I820" s="61">
        <f>24.8691 * CHOOSE(CONTROL!$C$22, $C$13, 100%, $E$13)</f>
        <v>24.8691</v>
      </c>
      <c r="J820" s="61">
        <f>14.422 * CHOOSE(CONTROL!$C$22, $C$13, 100%, $E$13)</f>
        <v>14.422000000000001</v>
      </c>
      <c r="K820" s="61">
        <f>14.4222 * CHOOSE(CONTROL!$C$22, $C$13, 100%, $E$13)</f>
        <v>14.4222</v>
      </c>
    </row>
    <row r="821" spans="1:11" ht="15">
      <c r="A821" s="13">
        <v>66842</v>
      </c>
      <c r="B821" s="60">
        <f>12.0698 * CHOOSE(CONTROL!$C$22, $C$13, 100%, $E$13)</f>
        <v>12.069800000000001</v>
      </c>
      <c r="C821" s="60">
        <f>12.0698 * CHOOSE(CONTROL!$C$22, $C$13, 100%, $E$13)</f>
        <v>12.069800000000001</v>
      </c>
      <c r="D821" s="60">
        <f>12.0875 * CHOOSE(CONTROL!$C$22, $C$13, 100%, $E$13)</f>
        <v>12.0875</v>
      </c>
      <c r="E821" s="61">
        <f>14.4994 * CHOOSE(CONTROL!$C$22, $C$13, 100%, $E$13)</f>
        <v>14.4994</v>
      </c>
      <c r="F821" s="61">
        <f>14.4994 * CHOOSE(CONTROL!$C$22, $C$13, 100%, $E$13)</f>
        <v>14.4994</v>
      </c>
      <c r="G821" s="61">
        <f>14.4996 * CHOOSE(CONTROL!$C$22, $C$13, 100%, $E$13)</f>
        <v>14.499599999999999</v>
      </c>
      <c r="H821" s="61">
        <f>24.7075* CHOOSE(CONTROL!$C$22, $C$13, 100%, $E$13)</f>
        <v>24.7075</v>
      </c>
      <c r="I821" s="61">
        <f>24.7077 * CHOOSE(CONTROL!$C$22, $C$13, 100%, $E$13)</f>
        <v>24.707699999999999</v>
      </c>
      <c r="J821" s="61">
        <f>14.4994 * CHOOSE(CONTROL!$C$22, $C$13, 100%, $E$13)</f>
        <v>14.4994</v>
      </c>
      <c r="K821" s="61">
        <f>14.4996 * CHOOSE(CONTROL!$C$22, $C$13, 100%, $E$13)</f>
        <v>14.499599999999999</v>
      </c>
    </row>
    <row r="822" spans="1:11" ht="15">
      <c r="A822" s="13">
        <v>66873</v>
      </c>
      <c r="B822" s="60">
        <f>12.0668 * CHOOSE(CONTROL!$C$22, $C$13, 100%, $E$13)</f>
        <v>12.066800000000001</v>
      </c>
      <c r="C822" s="60">
        <f>12.0668 * CHOOSE(CONTROL!$C$22, $C$13, 100%, $E$13)</f>
        <v>12.066800000000001</v>
      </c>
      <c r="D822" s="60">
        <f>12.0844 * CHOOSE(CONTROL!$C$22, $C$13, 100%, $E$13)</f>
        <v>12.0844</v>
      </c>
      <c r="E822" s="61">
        <f>14.2585 * CHOOSE(CONTROL!$C$22, $C$13, 100%, $E$13)</f>
        <v>14.2585</v>
      </c>
      <c r="F822" s="61">
        <f>14.2585 * CHOOSE(CONTROL!$C$22, $C$13, 100%, $E$13)</f>
        <v>14.2585</v>
      </c>
      <c r="G822" s="61">
        <f>14.2587 * CHOOSE(CONTROL!$C$22, $C$13, 100%, $E$13)</f>
        <v>14.258699999999999</v>
      </c>
      <c r="H822" s="61">
        <f>24.759* CHOOSE(CONTROL!$C$22, $C$13, 100%, $E$13)</f>
        <v>24.759</v>
      </c>
      <c r="I822" s="61">
        <f>24.7592 * CHOOSE(CONTROL!$C$22, $C$13, 100%, $E$13)</f>
        <v>24.7592</v>
      </c>
      <c r="J822" s="61">
        <f>14.2585 * CHOOSE(CONTROL!$C$22, $C$13, 100%, $E$13)</f>
        <v>14.2585</v>
      </c>
      <c r="K822" s="61">
        <f>14.2587 * CHOOSE(CONTROL!$C$22, $C$13, 100%, $E$13)</f>
        <v>14.258699999999999</v>
      </c>
    </row>
    <row r="823" spans="1:11" ht="15">
      <c r="A823" s="13">
        <v>66901</v>
      </c>
      <c r="B823" s="60">
        <f>12.0637 * CHOOSE(CONTROL!$C$22, $C$13, 100%, $E$13)</f>
        <v>12.063700000000001</v>
      </c>
      <c r="C823" s="60">
        <f>12.0637 * CHOOSE(CONTROL!$C$22, $C$13, 100%, $E$13)</f>
        <v>12.063700000000001</v>
      </c>
      <c r="D823" s="60">
        <f>12.0814 * CHOOSE(CONTROL!$C$22, $C$13, 100%, $E$13)</f>
        <v>12.0814</v>
      </c>
      <c r="E823" s="61">
        <f>14.4446 * CHOOSE(CONTROL!$C$22, $C$13, 100%, $E$13)</f>
        <v>14.444599999999999</v>
      </c>
      <c r="F823" s="61">
        <f>14.4446 * CHOOSE(CONTROL!$C$22, $C$13, 100%, $E$13)</f>
        <v>14.444599999999999</v>
      </c>
      <c r="G823" s="61">
        <f>14.4448 * CHOOSE(CONTROL!$C$22, $C$13, 100%, $E$13)</f>
        <v>14.444800000000001</v>
      </c>
      <c r="H823" s="61">
        <f>24.8106* CHOOSE(CONTROL!$C$22, $C$13, 100%, $E$13)</f>
        <v>24.810600000000001</v>
      </c>
      <c r="I823" s="61">
        <f>24.8107 * CHOOSE(CONTROL!$C$22, $C$13, 100%, $E$13)</f>
        <v>24.810700000000001</v>
      </c>
      <c r="J823" s="61">
        <f>14.4446 * CHOOSE(CONTROL!$C$22, $C$13, 100%, $E$13)</f>
        <v>14.444599999999999</v>
      </c>
      <c r="K823" s="61">
        <f>14.4448 * CHOOSE(CONTROL!$C$22, $C$13, 100%, $E$13)</f>
        <v>14.444800000000001</v>
      </c>
    </row>
    <row r="824" spans="1:11" ht="15">
      <c r="A824" s="13">
        <v>66932</v>
      </c>
      <c r="B824" s="60">
        <f>12.0693 * CHOOSE(CONTROL!$C$22, $C$13, 100%, $E$13)</f>
        <v>12.0693</v>
      </c>
      <c r="C824" s="60">
        <f>12.0693 * CHOOSE(CONTROL!$C$22, $C$13, 100%, $E$13)</f>
        <v>12.0693</v>
      </c>
      <c r="D824" s="60">
        <f>12.087 * CHOOSE(CONTROL!$C$22, $C$13, 100%, $E$13)</f>
        <v>12.087</v>
      </c>
      <c r="E824" s="61">
        <f>14.6425 * CHOOSE(CONTROL!$C$22, $C$13, 100%, $E$13)</f>
        <v>14.6425</v>
      </c>
      <c r="F824" s="61">
        <f>14.6425 * CHOOSE(CONTROL!$C$22, $C$13, 100%, $E$13)</f>
        <v>14.6425</v>
      </c>
      <c r="G824" s="61">
        <f>14.6427 * CHOOSE(CONTROL!$C$22, $C$13, 100%, $E$13)</f>
        <v>14.6427</v>
      </c>
      <c r="H824" s="61">
        <f>24.8623* CHOOSE(CONTROL!$C$22, $C$13, 100%, $E$13)</f>
        <v>24.862300000000001</v>
      </c>
      <c r="I824" s="61">
        <f>24.8624 * CHOOSE(CONTROL!$C$22, $C$13, 100%, $E$13)</f>
        <v>24.862400000000001</v>
      </c>
      <c r="J824" s="61">
        <f>14.6425 * CHOOSE(CONTROL!$C$22, $C$13, 100%, $E$13)</f>
        <v>14.6425</v>
      </c>
      <c r="K824" s="61">
        <f>14.6427 * CHOOSE(CONTROL!$C$22, $C$13, 100%, $E$13)</f>
        <v>14.6427</v>
      </c>
    </row>
    <row r="825" spans="1:11" ht="15">
      <c r="A825" s="13">
        <v>66962</v>
      </c>
      <c r="B825" s="60">
        <f>12.0693 * CHOOSE(CONTROL!$C$22, $C$13, 100%, $E$13)</f>
        <v>12.0693</v>
      </c>
      <c r="C825" s="60">
        <f>12.0693 * CHOOSE(CONTROL!$C$22, $C$13, 100%, $E$13)</f>
        <v>12.0693</v>
      </c>
      <c r="D825" s="60">
        <f>12.1047 * CHOOSE(CONTROL!$C$22, $C$13, 100%, $E$13)</f>
        <v>12.104699999999999</v>
      </c>
      <c r="E825" s="61">
        <f>14.7183 * CHOOSE(CONTROL!$C$22, $C$13, 100%, $E$13)</f>
        <v>14.718299999999999</v>
      </c>
      <c r="F825" s="61">
        <f>14.7183 * CHOOSE(CONTROL!$C$22, $C$13, 100%, $E$13)</f>
        <v>14.718299999999999</v>
      </c>
      <c r="G825" s="61">
        <f>14.7205 * CHOOSE(CONTROL!$C$22, $C$13, 100%, $E$13)</f>
        <v>14.720499999999999</v>
      </c>
      <c r="H825" s="61">
        <f>24.914* CHOOSE(CONTROL!$C$22, $C$13, 100%, $E$13)</f>
        <v>24.914000000000001</v>
      </c>
      <c r="I825" s="61">
        <f>24.9162 * CHOOSE(CONTROL!$C$22, $C$13, 100%, $E$13)</f>
        <v>24.9162</v>
      </c>
      <c r="J825" s="61">
        <f>14.7183 * CHOOSE(CONTROL!$C$22, $C$13, 100%, $E$13)</f>
        <v>14.718299999999999</v>
      </c>
      <c r="K825" s="61">
        <f>14.7205 * CHOOSE(CONTROL!$C$22, $C$13, 100%, $E$13)</f>
        <v>14.720499999999999</v>
      </c>
    </row>
    <row r="826" spans="1:11" ht="15">
      <c r="A826" s="13">
        <v>66993</v>
      </c>
      <c r="B826" s="60">
        <f>12.0754 * CHOOSE(CONTROL!$C$22, $C$13, 100%, $E$13)</f>
        <v>12.0754</v>
      </c>
      <c r="C826" s="60">
        <f>12.0754 * CHOOSE(CONTROL!$C$22, $C$13, 100%, $E$13)</f>
        <v>12.0754</v>
      </c>
      <c r="D826" s="60">
        <f>12.1107 * CHOOSE(CONTROL!$C$22, $C$13, 100%, $E$13)</f>
        <v>12.1107</v>
      </c>
      <c r="E826" s="61">
        <f>14.6467 * CHOOSE(CONTROL!$C$22, $C$13, 100%, $E$13)</f>
        <v>14.646699999999999</v>
      </c>
      <c r="F826" s="61">
        <f>14.6467 * CHOOSE(CONTROL!$C$22, $C$13, 100%, $E$13)</f>
        <v>14.646699999999999</v>
      </c>
      <c r="G826" s="61">
        <f>14.6489 * CHOOSE(CONTROL!$C$22, $C$13, 100%, $E$13)</f>
        <v>14.648899999999999</v>
      </c>
      <c r="H826" s="61">
        <f>24.966* CHOOSE(CONTROL!$C$22, $C$13, 100%, $E$13)</f>
        <v>24.966000000000001</v>
      </c>
      <c r="I826" s="61">
        <f>24.9681 * CHOOSE(CONTROL!$C$22, $C$13, 100%, $E$13)</f>
        <v>24.9681</v>
      </c>
      <c r="J826" s="61">
        <f>14.6467 * CHOOSE(CONTROL!$C$22, $C$13, 100%, $E$13)</f>
        <v>14.646699999999999</v>
      </c>
      <c r="K826" s="61">
        <f>14.6489 * CHOOSE(CONTROL!$C$22, $C$13, 100%, $E$13)</f>
        <v>14.648899999999999</v>
      </c>
    </row>
    <row r="827" spans="1:11" ht="15">
      <c r="A827" s="13">
        <v>67023</v>
      </c>
      <c r="B827" s="60">
        <f>12.2436 * CHOOSE(CONTROL!$C$22, $C$13, 100%, $E$13)</f>
        <v>12.243600000000001</v>
      </c>
      <c r="C827" s="60">
        <f>12.2436 * CHOOSE(CONTROL!$C$22, $C$13, 100%, $E$13)</f>
        <v>12.243600000000001</v>
      </c>
      <c r="D827" s="60">
        <f>12.2789 * CHOOSE(CONTROL!$C$22, $C$13, 100%, $E$13)</f>
        <v>12.2789</v>
      </c>
      <c r="E827" s="61">
        <f>14.913 * CHOOSE(CONTROL!$C$22, $C$13, 100%, $E$13)</f>
        <v>14.913</v>
      </c>
      <c r="F827" s="61">
        <f>14.913 * CHOOSE(CONTROL!$C$22, $C$13, 100%, $E$13)</f>
        <v>14.913</v>
      </c>
      <c r="G827" s="61">
        <f>14.9152 * CHOOSE(CONTROL!$C$22, $C$13, 100%, $E$13)</f>
        <v>14.9152</v>
      </c>
      <c r="H827" s="61">
        <f>25.018* CHOOSE(CONTROL!$C$22, $C$13, 100%, $E$13)</f>
        <v>25.018000000000001</v>
      </c>
      <c r="I827" s="61">
        <f>25.0201 * CHOOSE(CONTROL!$C$22, $C$13, 100%, $E$13)</f>
        <v>25.020099999999999</v>
      </c>
      <c r="J827" s="61">
        <f>14.913 * CHOOSE(CONTROL!$C$22, $C$13, 100%, $E$13)</f>
        <v>14.913</v>
      </c>
      <c r="K827" s="61">
        <f>14.9152 * CHOOSE(CONTROL!$C$22, $C$13, 100%, $E$13)</f>
        <v>14.9152</v>
      </c>
    </row>
    <row r="828" spans="1:11" ht="15">
      <c r="A828" s="13">
        <v>67054</v>
      </c>
      <c r="B828" s="60">
        <f>12.2503 * CHOOSE(CONTROL!$C$22, $C$13, 100%, $E$13)</f>
        <v>12.250299999999999</v>
      </c>
      <c r="C828" s="60">
        <f>12.2503 * CHOOSE(CONTROL!$C$22, $C$13, 100%, $E$13)</f>
        <v>12.250299999999999</v>
      </c>
      <c r="D828" s="60">
        <f>12.2856 * CHOOSE(CONTROL!$C$22, $C$13, 100%, $E$13)</f>
        <v>12.285600000000001</v>
      </c>
      <c r="E828" s="61">
        <f>14.6902 * CHOOSE(CONTROL!$C$22, $C$13, 100%, $E$13)</f>
        <v>14.690200000000001</v>
      </c>
      <c r="F828" s="61">
        <f>14.6902 * CHOOSE(CONTROL!$C$22, $C$13, 100%, $E$13)</f>
        <v>14.690200000000001</v>
      </c>
      <c r="G828" s="61">
        <f>14.6924 * CHOOSE(CONTROL!$C$22, $C$13, 100%, $E$13)</f>
        <v>14.692399999999999</v>
      </c>
      <c r="H828" s="61">
        <f>25.0701* CHOOSE(CONTROL!$C$22, $C$13, 100%, $E$13)</f>
        <v>25.0701</v>
      </c>
      <c r="I828" s="61">
        <f>25.0723 * CHOOSE(CONTROL!$C$22, $C$13, 100%, $E$13)</f>
        <v>25.072299999999998</v>
      </c>
      <c r="J828" s="61">
        <f>14.6902 * CHOOSE(CONTROL!$C$22, $C$13, 100%, $E$13)</f>
        <v>14.690200000000001</v>
      </c>
      <c r="K828" s="61">
        <f>14.6924 * CHOOSE(CONTROL!$C$22, $C$13, 100%, $E$13)</f>
        <v>14.692399999999999</v>
      </c>
    </row>
    <row r="829" spans="1:11" ht="15">
      <c r="A829" s="13">
        <v>67085</v>
      </c>
      <c r="B829" s="60">
        <f>12.2472 * CHOOSE(CONTROL!$C$22, $C$13, 100%, $E$13)</f>
        <v>12.247199999999999</v>
      </c>
      <c r="C829" s="60">
        <f>12.2472 * CHOOSE(CONTROL!$C$22, $C$13, 100%, $E$13)</f>
        <v>12.247199999999999</v>
      </c>
      <c r="D829" s="60">
        <f>12.2825 * CHOOSE(CONTROL!$C$22, $C$13, 100%, $E$13)</f>
        <v>12.282500000000001</v>
      </c>
      <c r="E829" s="61">
        <f>14.6629 * CHOOSE(CONTROL!$C$22, $C$13, 100%, $E$13)</f>
        <v>14.6629</v>
      </c>
      <c r="F829" s="61">
        <f>14.6629 * CHOOSE(CONTROL!$C$22, $C$13, 100%, $E$13)</f>
        <v>14.6629</v>
      </c>
      <c r="G829" s="61">
        <f>14.665 * CHOOSE(CONTROL!$C$22, $C$13, 100%, $E$13)</f>
        <v>14.664999999999999</v>
      </c>
      <c r="H829" s="61">
        <f>25.1223* CHOOSE(CONTROL!$C$22, $C$13, 100%, $E$13)</f>
        <v>25.122299999999999</v>
      </c>
      <c r="I829" s="61">
        <f>25.1245 * CHOOSE(CONTROL!$C$22, $C$13, 100%, $E$13)</f>
        <v>25.124500000000001</v>
      </c>
      <c r="J829" s="61">
        <f>14.6629 * CHOOSE(CONTROL!$C$22, $C$13, 100%, $E$13)</f>
        <v>14.6629</v>
      </c>
      <c r="K829" s="61">
        <f>14.665 * CHOOSE(CONTROL!$C$22, $C$13, 100%, $E$13)</f>
        <v>14.664999999999999</v>
      </c>
    </row>
    <row r="830" spans="1:11" ht="15">
      <c r="A830" s="13">
        <v>67115</v>
      </c>
      <c r="B830" s="60">
        <f>12.2736 * CHOOSE(CONTROL!$C$22, $C$13, 100%, $E$13)</f>
        <v>12.2736</v>
      </c>
      <c r="C830" s="60">
        <f>12.2736 * CHOOSE(CONTROL!$C$22, $C$13, 100%, $E$13)</f>
        <v>12.2736</v>
      </c>
      <c r="D830" s="60">
        <f>12.2913 * CHOOSE(CONTROL!$C$22, $C$13, 100%, $E$13)</f>
        <v>12.2913</v>
      </c>
      <c r="E830" s="61">
        <f>14.7505 * CHOOSE(CONTROL!$C$22, $C$13, 100%, $E$13)</f>
        <v>14.750500000000001</v>
      </c>
      <c r="F830" s="61">
        <f>14.7505 * CHOOSE(CONTROL!$C$22, $C$13, 100%, $E$13)</f>
        <v>14.750500000000001</v>
      </c>
      <c r="G830" s="61">
        <f>14.7507 * CHOOSE(CONTROL!$C$22, $C$13, 100%, $E$13)</f>
        <v>14.7507</v>
      </c>
      <c r="H830" s="61">
        <f>25.1747* CHOOSE(CONTROL!$C$22, $C$13, 100%, $E$13)</f>
        <v>25.174700000000001</v>
      </c>
      <c r="I830" s="61">
        <f>25.1748 * CHOOSE(CONTROL!$C$22, $C$13, 100%, $E$13)</f>
        <v>25.174800000000001</v>
      </c>
      <c r="J830" s="61">
        <f>14.7505 * CHOOSE(CONTROL!$C$22, $C$13, 100%, $E$13)</f>
        <v>14.750500000000001</v>
      </c>
      <c r="K830" s="61">
        <f>14.7507 * CHOOSE(CONTROL!$C$22, $C$13, 100%, $E$13)</f>
        <v>14.7507</v>
      </c>
    </row>
    <row r="831" spans="1:11" ht="15">
      <c r="A831" s="13">
        <v>67146</v>
      </c>
      <c r="B831" s="60">
        <f>12.2767 * CHOOSE(CONTROL!$C$22, $C$13, 100%, $E$13)</f>
        <v>12.2767</v>
      </c>
      <c r="C831" s="60">
        <f>12.2767 * CHOOSE(CONTROL!$C$22, $C$13, 100%, $E$13)</f>
        <v>12.2767</v>
      </c>
      <c r="D831" s="60">
        <f>12.2943 * CHOOSE(CONTROL!$C$22, $C$13, 100%, $E$13)</f>
        <v>12.2943</v>
      </c>
      <c r="E831" s="61">
        <f>14.8032 * CHOOSE(CONTROL!$C$22, $C$13, 100%, $E$13)</f>
        <v>14.8032</v>
      </c>
      <c r="F831" s="61">
        <f>14.8032 * CHOOSE(CONTROL!$C$22, $C$13, 100%, $E$13)</f>
        <v>14.8032</v>
      </c>
      <c r="G831" s="61">
        <f>14.8033 * CHOOSE(CONTROL!$C$22, $C$13, 100%, $E$13)</f>
        <v>14.8033</v>
      </c>
      <c r="H831" s="61">
        <f>25.2271* CHOOSE(CONTROL!$C$22, $C$13, 100%, $E$13)</f>
        <v>25.2271</v>
      </c>
      <c r="I831" s="61">
        <f>25.2273 * CHOOSE(CONTROL!$C$22, $C$13, 100%, $E$13)</f>
        <v>25.2273</v>
      </c>
      <c r="J831" s="61">
        <f>14.8032 * CHOOSE(CONTROL!$C$22, $C$13, 100%, $E$13)</f>
        <v>14.8032</v>
      </c>
      <c r="K831" s="61">
        <f>14.8033 * CHOOSE(CONTROL!$C$22, $C$13, 100%, $E$13)</f>
        <v>14.8033</v>
      </c>
    </row>
    <row r="832" spans="1:11" ht="15">
      <c r="A832" s="13">
        <v>67176</v>
      </c>
      <c r="B832" s="60">
        <f>12.2767 * CHOOSE(CONTROL!$C$22, $C$13, 100%, $E$13)</f>
        <v>12.2767</v>
      </c>
      <c r="C832" s="60">
        <f>12.2767 * CHOOSE(CONTROL!$C$22, $C$13, 100%, $E$13)</f>
        <v>12.2767</v>
      </c>
      <c r="D832" s="60">
        <f>12.2943 * CHOOSE(CONTROL!$C$22, $C$13, 100%, $E$13)</f>
        <v>12.2943</v>
      </c>
      <c r="E832" s="61">
        <f>14.6768 * CHOOSE(CONTROL!$C$22, $C$13, 100%, $E$13)</f>
        <v>14.6768</v>
      </c>
      <c r="F832" s="61">
        <f>14.6768 * CHOOSE(CONTROL!$C$22, $C$13, 100%, $E$13)</f>
        <v>14.6768</v>
      </c>
      <c r="G832" s="61">
        <f>14.677 * CHOOSE(CONTROL!$C$22, $C$13, 100%, $E$13)</f>
        <v>14.677</v>
      </c>
      <c r="H832" s="61">
        <f>25.2797* CHOOSE(CONTROL!$C$22, $C$13, 100%, $E$13)</f>
        <v>25.279699999999998</v>
      </c>
      <c r="I832" s="61">
        <f>25.2798 * CHOOSE(CONTROL!$C$22, $C$13, 100%, $E$13)</f>
        <v>25.279800000000002</v>
      </c>
      <c r="J832" s="61">
        <f>14.6768 * CHOOSE(CONTROL!$C$22, $C$13, 100%, $E$13)</f>
        <v>14.6768</v>
      </c>
      <c r="K832" s="61">
        <f>14.677 * CHOOSE(CONTROL!$C$22, $C$13, 100%, $E$13)</f>
        <v>14.677</v>
      </c>
    </row>
    <row r="833" spans="1:11" ht="15">
      <c r="A833" s="13">
        <v>67207</v>
      </c>
      <c r="B833" s="60">
        <f>12.2664 * CHOOSE(CONTROL!$C$22, $C$13, 100%, $E$13)</f>
        <v>12.266400000000001</v>
      </c>
      <c r="C833" s="60">
        <f>12.2664 * CHOOSE(CONTROL!$C$22, $C$13, 100%, $E$13)</f>
        <v>12.266400000000001</v>
      </c>
      <c r="D833" s="60">
        <f>12.2841 * CHOOSE(CONTROL!$C$22, $C$13, 100%, $E$13)</f>
        <v>12.2841</v>
      </c>
      <c r="E833" s="61">
        <f>14.7512 * CHOOSE(CONTROL!$C$22, $C$13, 100%, $E$13)</f>
        <v>14.751200000000001</v>
      </c>
      <c r="F833" s="61">
        <f>14.7512 * CHOOSE(CONTROL!$C$22, $C$13, 100%, $E$13)</f>
        <v>14.751200000000001</v>
      </c>
      <c r="G833" s="61">
        <f>14.7514 * CHOOSE(CONTROL!$C$22, $C$13, 100%, $E$13)</f>
        <v>14.7514</v>
      </c>
      <c r="H833" s="61">
        <f>25.109* CHOOSE(CONTROL!$C$22, $C$13, 100%, $E$13)</f>
        <v>25.109000000000002</v>
      </c>
      <c r="I833" s="61">
        <f>25.1091 * CHOOSE(CONTROL!$C$22, $C$13, 100%, $E$13)</f>
        <v>25.109100000000002</v>
      </c>
      <c r="J833" s="61">
        <f>14.7512 * CHOOSE(CONTROL!$C$22, $C$13, 100%, $E$13)</f>
        <v>14.751200000000001</v>
      </c>
      <c r="K833" s="61">
        <f>14.7514 * CHOOSE(CONTROL!$C$22, $C$13, 100%, $E$13)</f>
        <v>14.7514</v>
      </c>
    </row>
    <row r="834" spans="1:11" ht="15">
      <c r="A834" s="13">
        <v>67238</v>
      </c>
      <c r="B834" s="60">
        <f>12.2634 * CHOOSE(CONTROL!$C$22, $C$13, 100%, $E$13)</f>
        <v>12.263400000000001</v>
      </c>
      <c r="C834" s="60">
        <f>12.2634 * CHOOSE(CONTROL!$C$22, $C$13, 100%, $E$13)</f>
        <v>12.263400000000001</v>
      </c>
      <c r="D834" s="60">
        <f>12.2811 * CHOOSE(CONTROL!$C$22, $C$13, 100%, $E$13)</f>
        <v>12.2811</v>
      </c>
      <c r="E834" s="61">
        <f>14.5059 * CHOOSE(CONTROL!$C$22, $C$13, 100%, $E$13)</f>
        <v>14.5059</v>
      </c>
      <c r="F834" s="61">
        <f>14.5059 * CHOOSE(CONTROL!$C$22, $C$13, 100%, $E$13)</f>
        <v>14.5059</v>
      </c>
      <c r="G834" s="61">
        <f>14.5061 * CHOOSE(CONTROL!$C$22, $C$13, 100%, $E$13)</f>
        <v>14.5061</v>
      </c>
      <c r="H834" s="61">
        <f>25.1613* CHOOSE(CONTROL!$C$22, $C$13, 100%, $E$13)</f>
        <v>25.161300000000001</v>
      </c>
      <c r="I834" s="61">
        <f>25.1615 * CHOOSE(CONTROL!$C$22, $C$13, 100%, $E$13)</f>
        <v>25.1615</v>
      </c>
      <c r="J834" s="61">
        <f>14.5059 * CHOOSE(CONTROL!$C$22, $C$13, 100%, $E$13)</f>
        <v>14.5059</v>
      </c>
      <c r="K834" s="61">
        <f>14.5061 * CHOOSE(CONTROL!$C$22, $C$13, 100%, $E$13)</f>
        <v>14.5061</v>
      </c>
    </row>
    <row r="835" spans="1:11" ht="15">
      <c r="A835" s="13">
        <v>67267</v>
      </c>
      <c r="B835" s="60">
        <f>12.2604 * CHOOSE(CONTROL!$C$22, $C$13, 100%, $E$13)</f>
        <v>12.260400000000001</v>
      </c>
      <c r="C835" s="60">
        <f>12.2604 * CHOOSE(CONTROL!$C$22, $C$13, 100%, $E$13)</f>
        <v>12.260400000000001</v>
      </c>
      <c r="D835" s="60">
        <f>12.278 * CHOOSE(CONTROL!$C$22, $C$13, 100%, $E$13)</f>
        <v>12.278</v>
      </c>
      <c r="E835" s="61">
        <f>14.6955 * CHOOSE(CONTROL!$C$22, $C$13, 100%, $E$13)</f>
        <v>14.695499999999999</v>
      </c>
      <c r="F835" s="61">
        <f>14.6955 * CHOOSE(CONTROL!$C$22, $C$13, 100%, $E$13)</f>
        <v>14.695499999999999</v>
      </c>
      <c r="G835" s="61">
        <f>14.6957 * CHOOSE(CONTROL!$C$22, $C$13, 100%, $E$13)</f>
        <v>14.6957</v>
      </c>
      <c r="H835" s="61">
        <f>25.2137* CHOOSE(CONTROL!$C$22, $C$13, 100%, $E$13)</f>
        <v>25.213699999999999</v>
      </c>
      <c r="I835" s="61">
        <f>25.2139 * CHOOSE(CONTROL!$C$22, $C$13, 100%, $E$13)</f>
        <v>25.213899999999999</v>
      </c>
      <c r="J835" s="61">
        <f>14.6955 * CHOOSE(CONTROL!$C$22, $C$13, 100%, $E$13)</f>
        <v>14.695499999999999</v>
      </c>
      <c r="K835" s="61">
        <f>14.6957 * CHOOSE(CONTROL!$C$22, $C$13, 100%, $E$13)</f>
        <v>14.6957</v>
      </c>
    </row>
    <row r="836" spans="1:11" ht="15">
      <c r="A836" s="13">
        <v>67298</v>
      </c>
      <c r="B836" s="60">
        <f>12.2662 * CHOOSE(CONTROL!$C$22, $C$13, 100%, $E$13)</f>
        <v>12.2662</v>
      </c>
      <c r="C836" s="60">
        <f>12.2662 * CHOOSE(CONTROL!$C$22, $C$13, 100%, $E$13)</f>
        <v>12.2662</v>
      </c>
      <c r="D836" s="60">
        <f>12.2838 * CHOOSE(CONTROL!$C$22, $C$13, 100%, $E$13)</f>
        <v>12.283799999999999</v>
      </c>
      <c r="E836" s="61">
        <f>14.8972 * CHOOSE(CONTROL!$C$22, $C$13, 100%, $E$13)</f>
        <v>14.8972</v>
      </c>
      <c r="F836" s="61">
        <f>14.8972 * CHOOSE(CONTROL!$C$22, $C$13, 100%, $E$13)</f>
        <v>14.8972</v>
      </c>
      <c r="G836" s="61">
        <f>14.8974 * CHOOSE(CONTROL!$C$22, $C$13, 100%, $E$13)</f>
        <v>14.897399999999999</v>
      </c>
      <c r="H836" s="61">
        <f>25.2662* CHOOSE(CONTROL!$C$22, $C$13, 100%, $E$13)</f>
        <v>25.266200000000001</v>
      </c>
      <c r="I836" s="61">
        <f>25.2664 * CHOOSE(CONTROL!$C$22, $C$13, 100%, $E$13)</f>
        <v>25.266400000000001</v>
      </c>
      <c r="J836" s="61">
        <f>14.8972 * CHOOSE(CONTROL!$C$22, $C$13, 100%, $E$13)</f>
        <v>14.8972</v>
      </c>
      <c r="K836" s="61">
        <f>14.8974 * CHOOSE(CONTROL!$C$22, $C$13, 100%, $E$13)</f>
        <v>14.897399999999999</v>
      </c>
    </row>
    <row r="837" spans="1:11" ht="15">
      <c r="A837" s="13">
        <v>67328</v>
      </c>
      <c r="B837" s="60">
        <f>12.2662 * CHOOSE(CONTROL!$C$22, $C$13, 100%, $E$13)</f>
        <v>12.2662</v>
      </c>
      <c r="C837" s="60">
        <f>12.2662 * CHOOSE(CONTROL!$C$22, $C$13, 100%, $E$13)</f>
        <v>12.2662</v>
      </c>
      <c r="D837" s="60">
        <f>12.3015 * CHOOSE(CONTROL!$C$22, $C$13, 100%, $E$13)</f>
        <v>12.301500000000001</v>
      </c>
      <c r="E837" s="61">
        <f>14.9744 * CHOOSE(CONTROL!$C$22, $C$13, 100%, $E$13)</f>
        <v>14.974399999999999</v>
      </c>
      <c r="F837" s="61">
        <f>14.9744 * CHOOSE(CONTROL!$C$22, $C$13, 100%, $E$13)</f>
        <v>14.974399999999999</v>
      </c>
      <c r="G837" s="61">
        <f>14.9766 * CHOOSE(CONTROL!$C$22, $C$13, 100%, $E$13)</f>
        <v>14.976599999999999</v>
      </c>
      <c r="H837" s="61">
        <f>25.3189* CHOOSE(CONTROL!$C$22, $C$13, 100%, $E$13)</f>
        <v>25.318899999999999</v>
      </c>
      <c r="I837" s="61">
        <f>25.321 * CHOOSE(CONTROL!$C$22, $C$13, 100%, $E$13)</f>
        <v>25.321000000000002</v>
      </c>
      <c r="J837" s="61">
        <f>14.9744 * CHOOSE(CONTROL!$C$22, $C$13, 100%, $E$13)</f>
        <v>14.974399999999999</v>
      </c>
      <c r="K837" s="61">
        <f>14.9766 * CHOOSE(CONTROL!$C$22, $C$13, 100%, $E$13)</f>
        <v>14.976599999999999</v>
      </c>
    </row>
    <row r="838" spans="1:11" ht="15">
      <c r="A838" s="13">
        <v>67359</v>
      </c>
      <c r="B838" s="60">
        <f>12.2722 * CHOOSE(CONTROL!$C$22, $C$13, 100%, $E$13)</f>
        <v>12.2722</v>
      </c>
      <c r="C838" s="60">
        <f>12.2722 * CHOOSE(CONTROL!$C$22, $C$13, 100%, $E$13)</f>
        <v>12.2722</v>
      </c>
      <c r="D838" s="60">
        <f>12.3076 * CHOOSE(CONTROL!$C$22, $C$13, 100%, $E$13)</f>
        <v>12.307600000000001</v>
      </c>
      <c r="E838" s="61">
        <f>14.9014 * CHOOSE(CONTROL!$C$22, $C$13, 100%, $E$13)</f>
        <v>14.901400000000001</v>
      </c>
      <c r="F838" s="61">
        <f>14.9014 * CHOOSE(CONTROL!$C$22, $C$13, 100%, $E$13)</f>
        <v>14.901400000000001</v>
      </c>
      <c r="G838" s="61">
        <f>14.9036 * CHOOSE(CONTROL!$C$22, $C$13, 100%, $E$13)</f>
        <v>14.903600000000001</v>
      </c>
      <c r="H838" s="61">
        <f>25.3716* CHOOSE(CONTROL!$C$22, $C$13, 100%, $E$13)</f>
        <v>25.371600000000001</v>
      </c>
      <c r="I838" s="61">
        <f>25.3738 * CHOOSE(CONTROL!$C$22, $C$13, 100%, $E$13)</f>
        <v>25.373799999999999</v>
      </c>
      <c r="J838" s="61">
        <f>14.9014 * CHOOSE(CONTROL!$C$22, $C$13, 100%, $E$13)</f>
        <v>14.901400000000001</v>
      </c>
      <c r="K838" s="61">
        <f>14.9036 * CHOOSE(CONTROL!$C$22, $C$13, 100%, $E$13)</f>
        <v>14.903600000000001</v>
      </c>
    </row>
    <row r="839" spans="1:11" ht="15">
      <c r="A839" s="13">
        <v>67389</v>
      </c>
      <c r="B839" s="60">
        <f>12.4429 * CHOOSE(CONTROL!$C$22, $C$13, 100%, $E$13)</f>
        <v>12.4429</v>
      </c>
      <c r="C839" s="60">
        <f>12.4429 * CHOOSE(CONTROL!$C$22, $C$13, 100%, $E$13)</f>
        <v>12.4429</v>
      </c>
      <c r="D839" s="60">
        <f>12.4782 * CHOOSE(CONTROL!$C$22, $C$13, 100%, $E$13)</f>
        <v>12.478199999999999</v>
      </c>
      <c r="E839" s="61">
        <f>15.1721 * CHOOSE(CONTROL!$C$22, $C$13, 100%, $E$13)</f>
        <v>15.1721</v>
      </c>
      <c r="F839" s="61">
        <f>15.1721 * CHOOSE(CONTROL!$C$22, $C$13, 100%, $E$13)</f>
        <v>15.1721</v>
      </c>
      <c r="G839" s="61">
        <f>15.1743 * CHOOSE(CONTROL!$C$22, $C$13, 100%, $E$13)</f>
        <v>15.174300000000001</v>
      </c>
      <c r="H839" s="61">
        <f>25.4245* CHOOSE(CONTROL!$C$22, $C$13, 100%, $E$13)</f>
        <v>25.424499999999998</v>
      </c>
      <c r="I839" s="61">
        <f>25.4267 * CHOOSE(CONTROL!$C$22, $C$13, 100%, $E$13)</f>
        <v>25.4267</v>
      </c>
      <c r="J839" s="61">
        <f>15.1721 * CHOOSE(CONTROL!$C$22, $C$13, 100%, $E$13)</f>
        <v>15.1721</v>
      </c>
      <c r="K839" s="61">
        <f>15.1743 * CHOOSE(CONTROL!$C$22, $C$13, 100%, $E$13)</f>
        <v>15.174300000000001</v>
      </c>
    </row>
    <row r="840" spans="1:11" ht="15">
      <c r="A840" s="13">
        <v>67420</v>
      </c>
      <c r="B840" s="60">
        <f>12.4496 * CHOOSE(CONTROL!$C$22, $C$13, 100%, $E$13)</f>
        <v>12.4496</v>
      </c>
      <c r="C840" s="60">
        <f>12.4496 * CHOOSE(CONTROL!$C$22, $C$13, 100%, $E$13)</f>
        <v>12.4496</v>
      </c>
      <c r="D840" s="60">
        <f>12.4849 * CHOOSE(CONTROL!$C$22, $C$13, 100%, $E$13)</f>
        <v>12.4849</v>
      </c>
      <c r="E840" s="61">
        <f>14.9451 * CHOOSE(CONTROL!$C$22, $C$13, 100%, $E$13)</f>
        <v>14.9451</v>
      </c>
      <c r="F840" s="61">
        <f>14.9451 * CHOOSE(CONTROL!$C$22, $C$13, 100%, $E$13)</f>
        <v>14.9451</v>
      </c>
      <c r="G840" s="61">
        <f>14.9473 * CHOOSE(CONTROL!$C$22, $C$13, 100%, $E$13)</f>
        <v>14.9473</v>
      </c>
      <c r="H840" s="61">
        <f>25.4774* CHOOSE(CONTROL!$C$22, $C$13, 100%, $E$13)</f>
        <v>25.477399999999999</v>
      </c>
      <c r="I840" s="61">
        <f>25.4796 * CHOOSE(CONTROL!$C$22, $C$13, 100%, $E$13)</f>
        <v>25.479600000000001</v>
      </c>
      <c r="J840" s="61">
        <f>14.9451 * CHOOSE(CONTROL!$C$22, $C$13, 100%, $E$13)</f>
        <v>14.9451</v>
      </c>
      <c r="K840" s="61">
        <f>14.9473 * CHOOSE(CONTROL!$C$22, $C$13, 100%, $E$13)</f>
        <v>14.9473</v>
      </c>
    </row>
    <row r="841" spans="1:11" ht="15">
      <c r="A841" s="13">
        <v>67451</v>
      </c>
      <c r="B841" s="60">
        <f>12.4465 * CHOOSE(CONTROL!$C$22, $C$13, 100%, $E$13)</f>
        <v>12.4465</v>
      </c>
      <c r="C841" s="60">
        <f>12.4465 * CHOOSE(CONTROL!$C$22, $C$13, 100%, $E$13)</f>
        <v>12.4465</v>
      </c>
      <c r="D841" s="60">
        <f>12.4819 * CHOOSE(CONTROL!$C$22, $C$13, 100%, $E$13)</f>
        <v>12.4819</v>
      </c>
      <c r="E841" s="61">
        <f>14.9172 * CHOOSE(CONTROL!$C$22, $C$13, 100%, $E$13)</f>
        <v>14.917199999999999</v>
      </c>
      <c r="F841" s="61">
        <f>14.9172 * CHOOSE(CONTROL!$C$22, $C$13, 100%, $E$13)</f>
        <v>14.917199999999999</v>
      </c>
      <c r="G841" s="61">
        <f>14.9194 * CHOOSE(CONTROL!$C$22, $C$13, 100%, $E$13)</f>
        <v>14.9194</v>
      </c>
      <c r="H841" s="61">
        <f>25.5305* CHOOSE(CONTROL!$C$22, $C$13, 100%, $E$13)</f>
        <v>25.5305</v>
      </c>
      <c r="I841" s="61">
        <f>25.5327 * CHOOSE(CONTROL!$C$22, $C$13, 100%, $E$13)</f>
        <v>25.532699999999998</v>
      </c>
      <c r="J841" s="61">
        <f>14.9172 * CHOOSE(CONTROL!$C$22, $C$13, 100%, $E$13)</f>
        <v>14.917199999999999</v>
      </c>
      <c r="K841" s="61">
        <f>14.9194 * CHOOSE(CONTROL!$C$22, $C$13, 100%, $E$13)</f>
        <v>14.9194</v>
      </c>
    </row>
    <row r="842" spans="1:11" ht="15">
      <c r="A842" s="13">
        <v>67481</v>
      </c>
      <c r="B842" s="60">
        <f>12.4737 * CHOOSE(CONTROL!$C$22, $C$13, 100%, $E$13)</f>
        <v>12.473699999999999</v>
      </c>
      <c r="C842" s="60">
        <f>12.4737 * CHOOSE(CONTROL!$C$22, $C$13, 100%, $E$13)</f>
        <v>12.473699999999999</v>
      </c>
      <c r="D842" s="60">
        <f>12.4914 * CHOOSE(CONTROL!$C$22, $C$13, 100%, $E$13)</f>
        <v>12.491400000000001</v>
      </c>
      <c r="E842" s="61">
        <f>15.0068 * CHOOSE(CONTROL!$C$22, $C$13, 100%, $E$13)</f>
        <v>15.0068</v>
      </c>
      <c r="F842" s="61">
        <f>15.0068 * CHOOSE(CONTROL!$C$22, $C$13, 100%, $E$13)</f>
        <v>15.0068</v>
      </c>
      <c r="G842" s="61">
        <f>15.0069 * CHOOSE(CONTROL!$C$22, $C$13, 100%, $E$13)</f>
        <v>15.0069</v>
      </c>
      <c r="H842" s="61">
        <f>25.5837* CHOOSE(CONTROL!$C$22, $C$13, 100%, $E$13)</f>
        <v>25.5837</v>
      </c>
      <c r="I842" s="61">
        <f>25.5839 * CHOOSE(CONTROL!$C$22, $C$13, 100%, $E$13)</f>
        <v>25.5839</v>
      </c>
      <c r="J842" s="61">
        <f>15.0068 * CHOOSE(CONTROL!$C$22, $C$13, 100%, $E$13)</f>
        <v>15.0068</v>
      </c>
      <c r="K842" s="61">
        <f>15.0069 * CHOOSE(CONTROL!$C$22, $C$13, 100%, $E$13)</f>
        <v>15.0069</v>
      </c>
    </row>
    <row r="843" spans="1:11" ht="15">
      <c r="A843" s="13">
        <v>67512</v>
      </c>
      <c r="B843" s="60">
        <f>12.4767 * CHOOSE(CONTROL!$C$22, $C$13, 100%, $E$13)</f>
        <v>12.476699999999999</v>
      </c>
      <c r="C843" s="60">
        <f>12.4767 * CHOOSE(CONTROL!$C$22, $C$13, 100%, $E$13)</f>
        <v>12.476699999999999</v>
      </c>
      <c r="D843" s="60">
        <f>12.4944 * CHOOSE(CONTROL!$C$22, $C$13, 100%, $E$13)</f>
        <v>12.494400000000001</v>
      </c>
      <c r="E843" s="61">
        <f>15.0604 * CHOOSE(CONTROL!$C$22, $C$13, 100%, $E$13)</f>
        <v>15.0604</v>
      </c>
      <c r="F843" s="61">
        <f>15.0604 * CHOOSE(CONTROL!$C$22, $C$13, 100%, $E$13)</f>
        <v>15.0604</v>
      </c>
      <c r="G843" s="61">
        <f>15.0605 * CHOOSE(CONTROL!$C$22, $C$13, 100%, $E$13)</f>
        <v>15.060499999999999</v>
      </c>
      <c r="H843" s="61">
        <f>25.637* CHOOSE(CONTROL!$C$22, $C$13, 100%, $E$13)</f>
        <v>25.637</v>
      </c>
      <c r="I843" s="61">
        <f>25.6372 * CHOOSE(CONTROL!$C$22, $C$13, 100%, $E$13)</f>
        <v>25.6372</v>
      </c>
      <c r="J843" s="61">
        <f>15.0604 * CHOOSE(CONTROL!$C$22, $C$13, 100%, $E$13)</f>
        <v>15.0604</v>
      </c>
      <c r="K843" s="61">
        <f>15.0605 * CHOOSE(CONTROL!$C$22, $C$13, 100%, $E$13)</f>
        <v>15.060499999999999</v>
      </c>
    </row>
    <row r="844" spans="1:11" ht="15">
      <c r="A844" s="13">
        <v>67542</v>
      </c>
      <c r="B844" s="60">
        <f>12.4767 * CHOOSE(CONTROL!$C$22, $C$13, 100%, $E$13)</f>
        <v>12.476699999999999</v>
      </c>
      <c r="C844" s="60">
        <f>12.4767 * CHOOSE(CONTROL!$C$22, $C$13, 100%, $E$13)</f>
        <v>12.476699999999999</v>
      </c>
      <c r="D844" s="60">
        <f>12.4944 * CHOOSE(CONTROL!$C$22, $C$13, 100%, $E$13)</f>
        <v>12.494400000000001</v>
      </c>
      <c r="E844" s="61">
        <f>14.9317 * CHOOSE(CONTROL!$C$22, $C$13, 100%, $E$13)</f>
        <v>14.931699999999999</v>
      </c>
      <c r="F844" s="61">
        <f>14.9317 * CHOOSE(CONTROL!$C$22, $C$13, 100%, $E$13)</f>
        <v>14.931699999999999</v>
      </c>
      <c r="G844" s="61">
        <f>14.9318 * CHOOSE(CONTROL!$C$22, $C$13, 100%, $E$13)</f>
        <v>14.931800000000001</v>
      </c>
      <c r="H844" s="61">
        <f>25.6904* CHOOSE(CONTROL!$C$22, $C$13, 100%, $E$13)</f>
        <v>25.6904</v>
      </c>
      <c r="I844" s="61">
        <f>25.6906 * CHOOSE(CONTROL!$C$22, $C$13, 100%, $E$13)</f>
        <v>25.6906</v>
      </c>
      <c r="J844" s="61">
        <f>14.9317 * CHOOSE(CONTROL!$C$22, $C$13, 100%, $E$13)</f>
        <v>14.931699999999999</v>
      </c>
      <c r="K844" s="61">
        <f>14.9318 * CHOOSE(CONTROL!$C$22, $C$13, 100%, $E$13)</f>
        <v>14.931800000000001</v>
      </c>
    </row>
    <row r="845" spans="1:11" ht="15">
      <c r="A845" s="13">
        <v>67573</v>
      </c>
      <c r="B845" s="60">
        <f>12.4631 * CHOOSE(CONTROL!$C$22, $C$13, 100%, $E$13)</f>
        <v>12.463100000000001</v>
      </c>
      <c r="C845" s="60">
        <f>12.4631 * CHOOSE(CONTROL!$C$22, $C$13, 100%, $E$13)</f>
        <v>12.463100000000001</v>
      </c>
      <c r="D845" s="60">
        <f>12.4807 * CHOOSE(CONTROL!$C$22, $C$13, 100%, $E$13)</f>
        <v>12.480700000000001</v>
      </c>
      <c r="E845" s="61">
        <f>15.0031 * CHOOSE(CONTROL!$C$22, $C$13, 100%, $E$13)</f>
        <v>15.0031</v>
      </c>
      <c r="F845" s="61">
        <f>15.0031 * CHOOSE(CONTROL!$C$22, $C$13, 100%, $E$13)</f>
        <v>15.0031</v>
      </c>
      <c r="G845" s="61">
        <f>15.0032 * CHOOSE(CONTROL!$C$22, $C$13, 100%, $E$13)</f>
        <v>15.0032</v>
      </c>
      <c r="H845" s="61">
        <f>25.5104* CHOOSE(CONTROL!$C$22, $C$13, 100%, $E$13)</f>
        <v>25.510400000000001</v>
      </c>
      <c r="I845" s="61">
        <f>25.5106 * CHOOSE(CONTROL!$C$22, $C$13, 100%, $E$13)</f>
        <v>25.5106</v>
      </c>
      <c r="J845" s="61">
        <f>15.0031 * CHOOSE(CONTROL!$C$22, $C$13, 100%, $E$13)</f>
        <v>15.0031</v>
      </c>
      <c r="K845" s="61">
        <f>15.0032 * CHOOSE(CONTROL!$C$22, $C$13, 100%, $E$13)</f>
        <v>15.0032</v>
      </c>
    </row>
    <row r="846" spans="1:11" ht="15">
      <c r="A846" s="13">
        <v>67604</v>
      </c>
      <c r="B846" s="60">
        <f>12.46 * CHOOSE(CONTROL!$C$22, $C$13, 100%, $E$13)</f>
        <v>12.46</v>
      </c>
      <c r="C846" s="60">
        <f>12.46 * CHOOSE(CONTROL!$C$22, $C$13, 100%, $E$13)</f>
        <v>12.46</v>
      </c>
      <c r="D846" s="60">
        <f>12.4777 * CHOOSE(CONTROL!$C$22, $C$13, 100%, $E$13)</f>
        <v>12.4777</v>
      </c>
      <c r="E846" s="61">
        <f>14.7533 * CHOOSE(CONTROL!$C$22, $C$13, 100%, $E$13)</f>
        <v>14.753299999999999</v>
      </c>
      <c r="F846" s="61">
        <f>14.7533 * CHOOSE(CONTROL!$C$22, $C$13, 100%, $E$13)</f>
        <v>14.753299999999999</v>
      </c>
      <c r="G846" s="61">
        <f>14.7534 * CHOOSE(CONTROL!$C$22, $C$13, 100%, $E$13)</f>
        <v>14.753399999999999</v>
      </c>
      <c r="H846" s="61">
        <f>25.5636* CHOOSE(CONTROL!$C$22, $C$13, 100%, $E$13)</f>
        <v>25.563600000000001</v>
      </c>
      <c r="I846" s="61">
        <f>25.5638 * CHOOSE(CONTROL!$C$22, $C$13, 100%, $E$13)</f>
        <v>25.563800000000001</v>
      </c>
      <c r="J846" s="61">
        <f>14.7533 * CHOOSE(CONTROL!$C$22, $C$13, 100%, $E$13)</f>
        <v>14.753299999999999</v>
      </c>
      <c r="K846" s="61">
        <f>14.7534 * CHOOSE(CONTROL!$C$22, $C$13, 100%, $E$13)</f>
        <v>14.753399999999999</v>
      </c>
    </row>
    <row r="847" spans="1:11" ht="15">
      <c r="A847" s="13">
        <v>67632</v>
      </c>
      <c r="B847" s="60">
        <f>12.457 * CHOOSE(CONTROL!$C$22, $C$13, 100%, $E$13)</f>
        <v>12.457000000000001</v>
      </c>
      <c r="C847" s="60">
        <f>12.457 * CHOOSE(CONTROL!$C$22, $C$13, 100%, $E$13)</f>
        <v>12.457000000000001</v>
      </c>
      <c r="D847" s="60">
        <f>12.4746 * CHOOSE(CONTROL!$C$22, $C$13, 100%, $E$13)</f>
        <v>12.474600000000001</v>
      </c>
      <c r="E847" s="61">
        <f>14.9464 * CHOOSE(CONTROL!$C$22, $C$13, 100%, $E$13)</f>
        <v>14.946400000000001</v>
      </c>
      <c r="F847" s="61">
        <f>14.9464 * CHOOSE(CONTROL!$C$22, $C$13, 100%, $E$13)</f>
        <v>14.946400000000001</v>
      </c>
      <c r="G847" s="61">
        <f>14.9466 * CHOOSE(CONTROL!$C$22, $C$13, 100%, $E$13)</f>
        <v>14.9466</v>
      </c>
      <c r="H847" s="61">
        <f>25.6168* CHOOSE(CONTROL!$C$22, $C$13, 100%, $E$13)</f>
        <v>25.616800000000001</v>
      </c>
      <c r="I847" s="61">
        <f>25.617 * CHOOSE(CONTROL!$C$22, $C$13, 100%, $E$13)</f>
        <v>25.617000000000001</v>
      </c>
      <c r="J847" s="61">
        <f>14.9464 * CHOOSE(CONTROL!$C$22, $C$13, 100%, $E$13)</f>
        <v>14.946400000000001</v>
      </c>
      <c r="K847" s="61">
        <f>14.9466 * CHOOSE(CONTROL!$C$22, $C$13, 100%, $E$13)</f>
        <v>14.9466</v>
      </c>
    </row>
    <row r="848" spans="1:11" ht="15">
      <c r="A848" s="13">
        <v>67663</v>
      </c>
      <c r="B848" s="60">
        <f>12.463 * CHOOSE(CONTROL!$C$22, $C$13, 100%, $E$13)</f>
        <v>12.462999999999999</v>
      </c>
      <c r="C848" s="60">
        <f>12.463 * CHOOSE(CONTROL!$C$22, $C$13, 100%, $E$13)</f>
        <v>12.462999999999999</v>
      </c>
      <c r="D848" s="60">
        <f>12.4806 * CHOOSE(CONTROL!$C$22, $C$13, 100%, $E$13)</f>
        <v>12.480600000000001</v>
      </c>
      <c r="E848" s="61">
        <f>15.1519 * CHOOSE(CONTROL!$C$22, $C$13, 100%, $E$13)</f>
        <v>15.151899999999999</v>
      </c>
      <c r="F848" s="61">
        <f>15.1519 * CHOOSE(CONTROL!$C$22, $C$13, 100%, $E$13)</f>
        <v>15.151899999999999</v>
      </c>
      <c r="G848" s="61">
        <f>15.152 * CHOOSE(CONTROL!$C$22, $C$13, 100%, $E$13)</f>
        <v>15.151999999999999</v>
      </c>
      <c r="H848" s="61">
        <f>25.6702* CHOOSE(CONTROL!$C$22, $C$13, 100%, $E$13)</f>
        <v>25.670200000000001</v>
      </c>
      <c r="I848" s="61">
        <f>25.6704 * CHOOSE(CONTROL!$C$22, $C$13, 100%, $E$13)</f>
        <v>25.670400000000001</v>
      </c>
      <c r="J848" s="61">
        <f>15.1519 * CHOOSE(CONTROL!$C$22, $C$13, 100%, $E$13)</f>
        <v>15.151899999999999</v>
      </c>
      <c r="K848" s="61">
        <f>15.152 * CHOOSE(CONTROL!$C$22, $C$13, 100%, $E$13)</f>
        <v>15.151999999999999</v>
      </c>
    </row>
    <row r="849" spans="1:11" ht="15">
      <c r="A849" s="13">
        <v>67693</v>
      </c>
      <c r="B849" s="60">
        <f>12.463 * CHOOSE(CONTROL!$C$22, $C$13, 100%, $E$13)</f>
        <v>12.462999999999999</v>
      </c>
      <c r="C849" s="60">
        <f>12.463 * CHOOSE(CONTROL!$C$22, $C$13, 100%, $E$13)</f>
        <v>12.462999999999999</v>
      </c>
      <c r="D849" s="60">
        <f>12.4983 * CHOOSE(CONTROL!$C$22, $C$13, 100%, $E$13)</f>
        <v>12.4983</v>
      </c>
      <c r="E849" s="61">
        <f>15.2305 * CHOOSE(CONTROL!$C$22, $C$13, 100%, $E$13)</f>
        <v>15.230499999999999</v>
      </c>
      <c r="F849" s="61">
        <f>15.2305 * CHOOSE(CONTROL!$C$22, $C$13, 100%, $E$13)</f>
        <v>15.230499999999999</v>
      </c>
      <c r="G849" s="61">
        <f>15.2327 * CHOOSE(CONTROL!$C$22, $C$13, 100%, $E$13)</f>
        <v>15.232699999999999</v>
      </c>
      <c r="H849" s="61">
        <f>25.7237* CHOOSE(CONTROL!$C$22, $C$13, 100%, $E$13)</f>
        <v>25.723700000000001</v>
      </c>
      <c r="I849" s="61">
        <f>25.7259 * CHOOSE(CONTROL!$C$22, $C$13, 100%, $E$13)</f>
        <v>25.725899999999999</v>
      </c>
      <c r="J849" s="61">
        <f>15.2305 * CHOOSE(CONTROL!$C$22, $C$13, 100%, $E$13)</f>
        <v>15.230499999999999</v>
      </c>
      <c r="K849" s="61">
        <f>15.2327 * CHOOSE(CONTROL!$C$22, $C$13, 100%, $E$13)</f>
        <v>15.232699999999999</v>
      </c>
    </row>
    <row r="850" spans="1:11" ht="15">
      <c r="A850" s="13">
        <v>67724</v>
      </c>
      <c r="B850" s="60">
        <f>12.4691 * CHOOSE(CONTROL!$C$22, $C$13, 100%, $E$13)</f>
        <v>12.469099999999999</v>
      </c>
      <c r="C850" s="60">
        <f>12.4691 * CHOOSE(CONTROL!$C$22, $C$13, 100%, $E$13)</f>
        <v>12.469099999999999</v>
      </c>
      <c r="D850" s="60">
        <f>12.5044 * CHOOSE(CONTROL!$C$22, $C$13, 100%, $E$13)</f>
        <v>12.5044</v>
      </c>
      <c r="E850" s="61">
        <f>15.1561 * CHOOSE(CONTROL!$C$22, $C$13, 100%, $E$13)</f>
        <v>15.1561</v>
      </c>
      <c r="F850" s="61">
        <f>15.1561 * CHOOSE(CONTROL!$C$22, $C$13, 100%, $E$13)</f>
        <v>15.1561</v>
      </c>
      <c r="G850" s="61">
        <f>15.1583 * CHOOSE(CONTROL!$C$22, $C$13, 100%, $E$13)</f>
        <v>15.158300000000001</v>
      </c>
      <c r="H850" s="61">
        <f>25.7773* CHOOSE(CONTROL!$C$22, $C$13, 100%, $E$13)</f>
        <v>25.7773</v>
      </c>
      <c r="I850" s="61">
        <f>25.7795 * CHOOSE(CONTROL!$C$22, $C$13, 100%, $E$13)</f>
        <v>25.779499999999999</v>
      </c>
      <c r="J850" s="61">
        <f>15.1561 * CHOOSE(CONTROL!$C$22, $C$13, 100%, $E$13)</f>
        <v>15.1561</v>
      </c>
      <c r="K850" s="61">
        <f>15.1583 * CHOOSE(CONTROL!$C$22, $C$13, 100%, $E$13)</f>
        <v>15.158300000000001</v>
      </c>
    </row>
    <row r="851" spans="1:11" ht="15">
      <c r="A851" s="13">
        <v>67754</v>
      </c>
      <c r="B851" s="60">
        <f>12.6422 * CHOOSE(CONTROL!$C$22, $C$13, 100%, $E$13)</f>
        <v>12.642200000000001</v>
      </c>
      <c r="C851" s="60">
        <f>12.6422 * CHOOSE(CONTROL!$C$22, $C$13, 100%, $E$13)</f>
        <v>12.642200000000001</v>
      </c>
      <c r="D851" s="60">
        <f>12.6775 * CHOOSE(CONTROL!$C$22, $C$13, 100%, $E$13)</f>
        <v>12.6775</v>
      </c>
      <c r="E851" s="61">
        <f>15.4312 * CHOOSE(CONTROL!$C$22, $C$13, 100%, $E$13)</f>
        <v>15.4312</v>
      </c>
      <c r="F851" s="61">
        <f>15.4312 * CHOOSE(CONTROL!$C$22, $C$13, 100%, $E$13)</f>
        <v>15.4312</v>
      </c>
      <c r="G851" s="61">
        <f>15.4334 * CHOOSE(CONTROL!$C$22, $C$13, 100%, $E$13)</f>
        <v>15.433400000000001</v>
      </c>
      <c r="H851" s="61">
        <f>25.831* CHOOSE(CONTROL!$C$22, $C$13, 100%, $E$13)</f>
        <v>25.831</v>
      </c>
      <c r="I851" s="61">
        <f>25.8332 * CHOOSE(CONTROL!$C$22, $C$13, 100%, $E$13)</f>
        <v>25.833200000000001</v>
      </c>
      <c r="J851" s="61">
        <f>15.4312 * CHOOSE(CONTROL!$C$22, $C$13, 100%, $E$13)</f>
        <v>15.4312</v>
      </c>
      <c r="K851" s="61">
        <f>15.4334 * CHOOSE(CONTROL!$C$22, $C$13, 100%, $E$13)</f>
        <v>15.433400000000001</v>
      </c>
    </row>
    <row r="852" spans="1:11" ht="15">
      <c r="A852" s="13">
        <v>67785</v>
      </c>
      <c r="B852" s="60">
        <f>12.6489 * CHOOSE(CONTROL!$C$22, $C$13, 100%, $E$13)</f>
        <v>12.648899999999999</v>
      </c>
      <c r="C852" s="60">
        <f>12.6489 * CHOOSE(CONTROL!$C$22, $C$13, 100%, $E$13)</f>
        <v>12.648899999999999</v>
      </c>
      <c r="D852" s="60">
        <f>12.6842 * CHOOSE(CONTROL!$C$22, $C$13, 100%, $E$13)</f>
        <v>12.684200000000001</v>
      </c>
      <c r="E852" s="61">
        <f>15.1999 * CHOOSE(CONTROL!$C$22, $C$13, 100%, $E$13)</f>
        <v>15.1999</v>
      </c>
      <c r="F852" s="61">
        <f>15.1999 * CHOOSE(CONTROL!$C$22, $C$13, 100%, $E$13)</f>
        <v>15.1999</v>
      </c>
      <c r="G852" s="61">
        <f>15.2021 * CHOOSE(CONTROL!$C$22, $C$13, 100%, $E$13)</f>
        <v>15.2021</v>
      </c>
      <c r="H852" s="61">
        <f>25.8848* CHOOSE(CONTROL!$C$22, $C$13, 100%, $E$13)</f>
        <v>25.884799999999998</v>
      </c>
      <c r="I852" s="61">
        <f>25.887 * CHOOSE(CONTROL!$C$22, $C$13, 100%, $E$13)</f>
        <v>25.887</v>
      </c>
      <c r="J852" s="61">
        <f>15.1999 * CHOOSE(CONTROL!$C$22, $C$13, 100%, $E$13)</f>
        <v>15.1999</v>
      </c>
      <c r="K852" s="61">
        <f>15.2021 * CHOOSE(CONTROL!$C$22, $C$13, 100%, $E$13)</f>
        <v>15.2021</v>
      </c>
    </row>
    <row r="853" spans="1:11" ht="15">
      <c r="A853" s="13">
        <v>67816</v>
      </c>
      <c r="B853" s="60">
        <f>12.6459 * CHOOSE(CONTROL!$C$22, $C$13, 100%, $E$13)</f>
        <v>12.645899999999999</v>
      </c>
      <c r="C853" s="60">
        <f>12.6459 * CHOOSE(CONTROL!$C$22, $C$13, 100%, $E$13)</f>
        <v>12.645899999999999</v>
      </c>
      <c r="D853" s="60">
        <f>12.6812 * CHOOSE(CONTROL!$C$22, $C$13, 100%, $E$13)</f>
        <v>12.6812</v>
      </c>
      <c r="E853" s="61">
        <f>15.1716 * CHOOSE(CONTROL!$C$22, $C$13, 100%, $E$13)</f>
        <v>15.1716</v>
      </c>
      <c r="F853" s="61">
        <f>15.1716 * CHOOSE(CONTROL!$C$22, $C$13, 100%, $E$13)</f>
        <v>15.1716</v>
      </c>
      <c r="G853" s="61">
        <f>15.1738 * CHOOSE(CONTROL!$C$22, $C$13, 100%, $E$13)</f>
        <v>15.1738</v>
      </c>
      <c r="H853" s="61">
        <f>25.9387* CHOOSE(CONTROL!$C$22, $C$13, 100%, $E$13)</f>
        <v>25.938700000000001</v>
      </c>
      <c r="I853" s="61">
        <f>25.9409 * CHOOSE(CONTROL!$C$22, $C$13, 100%, $E$13)</f>
        <v>25.940899999999999</v>
      </c>
      <c r="J853" s="61">
        <f>15.1716 * CHOOSE(CONTROL!$C$22, $C$13, 100%, $E$13)</f>
        <v>15.1716</v>
      </c>
      <c r="K853" s="61">
        <f>15.1738 * CHOOSE(CONTROL!$C$22, $C$13, 100%, $E$13)</f>
        <v>15.1738</v>
      </c>
    </row>
    <row r="854" spans="1:11" ht="15">
      <c r="A854" s="13">
        <v>67846</v>
      </c>
      <c r="B854" s="60">
        <f>12.6738 * CHOOSE(CONTROL!$C$22, $C$13, 100%, $E$13)</f>
        <v>12.6738</v>
      </c>
      <c r="C854" s="60">
        <f>12.6738 * CHOOSE(CONTROL!$C$22, $C$13, 100%, $E$13)</f>
        <v>12.6738</v>
      </c>
      <c r="D854" s="60">
        <f>12.6914 * CHOOSE(CONTROL!$C$22, $C$13, 100%, $E$13)</f>
        <v>12.6914</v>
      </c>
      <c r="E854" s="61">
        <f>15.263 * CHOOSE(CONTROL!$C$22, $C$13, 100%, $E$13)</f>
        <v>15.263</v>
      </c>
      <c r="F854" s="61">
        <f>15.263 * CHOOSE(CONTROL!$C$22, $C$13, 100%, $E$13)</f>
        <v>15.263</v>
      </c>
      <c r="G854" s="61">
        <f>15.2632 * CHOOSE(CONTROL!$C$22, $C$13, 100%, $E$13)</f>
        <v>15.263199999999999</v>
      </c>
      <c r="H854" s="61">
        <f>25.9928* CHOOSE(CONTROL!$C$22, $C$13, 100%, $E$13)</f>
        <v>25.992799999999999</v>
      </c>
      <c r="I854" s="61">
        <f>25.9929 * CHOOSE(CONTROL!$C$22, $C$13, 100%, $E$13)</f>
        <v>25.992899999999999</v>
      </c>
      <c r="J854" s="61">
        <f>15.263 * CHOOSE(CONTROL!$C$22, $C$13, 100%, $E$13)</f>
        <v>15.263</v>
      </c>
      <c r="K854" s="61">
        <f>15.2632 * CHOOSE(CONTROL!$C$22, $C$13, 100%, $E$13)</f>
        <v>15.263199999999999</v>
      </c>
    </row>
    <row r="855" spans="1:11" ht="15">
      <c r="A855" s="13">
        <v>67877</v>
      </c>
      <c r="B855" s="60">
        <f>12.6768 * CHOOSE(CONTROL!$C$22, $C$13, 100%, $E$13)</f>
        <v>12.6768</v>
      </c>
      <c r="C855" s="60">
        <f>12.6768 * CHOOSE(CONTROL!$C$22, $C$13, 100%, $E$13)</f>
        <v>12.6768</v>
      </c>
      <c r="D855" s="60">
        <f>12.6945 * CHOOSE(CONTROL!$C$22, $C$13, 100%, $E$13)</f>
        <v>12.6945</v>
      </c>
      <c r="E855" s="61">
        <f>15.3176 * CHOOSE(CONTROL!$C$22, $C$13, 100%, $E$13)</f>
        <v>15.317600000000001</v>
      </c>
      <c r="F855" s="61">
        <f>15.3176 * CHOOSE(CONTROL!$C$22, $C$13, 100%, $E$13)</f>
        <v>15.317600000000001</v>
      </c>
      <c r="G855" s="61">
        <f>15.3177 * CHOOSE(CONTROL!$C$22, $C$13, 100%, $E$13)</f>
        <v>15.3177</v>
      </c>
      <c r="H855" s="61">
        <f>26.0469* CHOOSE(CONTROL!$C$22, $C$13, 100%, $E$13)</f>
        <v>26.046900000000001</v>
      </c>
      <c r="I855" s="61">
        <f>26.0471 * CHOOSE(CONTROL!$C$22, $C$13, 100%, $E$13)</f>
        <v>26.0471</v>
      </c>
      <c r="J855" s="61">
        <f>15.3176 * CHOOSE(CONTROL!$C$22, $C$13, 100%, $E$13)</f>
        <v>15.317600000000001</v>
      </c>
      <c r="K855" s="61">
        <f>15.3177 * CHOOSE(CONTROL!$C$22, $C$13, 100%, $E$13)</f>
        <v>15.3177</v>
      </c>
    </row>
    <row r="856" spans="1:11" ht="15">
      <c r="A856" s="13">
        <v>67907</v>
      </c>
      <c r="B856" s="60">
        <f>12.6768 * CHOOSE(CONTROL!$C$22, $C$13, 100%, $E$13)</f>
        <v>12.6768</v>
      </c>
      <c r="C856" s="60">
        <f>12.6768 * CHOOSE(CONTROL!$C$22, $C$13, 100%, $E$13)</f>
        <v>12.6768</v>
      </c>
      <c r="D856" s="60">
        <f>12.6945 * CHOOSE(CONTROL!$C$22, $C$13, 100%, $E$13)</f>
        <v>12.6945</v>
      </c>
      <c r="E856" s="61">
        <f>15.1865 * CHOOSE(CONTROL!$C$22, $C$13, 100%, $E$13)</f>
        <v>15.186500000000001</v>
      </c>
      <c r="F856" s="61">
        <f>15.1865 * CHOOSE(CONTROL!$C$22, $C$13, 100%, $E$13)</f>
        <v>15.186500000000001</v>
      </c>
      <c r="G856" s="61">
        <f>15.1867 * CHOOSE(CONTROL!$C$22, $C$13, 100%, $E$13)</f>
        <v>15.1867</v>
      </c>
      <c r="H856" s="61">
        <f>26.1012* CHOOSE(CONTROL!$C$22, $C$13, 100%, $E$13)</f>
        <v>26.101199999999999</v>
      </c>
      <c r="I856" s="61">
        <f>26.1014 * CHOOSE(CONTROL!$C$22, $C$13, 100%, $E$13)</f>
        <v>26.101400000000002</v>
      </c>
      <c r="J856" s="61">
        <f>15.1865 * CHOOSE(CONTROL!$C$22, $C$13, 100%, $E$13)</f>
        <v>15.186500000000001</v>
      </c>
      <c r="K856" s="61">
        <f>15.1867 * CHOOSE(CONTROL!$C$22, $C$13, 100%, $E$13)</f>
        <v>15.1867</v>
      </c>
    </row>
    <row r="857" spans="1:11" ht="15">
      <c r="A857" s="13">
        <v>67938</v>
      </c>
      <c r="B857" s="60">
        <f>12.6597 * CHOOSE(CONTROL!$C$22, $C$13, 100%, $E$13)</f>
        <v>12.659700000000001</v>
      </c>
      <c r="C857" s="60">
        <f>12.6597 * CHOOSE(CONTROL!$C$22, $C$13, 100%, $E$13)</f>
        <v>12.659700000000001</v>
      </c>
      <c r="D857" s="60">
        <f>12.6773 * CHOOSE(CONTROL!$C$22, $C$13, 100%, $E$13)</f>
        <v>12.677300000000001</v>
      </c>
      <c r="E857" s="61">
        <f>15.2549 * CHOOSE(CONTROL!$C$22, $C$13, 100%, $E$13)</f>
        <v>15.254899999999999</v>
      </c>
      <c r="F857" s="61">
        <f>15.2549 * CHOOSE(CONTROL!$C$22, $C$13, 100%, $E$13)</f>
        <v>15.254899999999999</v>
      </c>
      <c r="G857" s="61">
        <f>15.2551 * CHOOSE(CONTROL!$C$22, $C$13, 100%, $E$13)</f>
        <v>15.255100000000001</v>
      </c>
      <c r="H857" s="61">
        <f>25.9119* CHOOSE(CONTROL!$C$22, $C$13, 100%, $E$13)</f>
        <v>25.911899999999999</v>
      </c>
      <c r="I857" s="61">
        <f>25.9121 * CHOOSE(CONTROL!$C$22, $C$13, 100%, $E$13)</f>
        <v>25.912099999999999</v>
      </c>
      <c r="J857" s="61">
        <f>15.2549 * CHOOSE(CONTROL!$C$22, $C$13, 100%, $E$13)</f>
        <v>15.254899999999999</v>
      </c>
      <c r="K857" s="61">
        <f>15.2551 * CHOOSE(CONTROL!$C$22, $C$13, 100%, $E$13)</f>
        <v>15.255100000000001</v>
      </c>
    </row>
    <row r="858" spans="1:11" ht="15">
      <c r="A858" s="13">
        <v>67969</v>
      </c>
      <c r="B858" s="60">
        <f>12.6566 * CHOOSE(CONTROL!$C$22, $C$13, 100%, $E$13)</f>
        <v>12.656599999999999</v>
      </c>
      <c r="C858" s="60">
        <f>12.6566 * CHOOSE(CONTROL!$C$22, $C$13, 100%, $E$13)</f>
        <v>12.656599999999999</v>
      </c>
      <c r="D858" s="60">
        <f>12.6743 * CHOOSE(CONTROL!$C$22, $C$13, 100%, $E$13)</f>
        <v>12.674300000000001</v>
      </c>
      <c r="E858" s="61">
        <f>15.0006 * CHOOSE(CONTROL!$C$22, $C$13, 100%, $E$13)</f>
        <v>15.0006</v>
      </c>
      <c r="F858" s="61">
        <f>15.0006 * CHOOSE(CONTROL!$C$22, $C$13, 100%, $E$13)</f>
        <v>15.0006</v>
      </c>
      <c r="G858" s="61">
        <f>15.0008 * CHOOSE(CONTROL!$C$22, $C$13, 100%, $E$13)</f>
        <v>15.0008</v>
      </c>
      <c r="H858" s="61">
        <f>25.9659* CHOOSE(CONTROL!$C$22, $C$13, 100%, $E$13)</f>
        <v>25.965900000000001</v>
      </c>
      <c r="I858" s="61">
        <f>25.9661 * CHOOSE(CONTROL!$C$22, $C$13, 100%, $E$13)</f>
        <v>25.966100000000001</v>
      </c>
      <c r="J858" s="61">
        <f>15.0006 * CHOOSE(CONTROL!$C$22, $C$13, 100%, $E$13)</f>
        <v>15.0006</v>
      </c>
      <c r="K858" s="61">
        <f>15.0008 * CHOOSE(CONTROL!$C$22, $C$13, 100%, $E$13)</f>
        <v>15.0008</v>
      </c>
    </row>
    <row r="859" spans="1:11" ht="15">
      <c r="A859" s="13">
        <v>67997</v>
      </c>
      <c r="B859" s="60">
        <f>12.6536 * CHOOSE(CONTROL!$C$22, $C$13, 100%, $E$13)</f>
        <v>12.653600000000001</v>
      </c>
      <c r="C859" s="60">
        <f>12.6536 * CHOOSE(CONTROL!$C$22, $C$13, 100%, $E$13)</f>
        <v>12.653600000000001</v>
      </c>
      <c r="D859" s="60">
        <f>12.6713 * CHOOSE(CONTROL!$C$22, $C$13, 100%, $E$13)</f>
        <v>12.6713</v>
      </c>
      <c r="E859" s="61">
        <f>15.1973 * CHOOSE(CONTROL!$C$22, $C$13, 100%, $E$13)</f>
        <v>15.1973</v>
      </c>
      <c r="F859" s="61">
        <f>15.1973 * CHOOSE(CONTROL!$C$22, $C$13, 100%, $E$13)</f>
        <v>15.1973</v>
      </c>
      <c r="G859" s="61">
        <f>15.1975 * CHOOSE(CONTROL!$C$22, $C$13, 100%, $E$13)</f>
        <v>15.1975</v>
      </c>
      <c r="H859" s="61">
        <f>26.02* CHOOSE(CONTROL!$C$22, $C$13, 100%, $E$13)</f>
        <v>26.02</v>
      </c>
      <c r="I859" s="61">
        <f>26.0202 * CHOOSE(CONTROL!$C$22, $C$13, 100%, $E$13)</f>
        <v>26.020199999999999</v>
      </c>
      <c r="J859" s="61">
        <f>15.1973 * CHOOSE(CONTROL!$C$22, $C$13, 100%, $E$13)</f>
        <v>15.1973</v>
      </c>
      <c r="K859" s="61">
        <f>15.1975 * CHOOSE(CONTROL!$C$22, $C$13, 100%, $E$13)</f>
        <v>15.1975</v>
      </c>
    </row>
    <row r="860" spans="1:11" ht="15">
      <c r="A860" s="13">
        <v>68028</v>
      </c>
      <c r="B860" s="60">
        <f>12.6598 * CHOOSE(CONTROL!$C$22, $C$13, 100%, $E$13)</f>
        <v>12.659800000000001</v>
      </c>
      <c r="C860" s="60">
        <f>12.6598 * CHOOSE(CONTROL!$C$22, $C$13, 100%, $E$13)</f>
        <v>12.659800000000001</v>
      </c>
      <c r="D860" s="60">
        <f>12.6774 * CHOOSE(CONTROL!$C$22, $C$13, 100%, $E$13)</f>
        <v>12.6774</v>
      </c>
      <c r="E860" s="61">
        <f>15.4065 * CHOOSE(CONTROL!$C$22, $C$13, 100%, $E$13)</f>
        <v>15.406499999999999</v>
      </c>
      <c r="F860" s="61">
        <f>15.4065 * CHOOSE(CONTROL!$C$22, $C$13, 100%, $E$13)</f>
        <v>15.406499999999999</v>
      </c>
      <c r="G860" s="61">
        <f>15.4067 * CHOOSE(CONTROL!$C$22, $C$13, 100%, $E$13)</f>
        <v>15.406700000000001</v>
      </c>
      <c r="H860" s="61">
        <f>26.0742* CHOOSE(CONTROL!$C$22, $C$13, 100%, $E$13)</f>
        <v>26.074200000000001</v>
      </c>
      <c r="I860" s="61">
        <f>26.0744 * CHOOSE(CONTROL!$C$22, $C$13, 100%, $E$13)</f>
        <v>26.074400000000001</v>
      </c>
      <c r="J860" s="61">
        <f>15.4065 * CHOOSE(CONTROL!$C$22, $C$13, 100%, $E$13)</f>
        <v>15.406499999999999</v>
      </c>
      <c r="K860" s="61">
        <f>15.4067 * CHOOSE(CONTROL!$C$22, $C$13, 100%, $E$13)</f>
        <v>15.406700000000001</v>
      </c>
    </row>
    <row r="861" spans="1:11" ht="15">
      <c r="A861" s="13">
        <v>68058</v>
      </c>
      <c r="B861" s="60">
        <f>12.6598 * CHOOSE(CONTROL!$C$22, $C$13, 100%, $E$13)</f>
        <v>12.659800000000001</v>
      </c>
      <c r="C861" s="60">
        <f>12.6598 * CHOOSE(CONTROL!$C$22, $C$13, 100%, $E$13)</f>
        <v>12.659800000000001</v>
      </c>
      <c r="D861" s="60">
        <f>12.6951 * CHOOSE(CONTROL!$C$22, $C$13, 100%, $E$13)</f>
        <v>12.6951</v>
      </c>
      <c r="E861" s="61">
        <f>15.4866 * CHOOSE(CONTROL!$C$22, $C$13, 100%, $E$13)</f>
        <v>15.486599999999999</v>
      </c>
      <c r="F861" s="61">
        <f>15.4866 * CHOOSE(CONTROL!$C$22, $C$13, 100%, $E$13)</f>
        <v>15.486599999999999</v>
      </c>
      <c r="G861" s="61">
        <f>15.4888 * CHOOSE(CONTROL!$C$22, $C$13, 100%, $E$13)</f>
        <v>15.488799999999999</v>
      </c>
      <c r="H861" s="61">
        <f>26.1285* CHOOSE(CONTROL!$C$22, $C$13, 100%, $E$13)</f>
        <v>26.128499999999999</v>
      </c>
      <c r="I861" s="61">
        <f>26.1307 * CHOOSE(CONTROL!$C$22, $C$13, 100%, $E$13)</f>
        <v>26.130700000000001</v>
      </c>
      <c r="J861" s="61">
        <f>15.4866 * CHOOSE(CONTROL!$C$22, $C$13, 100%, $E$13)</f>
        <v>15.486599999999999</v>
      </c>
      <c r="K861" s="61">
        <f>15.4888 * CHOOSE(CONTROL!$C$22, $C$13, 100%, $E$13)</f>
        <v>15.488799999999999</v>
      </c>
    </row>
    <row r="862" spans="1:11" ht="15">
      <c r="A862" s="13">
        <v>68089</v>
      </c>
      <c r="B862" s="60">
        <f>12.6659 * CHOOSE(CONTROL!$C$22, $C$13, 100%, $E$13)</f>
        <v>12.665900000000001</v>
      </c>
      <c r="C862" s="60">
        <f>12.6659 * CHOOSE(CONTROL!$C$22, $C$13, 100%, $E$13)</f>
        <v>12.665900000000001</v>
      </c>
      <c r="D862" s="60">
        <f>12.7012 * CHOOSE(CONTROL!$C$22, $C$13, 100%, $E$13)</f>
        <v>12.7012</v>
      </c>
      <c r="E862" s="61">
        <f>15.4108 * CHOOSE(CONTROL!$C$22, $C$13, 100%, $E$13)</f>
        <v>15.4108</v>
      </c>
      <c r="F862" s="61">
        <f>15.4108 * CHOOSE(CONTROL!$C$22, $C$13, 100%, $E$13)</f>
        <v>15.4108</v>
      </c>
      <c r="G862" s="61">
        <f>15.413 * CHOOSE(CONTROL!$C$22, $C$13, 100%, $E$13)</f>
        <v>15.413</v>
      </c>
      <c r="H862" s="61">
        <f>26.1829* CHOOSE(CONTROL!$C$22, $C$13, 100%, $E$13)</f>
        <v>26.1829</v>
      </c>
      <c r="I862" s="61">
        <f>26.1851 * CHOOSE(CONTROL!$C$22, $C$13, 100%, $E$13)</f>
        <v>26.185099999999998</v>
      </c>
      <c r="J862" s="61">
        <f>15.4108 * CHOOSE(CONTROL!$C$22, $C$13, 100%, $E$13)</f>
        <v>15.4108</v>
      </c>
      <c r="K862" s="61">
        <f>15.413 * CHOOSE(CONTROL!$C$22, $C$13, 100%, $E$13)</f>
        <v>15.413</v>
      </c>
    </row>
    <row r="863" spans="1:11" ht="15">
      <c r="A863" s="13">
        <v>68119</v>
      </c>
      <c r="B863" s="60">
        <f>12.8415 * CHOOSE(CONTROL!$C$22, $C$13, 100%, $E$13)</f>
        <v>12.8415</v>
      </c>
      <c r="C863" s="60">
        <f>12.8415 * CHOOSE(CONTROL!$C$22, $C$13, 100%, $E$13)</f>
        <v>12.8415</v>
      </c>
      <c r="D863" s="60">
        <f>12.8768 * CHOOSE(CONTROL!$C$22, $C$13, 100%, $E$13)</f>
        <v>12.876799999999999</v>
      </c>
      <c r="E863" s="61">
        <f>15.6903 * CHOOSE(CONTROL!$C$22, $C$13, 100%, $E$13)</f>
        <v>15.690300000000001</v>
      </c>
      <c r="F863" s="61">
        <f>15.6903 * CHOOSE(CONTROL!$C$22, $C$13, 100%, $E$13)</f>
        <v>15.690300000000001</v>
      </c>
      <c r="G863" s="61">
        <f>15.6925 * CHOOSE(CONTROL!$C$22, $C$13, 100%, $E$13)</f>
        <v>15.692500000000001</v>
      </c>
      <c r="H863" s="61">
        <f>26.2375* CHOOSE(CONTROL!$C$22, $C$13, 100%, $E$13)</f>
        <v>26.237500000000001</v>
      </c>
      <c r="I863" s="61">
        <f>26.2397 * CHOOSE(CONTROL!$C$22, $C$13, 100%, $E$13)</f>
        <v>26.239699999999999</v>
      </c>
      <c r="J863" s="61">
        <f>15.6903 * CHOOSE(CONTROL!$C$22, $C$13, 100%, $E$13)</f>
        <v>15.690300000000001</v>
      </c>
      <c r="K863" s="61">
        <f>15.6925 * CHOOSE(CONTROL!$C$22, $C$13, 100%, $E$13)</f>
        <v>15.692500000000001</v>
      </c>
    </row>
    <row r="864" spans="1:11" ht="15">
      <c r="A864" s="13">
        <v>68150</v>
      </c>
      <c r="B864" s="60">
        <f>12.8482 * CHOOSE(CONTROL!$C$22, $C$13, 100%, $E$13)</f>
        <v>12.8482</v>
      </c>
      <c r="C864" s="60">
        <f>12.8482 * CHOOSE(CONTROL!$C$22, $C$13, 100%, $E$13)</f>
        <v>12.8482</v>
      </c>
      <c r="D864" s="60">
        <f>12.8835 * CHOOSE(CONTROL!$C$22, $C$13, 100%, $E$13)</f>
        <v>12.8835</v>
      </c>
      <c r="E864" s="61">
        <f>15.4548 * CHOOSE(CONTROL!$C$22, $C$13, 100%, $E$13)</f>
        <v>15.454800000000001</v>
      </c>
      <c r="F864" s="61">
        <f>15.4548 * CHOOSE(CONTROL!$C$22, $C$13, 100%, $E$13)</f>
        <v>15.454800000000001</v>
      </c>
      <c r="G864" s="61">
        <f>15.4569 * CHOOSE(CONTROL!$C$22, $C$13, 100%, $E$13)</f>
        <v>15.456899999999999</v>
      </c>
      <c r="H864" s="61">
        <f>26.2921* CHOOSE(CONTROL!$C$22, $C$13, 100%, $E$13)</f>
        <v>26.292100000000001</v>
      </c>
      <c r="I864" s="61">
        <f>26.2943 * CHOOSE(CONTROL!$C$22, $C$13, 100%, $E$13)</f>
        <v>26.2943</v>
      </c>
      <c r="J864" s="61">
        <f>15.4548 * CHOOSE(CONTROL!$C$22, $C$13, 100%, $E$13)</f>
        <v>15.454800000000001</v>
      </c>
      <c r="K864" s="61">
        <f>15.4569 * CHOOSE(CONTROL!$C$22, $C$13, 100%, $E$13)</f>
        <v>15.456899999999999</v>
      </c>
    </row>
    <row r="865" spans="1:11" ht="15">
      <c r="A865" s="13">
        <v>68181</v>
      </c>
      <c r="B865" s="60">
        <f>12.8452 * CHOOSE(CONTROL!$C$22, $C$13, 100%, $E$13)</f>
        <v>12.8452</v>
      </c>
      <c r="C865" s="60">
        <f>12.8452 * CHOOSE(CONTROL!$C$22, $C$13, 100%, $E$13)</f>
        <v>12.8452</v>
      </c>
      <c r="D865" s="60">
        <f>12.8805 * CHOOSE(CONTROL!$C$22, $C$13, 100%, $E$13)</f>
        <v>12.8805</v>
      </c>
      <c r="E865" s="61">
        <f>15.426 * CHOOSE(CONTROL!$C$22, $C$13, 100%, $E$13)</f>
        <v>15.426</v>
      </c>
      <c r="F865" s="61">
        <f>15.426 * CHOOSE(CONTROL!$C$22, $C$13, 100%, $E$13)</f>
        <v>15.426</v>
      </c>
      <c r="G865" s="61">
        <f>15.4281 * CHOOSE(CONTROL!$C$22, $C$13, 100%, $E$13)</f>
        <v>15.428100000000001</v>
      </c>
      <c r="H865" s="61">
        <f>26.3469* CHOOSE(CONTROL!$C$22, $C$13, 100%, $E$13)</f>
        <v>26.346900000000002</v>
      </c>
      <c r="I865" s="61">
        <f>26.3491 * CHOOSE(CONTROL!$C$22, $C$13, 100%, $E$13)</f>
        <v>26.3491</v>
      </c>
      <c r="J865" s="61">
        <f>15.426 * CHOOSE(CONTROL!$C$22, $C$13, 100%, $E$13)</f>
        <v>15.426</v>
      </c>
      <c r="K865" s="61">
        <f>15.4281 * CHOOSE(CONTROL!$C$22, $C$13, 100%, $E$13)</f>
        <v>15.428100000000001</v>
      </c>
    </row>
    <row r="866" spans="1:11" ht="15">
      <c r="A866" s="13">
        <v>68211</v>
      </c>
      <c r="B866" s="60">
        <f>12.8738 * CHOOSE(CONTROL!$C$22, $C$13, 100%, $E$13)</f>
        <v>12.873799999999999</v>
      </c>
      <c r="C866" s="60">
        <f>12.8738 * CHOOSE(CONTROL!$C$22, $C$13, 100%, $E$13)</f>
        <v>12.873799999999999</v>
      </c>
      <c r="D866" s="60">
        <f>12.8915 * CHOOSE(CONTROL!$C$22, $C$13, 100%, $E$13)</f>
        <v>12.891500000000001</v>
      </c>
      <c r="E866" s="61">
        <f>15.5193 * CHOOSE(CONTROL!$C$22, $C$13, 100%, $E$13)</f>
        <v>15.519299999999999</v>
      </c>
      <c r="F866" s="61">
        <f>15.5193 * CHOOSE(CONTROL!$C$22, $C$13, 100%, $E$13)</f>
        <v>15.519299999999999</v>
      </c>
      <c r="G866" s="61">
        <f>15.5195 * CHOOSE(CONTROL!$C$22, $C$13, 100%, $E$13)</f>
        <v>15.519500000000001</v>
      </c>
      <c r="H866" s="61">
        <f>26.4018* CHOOSE(CONTROL!$C$22, $C$13, 100%, $E$13)</f>
        <v>26.401800000000001</v>
      </c>
      <c r="I866" s="61">
        <f>26.402 * CHOOSE(CONTROL!$C$22, $C$13, 100%, $E$13)</f>
        <v>26.402000000000001</v>
      </c>
      <c r="J866" s="61">
        <f>15.5193 * CHOOSE(CONTROL!$C$22, $C$13, 100%, $E$13)</f>
        <v>15.519299999999999</v>
      </c>
      <c r="K866" s="61">
        <f>15.5195 * CHOOSE(CONTROL!$C$22, $C$13, 100%, $E$13)</f>
        <v>15.519500000000001</v>
      </c>
    </row>
    <row r="867" spans="1:11" ht="15">
      <c r="A867" s="13">
        <v>68242</v>
      </c>
      <c r="B867" s="60">
        <f>12.8769 * CHOOSE(CONTROL!$C$22, $C$13, 100%, $E$13)</f>
        <v>12.876899999999999</v>
      </c>
      <c r="C867" s="60">
        <f>12.8769 * CHOOSE(CONTROL!$C$22, $C$13, 100%, $E$13)</f>
        <v>12.876899999999999</v>
      </c>
      <c r="D867" s="60">
        <f>12.8945 * CHOOSE(CONTROL!$C$22, $C$13, 100%, $E$13)</f>
        <v>12.894500000000001</v>
      </c>
      <c r="E867" s="61">
        <f>15.5748 * CHOOSE(CONTROL!$C$22, $C$13, 100%, $E$13)</f>
        <v>15.5748</v>
      </c>
      <c r="F867" s="61">
        <f>15.5748 * CHOOSE(CONTROL!$C$22, $C$13, 100%, $E$13)</f>
        <v>15.5748</v>
      </c>
      <c r="G867" s="61">
        <f>15.575 * CHOOSE(CONTROL!$C$22, $C$13, 100%, $E$13)</f>
        <v>15.574999999999999</v>
      </c>
      <c r="H867" s="61">
        <f>26.4568* CHOOSE(CONTROL!$C$22, $C$13, 100%, $E$13)</f>
        <v>26.456800000000001</v>
      </c>
      <c r="I867" s="61">
        <f>26.457 * CHOOSE(CONTROL!$C$22, $C$13, 100%, $E$13)</f>
        <v>26.457000000000001</v>
      </c>
      <c r="J867" s="61">
        <f>15.5748 * CHOOSE(CONTROL!$C$22, $C$13, 100%, $E$13)</f>
        <v>15.5748</v>
      </c>
      <c r="K867" s="61">
        <f>15.575 * CHOOSE(CONTROL!$C$22, $C$13, 100%, $E$13)</f>
        <v>15.574999999999999</v>
      </c>
    </row>
    <row r="868" spans="1:11" ht="15">
      <c r="A868" s="13">
        <v>68272</v>
      </c>
      <c r="B868" s="60">
        <f>12.8769 * CHOOSE(CONTROL!$C$22, $C$13, 100%, $E$13)</f>
        <v>12.876899999999999</v>
      </c>
      <c r="C868" s="60">
        <f>12.8769 * CHOOSE(CONTROL!$C$22, $C$13, 100%, $E$13)</f>
        <v>12.876899999999999</v>
      </c>
      <c r="D868" s="60">
        <f>12.8945 * CHOOSE(CONTROL!$C$22, $C$13, 100%, $E$13)</f>
        <v>12.894500000000001</v>
      </c>
      <c r="E868" s="61">
        <f>15.4413 * CHOOSE(CONTROL!$C$22, $C$13, 100%, $E$13)</f>
        <v>15.4413</v>
      </c>
      <c r="F868" s="61">
        <f>15.4413 * CHOOSE(CONTROL!$C$22, $C$13, 100%, $E$13)</f>
        <v>15.4413</v>
      </c>
      <c r="G868" s="61">
        <f>15.4415 * CHOOSE(CONTROL!$C$22, $C$13, 100%, $E$13)</f>
        <v>15.4415</v>
      </c>
      <c r="H868" s="61">
        <f>26.5119* CHOOSE(CONTROL!$C$22, $C$13, 100%, $E$13)</f>
        <v>26.511900000000001</v>
      </c>
      <c r="I868" s="61">
        <f>26.5121 * CHOOSE(CONTROL!$C$22, $C$13, 100%, $E$13)</f>
        <v>26.5121</v>
      </c>
      <c r="J868" s="61">
        <f>15.4413 * CHOOSE(CONTROL!$C$22, $C$13, 100%, $E$13)</f>
        <v>15.4413</v>
      </c>
      <c r="K868" s="61">
        <f>15.4415 * CHOOSE(CONTROL!$C$22, $C$13, 100%, $E$13)</f>
        <v>15.4415</v>
      </c>
    </row>
    <row r="869" spans="1:11" ht="15">
      <c r="A869" s="13">
        <v>68303</v>
      </c>
      <c r="B869" s="60">
        <f>12.8563 * CHOOSE(CONTROL!$C$22, $C$13, 100%, $E$13)</f>
        <v>12.856299999999999</v>
      </c>
      <c r="C869" s="60">
        <f>12.8563 * CHOOSE(CONTROL!$C$22, $C$13, 100%, $E$13)</f>
        <v>12.856299999999999</v>
      </c>
      <c r="D869" s="60">
        <f>12.874 * CHOOSE(CONTROL!$C$22, $C$13, 100%, $E$13)</f>
        <v>12.874000000000001</v>
      </c>
      <c r="E869" s="61">
        <f>15.5067 * CHOOSE(CONTROL!$C$22, $C$13, 100%, $E$13)</f>
        <v>15.5067</v>
      </c>
      <c r="F869" s="61">
        <f>15.5067 * CHOOSE(CONTROL!$C$22, $C$13, 100%, $E$13)</f>
        <v>15.5067</v>
      </c>
      <c r="G869" s="61">
        <f>15.5069 * CHOOSE(CONTROL!$C$22, $C$13, 100%, $E$13)</f>
        <v>15.5069</v>
      </c>
      <c r="H869" s="61">
        <f>26.3134* CHOOSE(CONTROL!$C$22, $C$13, 100%, $E$13)</f>
        <v>26.313400000000001</v>
      </c>
      <c r="I869" s="61">
        <f>26.3135 * CHOOSE(CONTROL!$C$22, $C$13, 100%, $E$13)</f>
        <v>26.313500000000001</v>
      </c>
      <c r="J869" s="61">
        <f>15.5067 * CHOOSE(CONTROL!$C$22, $C$13, 100%, $E$13)</f>
        <v>15.5067</v>
      </c>
      <c r="K869" s="61">
        <f>15.5069 * CHOOSE(CONTROL!$C$22, $C$13, 100%, $E$13)</f>
        <v>15.5069</v>
      </c>
    </row>
    <row r="870" spans="1:11" ht="15">
      <c r="A870" s="13">
        <v>68334</v>
      </c>
      <c r="B870" s="60">
        <f>12.8533 * CHOOSE(CONTROL!$C$22, $C$13, 100%, $E$13)</f>
        <v>12.853300000000001</v>
      </c>
      <c r="C870" s="60">
        <f>12.8533 * CHOOSE(CONTROL!$C$22, $C$13, 100%, $E$13)</f>
        <v>12.853300000000001</v>
      </c>
      <c r="D870" s="60">
        <f>12.8709 * CHOOSE(CONTROL!$C$22, $C$13, 100%, $E$13)</f>
        <v>12.870900000000001</v>
      </c>
      <c r="E870" s="61">
        <f>15.248 * CHOOSE(CONTROL!$C$22, $C$13, 100%, $E$13)</f>
        <v>15.247999999999999</v>
      </c>
      <c r="F870" s="61">
        <f>15.248 * CHOOSE(CONTROL!$C$22, $C$13, 100%, $E$13)</f>
        <v>15.247999999999999</v>
      </c>
      <c r="G870" s="61">
        <f>15.2482 * CHOOSE(CONTROL!$C$22, $C$13, 100%, $E$13)</f>
        <v>15.248200000000001</v>
      </c>
      <c r="H870" s="61">
        <f>26.3682* CHOOSE(CONTROL!$C$22, $C$13, 100%, $E$13)</f>
        <v>26.368200000000002</v>
      </c>
      <c r="I870" s="61">
        <f>26.3684 * CHOOSE(CONTROL!$C$22, $C$13, 100%, $E$13)</f>
        <v>26.368400000000001</v>
      </c>
      <c r="J870" s="61">
        <f>15.248 * CHOOSE(CONTROL!$C$22, $C$13, 100%, $E$13)</f>
        <v>15.247999999999999</v>
      </c>
      <c r="K870" s="61">
        <f>15.2482 * CHOOSE(CONTROL!$C$22, $C$13, 100%, $E$13)</f>
        <v>15.248200000000001</v>
      </c>
    </row>
    <row r="871" spans="1:11" ht="15">
      <c r="A871" s="13">
        <v>68362</v>
      </c>
      <c r="B871" s="60">
        <f>12.8502 * CHOOSE(CONTROL!$C$22, $C$13, 100%, $E$13)</f>
        <v>12.850199999999999</v>
      </c>
      <c r="C871" s="60">
        <f>12.8502 * CHOOSE(CONTROL!$C$22, $C$13, 100%, $E$13)</f>
        <v>12.850199999999999</v>
      </c>
      <c r="D871" s="60">
        <f>12.8679 * CHOOSE(CONTROL!$C$22, $C$13, 100%, $E$13)</f>
        <v>12.867900000000001</v>
      </c>
      <c r="E871" s="61">
        <f>15.4482 * CHOOSE(CONTROL!$C$22, $C$13, 100%, $E$13)</f>
        <v>15.4482</v>
      </c>
      <c r="F871" s="61">
        <f>15.4482 * CHOOSE(CONTROL!$C$22, $C$13, 100%, $E$13)</f>
        <v>15.4482</v>
      </c>
      <c r="G871" s="61">
        <f>15.4484 * CHOOSE(CONTROL!$C$22, $C$13, 100%, $E$13)</f>
        <v>15.448399999999999</v>
      </c>
      <c r="H871" s="61">
        <f>26.4231* CHOOSE(CONTROL!$C$22, $C$13, 100%, $E$13)</f>
        <v>26.423100000000002</v>
      </c>
      <c r="I871" s="61">
        <f>26.4233 * CHOOSE(CONTROL!$C$22, $C$13, 100%, $E$13)</f>
        <v>26.423300000000001</v>
      </c>
      <c r="J871" s="61">
        <f>15.4482 * CHOOSE(CONTROL!$C$22, $C$13, 100%, $E$13)</f>
        <v>15.4482</v>
      </c>
      <c r="K871" s="61">
        <f>15.4484 * CHOOSE(CONTROL!$C$22, $C$13, 100%, $E$13)</f>
        <v>15.448399999999999</v>
      </c>
    </row>
    <row r="872" spans="1:11" ht="15">
      <c r="A872" s="13">
        <v>68393</v>
      </c>
      <c r="B872" s="60">
        <f>12.8566 * CHOOSE(CONTROL!$C$22, $C$13, 100%, $E$13)</f>
        <v>12.8566</v>
      </c>
      <c r="C872" s="60">
        <f>12.8566 * CHOOSE(CONTROL!$C$22, $C$13, 100%, $E$13)</f>
        <v>12.8566</v>
      </c>
      <c r="D872" s="60">
        <f>12.8743 * CHOOSE(CONTROL!$C$22, $C$13, 100%, $E$13)</f>
        <v>12.8743</v>
      </c>
      <c r="E872" s="61">
        <f>15.6612 * CHOOSE(CONTROL!$C$22, $C$13, 100%, $E$13)</f>
        <v>15.661199999999999</v>
      </c>
      <c r="F872" s="61">
        <f>15.6612 * CHOOSE(CONTROL!$C$22, $C$13, 100%, $E$13)</f>
        <v>15.661199999999999</v>
      </c>
      <c r="G872" s="61">
        <f>15.6614 * CHOOSE(CONTROL!$C$22, $C$13, 100%, $E$13)</f>
        <v>15.6614</v>
      </c>
      <c r="H872" s="61">
        <f>26.4782* CHOOSE(CONTROL!$C$22, $C$13, 100%, $E$13)</f>
        <v>26.478200000000001</v>
      </c>
      <c r="I872" s="61">
        <f>26.4783 * CHOOSE(CONTROL!$C$22, $C$13, 100%, $E$13)</f>
        <v>26.478300000000001</v>
      </c>
      <c r="J872" s="61">
        <f>15.6612 * CHOOSE(CONTROL!$C$22, $C$13, 100%, $E$13)</f>
        <v>15.661199999999999</v>
      </c>
      <c r="K872" s="61">
        <f>15.6614 * CHOOSE(CONTROL!$C$22, $C$13, 100%, $E$13)</f>
        <v>15.6614</v>
      </c>
    </row>
    <row r="873" spans="1:11" ht="15">
      <c r="A873" s="13">
        <v>68423</v>
      </c>
      <c r="B873" s="60">
        <f>12.8566 * CHOOSE(CONTROL!$C$22, $C$13, 100%, $E$13)</f>
        <v>12.8566</v>
      </c>
      <c r="C873" s="60">
        <f>12.8566 * CHOOSE(CONTROL!$C$22, $C$13, 100%, $E$13)</f>
        <v>12.8566</v>
      </c>
      <c r="D873" s="60">
        <f>12.8919 * CHOOSE(CONTROL!$C$22, $C$13, 100%, $E$13)</f>
        <v>12.8919</v>
      </c>
      <c r="E873" s="61">
        <f>15.7427 * CHOOSE(CONTROL!$C$22, $C$13, 100%, $E$13)</f>
        <v>15.742699999999999</v>
      </c>
      <c r="F873" s="61">
        <f>15.7427 * CHOOSE(CONTROL!$C$22, $C$13, 100%, $E$13)</f>
        <v>15.742699999999999</v>
      </c>
      <c r="G873" s="61">
        <f>15.7449 * CHOOSE(CONTROL!$C$22, $C$13, 100%, $E$13)</f>
        <v>15.744899999999999</v>
      </c>
      <c r="H873" s="61">
        <f>26.5333* CHOOSE(CONTROL!$C$22, $C$13, 100%, $E$13)</f>
        <v>26.533300000000001</v>
      </c>
      <c r="I873" s="61">
        <f>26.5355 * CHOOSE(CONTROL!$C$22, $C$13, 100%, $E$13)</f>
        <v>26.535499999999999</v>
      </c>
      <c r="J873" s="61">
        <f>15.7427 * CHOOSE(CONTROL!$C$22, $C$13, 100%, $E$13)</f>
        <v>15.742699999999999</v>
      </c>
      <c r="K873" s="61">
        <f>15.7449 * CHOOSE(CONTROL!$C$22, $C$13, 100%, $E$13)</f>
        <v>15.744899999999999</v>
      </c>
    </row>
    <row r="874" spans="1:11" ht="15">
      <c r="A874" s="13">
        <v>68454</v>
      </c>
      <c r="B874" s="60">
        <f>12.8627 * CHOOSE(CONTROL!$C$22, $C$13, 100%, $E$13)</f>
        <v>12.8627</v>
      </c>
      <c r="C874" s="60">
        <f>12.8627 * CHOOSE(CONTROL!$C$22, $C$13, 100%, $E$13)</f>
        <v>12.8627</v>
      </c>
      <c r="D874" s="60">
        <f>12.898 * CHOOSE(CONTROL!$C$22, $C$13, 100%, $E$13)</f>
        <v>12.898</v>
      </c>
      <c r="E874" s="61">
        <f>15.6654 * CHOOSE(CONTROL!$C$22, $C$13, 100%, $E$13)</f>
        <v>15.6654</v>
      </c>
      <c r="F874" s="61">
        <f>15.6654 * CHOOSE(CONTROL!$C$22, $C$13, 100%, $E$13)</f>
        <v>15.6654</v>
      </c>
      <c r="G874" s="61">
        <f>15.6676 * CHOOSE(CONTROL!$C$22, $C$13, 100%, $E$13)</f>
        <v>15.6676</v>
      </c>
      <c r="H874" s="61">
        <f>26.5886* CHOOSE(CONTROL!$C$22, $C$13, 100%, $E$13)</f>
        <v>26.5886</v>
      </c>
      <c r="I874" s="61">
        <f>26.5908 * CHOOSE(CONTROL!$C$22, $C$13, 100%, $E$13)</f>
        <v>26.590800000000002</v>
      </c>
      <c r="J874" s="61">
        <f>15.6654 * CHOOSE(CONTROL!$C$22, $C$13, 100%, $E$13)</f>
        <v>15.6654</v>
      </c>
      <c r="K874" s="61">
        <f>15.6676 * CHOOSE(CONTROL!$C$22, $C$13, 100%, $E$13)</f>
        <v>15.6676</v>
      </c>
    </row>
    <row r="875" spans="1:11" ht="15">
      <c r="A875" s="13">
        <v>68484</v>
      </c>
      <c r="B875" s="60">
        <f>13.0408 * CHOOSE(CONTROL!$C$22, $C$13, 100%, $E$13)</f>
        <v>13.040800000000001</v>
      </c>
      <c r="C875" s="60">
        <f>13.0408 * CHOOSE(CONTROL!$C$22, $C$13, 100%, $E$13)</f>
        <v>13.040800000000001</v>
      </c>
      <c r="D875" s="60">
        <f>13.0762 * CHOOSE(CONTROL!$C$22, $C$13, 100%, $E$13)</f>
        <v>13.0762</v>
      </c>
      <c r="E875" s="61">
        <f>15.9494 * CHOOSE(CONTROL!$C$22, $C$13, 100%, $E$13)</f>
        <v>15.949400000000001</v>
      </c>
      <c r="F875" s="61">
        <f>15.9494 * CHOOSE(CONTROL!$C$22, $C$13, 100%, $E$13)</f>
        <v>15.949400000000001</v>
      </c>
      <c r="G875" s="61">
        <f>15.9516 * CHOOSE(CONTROL!$C$22, $C$13, 100%, $E$13)</f>
        <v>15.951599999999999</v>
      </c>
      <c r="H875" s="61">
        <f>26.644* CHOOSE(CONTROL!$C$22, $C$13, 100%, $E$13)</f>
        <v>26.643999999999998</v>
      </c>
      <c r="I875" s="61">
        <f>26.6462 * CHOOSE(CONTROL!$C$22, $C$13, 100%, $E$13)</f>
        <v>26.6462</v>
      </c>
      <c r="J875" s="61">
        <f>15.9494 * CHOOSE(CONTROL!$C$22, $C$13, 100%, $E$13)</f>
        <v>15.949400000000001</v>
      </c>
      <c r="K875" s="61">
        <f>15.9516 * CHOOSE(CONTROL!$C$22, $C$13, 100%, $E$13)</f>
        <v>15.951599999999999</v>
      </c>
    </row>
    <row r="876" spans="1:11" ht="15">
      <c r="A876" s="13">
        <v>68515</v>
      </c>
      <c r="B876" s="60">
        <f>13.0475 * CHOOSE(CONTROL!$C$22, $C$13, 100%, $E$13)</f>
        <v>13.047499999999999</v>
      </c>
      <c r="C876" s="60">
        <f>13.0475 * CHOOSE(CONTROL!$C$22, $C$13, 100%, $E$13)</f>
        <v>13.047499999999999</v>
      </c>
      <c r="D876" s="60">
        <f>13.0828 * CHOOSE(CONTROL!$C$22, $C$13, 100%, $E$13)</f>
        <v>13.082800000000001</v>
      </c>
      <c r="E876" s="61">
        <f>15.7096 * CHOOSE(CONTROL!$C$22, $C$13, 100%, $E$13)</f>
        <v>15.7096</v>
      </c>
      <c r="F876" s="61">
        <f>15.7096 * CHOOSE(CONTROL!$C$22, $C$13, 100%, $E$13)</f>
        <v>15.7096</v>
      </c>
      <c r="G876" s="61">
        <f>15.7118 * CHOOSE(CONTROL!$C$22, $C$13, 100%, $E$13)</f>
        <v>15.7118</v>
      </c>
      <c r="H876" s="61">
        <f>26.6995* CHOOSE(CONTROL!$C$22, $C$13, 100%, $E$13)</f>
        <v>26.6995</v>
      </c>
      <c r="I876" s="61">
        <f>26.7017 * CHOOSE(CONTROL!$C$22, $C$13, 100%, $E$13)</f>
        <v>26.701699999999999</v>
      </c>
      <c r="J876" s="61">
        <f>15.7096 * CHOOSE(CONTROL!$C$22, $C$13, 100%, $E$13)</f>
        <v>15.7096</v>
      </c>
      <c r="K876" s="61">
        <f>15.7118 * CHOOSE(CONTROL!$C$22, $C$13, 100%, $E$13)</f>
        <v>15.7118</v>
      </c>
    </row>
    <row r="877" spans="1:11" ht="15">
      <c r="A877" s="13">
        <v>68546</v>
      </c>
      <c r="B877" s="60">
        <f>13.0445 * CHOOSE(CONTROL!$C$22, $C$13, 100%, $E$13)</f>
        <v>13.044499999999999</v>
      </c>
      <c r="C877" s="60">
        <f>13.0445 * CHOOSE(CONTROL!$C$22, $C$13, 100%, $E$13)</f>
        <v>13.044499999999999</v>
      </c>
      <c r="D877" s="60">
        <f>13.0798 * CHOOSE(CONTROL!$C$22, $C$13, 100%, $E$13)</f>
        <v>13.079800000000001</v>
      </c>
      <c r="E877" s="61">
        <f>15.6803 * CHOOSE(CONTROL!$C$22, $C$13, 100%, $E$13)</f>
        <v>15.680300000000001</v>
      </c>
      <c r="F877" s="61">
        <f>15.6803 * CHOOSE(CONTROL!$C$22, $C$13, 100%, $E$13)</f>
        <v>15.680300000000001</v>
      </c>
      <c r="G877" s="61">
        <f>15.6825 * CHOOSE(CONTROL!$C$22, $C$13, 100%, $E$13)</f>
        <v>15.682499999999999</v>
      </c>
      <c r="H877" s="61">
        <f>26.7551* CHOOSE(CONTROL!$C$22, $C$13, 100%, $E$13)</f>
        <v>26.755099999999999</v>
      </c>
      <c r="I877" s="61">
        <f>26.7573 * CHOOSE(CONTROL!$C$22, $C$13, 100%, $E$13)</f>
        <v>26.757300000000001</v>
      </c>
      <c r="J877" s="61">
        <f>15.6803 * CHOOSE(CONTROL!$C$22, $C$13, 100%, $E$13)</f>
        <v>15.680300000000001</v>
      </c>
      <c r="K877" s="61">
        <f>15.6825 * CHOOSE(CONTROL!$C$22, $C$13, 100%, $E$13)</f>
        <v>15.682499999999999</v>
      </c>
    </row>
    <row r="878" spans="1:11" ht="15">
      <c r="A878" s="13">
        <v>68576</v>
      </c>
      <c r="B878" s="60">
        <f>13.0739 * CHOOSE(CONTROL!$C$22, $C$13, 100%, $E$13)</f>
        <v>13.0739</v>
      </c>
      <c r="C878" s="60">
        <f>13.0739 * CHOOSE(CONTROL!$C$22, $C$13, 100%, $E$13)</f>
        <v>13.0739</v>
      </c>
      <c r="D878" s="60">
        <f>13.0916 * CHOOSE(CONTROL!$C$22, $C$13, 100%, $E$13)</f>
        <v>13.0916</v>
      </c>
      <c r="E878" s="61">
        <f>15.7755 * CHOOSE(CONTROL!$C$22, $C$13, 100%, $E$13)</f>
        <v>15.775499999999999</v>
      </c>
      <c r="F878" s="61">
        <f>15.7755 * CHOOSE(CONTROL!$C$22, $C$13, 100%, $E$13)</f>
        <v>15.775499999999999</v>
      </c>
      <c r="G878" s="61">
        <f>15.7757 * CHOOSE(CONTROL!$C$22, $C$13, 100%, $E$13)</f>
        <v>15.775700000000001</v>
      </c>
      <c r="H878" s="61">
        <f>26.8109* CHOOSE(CONTROL!$C$22, $C$13, 100%, $E$13)</f>
        <v>26.8109</v>
      </c>
      <c r="I878" s="61">
        <f>26.811 * CHOOSE(CONTROL!$C$22, $C$13, 100%, $E$13)</f>
        <v>26.811</v>
      </c>
      <c r="J878" s="61">
        <f>15.7755 * CHOOSE(CONTROL!$C$22, $C$13, 100%, $E$13)</f>
        <v>15.775499999999999</v>
      </c>
      <c r="K878" s="61">
        <f>15.7757 * CHOOSE(CONTROL!$C$22, $C$13, 100%, $E$13)</f>
        <v>15.775700000000001</v>
      </c>
    </row>
    <row r="879" spans="1:11" ht="15">
      <c r="A879" s="13">
        <v>68607</v>
      </c>
      <c r="B879" s="60">
        <f>13.0769 * CHOOSE(CONTROL!$C$22, $C$13, 100%, $E$13)</f>
        <v>13.0769</v>
      </c>
      <c r="C879" s="60">
        <f>13.0769 * CHOOSE(CONTROL!$C$22, $C$13, 100%, $E$13)</f>
        <v>13.0769</v>
      </c>
      <c r="D879" s="60">
        <f>13.0946 * CHOOSE(CONTROL!$C$22, $C$13, 100%, $E$13)</f>
        <v>13.0946</v>
      </c>
      <c r="E879" s="61">
        <f>15.832 * CHOOSE(CONTROL!$C$22, $C$13, 100%, $E$13)</f>
        <v>15.832000000000001</v>
      </c>
      <c r="F879" s="61">
        <f>15.832 * CHOOSE(CONTROL!$C$22, $C$13, 100%, $E$13)</f>
        <v>15.832000000000001</v>
      </c>
      <c r="G879" s="61">
        <f>15.8322 * CHOOSE(CONTROL!$C$22, $C$13, 100%, $E$13)</f>
        <v>15.8322</v>
      </c>
      <c r="H879" s="61">
        <f>26.8667* CHOOSE(CONTROL!$C$22, $C$13, 100%, $E$13)</f>
        <v>26.866700000000002</v>
      </c>
      <c r="I879" s="61">
        <f>26.8669 * CHOOSE(CONTROL!$C$22, $C$13, 100%, $E$13)</f>
        <v>26.866900000000001</v>
      </c>
      <c r="J879" s="61">
        <f>15.832 * CHOOSE(CONTROL!$C$22, $C$13, 100%, $E$13)</f>
        <v>15.832000000000001</v>
      </c>
      <c r="K879" s="61">
        <f>15.8322 * CHOOSE(CONTROL!$C$22, $C$13, 100%, $E$13)</f>
        <v>15.8322</v>
      </c>
    </row>
    <row r="880" spans="1:11" ht="15">
      <c r="A880" s="13">
        <v>68637</v>
      </c>
      <c r="B880" s="60">
        <f>13.0769 * CHOOSE(CONTROL!$C$22, $C$13, 100%, $E$13)</f>
        <v>13.0769</v>
      </c>
      <c r="C880" s="60">
        <f>13.0769 * CHOOSE(CONTROL!$C$22, $C$13, 100%, $E$13)</f>
        <v>13.0769</v>
      </c>
      <c r="D880" s="60">
        <f>13.0946 * CHOOSE(CONTROL!$C$22, $C$13, 100%, $E$13)</f>
        <v>13.0946</v>
      </c>
      <c r="E880" s="61">
        <f>15.6962 * CHOOSE(CONTROL!$C$22, $C$13, 100%, $E$13)</f>
        <v>15.696199999999999</v>
      </c>
      <c r="F880" s="61">
        <f>15.6962 * CHOOSE(CONTROL!$C$22, $C$13, 100%, $E$13)</f>
        <v>15.696199999999999</v>
      </c>
      <c r="G880" s="61">
        <f>15.6964 * CHOOSE(CONTROL!$C$22, $C$13, 100%, $E$13)</f>
        <v>15.696400000000001</v>
      </c>
      <c r="H880" s="61">
        <f>26.9227* CHOOSE(CONTROL!$C$22, $C$13, 100%, $E$13)</f>
        <v>26.922699999999999</v>
      </c>
      <c r="I880" s="61">
        <f>26.9229 * CHOOSE(CONTROL!$C$22, $C$13, 100%, $E$13)</f>
        <v>26.922899999999998</v>
      </c>
      <c r="J880" s="61">
        <f>15.6962 * CHOOSE(CONTROL!$C$22, $C$13, 100%, $E$13)</f>
        <v>15.696199999999999</v>
      </c>
      <c r="K880" s="61">
        <f>15.6964 * CHOOSE(CONTROL!$C$22, $C$13, 100%, $E$13)</f>
        <v>15.696400000000001</v>
      </c>
    </row>
    <row r="881" spans="1:11" ht="15">
      <c r="A881" s="13">
        <v>68668</v>
      </c>
      <c r="B881" s="60">
        <f>13.0529 * CHOOSE(CONTROL!$C$22, $C$13, 100%, $E$13)</f>
        <v>13.052899999999999</v>
      </c>
      <c r="C881" s="60">
        <f>13.0529 * CHOOSE(CONTROL!$C$22, $C$13, 100%, $E$13)</f>
        <v>13.052899999999999</v>
      </c>
      <c r="D881" s="60">
        <f>13.0706 * CHOOSE(CONTROL!$C$22, $C$13, 100%, $E$13)</f>
        <v>13.070600000000001</v>
      </c>
      <c r="E881" s="61">
        <f>15.7586 * CHOOSE(CONTROL!$C$22, $C$13, 100%, $E$13)</f>
        <v>15.758599999999999</v>
      </c>
      <c r="F881" s="61">
        <f>15.7586 * CHOOSE(CONTROL!$C$22, $C$13, 100%, $E$13)</f>
        <v>15.758599999999999</v>
      </c>
      <c r="G881" s="61">
        <f>15.7587 * CHOOSE(CONTROL!$C$22, $C$13, 100%, $E$13)</f>
        <v>15.758699999999999</v>
      </c>
      <c r="H881" s="61">
        <f>26.7148* CHOOSE(CONTROL!$C$22, $C$13, 100%, $E$13)</f>
        <v>26.7148</v>
      </c>
      <c r="I881" s="61">
        <f>26.715 * CHOOSE(CONTROL!$C$22, $C$13, 100%, $E$13)</f>
        <v>26.715</v>
      </c>
      <c r="J881" s="61">
        <f>15.7586 * CHOOSE(CONTROL!$C$22, $C$13, 100%, $E$13)</f>
        <v>15.758599999999999</v>
      </c>
      <c r="K881" s="61">
        <f>15.7587 * CHOOSE(CONTROL!$C$22, $C$13, 100%, $E$13)</f>
        <v>15.758699999999999</v>
      </c>
    </row>
    <row r="882" spans="1:11" ht="15">
      <c r="A882" s="13">
        <v>68699</v>
      </c>
      <c r="B882" s="60">
        <f>13.0499 * CHOOSE(CONTROL!$C$22, $C$13, 100%, $E$13)</f>
        <v>13.049899999999999</v>
      </c>
      <c r="C882" s="60">
        <f>13.0499 * CHOOSE(CONTROL!$C$22, $C$13, 100%, $E$13)</f>
        <v>13.049899999999999</v>
      </c>
      <c r="D882" s="60">
        <f>13.0675 * CHOOSE(CONTROL!$C$22, $C$13, 100%, $E$13)</f>
        <v>13.067500000000001</v>
      </c>
      <c r="E882" s="61">
        <f>15.4954 * CHOOSE(CONTROL!$C$22, $C$13, 100%, $E$13)</f>
        <v>15.4954</v>
      </c>
      <c r="F882" s="61">
        <f>15.4954 * CHOOSE(CONTROL!$C$22, $C$13, 100%, $E$13)</f>
        <v>15.4954</v>
      </c>
      <c r="G882" s="61">
        <f>15.4955 * CHOOSE(CONTROL!$C$22, $C$13, 100%, $E$13)</f>
        <v>15.4955</v>
      </c>
      <c r="H882" s="61">
        <f>26.7705* CHOOSE(CONTROL!$C$22, $C$13, 100%, $E$13)</f>
        <v>26.770499999999998</v>
      </c>
      <c r="I882" s="61">
        <f>26.7707 * CHOOSE(CONTROL!$C$22, $C$13, 100%, $E$13)</f>
        <v>26.770700000000001</v>
      </c>
      <c r="J882" s="61">
        <f>15.4954 * CHOOSE(CONTROL!$C$22, $C$13, 100%, $E$13)</f>
        <v>15.4954</v>
      </c>
      <c r="K882" s="61">
        <f>15.4955 * CHOOSE(CONTROL!$C$22, $C$13, 100%, $E$13)</f>
        <v>15.4955</v>
      </c>
    </row>
    <row r="883" spans="1:11" ht="15">
      <c r="A883" s="13">
        <v>68728</v>
      </c>
      <c r="B883" s="60">
        <f>13.0468 * CHOOSE(CONTROL!$C$22, $C$13, 100%, $E$13)</f>
        <v>13.046799999999999</v>
      </c>
      <c r="C883" s="60">
        <f>13.0468 * CHOOSE(CONTROL!$C$22, $C$13, 100%, $E$13)</f>
        <v>13.046799999999999</v>
      </c>
      <c r="D883" s="60">
        <f>13.0645 * CHOOSE(CONTROL!$C$22, $C$13, 100%, $E$13)</f>
        <v>13.064500000000001</v>
      </c>
      <c r="E883" s="61">
        <f>15.6991 * CHOOSE(CONTROL!$C$22, $C$13, 100%, $E$13)</f>
        <v>15.6991</v>
      </c>
      <c r="F883" s="61">
        <f>15.6991 * CHOOSE(CONTROL!$C$22, $C$13, 100%, $E$13)</f>
        <v>15.6991</v>
      </c>
      <c r="G883" s="61">
        <f>15.6992 * CHOOSE(CONTROL!$C$22, $C$13, 100%, $E$13)</f>
        <v>15.699199999999999</v>
      </c>
      <c r="H883" s="61">
        <f>26.8262* CHOOSE(CONTROL!$C$22, $C$13, 100%, $E$13)</f>
        <v>26.8262</v>
      </c>
      <c r="I883" s="61">
        <f>26.8264 * CHOOSE(CONTROL!$C$22, $C$13, 100%, $E$13)</f>
        <v>26.8264</v>
      </c>
      <c r="J883" s="61">
        <f>15.6991 * CHOOSE(CONTROL!$C$22, $C$13, 100%, $E$13)</f>
        <v>15.6991</v>
      </c>
      <c r="K883" s="61">
        <f>15.6992 * CHOOSE(CONTROL!$C$22, $C$13, 100%, $E$13)</f>
        <v>15.699199999999999</v>
      </c>
    </row>
    <row r="884" spans="1:11" ht="15">
      <c r="A884" s="13">
        <v>68759</v>
      </c>
      <c r="B884" s="60">
        <f>13.0534 * CHOOSE(CONTROL!$C$22, $C$13, 100%, $E$13)</f>
        <v>13.0534</v>
      </c>
      <c r="C884" s="60">
        <f>13.0534 * CHOOSE(CONTROL!$C$22, $C$13, 100%, $E$13)</f>
        <v>13.0534</v>
      </c>
      <c r="D884" s="60">
        <f>13.0711 * CHOOSE(CONTROL!$C$22, $C$13, 100%, $E$13)</f>
        <v>13.071099999999999</v>
      </c>
      <c r="E884" s="61">
        <f>15.9159 * CHOOSE(CONTROL!$C$22, $C$13, 100%, $E$13)</f>
        <v>15.915900000000001</v>
      </c>
      <c r="F884" s="61">
        <f>15.9159 * CHOOSE(CONTROL!$C$22, $C$13, 100%, $E$13)</f>
        <v>15.915900000000001</v>
      </c>
      <c r="G884" s="61">
        <f>15.9161 * CHOOSE(CONTROL!$C$22, $C$13, 100%, $E$13)</f>
        <v>15.9161</v>
      </c>
      <c r="H884" s="61">
        <f>26.8821* CHOOSE(CONTROL!$C$22, $C$13, 100%, $E$13)</f>
        <v>26.882100000000001</v>
      </c>
      <c r="I884" s="61">
        <f>26.8823 * CHOOSE(CONTROL!$C$22, $C$13, 100%, $E$13)</f>
        <v>26.882300000000001</v>
      </c>
      <c r="J884" s="61">
        <f>15.9159 * CHOOSE(CONTROL!$C$22, $C$13, 100%, $E$13)</f>
        <v>15.915900000000001</v>
      </c>
      <c r="K884" s="61">
        <f>15.9161 * CHOOSE(CONTROL!$C$22, $C$13, 100%, $E$13)</f>
        <v>15.9161</v>
      </c>
    </row>
    <row r="885" spans="1:11" ht="15">
      <c r="A885" s="13">
        <v>68789</v>
      </c>
      <c r="B885" s="60">
        <f>13.0534 * CHOOSE(CONTROL!$C$22, $C$13, 100%, $E$13)</f>
        <v>13.0534</v>
      </c>
      <c r="C885" s="60">
        <f>13.0534 * CHOOSE(CONTROL!$C$22, $C$13, 100%, $E$13)</f>
        <v>13.0534</v>
      </c>
      <c r="D885" s="60">
        <f>13.0887 * CHOOSE(CONTROL!$C$22, $C$13, 100%, $E$13)</f>
        <v>13.088699999999999</v>
      </c>
      <c r="E885" s="61">
        <f>15.9988 * CHOOSE(CONTROL!$C$22, $C$13, 100%, $E$13)</f>
        <v>15.998799999999999</v>
      </c>
      <c r="F885" s="61">
        <f>15.9988 * CHOOSE(CONTROL!$C$22, $C$13, 100%, $E$13)</f>
        <v>15.998799999999999</v>
      </c>
      <c r="G885" s="61">
        <f>16.001 * CHOOSE(CONTROL!$C$22, $C$13, 100%, $E$13)</f>
        <v>16.001000000000001</v>
      </c>
      <c r="H885" s="61">
        <f>26.9381* CHOOSE(CONTROL!$C$22, $C$13, 100%, $E$13)</f>
        <v>26.938099999999999</v>
      </c>
      <c r="I885" s="61">
        <f>26.9403 * CHOOSE(CONTROL!$C$22, $C$13, 100%, $E$13)</f>
        <v>26.940300000000001</v>
      </c>
      <c r="J885" s="61">
        <f>15.9988 * CHOOSE(CONTROL!$C$22, $C$13, 100%, $E$13)</f>
        <v>15.998799999999999</v>
      </c>
      <c r="K885" s="61">
        <f>16.001 * CHOOSE(CONTROL!$C$22, $C$13, 100%, $E$13)</f>
        <v>16.001000000000001</v>
      </c>
    </row>
    <row r="886" spans="1:11" ht="15">
      <c r="A886" s="13">
        <v>68820</v>
      </c>
      <c r="B886" s="60">
        <f>13.0595 * CHOOSE(CONTROL!$C$22, $C$13, 100%, $E$13)</f>
        <v>13.0595</v>
      </c>
      <c r="C886" s="60">
        <f>13.0595 * CHOOSE(CONTROL!$C$22, $C$13, 100%, $E$13)</f>
        <v>13.0595</v>
      </c>
      <c r="D886" s="60">
        <f>13.0948 * CHOOSE(CONTROL!$C$22, $C$13, 100%, $E$13)</f>
        <v>13.094799999999999</v>
      </c>
      <c r="E886" s="61">
        <f>15.9201 * CHOOSE(CONTROL!$C$22, $C$13, 100%, $E$13)</f>
        <v>15.9201</v>
      </c>
      <c r="F886" s="61">
        <f>15.9201 * CHOOSE(CONTROL!$C$22, $C$13, 100%, $E$13)</f>
        <v>15.9201</v>
      </c>
      <c r="G886" s="61">
        <f>15.9223 * CHOOSE(CONTROL!$C$22, $C$13, 100%, $E$13)</f>
        <v>15.9223</v>
      </c>
      <c r="H886" s="61">
        <f>26.9943* CHOOSE(CONTROL!$C$22, $C$13, 100%, $E$13)</f>
        <v>26.994299999999999</v>
      </c>
      <c r="I886" s="61">
        <f>26.9964 * CHOOSE(CONTROL!$C$22, $C$13, 100%, $E$13)</f>
        <v>26.996400000000001</v>
      </c>
      <c r="J886" s="61">
        <f>15.9201 * CHOOSE(CONTROL!$C$22, $C$13, 100%, $E$13)</f>
        <v>15.9201</v>
      </c>
      <c r="K886" s="61">
        <f>15.9223 * CHOOSE(CONTROL!$C$22, $C$13, 100%, $E$13)</f>
        <v>15.9223</v>
      </c>
    </row>
    <row r="887" spans="1:11" ht="15">
      <c r="A887" s="13">
        <v>68850</v>
      </c>
      <c r="B887" s="60">
        <f>13.2402 * CHOOSE(CONTROL!$C$22, $C$13, 100%, $E$13)</f>
        <v>13.2402</v>
      </c>
      <c r="C887" s="60">
        <f>13.2402 * CHOOSE(CONTROL!$C$22, $C$13, 100%, $E$13)</f>
        <v>13.2402</v>
      </c>
      <c r="D887" s="60">
        <f>13.2755 * CHOOSE(CONTROL!$C$22, $C$13, 100%, $E$13)</f>
        <v>13.275499999999999</v>
      </c>
      <c r="E887" s="61">
        <f>16.2085 * CHOOSE(CONTROL!$C$22, $C$13, 100%, $E$13)</f>
        <v>16.208500000000001</v>
      </c>
      <c r="F887" s="61">
        <f>16.2085 * CHOOSE(CONTROL!$C$22, $C$13, 100%, $E$13)</f>
        <v>16.208500000000001</v>
      </c>
      <c r="G887" s="61">
        <f>16.2107 * CHOOSE(CONTROL!$C$22, $C$13, 100%, $E$13)</f>
        <v>16.210699999999999</v>
      </c>
      <c r="H887" s="61">
        <f>27.0505* CHOOSE(CONTROL!$C$22, $C$13, 100%, $E$13)</f>
        <v>27.0505</v>
      </c>
      <c r="I887" s="61">
        <f>27.0527 * CHOOSE(CONTROL!$C$22, $C$13, 100%, $E$13)</f>
        <v>27.052700000000002</v>
      </c>
      <c r="J887" s="61">
        <f>16.2085 * CHOOSE(CONTROL!$C$22, $C$13, 100%, $E$13)</f>
        <v>16.208500000000001</v>
      </c>
      <c r="K887" s="61">
        <f>16.2107 * CHOOSE(CONTROL!$C$22, $C$13, 100%, $E$13)</f>
        <v>16.210699999999999</v>
      </c>
    </row>
    <row r="888" spans="1:11" ht="15">
      <c r="A888" s="13">
        <v>68881</v>
      </c>
      <c r="B888" s="60">
        <f>13.2468 * CHOOSE(CONTROL!$C$22, $C$13, 100%, $E$13)</f>
        <v>13.2468</v>
      </c>
      <c r="C888" s="60">
        <f>13.2468 * CHOOSE(CONTROL!$C$22, $C$13, 100%, $E$13)</f>
        <v>13.2468</v>
      </c>
      <c r="D888" s="60">
        <f>13.2822 * CHOOSE(CONTROL!$C$22, $C$13, 100%, $E$13)</f>
        <v>13.2822</v>
      </c>
      <c r="E888" s="61">
        <f>15.9645 * CHOOSE(CONTROL!$C$22, $C$13, 100%, $E$13)</f>
        <v>15.964499999999999</v>
      </c>
      <c r="F888" s="61">
        <f>15.9645 * CHOOSE(CONTROL!$C$22, $C$13, 100%, $E$13)</f>
        <v>15.964499999999999</v>
      </c>
      <c r="G888" s="61">
        <f>15.9666 * CHOOSE(CONTROL!$C$22, $C$13, 100%, $E$13)</f>
        <v>15.9666</v>
      </c>
      <c r="H888" s="61">
        <f>27.1069* CHOOSE(CONTROL!$C$22, $C$13, 100%, $E$13)</f>
        <v>27.1069</v>
      </c>
      <c r="I888" s="61">
        <f>27.109 * CHOOSE(CONTROL!$C$22, $C$13, 100%, $E$13)</f>
        <v>27.109000000000002</v>
      </c>
      <c r="J888" s="61">
        <f>15.9645 * CHOOSE(CONTROL!$C$22, $C$13, 100%, $E$13)</f>
        <v>15.964499999999999</v>
      </c>
      <c r="K888" s="61">
        <f>15.9666 * CHOOSE(CONTROL!$C$22, $C$13, 100%, $E$13)</f>
        <v>15.9666</v>
      </c>
    </row>
    <row r="889" spans="1:11" ht="15">
      <c r="A889" s="13">
        <v>68912</v>
      </c>
      <c r="B889" s="60">
        <f>13.2438 * CHOOSE(CONTROL!$C$22, $C$13, 100%, $E$13)</f>
        <v>13.2438</v>
      </c>
      <c r="C889" s="60">
        <f>13.2438 * CHOOSE(CONTROL!$C$22, $C$13, 100%, $E$13)</f>
        <v>13.2438</v>
      </c>
      <c r="D889" s="60">
        <f>13.2791 * CHOOSE(CONTROL!$C$22, $C$13, 100%, $E$13)</f>
        <v>13.2791</v>
      </c>
      <c r="E889" s="61">
        <f>15.9347 * CHOOSE(CONTROL!$C$22, $C$13, 100%, $E$13)</f>
        <v>15.934699999999999</v>
      </c>
      <c r="F889" s="61">
        <f>15.9347 * CHOOSE(CONTROL!$C$22, $C$13, 100%, $E$13)</f>
        <v>15.934699999999999</v>
      </c>
      <c r="G889" s="61">
        <f>15.9369 * CHOOSE(CONTROL!$C$22, $C$13, 100%, $E$13)</f>
        <v>15.9369</v>
      </c>
      <c r="H889" s="61">
        <f>27.1633* CHOOSE(CONTROL!$C$22, $C$13, 100%, $E$13)</f>
        <v>27.1633</v>
      </c>
      <c r="I889" s="61">
        <f>27.1655 * CHOOSE(CONTROL!$C$22, $C$13, 100%, $E$13)</f>
        <v>27.165500000000002</v>
      </c>
      <c r="J889" s="61">
        <f>15.9347 * CHOOSE(CONTROL!$C$22, $C$13, 100%, $E$13)</f>
        <v>15.934699999999999</v>
      </c>
      <c r="K889" s="61">
        <f>15.9369 * CHOOSE(CONTROL!$C$22, $C$13, 100%, $E$13)</f>
        <v>15.9369</v>
      </c>
    </row>
    <row r="890" spans="1:11" ht="15">
      <c r="A890" s="13">
        <v>68942</v>
      </c>
      <c r="B890" s="60">
        <f>13.274 * CHOOSE(CONTROL!$C$22, $C$13, 100%, $E$13)</f>
        <v>13.273999999999999</v>
      </c>
      <c r="C890" s="60">
        <f>13.274 * CHOOSE(CONTROL!$C$22, $C$13, 100%, $E$13)</f>
        <v>13.273999999999999</v>
      </c>
      <c r="D890" s="60">
        <f>13.2916 * CHOOSE(CONTROL!$C$22, $C$13, 100%, $E$13)</f>
        <v>13.291600000000001</v>
      </c>
      <c r="E890" s="61">
        <f>16.0318 * CHOOSE(CONTROL!$C$22, $C$13, 100%, $E$13)</f>
        <v>16.0318</v>
      </c>
      <c r="F890" s="61">
        <f>16.0318 * CHOOSE(CONTROL!$C$22, $C$13, 100%, $E$13)</f>
        <v>16.0318</v>
      </c>
      <c r="G890" s="61">
        <f>16.032 * CHOOSE(CONTROL!$C$22, $C$13, 100%, $E$13)</f>
        <v>16.032</v>
      </c>
      <c r="H890" s="61">
        <f>27.2199* CHOOSE(CONTROL!$C$22, $C$13, 100%, $E$13)</f>
        <v>27.219899999999999</v>
      </c>
      <c r="I890" s="61">
        <f>27.2201 * CHOOSE(CONTROL!$C$22, $C$13, 100%, $E$13)</f>
        <v>27.220099999999999</v>
      </c>
      <c r="J890" s="61">
        <f>16.0318 * CHOOSE(CONTROL!$C$22, $C$13, 100%, $E$13)</f>
        <v>16.0318</v>
      </c>
      <c r="K890" s="61">
        <f>16.032 * CHOOSE(CONTROL!$C$22, $C$13, 100%, $E$13)</f>
        <v>16.032</v>
      </c>
    </row>
    <row r="891" spans="1:11" ht="15">
      <c r="A891" s="13">
        <v>68973</v>
      </c>
      <c r="B891" s="60">
        <f>13.277 * CHOOSE(CONTROL!$C$22, $C$13, 100%, $E$13)</f>
        <v>13.276999999999999</v>
      </c>
      <c r="C891" s="60">
        <f>13.277 * CHOOSE(CONTROL!$C$22, $C$13, 100%, $E$13)</f>
        <v>13.276999999999999</v>
      </c>
      <c r="D891" s="60">
        <f>13.2947 * CHOOSE(CONTROL!$C$22, $C$13, 100%, $E$13)</f>
        <v>13.294700000000001</v>
      </c>
      <c r="E891" s="61">
        <f>16.0892 * CHOOSE(CONTROL!$C$22, $C$13, 100%, $E$13)</f>
        <v>16.089200000000002</v>
      </c>
      <c r="F891" s="61">
        <f>16.0892 * CHOOSE(CONTROL!$C$22, $C$13, 100%, $E$13)</f>
        <v>16.089200000000002</v>
      </c>
      <c r="G891" s="61">
        <f>16.0894 * CHOOSE(CONTROL!$C$22, $C$13, 100%, $E$13)</f>
        <v>16.089400000000001</v>
      </c>
      <c r="H891" s="61">
        <f>27.2766* CHOOSE(CONTROL!$C$22, $C$13, 100%, $E$13)</f>
        <v>27.276599999999998</v>
      </c>
      <c r="I891" s="61">
        <f>27.2768 * CHOOSE(CONTROL!$C$22, $C$13, 100%, $E$13)</f>
        <v>27.276800000000001</v>
      </c>
      <c r="J891" s="61">
        <f>16.0892 * CHOOSE(CONTROL!$C$22, $C$13, 100%, $E$13)</f>
        <v>16.089200000000002</v>
      </c>
      <c r="K891" s="61">
        <f>16.0894 * CHOOSE(CONTROL!$C$22, $C$13, 100%, $E$13)</f>
        <v>16.089400000000001</v>
      </c>
    </row>
    <row r="892" spans="1:11" ht="15">
      <c r="A892" s="13">
        <v>69003</v>
      </c>
      <c r="B892" s="60">
        <f>13.277 * CHOOSE(CONTROL!$C$22, $C$13, 100%, $E$13)</f>
        <v>13.276999999999999</v>
      </c>
      <c r="C892" s="60">
        <f>13.277 * CHOOSE(CONTROL!$C$22, $C$13, 100%, $E$13)</f>
        <v>13.276999999999999</v>
      </c>
      <c r="D892" s="60">
        <f>13.2947 * CHOOSE(CONTROL!$C$22, $C$13, 100%, $E$13)</f>
        <v>13.294700000000001</v>
      </c>
      <c r="E892" s="61">
        <f>15.951 * CHOOSE(CONTROL!$C$22, $C$13, 100%, $E$13)</f>
        <v>15.951000000000001</v>
      </c>
      <c r="F892" s="61">
        <f>15.951 * CHOOSE(CONTROL!$C$22, $C$13, 100%, $E$13)</f>
        <v>15.951000000000001</v>
      </c>
      <c r="G892" s="61">
        <f>15.9512 * CHOOSE(CONTROL!$C$22, $C$13, 100%, $E$13)</f>
        <v>15.9512</v>
      </c>
      <c r="H892" s="61">
        <f>27.3335* CHOOSE(CONTROL!$C$22, $C$13, 100%, $E$13)</f>
        <v>27.333500000000001</v>
      </c>
      <c r="I892" s="61">
        <f>27.3336 * CHOOSE(CONTROL!$C$22, $C$13, 100%, $E$13)</f>
        <v>27.333600000000001</v>
      </c>
      <c r="J892" s="61">
        <f>15.951 * CHOOSE(CONTROL!$C$22, $C$13, 100%, $E$13)</f>
        <v>15.951000000000001</v>
      </c>
      <c r="K892" s="61">
        <f>15.9512 * CHOOSE(CONTROL!$C$22, $C$13, 100%, $E$13)</f>
        <v>15.9512</v>
      </c>
    </row>
    <row r="893" spans="1:11" ht="15">
      <c r="A893" s="13">
        <v>69034</v>
      </c>
      <c r="B893" s="60">
        <f>13.2495 * CHOOSE(CONTROL!$C$22, $C$13, 100%, $E$13)</f>
        <v>13.249499999999999</v>
      </c>
      <c r="C893" s="60">
        <f>13.2495 * CHOOSE(CONTROL!$C$22, $C$13, 100%, $E$13)</f>
        <v>13.249499999999999</v>
      </c>
      <c r="D893" s="60">
        <f>13.2672 * CHOOSE(CONTROL!$C$22, $C$13, 100%, $E$13)</f>
        <v>13.267200000000001</v>
      </c>
      <c r="E893" s="61">
        <f>16.0104 * CHOOSE(CONTROL!$C$22, $C$13, 100%, $E$13)</f>
        <v>16.010400000000001</v>
      </c>
      <c r="F893" s="61">
        <f>16.0104 * CHOOSE(CONTROL!$C$22, $C$13, 100%, $E$13)</f>
        <v>16.010400000000001</v>
      </c>
      <c r="G893" s="61">
        <f>16.0106 * CHOOSE(CONTROL!$C$22, $C$13, 100%, $E$13)</f>
        <v>16.0106</v>
      </c>
      <c r="H893" s="61">
        <f>27.1163* CHOOSE(CONTROL!$C$22, $C$13, 100%, $E$13)</f>
        <v>27.116299999999999</v>
      </c>
      <c r="I893" s="61">
        <f>27.1165 * CHOOSE(CONTROL!$C$22, $C$13, 100%, $E$13)</f>
        <v>27.116499999999998</v>
      </c>
      <c r="J893" s="61">
        <f>16.0104 * CHOOSE(CONTROL!$C$22, $C$13, 100%, $E$13)</f>
        <v>16.010400000000001</v>
      </c>
      <c r="K893" s="61">
        <f>16.0106 * CHOOSE(CONTROL!$C$22, $C$13, 100%, $E$13)</f>
        <v>16.0106</v>
      </c>
    </row>
    <row r="894" spans="1:11" ht="15">
      <c r="A894" s="13">
        <v>69065</v>
      </c>
      <c r="B894" s="60">
        <f>13.2465 * CHOOSE(CONTROL!$C$22, $C$13, 100%, $E$13)</f>
        <v>13.246499999999999</v>
      </c>
      <c r="C894" s="60">
        <f>13.2465 * CHOOSE(CONTROL!$C$22, $C$13, 100%, $E$13)</f>
        <v>13.246499999999999</v>
      </c>
      <c r="D894" s="60">
        <f>13.2642 * CHOOSE(CONTROL!$C$22, $C$13, 100%, $E$13)</f>
        <v>13.264200000000001</v>
      </c>
      <c r="E894" s="61">
        <f>15.7427 * CHOOSE(CONTROL!$C$22, $C$13, 100%, $E$13)</f>
        <v>15.742699999999999</v>
      </c>
      <c r="F894" s="61">
        <f>15.7427 * CHOOSE(CONTROL!$C$22, $C$13, 100%, $E$13)</f>
        <v>15.742699999999999</v>
      </c>
      <c r="G894" s="61">
        <f>15.7429 * CHOOSE(CONTROL!$C$22, $C$13, 100%, $E$13)</f>
        <v>15.742900000000001</v>
      </c>
      <c r="H894" s="61">
        <f>27.1728* CHOOSE(CONTROL!$C$22, $C$13, 100%, $E$13)</f>
        <v>27.172799999999999</v>
      </c>
      <c r="I894" s="61">
        <f>27.173 * CHOOSE(CONTROL!$C$22, $C$13, 100%, $E$13)</f>
        <v>27.172999999999998</v>
      </c>
      <c r="J894" s="61">
        <f>15.7427 * CHOOSE(CONTROL!$C$22, $C$13, 100%, $E$13)</f>
        <v>15.742699999999999</v>
      </c>
      <c r="K894" s="61">
        <f>15.7429 * CHOOSE(CONTROL!$C$22, $C$13, 100%, $E$13)</f>
        <v>15.742900000000001</v>
      </c>
    </row>
    <row r="895" spans="1:11" ht="15">
      <c r="A895" s="13">
        <v>69093</v>
      </c>
      <c r="B895" s="60">
        <f>13.2435 * CHOOSE(CONTROL!$C$22, $C$13, 100%, $E$13)</f>
        <v>13.243499999999999</v>
      </c>
      <c r="C895" s="60">
        <f>13.2435 * CHOOSE(CONTROL!$C$22, $C$13, 100%, $E$13)</f>
        <v>13.243499999999999</v>
      </c>
      <c r="D895" s="60">
        <f>13.2611 * CHOOSE(CONTROL!$C$22, $C$13, 100%, $E$13)</f>
        <v>13.261100000000001</v>
      </c>
      <c r="E895" s="61">
        <f>15.95 * CHOOSE(CONTROL!$C$22, $C$13, 100%, $E$13)</f>
        <v>15.95</v>
      </c>
      <c r="F895" s="61">
        <f>15.95 * CHOOSE(CONTROL!$C$22, $C$13, 100%, $E$13)</f>
        <v>15.95</v>
      </c>
      <c r="G895" s="61">
        <f>15.9501 * CHOOSE(CONTROL!$C$22, $C$13, 100%, $E$13)</f>
        <v>15.950100000000001</v>
      </c>
      <c r="H895" s="61">
        <f>27.2294* CHOOSE(CONTROL!$C$22, $C$13, 100%, $E$13)</f>
        <v>27.229399999999998</v>
      </c>
      <c r="I895" s="61">
        <f>27.2296 * CHOOSE(CONTROL!$C$22, $C$13, 100%, $E$13)</f>
        <v>27.229600000000001</v>
      </c>
      <c r="J895" s="61">
        <f>15.95 * CHOOSE(CONTROL!$C$22, $C$13, 100%, $E$13)</f>
        <v>15.95</v>
      </c>
      <c r="K895" s="61">
        <f>15.9501 * CHOOSE(CONTROL!$C$22, $C$13, 100%, $E$13)</f>
        <v>15.950100000000001</v>
      </c>
    </row>
    <row r="896" spans="1:11" ht="15">
      <c r="A896" s="13">
        <v>69124</v>
      </c>
      <c r="B896" s="60">
        <f>13.2502 * CHOOSE(CONTROL!$C$22, $C$13, 100%, $E$13)</f>
        <v>13.2502</v>
      </c>
      <c r="C896" s="60">
        <f>13.2502 * CHOOSE(CONTROL!$C$22, $C$13, 100%, $E$13)</f>
        <v>13.2502</v>
      </c>
      <c r="D896" s="60">
        <f>13.2679 * CHOOSE(CONTROL!$C$22, $C$13, 100%, $E$13)</f>
        <v>13.267899999999999</v>
      </c>
      <c r="E896" s="61">
        <f>16.1706 * CHOOSE(CONTROL!$C$22, $C$13, 100%, $E$13)</f>
        <v>16.1706</v>
      </c>
      <c r="F896" s="61">
        <f>16.1706 * CHOOSE(CONTROL!$C$22, $C$13, 100%, $E$13)</f>
        <v>16.1706</v>
      </c>
      <c r="G896" s="61">
        <f>16.1707 * CHOOSE(CONTROL!$C$22, $C$13, 100%, $E$13)</f>
        <v>16.1707</v>
      </c>
      <c r="H896" s="61">
        <f>27.2861* CHOOSE(CONTROL!$C$22, $C$13, 100%, $E$13)</f>
        <v>27.286100000000001</v>
      </c>
      <c r="I896" s="61">
        <f>27.2863 * CHOOSE(CONTROL!$C$22, $C$13, 100%, $E$13)</f>
        <v>27.286300000000001</v>
      </c>
      <c r="J896" s="61">
        <f>16.1706 * CHOOSE(CONTROL!$C$22, $C$13, 100%, $E$13)</f>
        <v>16.1706</v>
      </c>
      <c r="K896" s="61">
        <f>16.1707 * CHOOSE(CONTROL!$C$22, $C$13, 100%, $E$13)</f>
        <v>16.1707</v>
      </c>
    </row>
    <row r="897" spans="1:11" ht="15">
      <c r="A897" s="13">
        <v>69154</v>
      </c>
      <c r="B897" s="60">
        <f>13.2502 * CHOOSE(CONTROL!$C$22, $C$13, 100%, $E$13)</f>
        <v>13.2502</v>
      </c>
      <c r="C897" s="60">
        <f>13.2502 * CHOOSE(CONTROL!$C$22, $C$13, 100%, $E$13)</f>
        <v>13.2502</v>
      </c>
      <c r="D897" s="60">
        <f>13.2855 * CHOOSE(CONTROL!$C$22, $C$13, 100%, $E$13)</f>
        <v>13.285500000000001</v>
      </c>
      <c r="E897" s="61">
        <f>16.2549 * CHOOSE(CONTROL!$C$22, $C$13, 100%, $E$13)</f>
        <v>16.254899999999999</v>
      </c>
      <c r="F897" s="61">
        <f>16.2549 * CHOOSE(CONTROL!$C$22, $C$13, 100%, $E$13)</f>
        <v>16.254899999999999</v>
      </c>
      <c r="G897" s="61">
        <f>16.2571 * CHOOSE(CONTROL!$C$22, $C$13, 100%, $E$13)</f>
        <v>16.257100000000001</v>
      </c>
      <c r="H897" s="61">
        <f>27.343* CHOOSE(CONTROL!$C$22, $C$13, 100%, $E$13)</f>
        <v>27.343</v>
      </c>
      <c r="I897" s="61">
        <f>27.3451 * CHOOSE(CONTROL!$C$22, $C$13, 100%, $E$13)</f>
        <v>27.345099999999999</v>
      </c>
      <c r="J897" s="61">
        <f>16.2549 * CHOOSE(CONTROL!$C$22, $C$13, 100%, $E$13)</f>
        <v>16.254899999999999</v>
      </c>
      <c r="K897" s="61">
        <f>16.2571 * CHOOSE(CONTROL!$C$22, $C$13, 100%, $E$13)</f>
        <v>16.257100000000001</v>
      </c>
    </row>
    <row r="898" spans="1:11" ht="15">
      <c r="A898" s="13">
        <v>69185</v>
      </c>
      <c r="B898" s="60">
        <f>13.2563 * CHOOSE(CONTROL!$C$22, $C$13, 100%, $E$13)</f>
        <v>13.2563</v>
      </c>
      <c r="C898" s="60">
        <f>13.2563 * CHOOSE(CONTROL!$C$22, $C$13, 100%, $E$13)</f>
        <v>13.2563</v>
      </c>
      <c r="D898" s="60">
        <f>13.2916 * CHOOSE(CONTROL!$C$22, $C$13, 100%, $E$13)</f>
        <v>13.291600000000001</v>
      </c>
      <c r="E898" s="61">
        <f>16.1748 * CHOOSE(CONTROL!$C$22, $C$13, 100%, $E$13)</f>
        <v>16.174800000000001</v>
      </c>
      <c r="F898" s="61">
        <f>16.1748 * CHOOSE(CONTROL!$C$22, $C$13, 100%, $E$13)</f>
        <v>16.174800000000001</v>
      </c>
      <c r="G898" s="61">
        <f>16.177 * CHOOSE(CONTROL!$C$22, $C$13, 100%, $E$13)</f>
        <v>16.177</v>
      </c>
      <c r="H898" s="61">
        <f>27.3999* CHOOSE(CONTROL!$C$22, $C$13, 100%, $E$13)</f>
        <v>27.399899999999999</v>
      </c>
      <c r="I898" s="61">
        <f>27.4021 * CHOOSE(CONTROL!$C$22, $C$13, 100%, $E$13)</f>
        <v>27.402100000000001</v>
      </c>
      <c r="J898" s="61">
        <f>16.1748 * CHOOSE(CONTROL!$C$22, $C$13, 100%, $E$13)</f>
        <v>16.174800000000001</v>
      </c>
      <c r="K898" s="61">
        <f>16.177 * CHOOSE(CONTROL!$C$22, $C$13, 100%, $E$13)</f>
        <v>16.177</v>
      </c>
    </row>
    <row r="899" spans="1:11" ht="15">
      <c r="A899" s="13">
        <v>69215</v>
      </c>
      <c r="B899" s="60">
        <f>13.4395 * CHOOSE(CONTROL!$C$22, $C$13, 100%, $E$13)</f>
        <v>13.439500000000001</v>
      </c>
      <c r="C899" s="60">
        <f>13.4395 * CHOOSE(CONTROL!$C$22, $C$13, 100%, $E$13)</f>
        <v>13.439500000000001</v>
      </c>
      <c r="D899" s="60">
        <f>13.4748 * CHOOSE(CONTROL!$C$22, $C$13, 100%, $E$13)</f>
        <v>13.4748</v>
      </c>
      <c r="E899" s="61">
        <f>16.4676 * CHOOSE(CONTROL!$C$22, $C$13, 100%, $E$13)</f>
        <v>16.467600000000001</v>
      </c>
      <c r="F899" s="61">
        <f>16.4676 * CHOOSE(CONTROL!$C$22, $C$13, 100%, $E$13)</f>
        <v>16.467600000000001</v>
      </c>
      <c r="G899" s="61">
        <f>16.4698 * CHOOSE(CONTROL!$C$22, $C$13, 100%, $E$13)</f>
        <v>16.469799999999999</v>
      </c>
      <c r="H899" s="61">
        <f>27.457* CHOOSE(CONTROL!$C$22, $C$13, 100%, $E$13)</f>
        <v>27.457000000000001</v>
      </c>
      <c r="I899" s="61">
        <f>27.4592 * CHOOSE(CONTROL!$C$22, $C$13, 100%, $E$13)</f>
        <v>27.459199999999999</v>
      </c>
      <c r="J899" s="61">
        <f>16.4676 * CHOOSE(CONTROL!$C$22, $C$13, 100%, $E$13)</f>
        <v>16.467600000000001</v>
      </c>
      <c r="K899" s="61">
        <f>16.4698 * CHOOSE(CONTROL!$C$22, $C$13, 100%, $E$13)</f>
        <v>16.469799999999999</v>
      </c>
    </row>
    <row r="900" spans="1:11" ht="15">
      <c r="A900" s="13">
        <v>69246</v>
      </c>
      <c r="B900" s="60">
        <f>13.4462 * CHOOSE(CONTROL!$C$22, $C$13, 100%, $E$13)</f>
        <v>13.446199999999999</v>
      </c>
      <c r="C900" s="60">
        <f>13.4462 * CHOOSE(CONTROL!$C$22, $C$13, 100%, $E$13)</f>
        <v>13.446199999999999</v>
      </c>
      <c r="D900" s="60">
        <f>13.4815 * CHOOSE(CONTROL!$C$22, $C$13, 100%, $E$13)</f>
        <v>13.4815</v>
      </c>
      <c r="E900" s="61">
        <f>16.2193 * CHOOSE(CONTROL!$C$22, $C$13, 100%, $E$13)</f>
        <v>16.2193</v>
      </c>
      <c r="F900" s="61">
        <f>16.2193 * CHOOSE(CONTROL!$C$22, $C$13, 100%, $E$13)</f>
        <v>16.2193</v>
      </c>
      <c r="G900" s="61">
        <f>16.2215 * CHOOSE(CONTROL!$C$22, $C$13, 100%, $E$13)</f>
        <v>16.221499999999999</v>
      </c>
      <c r="H900" s="61">
        <f>27.5142* CHOOSE(CONTROL!$C$22, $C$13, 100%, $E$13)</f>
        <v>27.514199999999999</v>
      </c>
      <c r="I900" s="61">
        <f>27.5164 * CHOOSE(CONTROL!$C$22, $C$13, 100%, $E$13)</f>
        <v>27.516400000000001</v>
      </c>
      <c r="J900" s="61">
        <f>16.2193 * CHOOSE(CONTROL!$C$22, $C$13, 100%, $E$13)</f>
        <v>16.2193</v>
      </c>
      <c r="K900" s="61">
        <f>16.2215 * CHOOSE(CONTROL!$C$22, $C$13, 100%, $E$13)</f>
        <v>16.221499999999999</v>
      </c>
    </row>
    <row r="901" spans="1:11" ht="15">
      <c r="A901" s="13">
        <v>69277</v>
      </c>
      <c r="B901" s="60">
        <f>13.4431 * CHOOSE(CONTROL!$C$22, $C$13, 100%, $E$13)</f>
        <v>13.443099999999999</v>
      </c>
      <c r="C901" s="60">
        <f>13.4431 * CHOOSE(CONTROL!$C$22, $C$13, 100%, $E$13)</f>
        <v>13.443099999999999</v>
      </c>
      <c r="D901" s="60">
        <f>13.4784 * CHOOSE(CONTROL!$C$22, $C$13, 100%, $E$13)</f>
        <v>13.478400000000001</v>
      </c>
      <c r="E901" s="61">
        <f>16.1891 * CHOOSE(CONTROL!$C$22, $C$13, 100%, $E$13)</f>
        <v>16.1891</v>
      </c>
      <c r="F901" s="61">
        <f>16.1891 * CHOOSE(CONTROL!$C$22, $C$13, 100%, $E$13)</f>
        <v>16.1891</v>
      </c>
      <c r="G901" s="61">
        <f>16.1913 * CHOOSE(CONTROL!$C$22, $C$13, 100%, $E$13)</f>
        <v>16.191299999999998</v>
      </c>
      <c r="H901" s="61">
        <f>27.5715* CHOOSE(CONTROL!$C$22, $C$13, 100%, $E$13)</f>
        <v>27.5715</v>
      </c>
      <c r="I901" s="61">
        <f>27.5737 * CHOOSE(CONTROL!$C$22, $C$13, 100%, $E$13)</f>
        <v>27.573699999999999</v>
      </c>
      <c r="J901" s="61">
        <f>16.1891 * CHOOSE(CONTROL!$C$22, $C$13, 100%, $E$13)</f>
        <v>16.1891</v>
      </c>
      <c r="K901" s="61">
        <f>16.1913 * CHOOSE(CONTROL!$C$22, $C$13, 100%, $E$13)</f>
        <v>16.191299999999998</v>
      </c>
    </row>
    <row r="902" spans="1:11" ht="15">
      <c r="A902" s="13">
        <v>69307</v>
      </c>
      <c r="B902" s="60">
        <f>13.474 * CHOOSE(CONTROL!$C$22, $C$13, 100%, $E$13)</f>
        <v>13.474</v>
      </c>
      <c r="C902" s="60">
        <f>13.474 * CHOOSE(CONTROL!$C$22, $C$13, 100%, $E$13)</f>
        <v>13.474</v>
      </c>
      <c r="D902" s="60">
        <f>13.4917 * CHOOSE(CONTROL!$C$22, $C$13, 100%, $E$13)</f>
        <v>13.4917</v>
      </c>
      <c r="E902" s="61">
        <f>16.2881 * CHOOSE(CONTROL!$C$22, $C$13, 100%, $E$13)</f>
        <v>16.2881</v>
      </c>
      <c r="F902" s="61">
        <f>16.2881 * CHOOSE(CONTROL!$C$22, $C$13, 100%, $E$13)</f>
        <v>16.2881</v>
      </c>
      <c r="G902" s="61">
        <f>16.2882 * CHOOSE(CONTROL!$C$22, $C$13, 100%, $E$13)</f>
        <v>16.2882</v>
      </c>
      <c r="H902" s="61">
        <f>27.629* CHOOSE(CONTROL!$C$22, $C$13, 100%, $E$13)</f>
        <v>27.629000000000001</v>
      </c>
      <c r="I902" s="61">
        <f>27.6291 * CHOOSE(CONTROL!$C$22, $C$13, 100%, $E$13)</f>
        <v>27.629100000000001</v>
      </c>
      <c r="J902" s="61">
        <f>16.2881 * CHOOSE(CONTROL!$C$22, $C$13, 100%, $E$13)</f>
        <v>16.2881</v>
      </c>
      <c r="K902" s="61">
        <f>16.2882 * CHOOSE(CONTROL!$C$22, $C$13, 100%, $E$13)</f>
        <v>16.2882</v>
      </c>
    </row>
    <row r="903" spans="1:11" ht="15">
      <c r="A903" s="13">
        <v>69338</v>
      </c>
      <c r="B903" s="60">
        <f>13.4771 * CHOOSE(CONTROL!$C$22, $C$13, 100%, $E$13)</f>
        <v>13.4771</v>
      </c>
      <c r="C903" s="60">
        <f>13.4771 * CHOOSE(CONTROL!$C$22, $C$13, 100%, $E$13)</f>
        <v>13.4771</v>
      </c>
      <c r="D903" s="60">
        <f>13.4947 * CHOOSE(CONTROL!$C$22, $C$13, 100%, $E$13)</f>
        <v>13.4947</v>
      </c>
      <c r="E903" s="61">
        <f>16.3464 * CHOOSE(CONTROL!$C$22, $C$13, 100%, $E$13)</f>
        <v>16.346399999999999</v>
      </c>
      <c r="F903" s="61">
        <f>16.3464 * CHOOSE(CONTROL!$C$22, $C$13, 100%, $E$13)</f>
        <v>16.346399999999999</v>
      </c>
      <c r="G903" s="61">
        <f>16.3466 * CHOOSE(CONTROL!$C$22, $C$13, 100%, $E$13)</f>
        <v>16.346599999999999</v>
      </c>
      <c r="H903" s="61">
        <f>27.6865* CHOOSE(CONTROL!$C$22, $C$13, 100%, $E$13)</f>
        <v>27.686499999999999</v>
      </c>
      <c r="I903" s="61">
        <f>27.6867 * CHOOSE(CONTROL!$C$22, $C$13, 100%, $E$13)</f>
        <v>27.686699999999998</v>
      </c>
      <c r="J903" s="61">
        <f>16.3464 * CHOOSE(CONTROL!$C$22, $C$13, 100%, $E$13)</f>
        <v>16.346399999999999</v>
      </c>
      <c r="K903" s="61">
        <f>16.3466 * CHOOSE(CONTROL!$C$22, $C$13, 100%, $E$13)</f>
        <v>16.346599999999999</v>
      </c>
    </row>
    <row r="904" spans="1:11" ht="15">
      <c r="A904" s="13">
        <v>69368</v>
      </c>
      <c r="B904" s="60">
        <f>13.4771 * CHOOSE(CONTROL!$C$22, $C$13, 100%, $E$13)</f>
        <v>13.4771</v>
      </c>
      <c r="C904" s="60">
        <f>13.4771 * CHOOSE(CONTROL!$C$22, $C$13, 100%, $E$13)</f>
        <v>13.4771</v>
      </c>
      <c r="D904" s="60">
        <f>13.4947 * CHOOSE(CONTROL!$C$22, $C$13, 100%, $E$13)</f>
        <v>13.4947</v>
      </c>
      <c r="E904" s="61">
        <f>16.2059 * CHOOSE(CONTROL!$C$22, $C$13, 100%, $E$13)</f>
        <v>16.2059</v>
      </c>
      <c r="F904" s="61">
        <f>16.2059 * CHOOSE(CONTROL!$C$22, $C$13, 100%, $E$13)</f>
        <v>16.2059</v>
      </c>
      <c r="G904" s="61">
        <f>16.2061 * CHOOSE(CONTROL!$C$22, $C$13, 100%, $E$13)</f>
        <v>16.206099999999999</v>
      </c>
      <c r="H904" s="61">
        <f>27.7442* CHOOSE(CONTROL!$C$22, $C$13, 100%, $E$13)</f>
        <v>27.744199999999999</v>
      </c>
      <c r="I904" s="61">
        <f>27.7444 * CHOOSE(CONTROL!$C$22, $C$13, 100%, $E$13)</f>
        <v>27.744399999999999</v>
      </c>
      <c r="J904" s="61">
        <f>16.2059 * CHOOSE(CONTROL!$C$22, $C$13, 100%, $E$13)</f>
        <v>16.2059</v>
      </c>
      <c r="K904" s="61">
        <f>16.2061 * CHOOSE(CONTROL!$C$22, $C$13, 100%, $E$13)</f>
        <v>16.206099999999999</v>
      </c>
    </row>
    <row r="905" spans="1:11" ht="15">
      <c r="A905" s="13">
        <v>69399</v>
      </c>
      <c r="B905" s="60">
        <f>13.4462 * CHOOSE(CONTROL!$C$22, $C$13, 100%, $E$13)</f>
        <v>13.446199999999999</v>
      </c>
      <c r="C905" s="60">
        <f>13.4462 * CHOOSE(CONTROL!$C$22, $C$13, 100%, $E$13)</f>
        <v>13.446199999999999</v>
      </c>
      <c r="D905" s="60">
        <f>13.4638 * CHOOSE(CONTROL!$C$22, $C$13, 100%, $E$13)</f>
        <v>13.463800000000001</v>
      </c>
      <c r="E905" s="61">
        <f>16.2622 * CHOOSE(CONTROL!$C$22, $C$13, 100%, $E$13)</f>
        <v>16.2622</v>
      </c>
      <c r="F905" s="61">
        <f>16.2622 * CHOOSE(CONTROL!$C$22, $C$13, 100%, $E$13)</f>
        <v>16.2622</v>
      </c>
      <c r="G905" s="61">
        <f>16.2624 * CHOOSE(CONTROL!$C$22, $C$13, 100%, $E$13)</f>
        <v>16.2624</v>
      </c>
      <c r="H905" s="61">
        <f>27.5177* CHOOSE(CONTROL!$C$22, $C$13, 100%, $E$13)</f>
        <v>27.517700000000001</v>
      </c>
      <c r="I905" s="61">
        <f>27.5179 * CHOOSE(CONTROL!$C$22, $C$13, 100%, $E$13)</f>
        <v>27.517900000000001</v>
      </c>
      <c r="J905" s="61">
        <f>16.2622 * CHOOSE(CONTROL!$C$22, $C$13, 100%, $E$13)</f>
        <v>16.2622</v>
      </c>
      <c r="K905" s="61">
        <f>16.2624 * CHOOSE(CONTROL!$C$22, $C$13, 100%, $E$13)</f>
        <v>16.2624</v>
      </c>
    </row>
    <row r="906" spans="1:11" ht="15">
      <c r="A906" s="13">
        <v>69430</v>
      </c>
      <c r="B906" s="60">
        <f>13.4431 * CHOOSE(CONTROL!$C$22, $C$13, 100%, $E$13)</f>
        <v>13.443099999999999</v>
      </c>
      <c r="C906" s="60">
        <f>13.4431 * CHOOSE(CONTROL!$C$22, $C$13, 100%, $E$13)</f>
        <v>13.443099999999999</v>
      </c>
      <c r="D906" s="60">
        <f>13.4608 * CHOOSE(CONTROL!$C$22, $C$13, 100%, $E$13)</f>
        <v>13.460800000000001</v>
      </c>
      <c r="E906" s="61">
        <f>15.9901 * CHOOSE(CONTROL!$C$22, $C$13, 100%, $E$13)</f>
        <v>15.9901</v>
      </c>
      <c r="F906" s="61">
        <f>15.9901 * CHOOSE(CONTROL!$C$22, $C$13, 100%, $E$13)</f>
        <v>15.9901</v>
      </c>
      <c r="G906" s="61">
        <f>15.9903 * CHOOSE(CONTROL!$C$22, $C$13, 100%, $E$13)</f>
        <v>15.9903</v>
      </c>
      <c r="H906" s="61">
        <f>27.5751* CHOOSE(CONTROL!$C$22, $C$13, 100%, $E$13)</f>
        <v>27.575099999999999</v>
      </c>
      <c r="I906" s="61">
        <f>27.5753 * CHOOSE(CONTROL!$C$22, $C$13, 100%, $E$13)</f>
        <v>27.575299999999999</v>
      </c>
      <c r="J906" s="61">
        <f>15.9901 * CHOOSE(CONTROL!$C$22, $C$13, 100%, $E$13)</f>
        <v>15.9901</v>
      </c>
      <c r="K906" s="61">
        <f>15.9903 * CHOOSE(CONTROL!$C$22, $C$13, 100%, $E$13)</f>
        <v>15.9903</v>
      </c>
    </row>
    <row r="907" spans="1:11" ht="15">
      <c r="A907" s="13">
        <v>69458</v>
      </c>
      <c r="B907" s="60">
        <f>13.4401 * CHOOSE(CONTROL!$C$22, $C$13, 100%, $E$13)</f>
        <v>13.440099999999999</v>
      </c>
      <c r="C907" s="60">
        <f>13.4401 * CHOOSE(CONTROL!$C$22, $C$13, 100%, $E$13)</f>
        <v>13.440099999999999</v>
      </c>
      <c r="D907" s="60">
        <f>13.4577 * CHOOSE(CONTROL!$C$22, $C$13, 100%, $E$13)</f>
        <v>13.457700000000001</v>
      </c>
      <c r="E907" s="61">
        <f>16.2009 * CHOOSE(CONTROL!$C$22, $C$13, 100%, $E$13)</f>
        <v>16.200900000000001</v>
      </c>
      <c r="F907" s="61">
        <f>16.2009 * CHOOSE(CONTROL!$C$22, $C$13, 100%, $E$13)</f>
        <v>16.200900000000001</v>
      </c>
      <c r="G907" s="61">
        <f>16.201 * CHOOSE(CONTROL!$C$22, $C$13, 100%, $E$13)</f>
        <v>16.201000000000001</v>
      </c>
      <c r="H907" s="61">
        <f>27.6325* CHOOSE(CONTROL!$C$22, $C$13, 100%, $E$13)</f>
        <v>27.6325</v>
      </c>
      <c r="I907" s="61">
        <f>27.6327 * CHOOSE(CONTROL!$C$22, $C$13, 100%, $E$13)</f>
        <v>27.6327</v>
      </c>
      <c r="J907" s="61">
        <f>16.2009 * CHOOSE(CONTROL!$C$22, $C$13, 100%, $E$13)</f>
        <v>16.200900000000001</v>
      </c>
      <c r="K907" s="61">
        <f>16.201 * CHOOSE(CONTROL!$C$22, $C$13, 100%, $E$13)</f>
        <v>16.201000000000001</v>
      </c>
    </row>
    <row r="908" spans="1:11" ht="15">
      <c r="A908" s="13">
        <v>69489</v>
      </c>
      <c r="B908" s="60">
        <f>13.447 * CHOOSE(CONTROL!$C$22, $C$13, 100%, $E$13)</f>
        <v>13.446999999999999</v>
      </c>
      <c r="C908" s="60">
        <f>13.447 * CHOOSE(CONTROL!$C$22, $C$13, 100%, $E$13)</f>
        <v>13.446999999999999</v>
      </c>
      <c r="D908" s="60">
        <f>13.4647 * CHOOSE(CONTROL!$C$22, $C$13, 100%, $E$13)</f>
        <v>13.464700000000001</v>
      </c>
      <c r="E908" s="61">
        <f>16.4252 * CHOOSE(CONTROL!$C$22, $C$13, 100%, $E$13)</f>
        <v>16.4252</v>
      </c>
      <c r="F908" s="61">
        <f>16.4252 * CHOOSE(CONTROL!$C$22, $C$13, 100%, $E$13)</f>
        <v>16.4252</v>
      </c>
      <c r="G908" s="61">
        <f>16.4254 * CHOOSE(CONTROL!$C$22, $C$13, 100%, $E$13)</f>
        <v>16.4254</v>
      </c>
      <c r="H908" s="61">
        <f>27.6901* CHOOSE(CONTROL!$C$22, $C$13, 100%, $E$13)</f>
        <v>27.690100000000001</v>
      </c>
      <c r="I908" s="61">
        <f>27.6903 * CHOOSE(CONTROL!$C$22, $C$13, 100%, $E$13)</f>
        <v>27.690300000000001</v>
      </c>
      <c r="J908" s="61">
        <f>16.4252 * CHOOSE(CONTROL!$C$22, $C$13, 100%, $E$13)</f>
        <v>16.4252</v>
      </c>
      <c r="K908" s="61">
        <f>16.4254 * CHOOSE(CONTROL!$C$22, $C$13, 100%, $E$13)</f>
        <v>16.4254</v>
      </c>
    </row>
    <row r="909" spans="1:11" ht="15">
      <c r="A909" s="13">
        <v>69519</v>
      </c>
      <c r="B909" s="60">
        <f>13.447 * CHOOSE(CONTROL!$C$22, $C$13, 100%, $E$13)</f>
        <v>13.446999999999999</v>
      </c>
      <c r="C909" s="60">
        <f>13.447 * CHOOSE(CONTROL!$C$22, $C$13, 100%, $E$13)</f>
        <v>13.446999999999999</v>
      </c>
      <c r="D909" s="60">
        <f>13.4823 * CHOOSE(CONTROL!$C$22, $C$13, 100%, $E$13)</f>
        <v>13.4823</v>
      </c>
      <c r="E909" s="61">
        <f>16.511 * CHOOSE(CONTROL!$C$22, $C$13, 100%, $E$13)</f>
        <v>16.510999999999999</v>
      </c>
      <c r="F909" s="61">
        <f>16.511 * CHOOSE(CONTROL!$C$22, $C$13, 100%, $E$13)</f>
        <v>16.510999999999999</v>
      </c>
      <c r="G909" s="61">
        <f>16.5131 * CHOOSE(CONTROL!$C$22, $C$13, 100%, $E$13)</f>
        <v>16.513100000000001</v>
      </c>
      <c r="H909" s="61">
        <f>27.7478* CHOOSE(CONTROL!$C$22, $C$13, 100%, $E$13)</f>
        <v>27.747800000000002</v>
      </c>
      <c r="I909" s="61">
        <f>27.75 * CHOOSE(CONTROL!$C$22, $C$13, 100%, $E$13)</f>
        <v>27.75</v>
      </c>
      <c r="J909" s="61">
        <f>16.511 * CHOOSE(CONTROL!$C$22, $C$13, 100%, $E$13)</f>
        <v>16.510999999999999</v>
      </c>
      <c r="K909" s="61">
        <f>16.5131 * CHOOSE(CONTROL!$C$22, $C$13, 100%, $E$13)</f>
        <v>16.513100000000001</v>
      </c>
    </row>
    <row r="910" spans="1:11" ht="15">
      <c r="A910" s="13">
        <v>69550</v>
      </c>
      <c r="B910" s="60">
        <f>13.4531 * CHOOSE(CONTROL!$C$22, $C$13, 100%, $E$13)</f>
        <v>13.453099999999999</v>
      </c>
      <c r="C910" s="60">
        <f>13.4531 * CHOOSE(CONTROL!$C$22, $C$13, 100%, $E$13)</f>
        <v>13.453099999999999</v>
      </c>
      <c r="D910" s="60">
        <f>13.4884 * CHOOSE(CONTROL!$C$22, $C$13, 100%, $E$13)</f>
        <v>13.4884</v>
      </c>
      <c r="E910" s="61">
        <f>16.4295 * CHOOSE(CONTROL!$C$22, $C$13, 100%, $E$13)</f>
        <v>16.429500000000001</v>
      </c>
      <c r="F910" s="61">
        <f>16.4295 * CHOOSE(CONTROL!$C$22, $C$13, 100%, $E$13)</f>
        <v>16.429500000000001</v>
      </c>
      <c r="G910" s="61">
        <f>16.4317 * CHOOSE(CONTROL!$C$22, $C$13, 100%, $E$13)</f>
        <v>16.431699999999999</v>
      </c>
      <c r="H910" s="61">
        <f>27.8056* CHOOSE(CONTROL!$C$22, $C$13, 100%, $E$13)</f>
        <v>27.805599999999998</v>
      </c>
      <c r="I910" s="61">
        <f>27.8078 * CHOOSE(CONTROL!$C$22, $C$13, 100%, $E$13)</f>
        <v>27.8078</v>
      </c>
      <c r="J910" s="61">
        <f>16.4295 * CHOOSE(CONTROL!$C$22, $C$13, 100%, $E$13)</f>
        <v>16.429500000000001</v>
      </c>
      <c r="K910" s="61">
        <f>16.4317 * CHOOSE(CONTROL!$C$22, $C$13, 100%, $E$13)</f>
        <v>16.431699999999999</v>
      </c>
    </row>
    <row r="911" spans="1:11" ht="15">
      <c r="A911" s="13">
        <v>69580</v>
      </c>
      <c r="B911" s="60">
        <f>13.6388 * CHOOSE(CONTROL!$C$22, $C$13, 100%, $E$13)</f>
        <v>13.6388</v>
      </c>
      <c r="C911" s="60">
        <f>13.6388 * CHOOSE(CONTROL!$C$22, $C$13, 100%, $E$13)</f>
        <v>13.6388</v>
      </c>
      <c r="D911" s="60">
        <f>13.6741 * CHOOSE(CONTROL!$C$22, $C$13, 100%, $E$13)</f>
        <v>13.674099999999999</v>
      </c>
      <c r="E911" s="61">
        <f>16.7267 * CHOOSE(CONTROL!$C$22, $C$13, 100%, $E$13)</f>
        <v>16.726700000000001</v>
      </c>
      <c r="F911" s="61">
        <f>16.7267 * CHOOSE(CONTROL!$C$22, $C$13, 100%, $E$13)</f>
        <v>16.726700000000001</v>
      </c>
      <c r="G911" s="61">
        <f>16.7289 * CHOOSE(CONTROL!$C$22, $C$13, 100%, $E$13)</f>
        <v>16.728899999999999</v>
      </c>
      <c r="H911" s="61">
        <f>27.8635* CHOOSE(CONTROL!$C$22, $C$13, 100%, $E$13)</f>
        <v>27.863499999999998</v>
      </c>
      <c r="I911" s="61">
        <f>27.8657 * CHOOSE(CONTROL!$C$22, $C$13, 100%, $E$13)</f>
        <v>27.8657</v>
      </c>
      <c r="J911" s="61">
        <f>16.7267 * CHOOSE(CONTROL!$C$22, $C$13, 100%, $E$13)</f>
        <v>16.726700000000001</v>
      </c>
      <c r="K911" s="61">
        <f>16.7289 * CHOOSE(CONTROL!$C$22, $C$13, 100%, $E$13)</f>
        <v>16.728899999999999</v>
      </c>
    </row>
    <row r="912" spans="1:11" ht="15">
      <c r="A912" s="13">
        <v>69611</v>
      </c>
      <c r="B912" s="60">
        <f>13.6455 * CHOOSE(CONTROL!$C$22, $C$13, 100%, $E$13)</f>
        <v>13.6455</v>
      </c>
      <c r="C912" s="60">
        <f>13.6455 * CHOOSE(CONTROL!$C$22, $C$13, 100%, $E$13)</f>
        <v>13.6455</v>
      </c>
      <c r="D912" s="60">
        <f>13.6808 * CHOOSE(CONTROL!$C$22, $C$13, 100%, $E$13)</f>
        <v>13.6808</v>
      </c>
      <c r="E912" s="61">
        <f>16.4741 * CHOOSE(CONTROL!$C$22, $C$13, 100%, $E$13)</f>
        <v>16.4741</v>
      </c>
      <c r="F912" s="61">
        <f>16.4741 * CHOOSE(CONTROL!$C$22, $C$13, 100%, $E$13)</f>
        <v>16.4741</v>
      </c>
      <c r="G912" s="61">
        <f>16.4763 * CHOOSE(CONTROL!$C$22, $C$13, 100%, $E$13)</f>
        <v>16.476299999999998</v>
      </c>
      <c r="H912" s="61">
        <f>27.9216* CHOOSE(CONTROL!$C$22, $C$13, 100%, $E$13)</f>
        <v>27.921600000000002</v>
      </c>
      <c r="I912" s="61">
        <f>27.9237 * CHOOSE(CONTROL!$C$22, $C$13, 100%, $E$13)</f>
        <v>27.9237</v>
      </c>
      <c r="J912" s="61">
        <f>16.4741 * CHOOSE(CONTROL!$C$22, $C$13, 100%, $E$13)</f>
        <v>16.4741</v>
      </c>
      <c r="K912" s="61">
        <f>16.4763 * CHOOSE(CONTROL!$C$22, $C$13, 100%, $E$13)</f>
        <v>16.476299999999998</v>
      </c>
    </row>
    <row r="913" spans="1:11" ht="15">
      <c r="A913" s="13">
        <v>69642</v>
      </c>
      <c r="B913" s="60">
        <f>13.6424 * CHOOSE(CONTROL!$C$22, $C$13, 100%, $E$13)</f>
        <v>13.6424</v>
      </c>
      <c r="C913" s="60">
        <f>13.6424 * CHOOSE(CONTROL!$C$22, $C$13, 100%, $E$13)</f>
        <v>13.6424</v>
      </c>
      <c r="D913" s="60">
        <f>13.6777 * CHOOSE(CONTROL!$C$22, $C$13, 100%, $E$13)</f>
        <v>13.6777</v>
      </c>
      <c r="E913" s="61">
        <f>16.4434 * CHOOSE(CONTROL!$C$22, $C$13, 100%, $E$13)</f>
        <v>16.4434</v>
      </c>
      <c r="F913" s="61">
        <f>16.4434 * CHOOSE(CONTROL!$C$22, $C$13, 100%, $E$13)</f>
        <v>16.4434</v>
      </c>
      <c r="G913" s="61">
        <f>16.4456 * CHOOSE(CONTROL!$C$22, $C$13, 100%, $E$13)</f>
        <v>16.445599999999999</v>
      </c>
      <c r="H913" s="61">
        <f>27.9797* CHOOSE(CONTROL!$C$22, $C$13, 100%, $E$13)</f>
        <v>27.979700000000001</v>
      </c>
      <c r="I913" s="61">
        <f>27.9819 * CHOOSE(CONTROL!$C$22, $C$13, 100%, $E$13)</f>
        <v>27.9819</v>
      </c>
      <c r="J913" s="61">
        <f>16.4434 * CHOOSE(CONTROL!$C$22, $C$13, 100%, $E$13)</f>
        <v>16.4434</v>
      </c>
      <c r="K913" s="61">
        <f>16.4456 * CHOOSE(CONTROL!$C$22, $C$13, 100%, $E$13)</f>
        <v>16.445599999999999</v>
      </c>
    </row>
    <row r="914" spans="1:11" ht="15">
      <c r="A914" s="13">
        <v>69672</v>
      </c>
      <c r="B914" s="60">
        <f>13.6741 * CHOOSE(CONTROL!$C$22, $C$13, 100%, $E$13)</f>
        <v>13.674099999999999</v>
      </c>
      <c r="C914" s="60">
        <f>13.6741 * CHOOSE(CONTROL!$C$22, $C$13, 100%, $E$13)</f>
        <v>13.674099999999999</v>
      </c>
      <c r="D914" s="60">
        <f>13.6918 * CHOOSE(CONTROL!$C$22, $C$13, 100%, $E$13)</f>
        <v>13.691800000000001</v>
      </c>
      <c r="E914" s="61">
        <f>16.5443 * CHOOSE(CONTROL!$C$22, $C$13, 100%, $E$13)</f>
        <v>16.5443</v>
      </c>
      <c r="F914" s="61">
        <f>16.5443 * CHOOSE(CONTROL!$C$22, $C$13, 100%, $E$13)</f>
        <v>16.5443</v>
      </c>
      <c r="G914" s="61">
        <f>16.5445 * CHOOSE(CONTROL!$C$22, $C$13, 100%, $E$13)</f>
        <v>16.544499999999999</v>
      </c>
      <c r="H914" s="61">
        <f>28.038* CHOOSE(CONTROL!$C$22, $C$13, 100%, $E$13)</f>
        <v>28.038</v>
      </c>
      <c r="I914" s="61">
        <f>28.0382 * CHOOSE(CONTROL!$C$22, $C$13, 100%, $E$13)</f>
        <v>28.0382</v>
      </c>
      <c r="J914" s="61">
        <f>16.5443 * CHOOSE(CONTROL!$C$22, $C$13, 100%, $E$13)</f>
        <v>16.5443</v>
      </c>
      <c r="K914" s="61">
        <f>16.5445 * CHOOSE(CONTROL!$C$22, $C$13, 100%, $E$13)</f>
        <v>16.544499999999999</v>
      </c>
    </row>
    <row r="915" spans="1:11" ht="15">
      <c r="A915" s="13">
        <v>69703</v>
      </c>
      <c r="B915" s="60">
        <f>13.6772 * CHOOSE(CONTROL!$C$22, $C$13, 100%, $E$13)</f>
        <v>13.677199999999999</v>
      </c>
      <c r="C915" s="60">
        <f>13.6772 * CHOOSE(CONTROL!$C$22, $C$13, 100%, $E$13)</f>
        <v>13.677199999999999</v>
      </c>
      <c r="D915" s="60">
        <f>13.6948 * CHOOSE(CONTROL!$C$22, $C$13, 100%, $E$13)</f>
        <v>13.694800000000001</v>
      </c>
      <c r="E915" s="61">
        <f>16.6036 * CHOOSE(CONTROL!$C$22, $C$13, 100%, $E$13)</f>
        <v>16.6036</v>
      </c>
      <c r="F915" s="61">
        <f>16.6036 * CHOOSE(CONTROL!$C$22, $C$13, 100%, $E$13)</f>
        <v>16.6036</v>
      </c>
      <c r="G915" s="61">
        <f>16.6038 * CHOOSE(CONTROL!$C$22, $C$13, 100%, $E$13)</f>
        <v>16.6038</v>
      </c>
      <c r="H915" s="61">
        <f>28.0964* CHOOSE(CONTROL!$C$22, $C$13, 100%, $E$13)</f>
        <v>28.096399999999999</v>
      </c>
      <c r="I915" s="61">
        <f>28.0966 * CHOOSE(CONTROL!$C$22, $C$13, 100%, $E$13)</f>
        <v>28.096599999999999</v>
      </c>
      <c r="J915" s="61">
        <f>16.6036 * CHOOSE(CONTROL!$C$22, $C$13, 100%, $E$13)</f>
        <v>16.6036</v>
      </c>
      <c r="K915" s="61">
        <f>16.6038 * CHOOSE(CONTROL!$C$22, $C$13, 100%, $E$13)</f>
        <v>16.6038</v>
      </c>
    </row>
    <row r="916" spans="1:11" ht="15">
      <c r="A916" s="13">
        <v>69733</v>
      </c>
      <c r="B916" s="60">
        <f>13.6772 * CHOOSE(CONTROL!$C$22, $C$13, 100%, $E$13)</f>
        <v>13.677199999999999</v>
      </c>
      <c r="C916" s="60">
        <f>13.6772 * CHOOSE(CONTROL!$C$22, $C$13, 100%, $E$13)</f>
        <v>13.677199999999999</v>
      </c>
      <c r="D916" s="60">
        <f>13.6948 * CHOOSE(CONTROL!$C$22, $C$13, 100%, $E$13)</f>
        <v>13.694800000000001</v>
      </c>
      <c r="E916" s="61">
        <f>16.4607 * CHOOSE(CONTROL!$C$22, $C$13, 100%, $E$13)</f>
        <v>16.460699999999999</v>
      </c>
      <c r="F916" s="61">
        <f>16.4607 * CHOOSE(CONTROL!$C$22, $C$13, 100%, $E$13)</f>
        <v>16.460699999999999</v>
      </c>
      <c r="G916" s="61">
        <f>16.4609 * CHOOSE(CONTROL!$C$22, $C$13, 100%, $E$13)</f>
        <v>16.460899999999999</v>
      </c>
      <c r="H916" s="61">
        <f>28.155* CHOOSE(CONTROL!$C$22, $C$13, 100%, $E$13)</f>
        <v>28.155000000000001</v>
      </c>
      <c r="I916" s="61">
        <f>28.1551 * CHOOSE(CONTROL!$C$22, $C$13, 100%, $E$13)</f>
        <v>28.155100000000001</v>
      </c>
      <c r="J916" s="61">
        <f>16.4607 * CHOOSE(CONTROL!$C$22, $C$13, 100%, $E$13)</f>
        <v>16.460699999999999</v>
      </c>
      <c r="K916" s="61">
        <f>16.4609 * CHOOSE(CONTROL!$C$22, $C$13, 100%, $E$13)</f>
        <v>16.460899999999999</v>
      </c>
    </row>
    <row r="917" spans="1:11" ht="15">
      <c r="A917" s="13">
        <v>69764</v>
      </c>
      <c r="B917" s="60">
        <f>13.6428 * CHOOSE(CONTROL!$C$22, $C$13, 100%, $E$13)</f>
        <v>13.642799999999999</v>
      </c>
      <c r="C917" s="60">
        <f>13.6428 * CHOOSE(CONTROL!$C$22, $C$13, 100%, $E$13)</f>
        <v>13.642799999999999</v>
      </c>
      <c r="D917" s="60">
        <f>13.6604 * CHOOSE(CONTROL!$C$22, $C$13, 100%, $E$13)</f>
        <v>13.660399999999999</v>
      </c>
      <c r="E917" s="61">
        <f>16.5141 * CHOOSE(CONTROL!$C$22, $C$13, 100%, $E$13)</f>
        <v>16.514099999999999</v>
      </c>
      <c r="F917" s="61">
        <f>16.5141 * CHOOSE(CONTROL!$C$22, $C$13, 100%, $E$13)</f>
        <v>16.514099999999999</v>
      </c>
      <c r="G917" s="61">
        <f>16.5143 * CHOOSE(CONTROL!$C$22, $C$13, 100%, $E$13)</f>
        <v>16.514299999999999</v>
      </c>
      <c r="H917" s="61">
        <f>27.9192* CHOOSE(CONTROL!$C$22, $C$13, 100%, $E$13)</f>
        <v>27.9192</v>
      </c>
      <c r="I917" s="61">
        <f>27.9194 * CHOOSE(CONTROL!$C$22, $C$13, 100%, $E$13)</f>
        <v>27.9194</v>
      </c>
      <c r="J917" s="61">
        <f>16.5141 * CHOOSE(CONTROL!$C$22, $C$13, 100%, $E$13)</f>
        <v>16.514099999999999</v>
      </c>
      <c r="K917" s="61">
        <f>16.5143 * CHOOSE(CONTROL!$C$22, $C$13, 100%, $E$13)</f>
        <v>16.514299999999999</v>
      </c>
    </row>
    <row r="918" spans="1:11" ht="15">
      <c r="A918" s="13">
        <v>69795</v>
      </c>
      <c r="B918" s="60">
        <f>13.6397 * CHOOSE(CONTROL!$C$22, $C$13, 100%, $E$13)</f>
        <v>13.639699999999999</v>
      </c>
      <c r="C918" s="60">
        <f>13.6397 * CHOOSE(CONTROL!$C$22, $C$13, 100%, $E$13)</f>
        <v>13.639699999999999</v>
      </c>
      <c r="D918" s="60">
        <f>13.6574 * CHOOSE(CONTROL!$C$22, $C$13, 100%, $E$13)</f>
        <v>13.657400000000001</v>
      </c>
      <c r="E918" s="61">
        <f>16.2375 * CHOOSE(CONTROL!$C$22, $C$13, 100%, $E$13)</f>
        <v>16.237500000000001</v>
      </c>
      <c r="F918" s="61">
        <f>16.2375 * CHOOSE(CONTROL!$C$22, $C$13, 100%, $E$13)</f>
        <v>16.237500000000001</v>
      </c>
      <c r="G918" s="61">
        <f>16.2376 * CHOOSE(CONTROL!$C$22, $C$13, 100%, $E$13)</f>
        <v>16.2376</v>
      </c>
      <c r="H918" s="61">
        <f>27.9774* CHOOSE(CONTROL!$C$22, $C$13, 100%, $E$13)</f>
        <v>27.977399999999999</v>
      </c>
      <c r="I918" s="61">
        <f>27.9775 * CHOOSE(CONTROL!$C$22, $C$13, 100%, $E$13)</f>
        <v>27.977499999999999</v>
      </c>
      <c r="J918" s="61">
        <f>16.2375 * CHOOSE(CONTROL!$C$22, $C$13, 100%, $E$13)</f>
        <v>16.237500000000001</v>
      </c>
      <c r="K918" s="61">
        <f>16.2376 * CHOOSE(CONTROL!$C$22, $C$13, 100%, $E$13)</f>
        <v>16.2376</v>
      </c>
    </row>
    <row r="919" spans="1:11" ht="15">
      <c r="A919" s="13">
        <v>69823</v>
      </c>
      <c r="B919" s="60">
        <f>13.6367 * CHOOSE(CONTROL!$C$22, $C$13, 100%, $E$13)</f>
        <v>13.636699999999999</v>
      </c>
      <c r="C919" s="60">
        <f>13.6367 * CHOOSE(CONTROL!$C$22, $C$13, 100%, $E$13)</f>
        <v>13.636699999999999</v>
      </c>
      <c r="D919" s="60">
        <f>13.6543 * CHOOSE(CONTROL!$C$22, $C$13, 100%, $E$13)</f>
        <v>13.654299999999999</v>
      </c>
      <c r="E919" s="61">
        <f>16.4517 * CHOOSE(CONTROL!$C$22, $C$13, 100%, $E$13)</f>
        <v>16.451699999999999</v>
      </c>
      <c r="F919" s="61">
        <f>16.4517 * CHOOSE(CONTROL!$C$22, $C$13, 100%, $E$13)</f>
        <v>16.451699999999999</v>
      </c>
      <c r="G919" s="61">
        <f>16.4519 * CHOOSE(CONTROL!$C$22, $C$13, 100%, $E$13)</f>
        <v>16.451899999999998</v>
      </c>
      <c r="H919" s="61">
        <f>28.0357* CHOOSE(CONTROL!$C$22, $C$13, 100%, $E$13)</f>
        <v>28.035699999999999</v>
      </c>
      <c r="I919" s="61">
        <f>28.0358 * CHOOSE(CONTROL!$C$22, $C$13, 100%, $E$13)</f>
        <v>28.035799999999998</v>
      </c>
      <c r="J919" s="61">
        <f>16.4517 * CHOOSE(CONTROL!$C$22, $C$13, 100%, $E$13)</f>
        <v>16.451699999999999</v>
      </c>
      <c r="K919" s="61">
        <f>16.4519 * CHOOSE(CONTROL!$C$22, $C$13, 100%, $E$13)</f>
        <v>16.451899999999998</v>
      </c>
    </row>
    <row r="920" spans="1:11" ht="15">
      <c r="A920" s="13">
        <v>69854</v>
      </c>
      <c r="B920" s="60">
        <f>13.6438 * CHOOSE(CONTROL!$C$22, $C$13, 100%, $E$13)</f>
        <v>13.643800000000001</v>
      </c>
      <c r="C920" s="60">
        <f>13.6438 * CHOOSE(CONTROL!$C$22, $C$13, 100%, $E$13)</f>
        <v>13.643800000000001</v>
      </c>
      <c r="D920" s="60">
        <f>13.6615 * CHOOSE(CONTROL!$C$22, $C$13, 100%, $E$13)</f>
        <v>13.6615</v>
      </c>
      <c r="E920" s="61">
        <f>16.6799 * CHOOSE(CONTROL!$C$22, $C$13, 100%, $E$13)</f>
        <v>16.6799</v>
      </c>
      <c r="F920" s="61">
        <f>16.6799 * CHOOSE(CONTROL!$C$22, $C$13, 100%, $E$13)</f>
        <v>16.6799</v>
      </c>
      <c r="G920" s="61">
        <f>16.6801 * CHOOSE(CONTROL!$C$22, $C$13, 100%, $E$13)</f>
        <v>16.680099999999999</v>
      </c>
      <c r="H920" s="61">
        <f>28.0941* CHOOSE(CONTROL!$C$22, $C$13, 100%, $E$13)</f>
        <v>28.094100000000001</v>
      </c>
      <c r="I920" s="61">
        <f>28.0942 * CHOOSE(CONTROL!$C$22, $C$13, 100%, $E$13)</f>
        <v>28.094200000000001</v>
      </c>
      <c r="J920" s="61">
        <f>16.6799 * CHOOSE(CONTROL!$C$22, $C$13, 100%, $E$13)</f>
        <v>16.6799</v>
      </c>
      <c r="K920" s="61">
        <f>16.6801 * CHOOSE(CONTROL!$C$22, $C$13, 100%, $E$13)</f>
        <v>16.680099999999999</v>
      </c>
    </row>
    <row r="921" spans="1:11" ht="15">
      <c r="A921" s="13">
        <v>69884</v>
      </c>
      <c r="B921" s="60">
        <f>13.6438 * CHOOSE(CONTROL!$C$22, $C$13, 100%, $E$13)</f>
        <v>13.643800000000001</v>
      </c>
      <c r="C921" s="60">
        <f>13.6438 * CHOOSE(CONTROL!$C$22, $C$13, 100%, $E$13)</f>
        <v>13.643800000000001</v>
      </c>
      <c r="D921" s="60">
        <f>13.6792 * CHOOSE(CONTROL!$C$22, $C$13, 100%, $E$13)</f>
        <v>13.6792</v>
      </c>
      <c r="E921" s="61">
        <f>16.7671 * CHOOSE(CONTROL!$C$22, $C$13, 100%, $E$13)</f>
        <v>16.767099999999999</v>
      </c>
      <c r="F921" s="61">
        <f>16.7671 * CHOOSE(CONTROL!$C$22, $C$13, 100%, $E$13)</f>
        <v>16.767099999999999</v>
      </c>
      <c r="G921" s="61">
        <f>16.7692 * CHOOSE(CONTROL!$C$22, $C$13, 100%, $E$13)</f>
        <v>16.769200000000001</v>
      </c>
      <c r="H921" s="61">
        <f>28.1526* CHOOSE(CONTROL!$C$22, $C$13, 100%, $E$13)</f>
        <v>28.1526</v>
      </c>
      <c r="I921" s="61">
        <f>28.1548 * CHOOSE(CONTROL!$C$22, $C$13, 100%, $E$13)</f>
        <v>28.154800000000002</v>
      </c>
      <c r="J921" s="61">
        <f>16.7671 * CHOOSE(CONTROL!$C$22, $C$13, 100%, $E$13)</f>
        <v>16.767099999999999</v>
      </c>
      <c r="K921" s="61">
        <f>16.7692 * CHOOSE(CONTROL!$C$22, $C$13, 100%, $E$13)</f>
        <v>16.769200000000001</v>
      </c>
    </row>
    <row r="922" spans="1:11" ht="15">
      <c r="A922" s="13">
        <v>69915</v>
      </c>
      <c r="B922" s="60">
        <f>13.6499 * CHOOSE(CONTROL!$C$22, $C$13, 100%, $E$13)</f>
        <v>13.649900000000001</v>
      </c>
      <c r="C922" s="60">
        <f>13.6499 * CHOOSE(CONTROL!$C$22, $C$13, 100%, $E$13)</f>
        <v>13.649900000000001</v>
      </c>
      <c r="D922" s="60">
        <f>13.6852 * CHOOSE(CONTROL!$C$22, $C$13, 100%, $E$13)</f>
        <v>13.6852</v>
      </c>
      <c r="E922" s="61">
        <f>16.6841 * CHOOSE(CONTROL!$C$22, $C$13, 100%, $E$13)</f>
        <v>16.684100000000001</v>
      </c>
      <c r="F922" s="61">
        <f>16.6841 * CHOOSE(CONTROL!$C$22, $C$13, 100%, $E$13)</f>
        <v>16.684100000000001</v>
      </c>
      <c r="G922" s="61">
        <f>16.6863 * CHOOSE(CONTROL!$C$22, $C$13, 100%, $E$13)</f>
        <v>16.686299999999999</v>
      </c>
      <c r="H922" s="61">
        <f>28.2112* CHOOSE(CONTROL!$C$22, $C$13, 100%, $E$13)</f>
        <v>28.211200000000002</v>
      </c>
      <c r="I922" s="61">
        <f>28.2134 * CHOOSE(CONTROL!$C$22, $C$13, 100%, $E$13)</f>
        <v>28.2134</v>
      </c>
      <c r="J922" s="61">
        <f>16.6841 * CHOOSE(CONTROL!$C$22, $C$13, 100%, $E$13)</f>
        <v>16.684100000000001</v>
      </c>
      <c r="K922" s="61">
        <f>16.6863 * CHOOSE(CONTROL!$C$22, $C$13, 100%, $E$13)</f>
        <v>16.686299999999999</v>
      </c>
    </row>
    <row r="923" spans="1:11" ht="15">
      <c r="A923" s="13">
        <v>69945</v>
      </c>
      <c r="B923" s="60">
        <f>13.8381 * CHOOSE(CONTROL!$C$22, $C$13, 100%, $E$13)</f>
        <v>13.838100000000001</v>
      </c>
      <c r="C923" s="60">
        <f>13.8381 * CHOOSE(CONTROL!$C$22, $C$13, 100%, $E$13)</f>
        <v>13.838100000000001</v>
      </c>
      <c r="D923" s="60">
        <f>13.8734 * CHOOSE(CONTROL!$C$22, $C$13, 100%, $E$13)</f>
        <v>13.8734</v>
      </c>
      <c r="E923" s="61">
        <f>16.9858 * CHOOSE(CONTROL!$C$22, $C$13, 100%, $E$13)</f>
        <v>16.985800000000001</v>
      </c>
      <c r="F923" s="61">
        <f>16.9858 * CHOOSE(CONTROL!$C$22, $C$13, 100%, $E$13)</f>
        <v>16.985800000000001</v>
      </c>
      <c r="G923" s="61">
        <f>16.988 * CHOOSE(CONTROL!$C$22, $C$13, 100%, $E$13)</f>
        <v>16.988</v>
      </c>
      <c r="H923" s="61">
        <f>28.27* CHOOSE(CONTROL!$C$22, $C$13, 100%, $E$13)</f>
        <v>28.27</v>
      </c>
      <c r="I923" s="61">
        <f>28.2722 * CHOOSE(CONTROL!$C$22, $C$13, 100%, $E$13)</f>
        <v>28.272200000000002</v>
      </c>
      <c r="J923" s="61">
        <f>16.9858 * CHOOSE(CONTROL!$C$22, $C$13, 100%, $E$13)</f>
        <v>16.985800000000001</v>
      </c>
      <c r="K923" s="61">
        <f>16.988 * CHOOSE(CONTROL!$C$22, $C$13, 100%, $E$13)</f>
        <v>16.988</v>
      </c>
    </row>
    <row r="924" spans="1:11" ht="15">
      <c r="A924" s="13">
        <v>69976</v>
      </c>
      <c r="B924" s="60">
        <f>13.8448 * CHOOSE(CONTROL!$C$22, $C$13, 100%, $E$13)</f>
        <v>13.844799999999999</v>
      </c>
      <c r="C924" s="60">
        <f>13.8448 * CHOOSE(CONTROL!$C$22, $C$13, 100%, $E$13)</f>
        <v>13.844799999999999</v>
      </c>
      <c r="D924" s="60">
        <f>13.8801 * CHOOSE(CONTROL!$C$22, $C$13, 100%, $E$13)</f>
        <v>13.880100000000001</v>
      </c>
      <c r="E924" s="61">
        <f>16.729 * CHOOSE(CONTROL!$C$22, $C$13, 100%, $E$13)</f>
        <v>16.728999999999999</v>
      </c>
      <c r="F924" s="61">
        <f>16.729 * CHOOSE(CONTROL!$C$22, $C$13, 100%, $E$13)</f>
        <v>16.728999999999999</v>
      </c>
      <c r="G924" s="61">
        <f>16.7312 * CHOOSE(CONTROL!$C$22, $C$13, 100%, $E$13)</f>
        <v>16.731200000000001</v>
      </c>
      <c r="H924" s="61">
        <f>28.3289* CHOOSE(CONTROL!$C$22, $C$13, 100%, $E$13)</f>
        <v>28.328900000000001</v>
      </c>
      <c r="I924" s="61">
        <f>28.3311 * CHOOSE(CONTROL!$C$22, $C$13, 100%, $E$13)</f>
        <v>28.331099999999999</v>
      </c>
      <c r="J924" s="61">
        <f>16.729 * CHOOSE(CONTROL!$C$22, $C$13, 100%, $E$13)</f>
        <v>16.728999999999999</v>
      </c>
      <c r="K924" s="61">
        <f>16.7312 * CHOOSE(CONTROL!$C$22, $C$13, 100%, $E$13)</f>
        <v>16.731200000000001</v>
      </c>
    </row>
    <row r="925" spans="1:11" ht="15">
      <c r="A925" s="13">
        <v>70007</v>
      </c>
      <c r="B925" s="60">
        <f>13.8417 * CHOOSE(CONTROL!$C$22, $C$13, 100%, $E$13)</f>
        <v>13.841699999999999</v>
      </c>
      <c r="C925" s="60">
        <f>13.8417 * CHOOSE(CONTROL!$C$22, $C$13, 100%, $E$13)</f>
        <v>13.841699999999999</v>
      </c>
      <c r="D925" s="60">
        <f>13.8771 * CHOOSE(CONTROL!$C$22, $C$13, 100%, $E$13)</f>
        <v>13.8771</v>
      </c>
      <c r="E925" s="61">
        <f>16.6978 * CHOOSE(CONTROL!$C$22, $C$13, 100%, $E$13)</f>
        <v>16.697800000000001</v>
      </c>
      <c r="F925" s="61">
        <f>16.6978 * CHOOSE(CONTROL!$C$22, $C$13, 100%, $E$13)</f>
        <v>16.697800000000001</v>
      </c>
      <c r="G925" s="61">
        <f>16.7 * CHOOSE(CONTROL!$C$22, $C$13, 100%, $E$13)</f>
        <v>16.7</v>
      </c>
      <c r="H925" s="61">
        <f>28.3879* CHOOSE(CONTROL!$C$22, $C$13, 100%, $E$13)</f>
        <v>28.387899999999998</v>
      </c>
      <c r="I925" s="61">
        <f>28.3901 * CHOOSE(CONTROL!$C$22, $C$13, 100%, $E$13)</f>
        <v>28.3901</v>
      </c>
      <c r="J925" s="61">
        <f>16.6978 * CHOOSE(CONTROL!$C$22, $C$13, 100%, $E$13)</f>
        <v>16.697800000000001</v>
      </c>
      <c r="K925" s="61">
        <f>16.7 * CHOOSE(CONTROL!$C$22, $C$13, 100%, $E$13)</f>
        <v>16.7</v>
      </c>
    </row>
    <row r="926" spans="1:11" ht="15">
      <c r="A926" s="13">
        <v>70037</v>
      </c>
      <c r="B926" s="60">
        <f>13.8742 * CHOOSE(CONTROL!$C$22, $C$13, 100%, $E$13)</f>
        <v>13.8742</v>
      </c>
      <c r="C926" s="60">
        <f>13.8742 * CHOOSE(CONTROL!$C$22, $C$13, 100%, $E$13)</f>
        <v>13.8742</v>
      </c>
      <c r="D926" s="60">
        <f>13.8918 * CHOOSE(CONTROL!$C$22, $C$13, 100%, $E$13)</f>
        <v>13.8918</v>
      </c>
      <c r="E926" s="61">
        <f>16.8006 * CHOOSE(CONTROL!$C$22, $C$13, 100%, $E$13)</f>
        <v>16.800599999999999</v>
      </c>
      <c r="F926" s="61">
        <f>16.8006 * CHOOSE(CONTROL!$C$22, $C$13, 100%, $E$13)</f>
        <v>16.800599999999999</v>
      </c>
      <c r="G926" s="61">
        <f>16.8008 * CHOOSE(CONTROL!$C$22, $C$13, 100%, $E$13)</f>
        <v>16.800799999999999</v>
      </c>
      <c r="H926" s="61">
        <f>28.4471* CHOOSE(CONTROL!$C$22, $C$13, 100%, $E$13)</f>
        <v>28.447099999999999</v>
      </c>
      <c r="I926" s="61">
        <f>28.4473 * CHOOSE(CONTROL!$C$22, $C$13, 100%, $E$13)</f>
        <v>28.447299999999998</v>
      </c>
      <c r="J926" s="61">
        <f>16.8006 * CHOOSE(CONTROL!$C$22, $C$13, 100%, $E$13)</f>
        <v>16.800599999999999</v>
      </c>
      <c r="K926" s="61">
        <f>16.8008 * CHOOSE(CONTROL!$C$22, $C$13, 100%, $E$13)</f>
        <v>16.800799999999999</v>
      </c>
    </row>
    <row r="927" spans="1:11" ht="15">
      <c r="A927" s="13">
        <v>70068</v>
      </c>
      <c r="B927" s="60">
        <f>13.8772 * CHOOSE(CONTROL!$C$22, $C$13, 100%, $E$13)</f>
        <v>13.8772</v>
      </c>
      <c r="C927" s="60">
        <f>13.8772 * CHOOSE(CONTROL!$C$22, $C$13, 100%, $E$13)</f>
        <v>13.8772</v>
      </c>
      <c r="D927" s="60">
        <f>13.8949 * CHOOSE(CONTROL!$C$22, $C$13, 100%, $E$13)</f>
        <v>13.8949</v>
      </c>
      <c r="E927" s="61">
        <f>16.8608 * CHOOSE(CONTROL!$C$22, $C$13, 100%, $E$13)</f>
        <v>16.860800000000001</v>
      </c>
      <c r="F927" s="61">
        <f>16.8608 * CHOOSE(CONTROL!$C$22, $C$13, 100%, $E$13)</f>
        <v>16.860800000000001</v>
      </c>
      <c r="G927" s="61">
        <f>16.861 * CHOOSE(CONTROL!$C$22, $C$13, 100%, $E$13)</f>
        <v>16.861000000000001</v>
      </c>
      <c r="H927" s="61">
        <f>28.5063* CHOOSE(CONTROL!$C$22, $C$13, 100%, $E$13)</f>
        <v>28.5063</v>
      </c>
      <c r="I927" s="61">
        <f>28.5065 * CHOOSE(CONTROL!$C$22, $C$13, 100%, $E$13)</f>
        <v>28.506499999999999</v>
      </c>
      <c r="J927" s="61">
        <f>16.8608 * CHOOSE(CONTROL!$C$22, $C$13, 100%, $E$13)</f>
        <v>16.860800000000001</v>
      </c>
      <c r="K927" s="61">
        <f>16.861 * CHOOSE(CONTROL!$C$22, $C$13, 100%, $E$13)</f>
        <v>16.861000000000001</v>
      </c>
    </row>
    <row r="928" spans="1:11" ht="15">
      <c r="A928" s="13">
        <v>70098</v>
      </c>
      <c r="B928" s="60">
        <f>13.8772 * CHOOSE(CONTROL!$C$22, $C$13, 100%, $E$13)</f>
        <v>13.8772</v>
      </c>
      <c r="C928" s="60">
        <f>13.8772 * CHOOSE(CONTROL!$C$22, $C$13, 100%, $E$13)</f>
        <v>13.8772</v>
      </c>
      <c r="D928" s="60">
        <f>13.8949 * CHOOSE(CONTROL!$C$22, $C$13, 100%, $E$13)</f>
        <v>13.8949</v>
      </c>
      <c r="E928" s="61">
        <f>16.7156 * CHOOSE(CONTROL!$C$22, $C$13, 100%, $E$13)</f>
        <v>16.715599999999998</v>
      </c>
      <c r="F928" s="61">
        <f>16.7156 * CHOOSE(CONTROL!$C$22, $C$13, 100%, $E$13)</f>
        <v>16.715599999999998</v>
      </c>
      <c r="G928" s="61">
        <f>16.7157 * CHOOSE(CONTROL!$C$22, $C$13, 100%, $E$13)</f>
        <v>16.715699999999998</v>
      </c>
      <c r="H928" s="61">
        <f>28.5657* CHOOSE(CONTROL!$C$22, $C$13, 100%, $E$13)</f>
        <v>28.5657</v>
      </c>
      <c r="I928" s="61">
        <f>28.5659 * CHOOSE(CONTROL!$C$22, $C$13, 100%, $E$13)</f>
        <v>28.565899999999999</v>
      </c>
      <c r="J928" s="61">
        <f>16.7156 * CHOOSE(CONTROL!$C$22, $C$13, 100%, $E$13)</f>
        <v>16.715599999999998</v>
      </c>
      <c r="K928" s="61">
        <f>16.7157 * CHOOSE(CONTROL!$C$22, $C$13, 100%, $E$13)</f>
        <v>16.715699999999998</v>
      </c>
    </row>
    <row r="929" spans="1:11" ht="15">
      <c r="A929" s="13">
        <v>70129</v>
      </c>
      <c r="B929" s="60">
        <f>13.8394 * CHOOSE(CONTROL!$C$22, $C$13, 100%, $E$13)</f>
        <v>13.839399999999999</v>
      </c>
      <c r="C929" s="60">
        <f>13.8394 * CHOOSE(CONTROL!$C$22, $C$13, 100%, $E$13)</f>
        <v>13.839399999999999</v>
      </c>
      <c r="D929" s="60">
        <f>13.857 * CHOOSE(CONTROL!$C$22, $C$13, 100%, $E$13)</f>
        <v>13.856999999999999</v>
      </c>
      <c r="E929" s="61">
        <f>16.7659 * CHOOSE(CONTROL!$C$22, $C$13, 100%, $E$13)</f>
        <v>16.765899999999998</v>
      </c>
      <c r="F929" s="61">
        <f>16.7659 * CHOOSE(CONTROL!$C$22, $C$13, 100%, $E$13)</f>
        <v>16.765899999999998</v>
      </c>
      <c r="G929" s="61">
        <f>16.7661 * CHOOSE(CONTROL!$C$22, $C$13, 100%, $E$13)</f>
        <v>16.766100000000002</v>
      </c>
      <c r="H929" s="61">
        <f>28.3207* CHOOSE(CONTROL!$C$22, $C$13, 100%, $E$13)</f>
        <v>28.320699999999999</v>
      </c>
      <c r="I929" s="61">
        <f>28.3208 * CHOOSE(CONTROL!$C$22, $C$13, 100%, $E$13)</f>
        <v>28.320799999999998</v>
      </c>
      <c r="J929" s="61">
        <f>16.7659 * CHOOSE(CONTROL!$C$22, $C$13, 100%, $E$13)</f>
        <v>16.765899999999998</v>
      </c>
      <c r="K929" s="61">
        <f>16.7661 * CHOOSE(CONTROL!$C$22, $C$13, 100%, $E$13)</f>
        <v>16.766100000000002</v>
      </c>
    </row>
    <row r="930" spans="1:11" ht="15">
      <c r="A930" s="13">
        <v>70160</v>
      </c>
      <c r="B930" s="60">
        <f>13.8363 * CHOOSE(CONTROL!$C$22, $C$13, 100%, $E$13)</f>
        <v>13.8363</v>
      </c>
      <c r="C930" s="60">
        <f>13.8363 * CHOOSE(CONTROL!$C$22, $C$13, 100%, $E$13)</f>
        <v>13.8363</v>
      </c>
      <c r="D930" s="60">
        <f>13.854 * CHOOSE(CONTROL!$C$22, $C$13, 100%, $E$13)</f>
        <v>13.853999999999999</v>
      </c>
      <c r="E930" s="61">
        <f>16.4848 * CHOOSE(CONTROL!$C$22, $C$13, 100%, $E$13)</f>
        <v>16.4848</v>
      </c>
      <c r="F930" s="61">
        <f>16.4848 * CHOOSE(CONTROL!$C$22, $C$13, 100%, $E$13)</f>
        <v>16.4848</v>
      </c>
      <c r="G930" s="61">
        <f>16.485 * CHOOSE(CONTROL!$C$22, $C$13, 100%, $E$13)</f>
        <v>16.484999999999999</v>
      </c>
      <c r="H930" s="61">
        <f>28.3797* CHOOSE(CONTROL!$C$22, $C$13, 100%, $E$13)</f>
        <v>28.3797</v>
      </c>
      <c r="I930" s="61">
        <f>28.3798 * CHOOSE(CONTROL!$C$22, $C$13, 100%, $E$13)</f>
        <v>28.379799999999999</v>
      </c>
      <c r="J930" s="61">
        <f>16.4848 * CHOOSE(CONTROL!$C$22, $C$13, 100%, $E$13)</f>
        <v>16.4848</v>
      </c>
      <c r="K930" s="61">
        <f>16.485 * CHOOSE(CONTROL!$C$22, $C$13, 100%, $E$13)</f>
        <v>16.484999999999999</v>
      </c>
    </row>
    <row r="931" spans="1:11" ht="15">
      <c r="A931" s="13">
        <v>70189</v>
      </c>
      <c r="B931" s="60">
        <f>13.8333 * CHOOSE(CONTROL!$C$22, $C$13, 100%, $E$13)</f>
        <v>13.833299999999999</v>
      </c>
      <c r="C931" s="60">
        <f>13.8333 * CHOOSE(CONTROL!$C$22, $C$13, 100%, $E$13)</f>
        <v>13.833299999999999</v>
      </c>
      <c r="D931" s="60">
        <f>13.851 * CHOOSE(CONTROL!$C$22, $C$13, 100%, $E$13)</f>
        <v>13.851000000000001</v>
      </c>
      <c r="E931" s="61">
        <f>16.7026 * CHOOSE(CONTROL!$C$22, $C$13, 100%, $E$13)</f>
        <v>16.7026</v>
      </c>
      <c r="F931" s="61">
        <f>16.7026 * CHOOSE(CONTROL!$C$22, $C$13, 100%, $E$13)</f>
        <v>16.7026</v>
      </c>
      <c r="G931" s="61">
        <f>16.7028 * CHOOSE(CONTROL!$C$22, $C$13, 100%, $E$13)</f>
        <v>16.7028</v>
      </c>
      <c r="H931" s="61">
        <f>28.4388* CHOOSE(CONTROL!$C$22, $C$13, 100%, $E$13)</f>
        <v>28.438800000000001</v>
      </c>
      <c r="I931" s="61">
        <f>28.439 * CHOOSE(CONTROL!$C$22, $C$13, 100%, $E$13)</f>
        <v>28.439</v>
      </c>
      <c r="J931" s="61">
        <f>16.7026 * CHOOSE(CONTROL!$C$22, $C$13, 100%, $E$13)</f>
        <v>16.7026</v>
      </c>
      <c r="K931" s="61">
        <f>16.7028 * CHOOSE(CONTROL!$C$22, $C$13, 100%, $E$13)</f>
        <v>16.7028</v>
      </c>
    </row>
    <row r="932" spans="1:11" ht="15">
      <c r="A932" s="13">
        <v>70220</v>
      </c>
      <c r="B932" s="60">
        <f>13.8407 * CHOOSE(CONTROL!$C$22, $C$13, 100%, $E$13)</f>
        <v>13.8407</v>
      </c>
      <c r="C932" s="60">
        <f>13.8407 * CHOOSE(CONTROL!$C$22, $C$13, 100%, $E$13)</f>
        <v>13.8407</v>
      </c>
      <c r="D932" s="60">
        <f>13.8583 * CHOOSE(CONTROL!$C$22, $C$13, 100%, $E$13)</f>
        <v>13.8583</v>
      </c>
      <c r="E932" s="61">
        <f>16.9346 * CHOOSE(CONTROL!$C$22, $C$13, 100%, $E$13)</f>
        <v>16.9346</v>
      </c>
      <c r="F932" s="61">
        <f>16.9346 * CHOOSE(CONTROL!$C$22, $C$13, 100%, $E$13)</f>
        <v>16.9346</v>
      </c>
      <c r="G932" s="61">
        <f>16.9348 * CHOOSE(CONTROL!$C$22, $C$13, 100%, $E$13)</f>
        <v>16.934799999999999</v>
      </c>
      <c r="H932" s="61">
        <f>28.498* CHOOSE(CONTROL!$C$22, $C$13, 100%, $E$13)</f>
        <v>28.498000000000001</v>
      </c>
      <c r="I932" s="61">
        <f>28.4982 * CHOOSE(CONTROL!$C$22, $C$13, 100%, $E$13)</f>
        <v>28.498200000000001</v>
      </c>
      <c r="J932" s="61">
        <f>16.9346 * CHOOSE(CONTROL!$C$22, $C$13, 100%, $E$13)</f>
        <v>16.9346</v>
      </c>
      <c r="K932" s="61">
        <f>16.9348 * CHOOSE(CONTROL!$C$22, $C$13, 100%, $E$13)</f>
        <v>16.934799999999999</v>
      </c>
    </row>
    <row r="933" spans="1:11" ht="15">
      <c r="A933" s="13">
        <v>70250</v>
      </c>
      <c r="B933" s="60">
        <f>13.8407 * CHOOSE(CONTROL!$C$22, $C$13, 100%, $E$13)</f>
        <v>13.8407</v>
      </c>
      <c r="C933" s="60">
        <f>13.8407 * CHOOSE(CONTROL!$C$22, $C$13, 100%, $E$13)</f>
        <v>13.8407</v>
      </c>
      <c r="D933" s="60">
        <f>13.876 * CHOOSE(CONTROL!$C$22, $C$13, 100%, $E$13)</f>
        <v>13.875999999999999</v>
      </c>
      <c r="E933" s="61">
        <f>17.0232 * CHOOSE(CONTROL!$C$22, $C$13, 100%, $E$13)</f>
        <v>17.023199999999999</v>
      </c>
      <c r="F933" s="61">
        <f>17.0232 * CHOOSE(CONTROL!$C$22, $C$13, 100%, $E$13)</f>
        <v>17.023199999999999</v>
      </c>
      <c r="G933" s="61">
        <f>17.0253 * CHOOSE(CONTROL!$C$22, $C$13, 100%, $E$13)</f>
        <v>17.025300000000001</v>
      </c>
      <c r="H933" s="61">
        <f>28.5574* CHOOSE(CONTROL!$C$22, $C$13, 100%, $E$13)</f>
        <v>28.557400000000001</v>
      </c>
      <c r="I933" s="61">
        <f>28.5596 * CHOOSE(CONTROL!$C$22, $C$13, 100%, $E$13)</f>
        <v>28.5596</v>
      </c>
      <c r="J933" s="61">
        <f>17.0232 * CHOOSE(CONTROL!$C$22, $C$13, 100%, $E$13)</f>
        <v>17.023199999999999</v>
      </c>
      <c r="K933" s="61">
        <f>17.0253 * CHOOSE(CONTROL!$C$22, $C$13, 100%, $E$13)</f>
        <v>17.025300000000001</v>
      </c>
    </row>
    <row r="934" spans="1:11" ht="15">
      <c r="A934" s="13">
        <v>70281</v>
      </c>
      <c r="B934" s="60">
        <f>13.8467 * CHOOSE(CONTROL!$C$22, $C$13, 100%, $E$13)</f>
        <v>13.8467</v>
      </c>
      <c r="C934" s="60">
        <f>13.8467 * CHOOSE(CONTROL!$C$22, $C$13, 100%, $E$13)</f>
        <v>13.8467</v>
      </c>
      <c r="D934" s="60">
        <f>13.8821 * CHOOSE(CONTROL!$C$22, $C$13, 100%, $E$13)</f>
        <v>13.882099999999999</v>
      </c>
      <c r="E934" s="61">
        <f>16.9388 * CHOOSE(CONTROL!$C$22, $C$13, 100%, $E$13)</f>
        <v>16.938800000000001</v>
      </c>
      <c r="F934" s="61">
        <f>16.9388 * CHOOSE(CONTROL!$C$22, $C$13, 100%, $E$13)</f>
        <v>16.938800000000001</v>
      </c>
      <c r="G934" s="61">
        <f>16.941 * CHOOSE(CONTROL!$C$22, $C$13, 100%, $E$13)</f>
        <v>16.940999999999999</v>
      </c>
      <c r="H934" s="61">
        <f>28.6169* CHOOSE(CONTROL!$C$22, $C$13, 100%, $E$13)</f>
        <v>28.616900000000001</v>
      </c>
      <c r="I934" s="61">
        <f>28.6191 * CHOOSE(CONTROL!$C$22, $C$13, 100%, $E$13)</f>
        <v>28.6191</v>
      </c>
      <c r="J934" s="61">
        <f>16.9388 * CHOOSE(CONTROL!$C$22, $C$13, 100%, $E$13)</f>
        <v>16.938800000000001</v>
      </c>
      <c r="K934" s="61">
        <f>16.941 * CHOOSE(CONTROL!$C$22, $C$13, 100%, $E$13)</f>
        <v>16.940999999999999</v>
      </c>
    </row>
    <row r="935" spans="1:11" ht="15">
      <c r="A935" s="13">
        <v>70311</v>
      </c>
      <c r="B935" s="60">
        <f>14.0374 * CHOOSE(CONTROL!$C$22, $C$13, 100%, $E$13)</f>
        <v>14.0374</v>
      </c>
      <c r="C935" s="60">
        <f>14.0374 * CHOOSE(CONTROL!$C$22, $C$13, 100%, $E$13)</f>
        <v>14.0374</v>
      </c>
      <c r="D935" s="60">
        <f>14.0727 * CHOOSE(CONTROL!$C$22, $C$13, 100%, $E$13)</f>
        <v>14.072699999999999</v>
      </c>
      <c r="E935" s="61">
        <f>17.2449 * CHOOSE(CONTROL!$C$22, $C$13, 100%, $E$13)</f>
        <v>17.244900000000001</v>
      </c>
      <c r="F935" s="61">
        <f>17.2449 * CHOOSE(CONTROL!$C$22, $C$13, 100%, $E$13)</f>
        <v>17.244900000000001</v>
      </c>
      <c r="G935" s="61">
        <f>17.2471 * CHOOSE(CONTROL!$C$22, $C$13, 100%, $E$13)</f>
        <v>17.2471</v>
      </c>
      <c r="H935" s="61">
        <f>28.6765* CHOOSE(CONTROL!$C$22, $C$13, 100%, $E$13)</f>
        <v>28.676500000000001</v>
      </c>
      <c r="I935" s="61">
        <f>28.6787 * CHOOSE(CONTROL!$C$22, $C$13, 100%, $E$13)</f>
        <v>28.678699999999999</v>
      </c>
      <c r="J935" s="61">
        <f>17.2449 * CHOOSE(CONTROL!$C$22, $C$13, 100%, $E$13)</f>
        <v>17.244900000000001</v>
      </c>
      <c r="K935" s="61">
        <f>17.2471 * CHOOSE(CONTROL!$C$22, $C$13, 100%, $E$13)</f>
        <v>17.2471</v>
      </c>
    </row>
    <row r="936" spans="1:11" ht="15">
      <c r="A936" s="13">
        <v>70342</v>
      </c>
      <c r="B936" s="60">
        <f>14.0441 * CHOOSE(CONTROL!$C$22, $C$13, 100%, $E$13)</f>
        <v>14.0441</v>
      </c>
      <c r="C936" s="60">
        <f>14.0441 * CHOOSE(CONTROL!$C$22, $C$13, 100%, $E$13)</f>
        <v>14.0441</v>
      </c>
      <c r="D936" s="60">
        <f>14.0794 * CHOOSE(CONTROL!$C$22, $C$13, 100%, $E$13)</f>
        <v>14.0794</v>
      </c>
      <c r="E936" s="61">
        <f>16.9838 * CHOOSE(CONTROL!$C$22, $C$13, 100%, $E$13)</f>
        <v>16.983799999999999</v>
      </c>
      <c r="F936" s="61">
        <f>16.9838 * CHOOSE(CONTROL!$C$22, $C$13, 100%, $E$13)</f>
        <v>16.983799999999999</v>
      </c>
      <c r="G936" s="61">
        <f>16.986 * CHOOSE(CONTROL!$C$22, $C$13, 100%, $E$13)</f>
        <v>16.986000000000001</v>
      </c>
      <c r="H936" s="61">
        <f>28.7363* CHOOSE(CONTROL!$C$22, $C$13, 100%, $E$13)</f>
        <v>28.7363</v>
      </c>
      <c r="I936" s="61">
        <f>28.7385 * CHOOSE(CONTROL!$C$22, $C$13, 100%, $E$13)</f>
        <v>28.738499999999998</v>
      </c>
      <c r="J936" s="61">
        <f>16.9838 * CHOOSE(CONTROL!$C$22, $C$13, 100%, $E$13)</f>
        <v>16.983799999999999</v>
      </c>
      <c r="K936" s="61">
        <f>16.986 * CHOOSE(CONTROL!$C$22, $C$13, 100%, $E$13)</f>
        <v>16.986000000000001</v>
      </c>
    </row>
    <row r="937" spans="1:11" ht="15">
      <c r="A937" s="13">
        <v>70373</v>
      </c>
      <c r="B937" s="60">
        <f>14.0411 * CHOOSE(CONTROL!$C$22, $C$13, 100%, $E$13)</f>
        <v>14.0411</v>
      </c>
      <c r="C937" s="60">
        <f>14.0411 * CHOOSE(CONTROL!$C$22, $C$13, 100%, $E$13)</f>
        <v>14.0411</v>
      </c>
      <c r="D937" s="60">
        <f>14.0764 * CHOOSE(CONTROL!$C$22, $C$13, 100%, $E$13)</f>
        <v>14.0764</v>
      </c>
      <c r="E937" s="61">
        <f>16.9522 * CHOOSE(CONTROL!$C$22, $C$13, 100%, $E$13)</f>
        <v>16.952200000000001</v>
      </c>
      <c r="F937" s="61">
        <f>16.9522 * CHOOSE(CONTROL!$C$22, $C$13, 100%, $E$13)</f>
        <v>16.952200000000001</v>
      </c>
      <c r="G937" s="61">
        <f>16.9544 * CHOOSE(CONTROL!$C$22, $C$13, 100%, $E$13)</f>
        <v>16.9544</v>
      </c>
      <c r="H937" s="61">
        <f>28.7961* CHOOSE(CONTROL!$C$22, $C$13, 100%, $E$13)</f>
        <v>28.796099999999999</v>
      </c>
      <c r="I937" s="61">
        <f>28.7983 * CHOOSE(CONTROL!$C$22, $C$13, 100%, $E$13)</f>
        <v>28.798300000000001</v>
      </c>
      <c r="J937" s="61">
        <f>16.9522 * CHOOSE(CONTROL!$C$22, $C$13, 100%, $E$13)</f>
        <v>16.952200000000001</v>
      </c>
      <c r="K937" s="61">
        <f>16.9544 * CHOOSE(CONTROL!$C$22, $C$13, 100%, $E$13)</f>
        <v>16.9544</v>
      </c>
    </row>
    <row r="938" spans="1:11" ht="15">
      <c r="A938" s="13">
        <v>70403</v>
      </c>
      <c r="B938" s="60">
        <f>14.0743 * CHOOSE(CONTROL!$C$22, $C$13, 100%, $E$13)</f>
        <v>14.074299999999999</v>
      </c>
      <c r="C938" s="60">
        <f>14.0743 * CHOOSE(CONTROL!$C$22, $C$13, 100%, $E$13)</f>
        <v>14.074299999999999</v>
      </c>
      <c r="D938" s="60">
        <f>14.0919 * CHOOSE(CONTROL!$C$22, $C$13, 100%, $E$13)</f>
        <v>14.091900000000001</v>
      </c>
      <c r="E938" s="61">
        <f>17.0569 * CHOOSE(CONTROL!$C$22, $C$13, 100%, $E$13)</f>
        <v>17.056899999999999</v>
      </c>
      <c r="F938" s="61">
        <f>17.0569 * CHOOSE(CONTROL!$C$22, $C$13, 100%, $E$13)</f>
        <v>17.056899999999999</v>
      </c>
      <c r="G938" s="61">
        <f>17.057 * CHOOSE(CONTROL!$C$22, $C$13, 100%, $E$13)</f>
        <v>17.056999999999999</v>
      </c>
      <c r="H938" s="61">
        <f>28.8561* CHOOSE(CONTROL!$C$22, $C$13, 100%, $E$13)</f>
        <v>28.856100000000001</v>
      </c>
      <c r="I938" s="61">
        <f>28.8563 * CHOOSE(CONTROL!$C$22, $C$13, 100%, $E$13)</f>
        <v>28.856300000000001</v>
      </c>
      <c r="J938" s="61">
        <f>17.0569 * CHOOSE(CONTROL!$C$22, $C$13, 100%, $E$13)</f>
        <v>17.056899999999999</v>
      </c>
      <c r="K938" s="61">
        <f>17.057 * CHOOSE(CONTROL!$C$22, $C$13, 100%, $E$13)</f>
        <v>17.056999999999999</v>
      </c>
    </row>
    <row r="939" spans="1:11" ht="15">
      <c r="A939" s="13">
        <v>70434</v>
      </c>
      <c r="B939" s="60">
        <f>14.0773 * CHOOSE(CONTROL!$C$22, $C$13, 100%, $E$13)</f>
        <v>14.077299999999999</v>
      </c>
      <c r="C939" s="60">
        <f>14.0773 * CHOOSE(CONTROL!$C$22, $C$13, 100%, $E$13)</f>
        <v>14.077299999999999</v>
      </c>
      <c r="D939" s="60">
        <f>14.0949 * CHOOSE(CONTROL!$C$22, $C$13, 100%, $E$13)</f>
        <v>14.094900000000001</v>
      </c>
      <c r="E939" s="61">
        <f>17.118 * CHOOSE(CONTROL!$C$22, $C$13, 100%, $E$13)</f>
        <v>17.117999999999999</v>
      </c>
      <c r="F939" s="61">
        <f>17.118 * CHOOSE(CONTROL!$C$22, $C$13, 100%, $E$13)</f>
        <v>17.117999999999999</v>
      </c>
      <c r="G939" s="61">
        <f>17.1182 * CHOOSE(CONTROL!$C$22, $C$13, 100%, $E$13)</f>
        <v>17.118200000000002</v>
      </c>
      <c r="H939" s="61">
        <f>28.9162* CHOOSE(CONTROL!$C$22, $C$13, 100%, $E$13)</f>
        <v>28.9162</v>
      </c>
      <c r="I939" s="61">
        <f>28.9164 * CHOOSE(CONTROL!$C$22, $C$13, 100%, $E$13)</f>
        <v>28.916399999999999</v>
      </c>
      <c r="J939" s="61">
        <f>17.118 * CHOOSE(CONTROL!$C$22, $C$13, 100%, $E$13)</f>
        <v>17.117999999999999</v>
      </c>
      <c r="K939" s="61">
        <f>17.1182 * CHOOSE(CONTROL!$C$22, $C$13, 100%, $E$13)</f>
        <v>17.118200000000002</v>
      </c>
    </row>
    <row r="940" spans="1:11" ht="15">
      <c r="A940" s="13">
        <v>70464</v>
      </c>
      <c r="B940" s="60">
        <f>14.0773 * CHOOSE(CONTROL!$C$22, $C$13, 100%, $E$13)</f>
        <v>14.077299999999999</v>
      </c>
      <c r="C940" s="60">
        <f>14.0773 * CHOOSE(CONTROL!$C$22, $C$13, 100%, $E$13)</f>
        <v>14.077299999999999</v>
      </c>
      <c r="D940" s="60">
        <f>14.0949 * CHOOSE(CONTROL!$C$22, $C$13, 100%, $E$13)</f>
        <v>14.094900000000001</v>
      </c>
      <c r="E940" s="61">
        <f>16.9704 * CHOOSE(CONTROL!$C$22, $C$13, 100%, $E$13)</f>
        <v>16.970400000000001</v>
      </c>
      <c r="F940" s="61">
        <f>16.9704 * CHOOSE(CONTROL!$C$22, $C$13, 100%, $E$13)</f>
        <v>16.970400000000001</v>
      </c>
      <c r="G940" s="61">
        <f>16.9706 * CHOOSE(CONTROL!$C$22, $C$13, 100%, $E$13)</f>
        <v>16.970600000000001</v>
      </c>
      <c r="H940" s="61">
        <f>28.9765* CHOOSE(CONTROL!$C$22, $C$13, 100%, $E$13)</f>
        <v>28.976500000000001</v>
      </c>
      <c r="I940" s="61">
        <f>28.9767 * CHOOSE(CONTROL!$C$22, $C$13, 100%, $E$13)</f>
        <v>28.976700000000001</v>
      </c>
      <c r="J940" s="61">
        <f>16.9704 * CHOOSE(CONTROL!$C$22, $C$13, 100%, $E$13)</f>
        <v>16.970400000000001</v>
      </c>
      <c r="K940" s="61">
        <f>16.9706 * CHOOSE(CONTROL!$C$22, $C$13, 100%, $E$13)</f>
        <v>16.970600000000001</v>
      </c>
    </row>
    <row r="941" spans="1:11" ht="15">
      <c r="A941" s="13">
        <v>70495</v>
      </c>
      <c r="B941" s="60">
        <f>14.036 * CHOOSE(CONTROL!$C$22, $C$13, 100%, $E$13)</f>
        <v>14.036</v>
      </c>
      <c r="C941" s="60">
        <f>14.036 * CHOOSE(CONTROL!$C$22, $C$13, 100%, $E$13)</f>
        <v>14.036</v>
      </c>
      <c r="D941" s="60">
        <f>14.0537 * CHOOSE(CONTROL!$C$22, $C$13, 100%, $E$13)</f>
        <v>14.053699999999999</v>
      </c>
      <c r="E941" s="61">
        <f>17.0178 * CHOOSE(CONTROL!$C$22, $C$13, 100%, $E$13)</f>
        <v>17.017800000000001</v>
      </c>
      <c r="F941" s="61">
        <f>17.0178 * CHOOSE(CONTROL!$C$22, $C$13, 100%, $E$13)</f>
        <v>17.017800000000001</v>
      </c>
      <c r="G941" s="61">
        <f>17.0179 * CHOOSE(CONTROL!$C$22, $C$13, 100%, $E$13)</f>
        <v>17.017900000000001</v>
      </c>
      <c r="H941" s="61">
        <f>28.7221* CHOOSE(CONTROL!$C$22, $C$13, 100%, $E$13)</f>
        <v>28.722100000000001</v>
      </c>
      <c r="I941" s="61">
        <f>28.7223 * CHOOSE(CONTROL!$C$22, $C$13, 100%, $E$13)</f>
        <v>28.722300000000001</v>
      </c>
      <c r="J941" s="61">
        <f>17.0178 * CHOOSE(CONTROL!$C$22, $C$13, 100%, $E$13)</f>
        <v>17.017800000000001</v>
      </c>
      <c r="K941" s="61">
        <f>17.0179 * CHOOSE(CONTROL!$C$22, $C$13, 100%, $E$13)</f>
        <v>17.017900000000001</v>
      </c>
    </row>
    <row r="942" spans="1:11" ht="15">
      <c r="A942" s="13">
        <v>70526</v>
      </c>
      <c r="B942" s="60">
        <f>14.033 * CHOOSE(CONTROL!$C$22, $C$13, 100%, $E$13)</f>
        <v>14.032999999999999</v>
      </c>
      <c r="C942" s="60">
        <f>14.033 * CHOOSE(CONTROL!$C$22, $C$13, 100%, $E$13)</f>
        <v>14.032999999999999</v>
      </c>
      <c r="D942" s="60">
        <f>14.0506 * CHOOSE(CONTROL!$C$22, $C$13, 100%, $E$13)</f>
        <v>14.050599999999999</v>
      </c>
      <c r="E942" s="61">
        <f>16.7322 * CHOOSE(CONTROL!$C$22, $C$13, 100%, $E$13)</f>
        <v>16.732199999999999</v>
      </c>
      <c r="F942" s="61">
        <f>16.7322 * CHOOSE(CONTROL!$C$22, $C$13, 100%, $E$13)</f>
        <v>16.732199999999999</v>
      </c>
      <c r="G942" s="61">
        <f>16.7324 * CHOOSE(CONTROL!$C$22, $C$13, 100%, $E$13)</f>
        <v>16.732399999999998</v>
      </c>
      <c r="H942" s="61">
        <f>28.782* CHOOSE(CONTROL!$C$22, $C$13, 100%, $E$13)</f>
        <v>28.782</v>
      </c>
      <c r="I942" s="61">
        <f>28.7821 * CHOOSE(CONTROL!$C$22, $C$13, 100%, $E$13)</f>
        <v>28.7821</v>
      </c>
      <c r="J942" s="61">
        <f>16.7322 * CHOOSE(CONTROL!$C$22, $C$13, 100%, $E$13)</f>
        <v>16.732199999999999</v>
      </c>
      <c r="K942" s="61">
        <f>16.7324 * CHOOSE(CONTROL!$C$22, $C$13, 100%, $E$13)</f>
        <v>16.732399999999998</v>
      </c>
    </row>
    <row r="943" spans="1:11" ht="15">
      <c r="A943" s="13">
        <v>70554</v>
      </c>
      <c r="B943" s="60">
        <f>14.0299 * CHOOSE(CONTROL!$C$22, $C$13, 100%, $E$13)</f>
        <v>14.0299</v>
      </c>
      <c r="C943" s="60">
        <f>14.0299 * CHOOSE(CONTROL!$C$22, $C$13, 100%, $E$13)</f>
        <v>14.0299</v>
      </c>
      <c r="D943" s="60">
        <f>14.0476 * CHOOSE(CONTROL!$C$22, $C$13, 100%, $E$13)</f>
        <v>14.047599999999999</v>
      </c>
      <c r="E943" s="61">
        <f>16.9535 * CHOOSE(CONTROL!$C$22, $C$13, 100%, $E$13)</f>
        <v>16.953499999999998</v>
      </c>
      <c r="F943" s="61">
        <f>16.9535 * CHOOSE(CONTROL!$C$22, $C$13, 100%, $E$13)</f>
        <v>16.953499999999998</v>
      </c>
      <c r="G943" s="61">
        <f>16.9537 * CHOOSE(CONTROL!$C$22, $C$13, 100%, $E$13)</f>
        <v>16.953700000000001</v>
      </c>
      <c r="H943" s="61">
        <f>28.8419* CHOOSE(CONTROL!$C$22, $C$13, 100%, $E$13)</f>
        <v>28.841899999999999</v>
      </c>
      <c r="I943" s="61">
        <f>28.8421 * CHOOSE(CONTROL!$C$22, $C$13, 100%, $E$13)</f>
        <v>28.842099999999999</v>
      </c>
      <c r="J943" s="61">
        <f>16.9535 * CHOOSE(CONTROL!$C$22, $C$13, 100%, $E$13)</f>
        <v>16.953499999999998</v>
      </c>
      <c r="K943" s="61">
        <f>16.9537 * CHOOSE(CONTROL!$C$22, $C$13, 100%, $E$13)</f>
        <v>16.953700000000001</v>
      </c>
    </row>
    <row r="944" spans="1:11" ht="15">
      <c r="A944" s="13">
        <v>70585</v>
      </c>
      <c r="B944" s="60">
        <f>14.0375 * CHOOSE(CONTROL!$C$22, $C$13, 100%, $E$13)</f>
        <v>14.0375</v>
      </c>
      <c r="C944" s="60">
        <f>14.0375 * CHOOSE(CONTROL!$C$22, $C$13, 100%, $E$13)</f>
        <v>14.0375</v>
      </c>
      <c r="D944" s="60">
        <f>14.0551 * CHOOSE(CONTROL!$C$22, $C$13, 100%, $E$13)</f>
        <v>14.055099999999999</v>
      </c>
      <c r="E944" s="61">
        <f>17.1893 * CHOOSE(CONTROL!$C$22, $C$13, 100%, $E$13)</f>
        <v>17.189299999999999</v>
      </c>
      <c r="F944" s="61">
        <f>17.1893 * CHOOSE(CONTROL!$C$22, $C$13, 100%, $E$13)</f>
        <v>17.189299999999999</v>
      </c>
      <c r="G944" s="61">
        <f>17.1894 * CHOOSE(CONTROL!$C$22, $C$13, 100%, $E$13)</f>
        <v>17.189399999999999</v>
      </c>
      <c r="H944" s="61">
        <f>28.902* CHOOSE(CONTROL!$C$22, $C$13, 100%, $E$13)</f>
        <v>28.902000000000001</v>
      </c>
      <c r="I944" s="61">
        <f>28.9022 * CHOOSE(CONTROL!$C$22, $C$13, 100%, $E$13)</f>
        <v>28.902200000000001</v>
      </c>
      <c r="J944" s="61">
        <f>17.1893 * CHOOSE(CONTROL!$C$22, $C$13, 100%, $E$13)</f>
        <v>17.189299999999999</v>
      </c>
      <c r="K944" s="61">
        <f>17.1894 * CHOOSE(CONTROL!$C$22, $C$13, 100%, $E$13)</f>
        <v>17.189399999999999</v>
      </c>
    </row>
    <row r="945" spans="1:11" ht="15">
      <c r="A945" s="13">
        <v>70615</v>
      </c>
      <c r="B945" s="60">
        <f>14.0375 * CHOOSE(CONTROL!$C$22, $C$13, 100%, $E$13)</f>
        <v>14.0375</v>
      </c>
      <c r="C945" s="60">
        <f>14.0375 * CHOOSE(CONTROL!$C$22, $C$13, 100%, $E$13)</f>
        <v>14.0375</v>
      </c>
      <c r="D945" s="60">
        <f>14.0728 * CHOOSE(CONTROL!$C$22, $C$13, 100%, $E$13)</f>
        <v>14.072800000000001</v>
      </c>
      <c r="E945" s="61">
        <f>17.2792 * CHOOSE(CONTROL!$C$22, $C$13, 100%, $E$13)</f>
        <v>17.279199999999999</v>
      </c>
      <c r="F945" s="61">
        <f>17.2792 * CHOOSE(CONTROL!$C$22, $C$13, 100%, $E$13)</f>
        <v>17.279199999999999</v>
      </c>
      <c r="G945" s="61">
        <f>17.2814 * CHOOSE(CONTROL!$C$22, $C$13, 100%, $E$13)</f>
        <v>17.281400000000001</v>
      </c>
      <c r="H945" s="61">
        <f>28.9622* CHOOSE(CONTROL!$C$22, $C$13, 100%, $E$13)</f>
        <v>28.962199999999999</v>
      </c>
      <c r="I945" s="61">
        <f>28.9644 * CHOOSE(CONTROL!$C$22, $C$13, 100%, $E$13)</f>
        <v>28.964400000000001</v>
      </c>
      <c r="J945" s="61">
        <f>17.2792 * CHOOSE(CONTROL!$C$22, $C$13, 100%, $E$13)</f>
        <v>17.279199999999999</v>
      </c>
      <c r="K945" s="61">
        <f>17.2814 * CHOOSE(CONTROL!$C$22, $C$13, 100%, $E$13)</f>
        <v>17.281400000000001</v>
      </c>
    </row>
    <row r="946" spans="1:11" ht="15">
      <c r="A946" s="13">
        <v>70646</v>
      </c>
      <c r="B946" s="60">
        <f>14.0436 * CHOOSE(CONTROL!$C$22, $C$13, 100%, $E$13)</f>
        <v>14.0436</v>
      </c>
      <c r="C946" s="60">
        <f>14.0436 * CHOOSE(CONTROL!$C$22, $C$13, 100%, $E$13)</f>
        <v>14.0436</v>
      </c>
      <c r="D946" s="60">
        <f>14.0789 * CHOOSE(CONTROL!$C$22, $C$13, 100%, $E$13)</f>
        <v>14.078900000000001</v>
      </c>
      <c r="E946" s="61">
        <f>17.1935 * CHOOSE(CONTROL!$C$22, $C$13, 100%, $E$13)</f>
        <v>17.1935</v>
      </c>
      <c r="F946" s="61">
        <f>17.1935 * CHOOSE(CONTROL!$C$22, $C$13, 100%, $E$13)</f>
        <v>17.1935</v>
      </c>
      <c r="G946" s="61">
        <f>17.1957 * CHOOSE(CONTROL!$C$22, $C$13, 100%, $E$13)</f>
        <v>17.195699999999999</v>
      </c>
      <c r="H946" s="61">
        <f>29.0226* CHOOSE(CONTROL!$C$22, $C$13, 100%, $E$13)</f>
        <v>29.022600000000001</v>
      </c>
      <c r="I946" s="61">
        <f>29.0248 * CHOOSE(CONTROL!$C$22, $C$13, 100%, $E$13)</f>
        <v>29.024799999999999</v>
      </c>
      <c r="J946" s="61">
        <f>17.1935 * CHOOSE(CONTROL!$C$22, $C$13, 100%, $E$13)</f>
        <v>17.1935</v>
      </c>
      <c r="K946" s="61">
        <f>17.1957 * CHOOSE(CONTROL!$C$22, $C$13, 100%, $E$13)</f>
        <v>17.195699999999999</v>
      </c>
    </row>
    <row r="947" spans="1:11" ht="15">
      <c r="A947" s="13">
        <v>70676</v>
      </c>
      <c r="B947" s="60">
        <f>14.2367 * CHOOSE(CONTROL!$C$22, $C$13, 100%, $E$13)</f>
        <v>14.236700000000001</v>
      </c>
      <c r="C947" s="60">
        <f>14.2367 * CHOOSE(CONTROL!$C$22, $C$13, 100%, $E$13)</f>
        <v>14.236700000000001</v>
      </c>
      <c r="D947" s="60">
        <f>14.272 * CHOOSE(CONTROL!$C$22, $C$13, 100%, $E$13)</f>
        <v>14.272</v>
      </c>
      <c r="E947" s="61">
        <f>17.504 * CHOOSE(CONTROL!$C$22, $C$13, 100%, $E$13)</f>
        <v>17.504000000000001</v>
      </c>
      <c r="F947" s="61">
        <f>17.504 * CHOOSE(CONTROL!$C$22, $C$13, 100%, $E$13)</f>
        <v>17.504000000000001</v>
      </c>
      <c r="G947" s="61">
        <f>17.5062 * CHOOSE(CONTROL!$C$22, $C$13, 100%, $E$13)</f>
        <v>17.5062</v>
      </c>
      <c r="H947" s="61">
        <f>29.083* CHOOSE(CONTROL!$C$22, $C$13, 100%, $E$13)</f>
        <v>29.082999999999998</v>
      </c>
      <c r="I947" s="61">
        <f>29.0852 * CHOOSE(CONTROL!$C$22, $C$13, 100%, $E$13)</f>
        <v>29.0852</v>
      </c>
      <c r="J947" s="61">
        <f>17.504 * CHOOSE(CONTROL!$C$22, $C$13, 100%, $E$13)</f>
        <v>17.504000000000001</v>
      </c>
      <c r="K947" s="61">
        <f>17.5062 * CHOOSE(CONTROL!$C$22, $C$13, 100%, $E$13)</f>
        <v>17.5062</v>
      </c>
    </row>
    <row r="948" spans="1:11" ht="15">
      <c r="A948" s="13">
        <v>70707</v>
      </c>
      <c r="B948" s="60">
        <f>14.2434 * CHOOSE(CONTROL!$C$22, $C$13, 100%, $E$13)</f>
        <v>14.243399999999999</v>
      </c>
      <c r="C948" s="60">
        <f>14.2434 * CHOOSE(CONTROL!$C$22, $C$13, 100%, $E$13)</f>
        <v>14.243399999999999</v>
      </c>
      <c r="D948" s="60">
        <f>14.2787 * CHOOSE(CONTROL!$C$22, $C$13, 100%, $E$13)</f>
        <v>14.278700000000001</v>
      </c>
      <c r="E948" s="61">
        <f>17.2387 * CHOOSE(CONTROL!$C$22, $C$13, 100%, $E$13)</f>
        <v>17.238700000000001</v>
      </c>
      <c r="F948" s="61">
        <f>17.2387 * CHOOSE(CONTROL!$C$22, $C$13, 100%, $E$13)</f>
        <v>17.238700000000001</v>
      </c>
      <c r="G948" s="61">
        <f>17.2408 * CHOOSE(CONTROL!$C$22, $C$13, 100%, $E$13)</f>
        <v>17.2408</v>
      </c>
      <c r="H948" s="61">
        <f>29.1436* CHOOSE(CONTROL!$C$22, $C$13, 100%, $E$13)</f>
        <v>29.143599999999999</v>
      </c>
      <c r="I948" s="61">
        <f>29.1458 * CHOOSE(CONTROL!$C$22, $C$13, 100%, $E$13)</f>
        <v>29.145800000000001</v>
      </c>
      <c r="J948" s="61">
        <f>17.2387 * CHOOSE(CONTROL!$C$22, $C$13, 100%, $E$13)</f>
        <v>17.238700000000001</v>
      </c>
      <c r="K948" s="61">
        <f>17.2408 * CHOOSE(CONTROL!$C$22, $C$13, 100%, $E$13)</f>
        <v>17.2408</v>
      </c>
    </row>
    <row r="949" spans="1:11" ht="15">
      <c r="A949" s="13">
        <v>70738</v>
      </c>
      <c r="B949" s="60">
        <f>14.2404 * CHOOSE(CONTROL!$C$22, $C$13, 100%, $E$13)</f>
        <v>14.240399999999999</v>
      </c>
      <c r="C949" s="60">
        <f>14.2404 * CHOOSE(CONTROL!$C$22, $C$13, 100%, $E$13)</f>
        <v>14.240399999999999</v>
      </c>
      <c r="D949" s="60">
        <f>14.2757 * CHOOSE(CONTROL!$C$22, $C$13, 100%, $E$13)</f>
        <v>14.275700000000001</v>
      </c>
      <c r="E949" s="61">
        <f>17.2066 * CHOOSE(CONTROL!$C$22, $C$13, 100%, $E$13)</f>
        <v>17.206600000000002</v>
      </c>
      <c r="F949" s="61">
        <f>17.2066 * CHOOSE(CONTROL!$C$22, $C$13, 100%, $E$13)</f>
        <v>17.206600000000002</v>
      </c>
      <c r="G949" s="61">
        <f>17.2087 * CHOOSE(CONTROL!$C$22, $C$13, 100%, $E$13)</f>
        <v>17.2087</v>
      </c>
      <c r="H949" s="61">
        <f>29.2043* CHOOSE(CONTROL!$C$22, $C$13, 100%, $E$13)</f>
        <v>29.2043</v>
      </c>
      <c r="I949" s="61">
        <f>29.2065 * CHOOSE(CONTROL!$C$22, $C$13, 100%, $E$13)</f>
        <v>29.206499999999998</v>
      </c>
      <c r="J949" s="61">
        <f>17.2066 * CHOOSE(CONTROL!$C$22, $C$13, 100%, $E$13)</f>
        <v>17.206600000000002</v>
      </c>
      <c r="K949" s="61">
        <f>17.2087 * CHOOSE(CONTROL!$C$22, $C$13, 100%, $E$13)</f>
        <v>17.2087</v>
      </c>
    </row>
    <row r="950" spans="1:11" ht="15">
      <c r="A950" s="13">
        <v>70768</v>
      </c>
      <c r="B950" s="60">
        <f>14.2743 * CHOOSE(CONTROL!$C$22, $C$13, 100%, $E$13)</f>
        <v>14.2743</v>
      </c>
      <c r="C950" s="60">
        <f>14.2743 * CHOOSE(CONTROL!$C$22, $C$13, 100%, $E$13)</f>
        <v>14.2743</v>
      </c>
      <c r="D950" s="60">
        <f>14.292 * CHOOSE(CONTROL!$C$22, $C$13, 100%, $E$13)</f>
        <v>14.292</v>
      </c>
      <c r="E950" s="61">
        <f>17.3131 * CHOOSE(CONTROL!$C$22, $C$13, 100%, $E$13)</f>
        <v>17.313099999999999</v>
      </c>
      <c r="F950" s="61">
        <f>17.3131 * CHOOSE(CONTROL!$C$22, $C$13, 100%, $E$13)</f>
        <v>17.313099999999999</v>
      </c>
      <c r="G950" s="61">
        <f>17.3133 * CHOOSE(CONTROL!$C$22, $C$13, 100%, $E$13)</f>
        <v>17.313300000000002</v>
      </c>
      <c r="H950" s="61">
        <f>29.2652* CHOOSE(CONTROL!$C$22, $C$13, 100%, $E$13)</f>
        <v>29.2652</v>
      </c>
      <c r="I950" s="61">
        <f>29.2654 * CHOOSE(CONTROL!$C$22, $C$13, 100%, $E$13)</f>
        <v>29.2654</v>
      </c>
      <c r="J950" s="61">
        <f>17.3131 * CHOOSE(CONTROL!$C$22, $C$13, 100%, $E$13)</f>
        <v>17.313099999999999</v>
      </c>
      <c r="K950" s="61">
        <f>17.3133 * CHOOSE(CONTROL!$C$22, $C$13, 100%, $E$13)</f>
        <v>17.313300000000002</v>
      </c>
    </row>
    <row r="951" spans="1:11" ht="15">
      <c r="A951" s="13">
        <v>70799</v>
      </c>
      <c r="B951" s="60">
        <f>14.2774 * CHOOSE(CONTROL!$C$22, $C$13, 100%, $E$13)</f>
        <v>14.2774</v>
      </c>
      <c r="C951" s="60">
        <f>14.2774 * CHOOSE(CONTROL!$C$22, $C$13, 100%, $E$13)</f>
        <v>14.2774</v>
      </c>
      <c r="D951" s="60">
        <f>14.295 * CHOOSE(CONTROL!$C$22, $C$13, 100%, $E$13)</f>
        <v>14.295</v>
      </c>
      <c r="E951" s="61">
        <f>17.3752 * CHOOSE(CONTROL!$C$22, $C$13, 100%, $E$13)</f>
        <v>17.3752</v>
      </c>
      <c r="F951" s="61">
        <f>17.3752 * CHOOSE(CONTROL!$C$22, $C$13, 100%, $E$13)</f>
        <v>17.3752</v>
      </c>
      <c r="G951" s="61">
        <f>17.3754 * CHOOSE(CONTROL!$C$22, $C$13, 100%, $E$13)</f>
        <v>17.375399999999999</v>
      </c>
      <c r="H951" s="61">
        <f>29.3262* CHOOSE(CONTROL!$C$22, $C$13, 100%, $E$13)</f>
        <v>29.3262</v>
      </c>
      <c r="I951" s="61">
        <f>29.3263 * CHOOSE(CONTROL!$C$22, $C$13, 100%, $E$13)</f>
        <v>29.3263</v>
      </c>
      <c r="J951" s="61">
        <f>17.3752 * CHOOSE(CONTROL!$C$22, $C$13, 100%, $E$13)</f>
        <v>17.3752</v>
      </c>
      <c r="K951" s="61">
        <f>17.3754 * CHOOSE(CONTROL!$C$22, $C$13, 100%, $E$13)</f>
        <v>17.375399999999999</v>
      </c>
    </row>
    <row r="952" spans="1:11" ht="15">
      <c r="A952" s="13">
        <v>70829</v>
      </c>
      <c r="B952" s="60">
        <f>14.2774 * CHOOSE(CONTROL!$C$22, $C$13, 100%, $E$13)</f>
        <v>14.2774</v>
      </c>
      <c r="C952" s="60">
        <f>14.2774 * CHOOSE(CONTROL!$C$22, $C$13, 100%, $E$13)</f>
        <v>14.2774</v>
      </c>
      <c r="D952" s="60">
        <f>14.295 * CHOOSE(CONTROL!$C$22, $C$13, 100%, $E$13)</f>
        <v>14.295</v>
      </c>
      <c r="E952" s="61">
        <f>17.2252 * CHOOSE(CONTROL!$C$22, $C$13, 100%, $E$13)</f>
        <v>17.225200000000001</v>
      </c>
      <c r="F952" s="61">
        <f>17.2252 * CHOOSE(CONTROL!$C$22, $C$13, 100%, $E$13)</f>
        <v>17.225200000000001</v>
      </c>
      <c r="G952" s="61">
        <f>17.2254 * CHOOSE(CONTROL!$C$22, $C$13, 100%, $E$13)</f>
        <v>17.2254</v>
      </c>
      <c r="H952" s="61">
        <f>29.3872* CHOOSE(CONTROL!$C$22, $C$13, 100%, $E$13)</f>
        <v>29.3872</v>
      </c>
      <c r="I952" s="61">
        <f>29.3874 * CHOOSE(CONTROL!$C$22, $C$13, 100%, $E$13)</f>
        <v>29.3874</v>
      </c>
      <c r="J952" s="61">
        <f>17.2252 * CHOOSE(CONTROL!$C$22, $C$13, 100%, $E$13)</f>
        <v>17.225200000000001</v>
      </c>
      <c r="K952" s="61">
        <f>17.2254 * CHOOSE(CONTROL!$C$22, $C$13, 100%, $E$13)</f>
        <v>17.2254</v>
      </c>
    </row>
    <row r="953" spans="1:11" ht="15">
      <c r="A953" s="13">
        <v>70860</v>
      </c>
      <c r="B953" s="60">
        <f>14.2326 * CHOOSE(CONTROL!$C$22, $C$13, 100%, $E$13)</f>
        <v>14.2326</v>
      </c>
      <c r="C953" s="60">
        <f>14.2326 * CHOOSE(CONTROL!$C$22, $C$13, 100%, $E$13)</f>
        <v>14.2326</v>
      </c>
      <c r="D953" s="60">
        <f>14.2503 * CHOOSE(CONTROL!$C$22, $C$13, 100%, $E$13)</f>
        <v>14.250299999999999</v>
      </c>
      <c r="E953" s="61">
        <f>17.2696 * CHOOSE(CONTROL!$C$22, $C$13, 100%, $E$13)</f>
        <v>17.269600000000001</v>
      </c>
      <c r="F953" s="61">
        <f>17.2696 * CHOOSE(CONTROL!$C$22, $C$13, 100%, $E$13)</f>
        <v>17.269600000000001</v>
      </c>
      <c r="G953" s="61">
        <f>17.2698 * CHOOSE(CONTROL!$C$22, $C$13, 100%, $E$13)</f>
        <v>17.2698</v>
      </c>
      <c r="H953" s="61">
        <f>29.1236* CHOOSE(CONTROL!$C$22, $C$13, 100%, $E$13)</f>
        <v>29.1236</v>
      </c>
      <c r="I953" s="61">
        <f>29.1238 * CHOOSE(CONTROL!$C$22, $C$13, 100%, $E$13)</f>
        <v>29.123799999999999</v>
      </c>
      <c r="J953" s="61">
        <f>17.2696 * CHOOSE(CONTROL!$C$22, $C$13, 100%, $E$13)</f>
        <v>17.269600000000001</v>
      </c>
      <c r="K953" s="61">
        <f>17.2698 * CHOOSE(CONTROL!$C$22, $C$13, 100%, $E$13)</f>
        <v>17.2698</v>
      </c>
    </row>
    <row r="954" spans="1:11" ht="15">
      <c r="A954" s="13">
        <v>70891</v>
      </c>
      <c r="B954" s="60">
        <f>14.2296 * CHOOSE(CONTROL!$C$22, $C$13, 100%, $E$13)</f>
        <v>14.2296</v>
      </c>
      <c r="C954" s="60">
        <f>14.2296 * CHOOSE(CONTROL!$C$22, $C$13, 100%, $E$13)</f>
        <v>14.2296</v>
      </c>
      <c r="D954" s="60">
        <f>14.2472 * CHOOSE(CONTROL!$C$22, $C$13, 100%, $E$13)</f>
        <v>14.247199999999999</v>
      </c>
      <c r="E954" s="61">
        <f>16.9796 * CHOOSE(CONTROL!$C$22, $C$13, 100%, $E$13)</f>
        <v>16.979600000000001</v>
      </c>
      <c r="F954" s="61">
        <f>16.9796 * CHOOSE(CONTROL!$C$22, $C$13, 100%, $E$13)</f>
        <v>16.979600000000001</v>
      </c>
      <c r="G954" s="61">
        <f>16.9797 * CHOOSE(CONTROL!$C$22, $C$13, 100%, $E$13)</f>
        <v>16.979700000000001</v>
      </c>
      <c r="H954" s="61">
        <f>29.1843* CHOOSE(CONTROL!$C$22, $C$13, 100%, $E$13)</f>
        <v>29.1843</v>
      </c>
      <c r="I954" s="61">
        <f>29.1844 * CHOOSE(CONTROL!$C$22, $C$13, 100%, $E$13)</f>
        <v>29.1844</v>
      </c>
      <c r="J954" s="61">
        <f>16.9796 * CHOOSE(CONTROL!$C$22, $C$13, 100%, $E$13)</f>
        <v>16.979600000000001</v>
      </c>
      <c r="K954" s="61">
        <f>16.9797 * CHOOSE(CONTROL!$C$22, $C$13, 100%, $E$13)</f>
        <v>16.979700000000001</v>
      </c>
    </row>
    <row r="955" spans="1:11" ht="15">
      <c r="A955" s="13">
        <v>70919</v>
      </c>
      <c r="B955" s="60">
        <f>14.2265 * CHOOSE(CONTROL!$C$22, $C$13, 100%, $E$13)</f>
        <v>14.2265</v>
      </c>
      <c r="C955" s="60">
        <f>14.2265 * CHOOSE(CONTROL!$C$22, $C$13, 100%, $E$13)</f>
        <v>14.2265</v>
      </c>
      <c r="D955" s="60">
        <f>14.2442 * CHOOSE(CONTROL!$C$22, $C$13, 100%, $E$13)</f>
        <v>14.244199999999999</v>
      </c>
      <c r="E955" s="61">
        <f>17.2044 * CHOOSE(CONTROL!$C$22, $C$13, 100%, $E$13)</f>
        <v>17.2044</v>
      </c>
      <c r="F955" s="61">
        <f>17.2044 * CHOOSE(CONTROL!$C$22, $C$13, 100%, $E$13)</f>
        <v>17.2044</v>
      </c>
      <c r="G955" s="61">
        <f>17.2046 * CHOOSE(CONTROL!$C$22, $C$13, 100%, $E$13)</f>
        <v>17.204599999999999</v>
      </c>
      <c r="H955" s="61">
        <f>29.2451* CHOOSE(CONTROL!$C$22, $C$13, 100%, $E$13)</f>
        <v>29.245100000000001</v>
      </c>
      <c r="I955" s="61">
        <f>29.2452 * CHOOSE(CONTROL!$C$22, $C$13, 100%, $E$13)</f>
        <v>29.245200000000001</v>
      </c>
      <c r="J955" s="61">
        <f>17.2044 * CHOOSE(CONTROL!$C$22, $C$13, 100%, $E$13)</f>
        <v>17.2044</v>
      </c>
      <c r="K955" s="61">
        <f>17.2046 * CHOOSE(CONTROL!$C$22, $C$13, 100%, $E$13)</f>
        <v>17.204599999999999</v>
      </c>
    </row>
    <row r="956" spans="1:11" ht="15">
      <c r="A956" s="13">
        <v>70950</v>
      </c>
      <c r="B956" s="60">
        <f>14.2343 * CHOOSE(CONTROL!$C$22, $C$13, 100%, $E$13)</f>
        <v>14.234299999999999</v>
      </c>
      <c r="C956" s="60">
        <f>14.2343 * CHOOSE(CONTROL!$C$22, $C$13, 100%, $E$13)</f>
        <v>14.234299999999999</v>
      </c>
      <c r="D956" s="60">
        <f>14.2519 * CHOOSE(CONTROL!$C$22, $C$13, 100%, $E$13)</f>
        <v>14.251899999999999</v>
      </c>
      <c r="E956" s="61">
        <f>17.4439 * CHOOSE(CONTROL!$C$22, $C$13, 100%, $E$13)</f>
        <v>17.443899999999999</v>
      </c>
      <c r="F956" s="61">
        <f>17.4439 * CHOOSE(CONTROL!$C$22, $C$13, 100%, $E$13)</f>
        <v>17.443899999999999</v>
      </c>
      <c r="G956" s="61">
        <f>17.4441 * CHOOSE(CONTROL!$C$22, $C$13, 100%, $E$13)</f>
        <v>17.444099999999999</v>
      </c>
      <c r="H956" s="61">
        <f>29.306* CHOOSE(CONTROL!$C$22, $C$13, 100%, $E$13)</f>
        <v>29.306000000000001</v>
      </c>
      <c r="I956" s="61">
        <f>29.3062 * CHOOSE(CONTROL!$C$22, $C$13, 100%, $E$13)</f>
        <v>29.3062</v>
      </c>
      <c r="J956" s="61">
        <f>17.4439 * CHOOSE(CONTROL!$C$22, $C$13, 100%, $E$13)</f>
        <v>17.443899999999999</v>
      </c>
      <c r="K956" s="61">
        <f>17.4441 * CHOOSE(CONTROL!$C$22, $C$13, 100%, $E$13)</f>
        <v>17.444099999999999</v>
      </c>
    </row>
    <row r="957" spans="1:11" ht="15">
      <c r="A957" s="13">
        <v>70980</v>
      </c>
      <c r="B957" s="60">
        <f>14.2343 * CHOOSE(CONTROL!$C$22, $C$13, 100%, $E$13)</f>
        <v>14.234299999999999</v>
      </c>
      <c r="C957" s="60">
        <f>14.2343 * CHOOSE(CONTROL!$C$22, $C$13, 100%, $E$13)</f>
        <v>14.234299999999999</v>
      </c>
      <c r="D957" s="60">
        <f>14.2696 * CHOOSE(CONTROL!$C$22, $C$13, 100%, $E$13)</f>
        <v>14.269600000000001</v>
      </c>
      <c r="E957" s="61">
        <f>17.5353 * CHOOSE(CONTROL!$C$22, $C$13, 100%, $E$13)</f>
        <v>17.535299999999999</v>
      </c>
      <c r="F957" s="61">
        <f>17.5353 * CHOOSE(CONTROL!$C$22, $C$13, 100%, $E$13)</f>
        <v>17.535299999999999</v>
      </c>
      <c r="G957" s="61">
        <f>17.5375 * CHOOSE(CONTROL!$C$22, $C$13, 100%, $E$13)</f>
        <v>17.537500000000001</v>
      </c>
      <c r="H957" s="61">
        <f>29.3671* CHOOSE(CONTROL!$C$22, $C$13, 100%, $E$13)</f>
        <v>29.367100000000001</v>
      </c>
      <c r="I957" s="61">
        <f>29.3692 * CHOOSE(CONTROL!$C$22, $C$13, 100%, $E$13)</f>
        <v>29.369199999999999</v>
      </c>
      <c r="J957" s="61">
        <f>17.5353 * CHOOSE(CONTROL!$C$22, $C$13, 100%, $E$13)</f>
        <v>17.535299999999999</v>
      </c>
      <c r="K957" s="61">
        <f>17.5375 * CHOOSE(CONTROL!$C$22, $C$13, 100%, $E$13)</f>
        <v>17.537500000000001</v>
      </c>
    </row>
    <row r="958" spans="1:11" ht="15">
      <c r="A958" s="13">
        <v>71011</v>
      </c>
      <c r="B958" s="60">
        <f>14.2404 * CHOOSE(CONTROL!$C$22, $C$13, 100%, $E$13)</f>
        <v>14.240399999999999</v>
      </c>
      <c r="C958" s="60">
        <f>14.2404 * CHOOSE(CONTROL!$C$22, $C$13, 100%, $E$13)</f>
        <v>14.240399999999999</v>
      </c>
      <c r="D958" s="60">
        <f>14.2757 * CHOOSE(CONTROL!$C$22, $C$13, 100%, $E$13)</f>
        <v>14.275700000000001</v>
      </c>
      <c r="E958" s="61">
        <f>17.4482 * CHOOSE(CONTROL!$C$22, $C$13, 100%, $E$13)</f>
        <v>17.4482</v>
      </c>
      <c r="F958" s="61">
        <f>17.4482 * CHOOSE(CONTROL!$C$22, $C$13, 100%, $E$13)</f>
        <v>17.4482</v>
      </c>
      <c r="G958" s="61">
        <f>17.4504 * CHOOSE(CONTROL!$C$22, $C$13, 100%, $E$13)</f>
        <v>17.450399999999998</v>
      </c>
      <c r="H958" s="61">
        <f>29.4282* CHOOSE(CONTROL!$C$22, $C$13, 100%, $E$13)</f>
        <v>29.4282</v>
      </c>
      <c r="I958" s="61">
        <f>29.4304 * CHOOSE(CONTROL!$C$22, $C$13, 100%, $E$13)</f>
        <v>29.430399999999999</v>
      </c>
      <c r="J958" s="61">
        <f>17.4482 * CHOOSE(CONTROL!$C$22, $C$13, 100%, $E$13)</f>
        <v>17.4482</v>
      </c>
      <c r="K958" s="61">
        <f>17.4504 * CHOOSE(CONTROL!$C$22, $C$13, 100%, $E$13)</f>
        <v>17.450399999999998</v>
      </c>
    </row>
    <row r="959" spans="1:11" ht="15">
      <c r="A959" s="13">
        <v>71041</v>
      </c>
      <c r="B959" s="60">
        <f>14.436 * CHOOSE(CONTROL!$C$22, $C$13, 100%, $E$13)</f>
        <v>14.436</v>
      </c>
      <c r="C959" s="60">
        <f>14.436 * CHOOSE(CONTROL!$C$22, $C$13, 100%, $E$13)</f>
        <v>14.436</v>
      </c>
      <c r="D959" s="60">
        <f>14.4714 * CHOOSE(CONTROL!$C$22, $C$13, 100%, $E$13)</f>
        <v>14.471399999999999</v>
      </c>
      <c r="E959" s="61">
        <f>17.7631 * CHOOSE(CONTROL!$C$22, $C$13, 100%, $E$13)</f>
        <v>17.763100000000001</v>
      </c>
      <c r="F959" s="61">
        <f>17.7631 * CHOOSE(CONTROL!$C$22, $C$13, 100%, $E$13)</f>
        <v>17.763100000000001</v>
      </c>
      <c r="G959" s="61">
        <f>17.7653 * CHOOSE(CONTROL!$C$22, $C$13, 100%, $E$13)</f>
        <v>17.7653</v>
      </c>
      <c r="H959" s="61">
        <f>29.4895* CHOOSE(CONTROL!$C$22, $C$13, 100%, $E$13)</f>
        <v>29.4895</v>
      </c>
      <c r="I959" s="61">
        <f>29.4917 * CHOOSE(CONTROL!$C$22, $C$13, 100%, $E$13)</f>
        <v>29.491700000000002</v>
      </c>
      <c r="J959" s="61">
        <f>17.7631 * CHOOSE(CONTROL!$C$22, $C$13, 100%, $E$13)</f>
        <v>17.763100000000001</v>
      </c>
      <c r="K959" s="61">
        <f>17.7653 * CHOOSE(CONTROL!$C$22, $C$13, 100%, $E$13)</f>
        <v>17.7653</v>
      </c>
    </row>
    <row r="960" spans="1:11" ht="15">
      <c r="A960" s="13">
        <v>71072</v>
      </c>
      <c r="B960" s="60">
        <f>14.4427 * CHOOSE(CONTROL!$C$22, $C$13, 100%, $E$13)</f>
        <v>14.4427</v>
      </c>
      <c r="C960" s="60">
        <f>14.4427 * CHOOSE(CONTROL!$C$22, $C$13, 100%, $E$13)</f>
        <v>14.4427</v>
      </c>
      <c r="D960" s="60">
        <f>14.478 * CHOOSE(CONTROL!$C$22, $C$13, 100%, $E$13)</f>
        <v>14.478</v>
      </c>
      <c r="E960" s="61">
        <f>17.4935 * CHOOSE(CONTROL!$C$22, $C$13, 100%, $E$13)</f>
        <v>17.493500000000001</v>
      </c>
      <c r="F960" s="61">
        <f>17.4935 * CHOOSE(CONTROL!$C$22, $C$13, 100%, $E$13)</f>
        <v>17.493500000000001</v>
      </c>
      <c r="G960" s="61">
        <f>17.4957 * CHOOSE(CONTROL!$C$22, $C$13, 100%, $E$13)</f>
        <v>17.495699999999999</v>
      </c>
      <c r="H960" s="61">
        <f>29.551* CHOOSE(CONTROL!$C$22, $C$13, 100%, $E$13)</f>
        <v>29.550999999999998</v>
      </c>
      <c r="I960" s="61">
        <f>29.5532 * CHOOSE(CONTROL!$C$22, $C$13, 100%, $E$13)</f>
        <v>29.5532</v>
      </c>
      <c r="J960" s="61">
        <f>17.4935 * CHOOSE(CONTROL!$C$22, $C$13, 100%, $E$13)</f>
        <v>17.493500000000001</v>
      </c>
      <c r="K960" s="61">
        <f>17.4957 * CHOOSE(CONTROL!$C$22, $C$13, 100%, $E$13)</f>
        <v>17.495699999999999</v>
      </c>
    </row>
    <row r="961" spans="1:11" ht="15">
      <c r="A961" s="13">
        <v>71103</v>
      </c>
      <c r="B961" s="60">
        <f>14.4397 * CHOOSE(CONTROL!$C$22, $C$13, 100%, $E$13)</f>
        <v>14.4397</v>
      </c>
      <c r="C961" s="60">
        <f>14.4397 * CHOOSE(CONTROL!$C$22, $C$13, 100%, $E$13)</f>
        <v>14.4397</v>
      </c>
      <c r="D961" s="60">
        <f>14.475 * CHOOSE(CONTROL!$C$22, $C$13, 100%, $E$13)</f>
        <v>14.475</v>
      </c>
      <c r="E961" s="61">
        <f>17.4609 * CHOOSE(CONTROL!$C$22, $C$13, 100%, $E$13)</f>
        <v>17.460899999999999</v>
      </c>
      <c r="F961" s="61">
        <f>17.4609 * CHOOSE(CONTROL!$C$22, $C$13, 100%, $E$13)</f>
        <v>17.460899999999999</v>
      </c>
      <c r="G961" s="61">
        <f>17.4631 * CHOOSE(CONTROL!$C$22, $C$13, 100%, $E$13)</f>
        <v>17.463100000000001</v>
      </c>
      <c r="H961" s="61">
        <f>29.6125* CHOOSE(CONTROL!$C$22, $C$13, 100%, $E$13)</f>
        <v>29.612500000000001</v>
      </c>
      <c r="I961" s="61">
        <f>29.6147 * CHOOSE(CONTROL!$C$22, $C$13, 100%, $E$13)</f>
        <v>29.614699999999999</v>
      </c>
      <c r="J961" s="61">
        <f>17.4609 * CHOOSE(CONTROL!$C$22, $C$13, 100%, $E$13)</f>
        <v>17.460899999999999</v>
      </c>
      <c r="K961" s="61">
        <f>17.4631 * CHOOSE(CONTROL!$C$22, $C$13, 100%, $E$13)</f>
        <v>17.463100000000001</v>
      </c>
    </row>
    <row r="962" spans="1:11" ht="15">
      <c r="A962" s="13">
        <v>71133</v>
      </c>
      <c r="B962" s="60">
        <f>14.4744 * CHOOSE(CONTROL!$C$22, $C$13, 100%, $E$13)</f>
        <v>14.474399999999999</v>
      </c>
      <c r="C962" s="60">
        <f>14.4744 * CHOOSE(CONTROL!$C$22, $C$13, 100%, $E$13)</f>
        <v>14.474399999999999</v>
      </c>
      <c r="D962" s="60">
        <f>14.492 * CHOOSE(CONTROL!$C$22, $C$13, 100%, $E$13)</f>
        <v>14.492000000000001</v>
      </c>
      <c r="E962" s="61">
        <f>17.5694 * CHOOSE(CONTROL!$C$22, $C$13, 100%, $E$13)</f>
        <v>17.569400000000002</v>
      </c>
      <c r="F962" s="61">
        <f>17.5694 * CHOOSE(CONTROL!$C$22, $C$13, 100%, $E$13)</f>
        <v>17.569400000000002</v>
      </c>
      <c r="G962" s="61">
        <f>17.5696 * CHOOSE(CONTROL!$C$22, $C$13, 100%, $E$13)</f>
        <v>17.569600000000001</v>
      </c>
      <c r="H962" s="61">
        <f>29.6742* CHOOSE(CONTROL!$C$22, $C$13, 100%, $E$13)</f>
        <v>29.674199999999999</v>
      </c>
      <c r="I962" s="61">
        <f>29.6744 * CHOOSE(CONTROL!$C$22, $C$13, 100%, $E$13)</f>
        <v>29.674399999999999</v>
      </c>
      <c r="J962" s="61">
        <f>17.5694 * CHOOSE(CONTROL!$C$22, $C$13, 100%, $E$13)</f>
        <v>17.569400000000002</v>
      </c>
      <c r="K962" s="61">
        <f>17.5696 * CHOOSE(CONTROL!$C$22, $C$13, 100%, $E$13)</f>
        <v>17.569600000000001</v>
      </c>
    </row>
    <row r="963" spans="1:11" ht="15">
      <c r="A963" s="13">
        <v>71164</v>
      </c>
      <c r="B963" s="60">
        <f>14.4774 * CHOOSE(CONTROL!$C$22, $C$13, 100%, $E$13)</f>
        <v>14.477399999999999</v>
      </c>
      <c r="C963" s="60">
        <f>14.4774 * CHOOSE(CONTROL!$C$22, $C$13, 100%, $E$13)</f>
        <v>14.477399999999999</v>
      </c>
      <c r="D963" s="60">
        <f>14.4951 * CHOOSE(CONTROL!$C$22, $C$13, 100%, $E$13)</f>
        <v>14.495100000000001</v>
      </c>
      <c r="E963" s="61">
        <f>17.6324 * CHOOSE(CONTROL!$C$22, $C$13, 100%, $E$13)</f>
        <v>17.632400000000001</v>
      </c>
      <c r="F963" s="61">
        <f>17.6324 * CHOOSE(CONTROL!$C$22, $C$13, 100%, $E$13)</f>
        <v>17.632400000000001</v>
      </c>
      <c r="G963" s="61">
        <f>17.6326 * CHOOSE(CONTROL!$C$22, $C$13, 100%, $E$13)</f>
        <v>17.6326</v>
      </c>
      <c r="H963" s="61">
        <f>29.7361* CHOOSE(CONTROL!$C$22, $C$13, 100%, $E$13)</f>
        <v>29.7361</v>
      </c>
      <c r="I963" s="61">
        <f>29.7362 * CHOOSE(CONTROL!$C$22, $C$13, 100%, $E$13)</f>
        <v>29.7362</v>
      </c>
      <c r="J963" s="61">
        <f>17.6324 * CHOOSE(CONTROL!$C$22, $C$13, 100%, $E$13)</f>
        <v>17.632400000000001</v>
      </c>
      <c r="K963" s="61">
        <f>17.6326 * CHOOSE(CONTROL!$C$22, $C$13, 100%, $E$13)</f>
        <v>17.6326</v>
      </c>
    </row>
    <row r="964" spans="1:11" ht="15">
      <c r="A964" s="13">
        <v>71194</v>
      </c>
      <c r="B964" s="60">
        <f>14.4774 * CHOOSE(CONTROL!$C$22, $C$13, 100%, $E$13)</f>
        <v>14.477399999999999</v>
      </c>
      <c r="C964" s="60">
        <f>14.4774 * CHOOSE(CONTROL!$C$22, $C$13, 100%, $E$13)</f>
        <v>14.477399999999999</v>
      </c>
      <c r="D964" s="60">
        <f>14.4951 * CHOOSE(CONTROL!$C$22, $C$13, 100%, $E$13)</f>
        <v>14.495100000000001</v>
      </c>
      <c r="E964" s="61">
        <f>17.4801 * CHOOSE(CONTROL!$C$22, $C$13, 100%, $E$13)</f>
        <v>17.4801</v>
      </c>
      <c r="F964" s="61">
        <f>17.4801 * CHOOSE(CONTROL!$C$22, $C$13, 100%, $E$13)</f>
        <v>17.4801</v>
      </c>
      <c r="G964" s="61">
        <f>17.4803 * CHOOSE(CONTROL!$C$22, $C$13, 100%, $E$13)</f>
        <v>17.4803</v>
      </c>
      <c r="H964" s="61">
        <f>29.798* CHOOSE(CONTROL!$C$22, $C$13, 100%, $E$13)</f>
        <v>29.797999999999998</v>
      </c>
      <c r="I964" s="61">
        <f>29.7982 * CHOOSE(CONTROL!$C$22, $C$13, 100%, $E$13)</f>
        <v>29.798200000000001</v>
      </c>
      <c r="J964" s="61">
        <f>17.4801 * CHOOSE(CONTROL!$C$22, $C$13, 100%, $E$13)</f>
        <v>17.4801</v>
      </c>
      <c r="K964" s="61">
        <f>17.4803 * CHOOSE(CONTROL!$C$22, $C$13, 100%, $E$13)</f>
        <v>17.4803</v>
      </c>
    </row>
    <row r="965" spans="1:11" ht="15">
      <c r="A965" s="13">
        <v>71225</v>
      </c>
      <c r="B965" s="60">
        <f>14.4292 * CHOOSE(CONTROL!$C$22, $C$13, 100%, $E$13)</f>
        <v>14.4292</v>
      </c>
      <c r="C965" s="60">
        <f>14.4292 * CHOOSE(CONTROL!$C$22, $C$13, 100%, $E$13)</f>
        <v>14.4292</v>
      </c>
      <c r="D965" s="60">
        <f>14.4469 * CHOOSE(CONTROL!$C$22, $C$13, 100%, $E$13)</f>
        <v>14.446899999999999</v>
      </c>
      <c r="E965" s="61">
        <f>17.5214 * CHOOSE(CONTROL!$C$22, $C$13, 100%, $E$13)</f>
        <v>17.5214</v>
      </c>
      <c r="F965" s="61">
        <f>17.5214 * CHOOSE(CONTROL!$C$22, $C$13, 100%, $E$13)</f>
        <v>17.5214</v>
      </c>
      <c r="G965" s="61">
        <f>17.5216 * CHOOSE(CONTROL!$C$22, $C$13, 100%, $E$13)</f>
        <v>17.521599999999999</v>
      </c>
      <c r="H965" s="61">
        <f>29.5251* CHOOSE(CONTROL!$C$22, $C$13, 100%, $E$13)</f>
        <v>29.525099999999998</v>
      </c>
      <c r="I965" s="61">
        <f>29.5252 * CHOOSE(CONTROL!$C$22, $C$13, 100%, $E$13)</f>
        <v>29.525200000000002</v>
      </c>
      <c r="J965" s="61">
        <f>17.5214 * CHOOSE(CONTROL!$C$22, $C$13, 100%, $E$13)</f>
        <v>17.5214</v>
      </c>
      <c r="K965" s="61">
        <f>17.5216 * CHOOSE(CONTROL!$C$22, $C$13, 100%, $E$13)</f>
        <v>17.521599999999999</v>
      </c>
    </row>
    <row r="966" spans="1:11" ht="15">
      <c r="A966" s="13">
        <v>71256</v>
      </c>
      <c r="B966" s="60">
        <f>14.4262 * CHOOSE(CONTROL!$C$22, $C$13, 100%, $E$13)</f>
        <v>14.4262</v>
      </c>
      <c r="C966" s="60">
        <f>14.4262 * CHOOSE(CONTROL!$C$22, $C$13, 100%, $E$13)</f>
        <v>14.4262</v>
      </c>
      <c r="D966" s="60">
        <f>14.4439 * CHOOSE(CONTROL!$C$22, $C$13, 100%, $E$13)</f>
        <v>14.443899999999999</v>
      </c>
      <c r="E966" s="61">
        <f>17.2269 * CHOOSE(CONTROL!$C$22, $C$13, 100%, $E$13)</f>
        <v>17.226900000000001</v>
      </c>
      <c r="F966" s="61">
        <f>17.2269 * CHOOSE(CONTROL!$C$22, $C$13, 100%, $E$13)</f>
        <v>17.226900000000001</v>
      </c>
      <c r="G966" s="61">
        <f>17.2271 * CHOOSE(CONTROL!$C$22, $C$13, 100%, $E$13)</f>
        <v>17.2271</v>
      </c>
      <c r="H966" s="61">
        <f>29.5866* CHOOSE(CONTROL!$C$22, $C$13, 100%, $E$13)</f>
        <v>29.586600000000001</v>
      </c>
      <c r="I966" s="61">
        <f>29.5867 * CHOOSE(CONTROL!$C$22, $C$13, 100%, $E$13)</f>
        <v>29.5867</v>
      </c>
      <c r="J966" s="61">
        <f>17.2269 * CHOOSE(CONTROL!$C$22, $C$13, 100%, $E$13)</f>
        <v>17.226900000000001</v>
      </c>
      <c r="K966" s="61">
        <f>17.2271 * CHOOSE(CONTROL!$C$22, $C$13, 100%, $E$13)</f>
        <v>17.2271</v>
      </c>
    </row>
    <row r="967" spans="1:11" ht="15">
      <c r="A967" s="13">
        <v>71284</v>
      </c>
      <c r="B967" s="60">
        <f>14.4232 * CHOOSE(CONTROL!$C$22, $C$13, 100%, $E$13)</f>
        <v>14.4232</v>
      </c>
      <c r="C967" s="60">
        <f>14.4232 * CHOOSE(CONTROL!$C$22, $C$13, 100%, $E$13)</f>
        <v>14.4232</v>
      </c>
      <c r="D967" s="60">
        <f>14.4408 * CHOOSE(CONTROL!$C$22, $C$13, 100%, $E$13)</f>
        <v>14.440799999999999</v>
      </c>
      <c r="E967" s="61">
        <f>17.4553 * CHOOSE(CONTROL!$C$22, $C$13, 100%, $E$13)</f>
        <v>17.455300000000001</v>
      </c>
      <c r="F967" s="61">
        <f>17.4553 * CHOOSE(CONTROL!$C$22, $C$13, 100%, $E$13)</f>
        <v>17.455300000000001</v>
      </c>
      <c r="G967" s="61">
        <f>17.4555 * CHOOSE(CONTROL!$C$22, $C$13, 100%, $E$13)</f>
        <v>17.455500000000001</v>
      </c>
      <c r="H967" s="61">
        <f>29.6482* CHOOSE(CONTROL!$C$22, $C$13, 100%, $E$13)</f>
        <v>29.648199999999999</v>
      </c>
      <c r="I967" s="61">
        <f>29.6484 * CHOOSE(CONTROL!$C$22, $C$13, 100%, $E$13)</f>
        <v>29.648399999999999</v>
      </c>
      <c r="J967" s="61">
        <f>17.4553 * CHOOSE(CONTROL!$C$22, $C$13, 100%, $E$13)</f>
        <v>17.455300000000001</v>
      </c>
      <c r="K967" s="61">
        <f>17.4555 * CHOOSE(CONTROL!$C$22, $C$13, 100%, $E$13)</f>
        <v>17.455500000000001</v>
      </c>
    </row>
    <row r="968" spans="1:11" ht="15">
      <c r="A968" s="13">
        <v>71315</v>
      </c>
      <c r="B968" s="60">
        <f>14.4311 * CHOOSE(CONTROL!$C$22, $C$13, 100%, $E$13)</f>
        <v>14.431100000000001</v>
      </c>
      <c r="C968" s="60">
        <f>14.4311 * CHOOSE(CONTROL!$C$22, $C$13, 100%, $E$13)</f>
        <v>14.431100000000001</v>
      </c>
      <c r="D968" s="60">
        <f>14.4488 * CHOOSE(CONTROL!$C$22, $C$13, 100%, $E$13)</f>
        <v>14.4488</v>
      </c>
      <c r="E968" s="61">
        <f>17.6986 * CHOOSE(CONTROL!$C$22, $C$13, 100%, $E$13)</f>
        <v>17.698599999999999</v>
      </c>
      <c r="F968" s="61">
        <f>17.6986 * CHOOSE(CONTROL!$C$22, $C$13, 100%, $E$13)</f>
        <v>17.698599999999999</v>
      </c>
      <c r="G968" s="61">
        <f>17.6988 * CHOOSE(CONTROL!$C$22, $C$13, 100%, $E$13)</f>
        <v>17.698799999999999</v>
      </c>
      <c r="H968" s="61">
        <f>29.71* CHOOSE(CONTROL!$C$22, $C$13, 100%, $E$13)</f>
        <v>29.71</v>
      </c>
      <c r="I968" s="61">
        <f>29.7102 * CHOOSE(CONTROL!$C$22, $C$13, 100%, $E$13)</f>
        <v>29.7102</v>
      </c>
      <c r="J968" s="61">
        <f>17.6986 * CHOOSE(CONTROL!$C$22, $C$13, 100%, $E$13)</f>
        <v>17.698599999999999</v>
      </c>
      <c r="K968" s="61">
        <f>17.6988 * CHOOSE(CONTROL!$C$22, $C$13, 100%, $E$13)</f>
        <v>17.698799999999999</v>
      </c>
    </row>
    <row r="969" spans="1:11" ht="15">
      <c r="A969" s="13">
        <v>71345</v>
      </c>
      <c r="B969" s="60">
        <f>14.4311 * CHOOSE(CONTROL!$C$22, $C$13, 100%, $E$13)</f>
        <v>14.431100000000001</v>
      </c>
      <c r="C969" s="60">
        <f>14.4311 * CHOOSE(CONTROL!$C$22, $C$13, 100%, $E$13)</f>
        <v>14.431100000000001</v>
      </c>
      <c r="D969" s="60">
        <f>14.4664 * CHOOSE(CONTROL!$C$22, $C$13, 100%, $E$13)</f>
        <v>14.4664</v>
      </c>
      <c r="E969" s="61">
        <f>17.7914 * CHOOSE(CONTROL!$C$22, $C$13, 100%, $E$13)</f>
        <v>17.791399999999999</v>
      </c>
      <c r="F969" s="61">
        <f>17.7914 * CHOOSE(CONTROL!$C$22, $C$13, 100%, $E$13)</f>
        <v>17.791399999999999</v>
      </c>
      <c r="G969" s="61">
        <f>17.7936 * CHOOSE(CONTROL!$C$22, $C$13, 100%, $E$13)</f>
        <v>17.793600000000001</v>
      </c>
      <c r="H969" s="61">
        <f>29.7719* CHOOSE(CONTROL!$C$22, $C$13, 100%, $E$13)</f>
        <v>29.771899999999999</v>
      </c>
      <c r="I969" s="61">
        <f>29.7741 * CHOOSE(CONTROL!$C$22, $C$13, 100%, $E$13)</f>
        <v>29.774100000000001</v>
      </c>
      <c r="J969" s="61">
        <f>17.7914 * CHOOSE(CONTROL!$C$22, $C$13, 100%, $E$13)</f>
        <v>17.791399999999999</v>
      </c>
      <c r="K969" s="61">
        <f>17.7936 * CHOOSE(CONTROL!$C$22, $C$13, 100%, $E$13)</f>
        <v>17.793600000000001</v>
      </c>
    </row>
    <row r="970" spans="1:11" ht="15">
      <c r="A970" s="13">
        <v>71376</v>
      </c>
      <c r="B970" s="60">
        <f>14.4372 * CHOOSE(CONTROL!$C$22, $C$13, 100%, $E$13)</f>
        <v>14.437200000000001</v>
      </c>
      <c r="C970" s="60">
        <f>14.4372 * CHOOSE(CONTROL!$C$22, $C$13, 100%, $E$13)</f>
        <v>14.437200000000001</v>
      </c>
      <c r="D970" s="60">
        <f>14.4725 * CHOOSE(CONTROL!$C$22, $C$13, 100%, $E$13)</f>
        <v>14.4725</v>
      </c>
      <c r="E970" s="61">
        <f>17.7028 * CHOOSE(CONTROL!$C$22, $C$13, 100%, $E$13)</f>
        <v>17.7028</v>
      </c>
      <c r="F970" s="61">
        <f>17.7028 * CHOOSE(CONTROL!$C$22, $C$13, 100%, $E$13)</f>
        <v>17.7028</v>
      </c>
      <c r="G970" s="61">
        <f>17.705 * CHOOSE(CONTROL!$C$22, $C$13, 100%, $E$13)</f>
        <v>17.704999999999998</v>
      </c>
      <c r="H970" s="61">
        <f>29.8339* CHOOSE(CONTROL!$C$22, $C$13, 100%, $E$13)</f>
        <v>29.8339</v>
      </c>
      <c r="I970" s="61">
        <f>29.8361 * CHOOSE(CONTROL!$C$22, $C$13, 100%, $E$13)</f>
        <v>29.836099999999998</v>
      </c>
      <c r="J970" s="61">
        <f>17.7028 * CHOOSE(CONTROL!$C$22, $C$13, 100%, $E$13)</f>
        <v>17.7028</v>
      </c>
      <c r="K970" s="61">
        <f>17.705 * CHOOSE(CONTROL!$C$22, $C$13, 100%, $E$13)</f>
        <v>17.704999999999998</v>
      </c>
    </row>
    <row r="971" spans="1:11" ht="15">
      <c r="A971" s="13">
        <v>71406</v>
      </c>
      <c r="B971" s="60">
        <f>14.6354 * CHOOSE(CONTROL!$C$22, $C$13, 100%, $E$13)</f>
        <v>14.635400000000001</v>
      </c>
      <c r="C971" s="60">
        <f>14.6354 * CHOOSE(CONTROL!$C$22, $C$13, 100%, $E$13)</f>
        <v>14.635400000000001</v>
      </c>
      <c r="D971" s="60">
        <f>14.6707 * CHOOSE(CONTROL!$C$22, $C$13, 100%, $E$13)</f>
        <v>14.6707</v>
      </c>
      <c r="E971" s="61">
        <f>18.0222 * CHOOSE(CONTROL!$C$22, $C$13, 100%, $E$13)</f>
        <v>18.022200000000002</v>
      </c>
      <c r="F971" s="61">
        <f>18.0222 * CHOOSE(CONTROL!$C$22, $C$13, 100%, $E$13)</f>
        <v>18.022200000000002</v>
      </c>
      <c r="G971" s="61">
        <f>18.0244 * CHOOSE(CONTROL!$C$22, $C$13, 100%, $E$13)</f>
        <v>18.0244</v>
      </c>
      <c r="H971" s="61">
        <f>29.896* CHOOSE(CONTROL!$C$22, $C$13, 100%, $E$13)</f>
        <v>29.896000000000001</v>
      </c>
      <c r="I971" s="61">
        <f>29.8982 * CHOOSE(CONTROL!$C$22, $C$13, 100%, $E$13)</f>
        <v>29.898199999999999</v>
      </c>
      <c r="J971" s="61">
        <f>18.0222 * CHOOSE(CONTROL!$C$22, $C$13, 100%, $E$13)</f>
        <v>18.022200000000002</v>
      </c>
      <c r="K971" s="61">
        <f>18.0244 * CHOOSE(CONTROL!$C$22, $C$13, 100%, $E$13)</f>
        <v>18.0244</v>
      </c>
    </row>
    <row r="972" spans="1:11" ht="15">
      <c r="A972" s="13">
        <v>71437</v>
      </c>
      <c r="B972" s="60">
        <f>14.642 * CHOOSE(CONTROL!$C$22, $C$13, 100%, $E$13)</f>
        <v>14.641999999999999</v>
      </c>
      <c r="C972" s="60">
        <f>14.642 * CHOOSE(CONTROL!$C$22, $C$13, 100%, $E$13)</f>
        <v>14.641999999999999</v>
      </c>
      <c r="D972" s="60">
        <f>14.6774 * CHOOSE(CONTROL!$C$22, $C$13, 100%, $E$13)</f>
        <v>14.6774</v>
      </c>
      <c r="E972" s="61">
        <f>17.7484 * CHOOSE(CONTROL!$C$22, $C$13, 100%, $E$13)</f>
        <v>17.7484</v>
      </c>
      <c r="F972" s="61">
        <f>17.7484 * CHOOSE(CONTROL!$C$22, $C$13, 100%, $E$13)</f>
        <v>17.7484</v>
      </c>
      <c r="G972" s="61">
        <f>17.7505 * CHOOSE(CONTROL!$C$22, $C$13, 100%, $E$13)</f>
        <v>17.750499999999999</v>
      </c>
      <c r="H972" s="61">
        <f>29.9583* CHOOSE(CONTROL!$C$22, $C$13, 100%, $E$13)</f>
        <v>29.958300000000001</v>
      </c>
      <c r="I972" s="61">
        <f>29.9605 * CHOOSE(CONTROL!$C$22, $C$13, 100%, $E$13)</f>
        <v>29.9605</v>
      </c>
      <c r="J972" s="61">
        <f>17.7484 * CHOOSE(CONTROL!$C$22, $C$13, 100%, $E$13)</f>
        <v>17.7484</v>
      </c>
      <c r="K972" s="61">
        <f>17.7505 * CHOOSE(CONTROL!$C$22, $C$13, 100%, $E$13)</f>
        <v>17.750499999999999</v>
      </c>
    </row>
    <row r="973" spans="1:11" ht="15">
      <c r="A973" s="13">
        <v>71468</v>
      </c>
      <c r="B973" s="60">
        <f>14.639 * CHOOSE(CONTROL!$C$22, $C$13, 100%, $E$13)</f>
        <v>14.638999999999999</v>
      </c>
      <c r="C973" s="60">
        <f>14.639 * CHOOSE(CONTROL!$C$22, $C$13, 100%, $E$13)</f>
        <v>14.638999999999999</v>
      </c>
      <c r="D973" s="60">
        <f>14.6743 * CHOOSE(CONTROL!$C$22, $C$13, 100%, $E$13)</f>
        <v>14.674300000000001</v>
      </c>
      <c r="E973" s="61">
        <f>17.7153 * CHOOSE(CONTROL!$C$22, $C$13, 100%, $E$13)</f>
        <v>17.715299999999999</v>
      </c>
      <c r="F973" s="61">
        <f>17.7153 * CHOOSE(CONTROL!$C$22, $C$13, 100%, $E$13)</f>
        <v>17.715299999999999</v>
      </c>
      <c r="G973" s="61">
        <f>17.7175 * CHOOSE(CONTROL!$C$22, $C$13, 100%, $E$13)</f>
        <v>17.717500000000001</v>
      </c>
      <c r="H973" s="61">
        <f>30.0207* CHOOSE(CONTROL!$C$22, $C$13, 100%, $E$13)</f>
        <v>30.020700000000001</v>
      </c>
      <c r="I973" s="61">
        <f>30.0229 * CHOOSE(CONTROL!$C$22, $C$13, 100%, $E$13)</f>
        <v>30.0229</v>
      </c>
      <c r="J973" s="61">
        <f>17.7153 * CHOOSE(CONTROL!$C$22, $C$13, 100%, $E$13)</f>
        <v>17.715299999999999</v>
      </c>
      <c r="K973" s="61">
        <f>17.7175 * CHOOSE(CONTROL!$C$22, $C$13, 100%, $E$13)</f>
        <v>17.717500000000001</v>
      </c>
    </row>
    <row r="974" spans="1:11" ht="15">
      <c r="A974" s="13">
        <v>71498</v>
      </c>
      <c r="B974" s="60">
        <f>14.6745 * CHOOSE(CONTROL!$C$22, $C$13, 100%, $E$13)</f>
        <v>14.6745</v>
      </c>
      <c r="C974" s="60">
        <f>14.6745 * CHOOSE(CONTROL!$C$22, $C$13, 100%, $E$13)</f>
        <v>14.6745</v>
      </c>
      <c r="D974" s="60">
        <f>14.6921 * CHOOSE(CONTROL!$C$22, $C$13, 100%, $E$13)</f>
        <v>14.6921</v>
      </c>
      <c r="E974" s="61">
        <f>17.8256 * CHOOSE(CONTROL!$C$22, $C$13, 100%, $E$13)</f>
        <v>17.825600000000001</v>
      </c>
      <c r="F974" s="61">
        <f>17.8256 * CHOOSE(CONTROL!$C$22, $C$13, 100%, $E$13)</f>
        <v>17.825600000000001</v>
      </c>
      <c r="G974" s="61">
        <f>17.8258 * CHOOSE(CONTROL!$C$22, $C$13, 100%, $E$13)</f>
        <v>17.825800000000001</v>
      </c>
      <c r="H974" s="61">
        <f>30.0833* CHOOSE(CONTROL!$C$22, $C$13, 100%, $E$13)</f>
        <v>30.083300000000001</v>
      </c>
      <c r="I974" s="61">
        <f>30.0835 * CHOOSE(CONTROL!$C$22, $C$13, 100%, $E$13)</f>
        <v>30.083500000000001</v>
      </c>
      <c r="J974" s="61">
        <f>17.8256 * CHOOSE(CONTROL!$C$22, $C$13, 100%, $E$13)</f>
        <v>17.825600000000001</v>
      </c>
      <c r="K974" s="61">
        <f>17.8258 * CHOOSE(CONTROL!$C$22, $C$13, 100%, $E$13)</f>
        <v>17.825800000000001</v>
      </c>
    </row>
    <row r="975" spans="1:11" ht="15">
      <c r="A975" s="13">
        <v>71529</v>
      </c>
      <c r="B975" s="60">
        <f>14.6775 * CHOOSE(CONTROL!$C$22, $C$13, 100%, $E$13)</f>
        <v>14.6775</v>
      </c>
      <c r="C975" s="60">
        <f>14.6775 * CHOOSE(CONTROL!$C$22, $C$13, 100%, $E$13)</f>
        <v>14.6775</v>
      </c>
      <c r="D975" s="60">
        <f>14.6952 * CHOOSE(CONTROL!$C$22, $C$13, 100%, $E$13)</f>
        <v>14.6952</v>
      </c>
      <c r="E975" s="61">
        <f>17.8896 * CHOOSE(CONTROL!$C$22, $C$13, 100%, $E$13)</f>
        <v>17.889600000000002</v>
      </c>
      <c r="F975" s="61">
        <f>17.8896 * CHOOSE(CONTROL!$C$22, $C$13, 100%, $E$13)</f>
        <v>17.889600000000002</v>
      </c>
      <c r="G975" s="61">
        <f>17.8898 * CHOOSE(CONTROL!$C$22, $C$13, 100%, $E$13)</f>
        <v>17.889800000000001</v>
      </c>
      <c r="H975" s="61">
        <f>30.146* CHOOSE(CONTROL!$C$22, $C$13, 100%, $E$13)</f>
        <v>30.146000000000001</v>
      </c>
      <c r="I975" s="61">
        <f>30.1461 * CHOOSE(CONTROL!$C$22, $C$13, 100%, $E$13)</f>
        <v>30.146100000000001</v>
      </c>
      <c r="J975" s="61">
        <f>17.8896 * CHOOSE(CONTROL!$C$22, $C$13, 100%, $E$13)</f>
        <v>17.889600000000002</v>
      </c>
      <c r="K975" s="61">
        <f>17.8898 * CHOOSE(CONTROL!$C$22, $C$13, 100%, $E$13)</f>
        <v>17.889800000000001</v>
      </c>
    </row>
    <row r="976" spans="1:11" ht="15">
      <c r="A976" s="13">
        <v>71559</v>
      </c>
      <c r="B976" s="60">
        <f>14.6775 * CHOOSE(CONTROL!$C$22, $C$13, 100%, $E$13)</f>
        <v>14.6775</v>
      </c>
      <c r="C976" s="60">
        <f>14.6775 * CHOOSE(CONTROL!$C$22, $C$13, 100%, $E$13)</f>
        <v>14.6775</v>
      </c>
      <c r="D976" s="60">
        <f>14.6952 * CHOOSE(CONTROL!$C$22, $C$13, 100%, $E$13)</f>
        <v>14.6952</v>
      </c>
      <c r="E976" s="61">
        <f>17.7349 * CHOOSE(CONTROL!$C$22, $C$13, 100%, $E$13)</f>
        <v>17.7349</v>
      </c>
      <c r="F976" s="61">
        <f>17.7349 * CHOOSE(CONTROL!$C$22, $C$13, 100%, $E$13)</f>
        <v>17.7349</v>
      </c>
      <c r="G976" s="61">
        <f>17.7351 * CHOOSE(CONTROL!$C$22, $C$13, 100%, $E$13)</f>
        <v>17.735099999999999</v>
      </c>
      <c r="H976" s="61">
        <f>30.2088* CHOOSE(CONTROL!$C$22, $C$13, 100%, $E$13)</f>
        <v>30.2088</v>
      </c>
      <c r="I976" s="61">
        <f>30.2089 * CHOOSE(CONTROL!$C$22, $C$13, 100%, $E$13)</f>
        <v>30.2089</v>
      </c>
      <c r="J976" s="61">
        <f>17.7349 * CHOOSE(CONTROL!$C$22, $C$13, 100%, $E$13)</f>
        <v>17.7349</v>
      </c>
      <c r="K976" s="61">
        <f>17.7351 * CHOOSE(CONTROL!$C$22, $C$13, 100%, $E$13)</f>
        <v>17.735099999999999</v>
      </c>
    </row>
    <row r="977" spans="1:11" ht="15">
      <c r="A977" s="13">
        <v>71590</v>
      </c>
      <c r="B977" s="60">
        <f>14.6259 * CHOOSE(CONTROL!$C$22, $C$13, 100%, $E$13)</f>
        <v>14.6259</v>
      </c>
      <c r="C977" s="60">
        <f>14.6259 * CHOOSE(CONTROL!$C$22, $C$13, 100%, $E$13)</f>
        <v>14.6259</v>
      </c>
      <c r="D977" s="60">
        <f>14.6435 * CHOOSE(CONTROL!$C$22, $C$13, 100%, $E$13)</f>
        <v>14.6435</v>
      </c>
      <c r="E977" s="61">
        <f>17.7733 * CHOOSE(CONTROL!$C$22, $C$13, 100%, $E$13)</f>
        <v>17.773299999999999</v>
      </c>
      <c r="F977" s="61">
        <f>17.7733 * CHOOSE(CONTROL!$C$22, $C$13, 100%, $E$13)</f>
        <v>17.773299999999999</v>
      </c>
      <c r="G977" s="61">
        <f>17.7734 * CHOOSE(CONTROL!$C$22, $C$13, 100%, $E$13)</f>
        <v>17.773399999999999</v>
      </c>
      <c r="H977" s="61">
        <f>29.9265* CHOOSE(CONTROL!$C$22, $C$13, 100%, $E$13)</f>
        <v>29.926500000000001</v>
      </c>
      <c r="I977" s="61">
        <f>29.9267 * CHOOSE(CONTROL!$C$22, $C$13, 100%, $E$13)</f>
        <v>29.9267</v>
      </c>
      <c r="J977" s="61">
        <f>17.7733 * CHOOSE(CONTROL!$C$22, $C$13, 100%, $E$13)</f>
        <v>17.773299999999999</v>
      </c>
      <c r="K977" s="61">
        <f>17.7734 * CHOOSE(CONTROL!$C$22, $C$13, 100%, $E$13)</f>
        <v>17.773399999999999</v>
      </c>
    </row>
    <row r="978" spans="1:11" ht="15">
      <c r="A978" s="13">
        <v>71621</v>
      </c>
      <c r="B978" s="60">
        <f>14.6228 * CHOOSE(CONTROL!$C$22, $C$13, 100%, $E$13)</f>
        <v>14.6228</v>
      </c>
      <c r="C978" s="60">
        <f>14.6228 * CHOOSE(CONTROL!$C$22, $C$13, 100%, $E$13)</f>
        <v>14.6228</v>
      </c>
      <c r="D978" s="60">
        <f>14.6405 * CHOOSE(CONTROL!$C$22, $C$13, 100%, $E$13)</f>
        <v>14.640499999999999</v>
      </c>
      <c r="E978" s="61">
        <f>17.4743 * CHOOSE(CONTROL!$C$22, $C$13, 100%, $E$13)</f>
        <v>17.474299999999999</v>
      </c>
      <c r="F978" s="61">
        <f>17.4743 * CHOOSE(CONTROL!$C$22, $C$13, 100%, $E$13)</f>
        <v>17.474299999999999</v>
      </c>
      <c r="G978" s="61">
        <f>17.4745 * CHOOSE(CONTROL!$C$22, $C$13, 100%, $E$13)</f>
        <v>17.474499999999999</v>
      </c>
      <c r="H978" s="61">
        <f>29.9889* CHOOSE(CONTROL!$C$22, $C$13, 100%, $E$13)</f>
        <v>29.988900000000001</v>
      </c>
      <c r="I978" s="61">
        <f>29.989 * CHOOSE(CONTROL!$C$22, $C$13, 100%, $E$13)</f>
        <v>29.989000000000001</v>
      </c>
      <c r="J978" s="61">
        <f>17.4743 * CHOOSE(CONTROL!$C$22, $C$13, 100%, $E$13)</f>
        <v>17.474299999999999</v>
      </c>
      <c r="K978" s="61">
        <f>17.4745 * CHOOSE(CONTROL!$C$22, $C$13, 100%, $E$13)</f>
        <v>17.474499999999999</v>
      </c>
    </row>
    <row r="979" spans="1:11" ht="15">
      <c r="A979" s="13">
        <v>71650</v>
      </c>
      <c r="B979" s="60">
        <f>14.6198 * CHOOSE(CONTROL!$C$22, $C$13, 100%, $E$13)</f>
        <v>14.6198</v>
      </c>
      <c r="C979" s="60">
        <f>14.6198 * CHOOSE(CONTROL!$C$22, $C$13, 100%, $E$13)</f>
        <v>14.6198</v>
      </c>
      <c r="D979" s="60">
        <f>14.6374 * CHOOSE(CONTROL!$C$22, $C$13, 100%, $E$13)</f>
        <v>14.6374</v>
      </c>
      <c r="E979" s="61">
        <f>17.7062 * CHOOSE(CONTROL!$C$22, $C$13, 100%, $E$13)</f>
        <v>17.706199999999999</v>
      </c>
      <c r="F979" s="61">
        <f>17.7062 * CHOOSE(CONTROL!$C$22, $C$13, 100%, $E$13)</f>
        <v>17.706199999999999</v>
      </c>
      <c r="G979" s="61">
        <f>17.7064 * CHOOSE(CONTROL!$C$22, $C$13, 100%, $E$13)</f>
        <v>17.706399999999999</v>
      </c>
      <c r="H979" s="61">
        <f>30.0513* CHOOSE(CONTROL!$C$22, $C$13, 100%, $E$13)</f>
        <v>30.051300000000001</v>
      </c>
      <c r="I979" s="61">
        <f>30.0515 * CHOOSE(CONTROL!$C$22, $C$13, 100%, $E$13)</f>
        <v>30.051500000000001</v>
      </c>
      <c r="J979" s="61">
        <f>17.7062 * CHOOSE(CONTROL!$C$22, $C$13, 100%, $E$13)</f>
        <v>17.706199999999999</v>
      </c>
      <c r="K979" s="61">
        <f>17.7064 * CHOOSE(CONTROL!$C$22, $C$13, 100%, $E$13)</f>
        <v>17.706399999999999</v>
      </c>
    </row>
    <row r="980" spans="1:11" ht="15">
      <c r="A980" s="13">
        <v>71681</v>
      </c>
      <c r="B980" s="60">
        <f>14.6279 * CHOOSE(CONTROL!$C$22, $C$13, 100%, $E$13)</f>
        <v>14.6279</v>
      </c>
      <c r="C980" s="60">
        <f>14.6279 * CHOOSE(CONTROL!$C$22, $C$13, 100%, $E$13)</f>
        <v>14.6279</v>
      </c>
      <c r="D980" s="60">
        <f>14.6456 * CHOOSE(CONTROL!$C$22, $C$13, 100%, $E$13)</f>
        <v>14.6456</v>
      </c>
      <c r="E980" s="61">
        <f>17.9533 * CHOOSE(CONTROL!$C$22, $C$13, 100%, $E$13)</f>
        <v>17.953299999999999</v>
      </c>
      <c r="F980" s="61">
        <f>17.9533 * CHOOSE(CONTROL!$C$22, $C$13, 100%, $E$13)</f>
        <v>17.953299999999999</v>
      </c>
      <c r="G980" s="61">
        <f>17.9535 * CHOOSE(CONTROL!$C$22, $C$13, 100%, $E$13)</f>
        <v>17.953499999999998</v>
      </c>
      <c r="H980" s="61">
        <f>30.114* CHOOSE(CONTROL!$C$22, $C$13, 100%, $E$13)</f>
        <v>30.114000000000001</v>
      </c>
      <c r="I980" s="61">
        <f>30.1141 * CHOOSE(CONTROL!$C$22, $C$13, 100%, $E$13)</f>
        <v>30.114100000000001</v>
      </c>
      <c r="J980" s="61">
        <f>17.9533 * CHOOSE(CONTROL!$C$22, $C$13, 100%, $E$13)</f>
        <v>17.953299999999999</v>
      </c>
      <c r="K980" s="61">
        <f>17.9535 * CHOOSE(CONTROL!$C$22, $C$13, 100%, $E$13)</f>
        <v>17.953499999999998</v>
      </c>
    </row>
    <row r="981" spans="1:11" ht="15">
      <c r="A981" s="13">
        <v>71711</v>
      </c>
      <c r="B981" s="60">
        <f>14.6279 * CHOOSE(CONTROL!$C$22, $C$13, 100%, $E$13)</f>
        <v>14.6279</v>
      </c>
      <c r="C981" s="60">
        <f>14.6279 * CHOOSE(CONTROL!$C$22, $C$13, 100%, $E$13)</f>
        <v>14.6279</v>
      </c>
      <c r="D981" s="60">
        <f>14.6632 * CHOOSE(CONTROL!$C$22, $C$13, 100%, $E$13)</f>
        <v>14.6632</v>
      </c>
      <c r="E981" s="61">
        <f>18.0475 * CHOOSE(CONTROL!$C$22, $C$13, 100%, $E$13)</f>
        <v>18.047499999999999</v>
      </c>
      <c r="F981" s="61">
        <f>18.0475 * CHOOSE(CONTROL!$C$22, $C$13, 100%, $E$13)</f>
        <v>18.047499999999999</v>
      </c>
      <c r="G981" s="61">
        <f>18.0497 * CHOOSE(CONTROL!$C$22, $C$13, 100%, $E$13)</f>
        <v>18.049700000000001</v>
      </c>
      <c r="H981" s="61">
        <f>30.1767* CHOOSE(CONTROL!$C$22, $C$13, 100%, $E$13)</f>
        <v>30.1767</v>
      </c>
      <c r="I981" s="61">
        <f>30.1789 * CHOOSE(CONTROL!$C$22, $C$13, 100%, $E$13)</f>
        <v>30.178899999999999</v>
      </c>
      <c r="J981" s="61">
        <f>18.0475 * CHOOSE(CONTROL!$C$22, $C$13, 100%, $E$13)</f>
        <v>18.047499999999999</v>
      </c>
      <c r="K981" s="61">
        <f>18.0497 * CHOOSE(CONTROL!$C$22, $C$13, 100%, $E$13)</f>
        <v>18.049700000000001</v>
      </c>
    </row>
    <row r="982" spans="1:11" ht="15">
      <c r="A982" s="13">
        <v>71742</v>
      </c>
      <c r="B982" s="60">
        <f>14.634 * CHOOSE(CONTROL!$C$22, $C$13, 100%, $E$13)</f>
        <v>14.634</v>
      </c>
      <c r="C982" s="60">
        <f>14.634 * CHOOSE(CONTROL!$C$22, $C$13, 100%, $E$13)</f>
        <v>14.634</v>
      </c>
      <c r="D982" s="60">
        <f>14.6693 * CHOOSE(CONTROL!$C$22, $C$13, 100%, $E$13)</f>
        <v>14.6693</v>
      </c>
      <c r="E982" s="61">
        <f>17.9575 * CHOOSE(CONTROL!$C$22, $C$13, 100%, $E$13)</f>
        <v>17.9575</v>
      </c>
      <c r="F982" s="61">
        <f>17.9575 * CHOOSE(CONTROL!$C$22, $C$13, 100%, $E$13)</f>
        <v>17.9575</v>
      </c>
      <c r="G982" s="61">
        <f>17.9597 * CHOOSE(CONTROL!$C$22, $C$13, 100%, $E$13)</f>
        <v>17.959700000000002</v>
      </c>
      <c r="H982" s="61">
        <f>30.2396* CHOOSE(CONTROL!$C$22, $C$13, 100%, $E$13)</f>
        <v>30.239599999999999</v>
      </c>
      <c r="I982" s="61">
        <f>30.2417 * CHOOSE(CONTROL!$C$22, $C$13, 100%, $E$13)</f>
        <v>30.241700000000002</v>
      </c>
      <c r="J982" s="61">
        <f>17.9575 * CHOOSE(CONTROL!$C$22, $C$13, 100%, $E$13)</f>
        <v>17.9575</v>
      </c>
      <c r="K982" s="61">
        <f>17.9597 * CHOOSE(CONTROL!$C$22, $C$13, 100%, $E$13)</f>
        <v>17.959700000000002</v>
      </c>
    </row>
    <row r="983" spans="1:11" ht="15">
      <c r="A983" s="13">
        <v>71772</v>
      </c>
      <c r="B983" s="60">
        <f>14.8347 * CHOOSE(CONTROL!$C$22, $C$13, 100%, $E$13)</f>
        <v>14.8347</v>
      </c>
      <c r="C983" s="60">
        <f>14.8347 * CHOOSE(CONTROL!$C$22, $C$13, 100%, $E$13)</f>
        <v>14.8347</v>
      </c>
      <c r="D983" s="60">
        <f>14.87 * CHOOSE(CONTROL!$C$22, $C$13, 100%, $E$13)</f>
        <v>14.87</v>
      </c>
      <c r="E983" s="61">
        <f>18.2813 * CHOOSE(CONTROL!$C$22, $C$13, 100%, $E$13)</f>
        <v>18.281300000000002</v>
      </c>
      <c r="F983" s="61">
        <f>18.2813 * CHOOSE(CONTROL!$C$22, $C$13, 100%, $E$13)</f>
        <v>18.281300000000002</v>
      </c>
      <c r="G983" s="61">
        <f>18.2835 * CHOOSE(CONTROL!$C$22, $C$13, 100%, $E$13)</f>
        <v>18.2835</v>
      </c>
      <c r="H983" s="61">
        <f>30.3026* CHOOSE(CONTROL!$C$22, $C$13, 100%, $E$13)</f>
        <v>30.302600000000002</v>
      </c>
      <c r="I983" s="61">
        <f>30.3047 * CHOOSE(CONTROL!$C$22, $C$13, 100%, $E$13)</f>
        <v>30.3047</v>
      </c>
      <c r="J983" s="61">
        <f>18.2813 * CHOOSE(CONTROL!$C$22, $C$13, 100%, $E$13)</f>
        <v>18.281300000000002</v>
      </c>
      <c r="K983" s="61">
        <f>18.2835 * CHOOSE(CONTROL!$C$22, $C$13, 100%, $E$13)</f>
        <v>18.2835</v>
      </c>
    </row>
    <row r="984" spans="1:11" ht="15">
      <c r="A984" s="13">
        <v>71803</v>
      </c>
      <c r="B984" s="60">
        <f>14.8414 * CHOOSE(CONTROL!$C$22, $C$13, 100%, $E$13)</f>
        <v>14.8414</v>
      </c>
      <c r="C984" s="60">
        <f>14.8414 * CHOOSE(CONTROL!$C$22, $C$13, 100%, $E$13)</f>
        <v>14.8414</v>
      </c>
      <c r="D984" s="60">
        <f>14.8767 * CHOOSE(CONTROL!$C$22, $C$13, 100%, $E$13)</f>
        <v>14.8767</v>
      </c>
      <c r="E984" s="61">
        <f>18.0032 * CHOOSE(CONTROL!$C$22, $C$13, 100%, $E$13)</f>
        <v>18.0032</v>
      </c>
      <c r="F984" s="61">
        <f>18.0032 * CHOOSE(CONTROL!$C$22, $C$13, 100%, $E$13)</f>
        <v>18.0032</v>
      </c>
      <c r="G984" s="61">
        <f>18.0054 * CHOOSE(CONTROL!$C$22, $C$13, 100%, $E$13)</f>
        <v>18.005400000000002</v>
      </c>
      <c r="H984" s="61">
        <f>30.3657* CHOOSE(CONTROL!$C$22, $C$13, 100%, $E$13)</f>
        <v>30.3657</v>
      </c>
      <c r="I984" s="61">
        <f>30.3679 * CHOOSE(CONTROL!$C$22, $C$13, 100%, $E$13)</f>
        <v>30.367899999999999</v>
      </c>
      <c r="J984" s="61">
        <f>18.0032 * CHOOSE(CONTROL!$C$22, $C$13, 100%, $E$13)</f>
        <v>18.0032</v>
      </c>
      <c r="K984" s="61">
        <f>18.0054 * CHOOSE(CONTROL!$C$22, $C$13, 100%, $E$13)</f>
        <v>18.005400000000002</v>
      </c>
    </row>
    <row r="985" spans="1:11" ht="15">
      <c r="A985" s="13">
        <v>71834</v>
      </c>
      <c r="B985" s="60">
        <f>14.8383 * CHOOSE(CONTROL!$C$22, $C$13, 100%, $E$13)</f>
        <v>14.8383</v>
      </c>
      <c r="C985" s="60">
        <f>14.8383 * CHOOSE(CONTROL!$C$22, $C$13, 100%, $E$13)</f>
        <v>14.8383</v>
      </c>
      <c r="D985" s="60">
        <f>14.8736 * CHOOSE(CONTROL!$C$22, $C$13, 100%, $E$13)</f>
        <v>14.8736</v>
      </c>
      <c r="E985" s="61">
        <f>17.9697 * CHOOSE(CONTROL!$C$22, $C$13, 100%, $E$13)</f>
        <v>17.9697</v>
      </c>
      <c r="F985" s="61">
        <f>17.9697 * CHOOSE(CONTROL!$C$22, $C$13, 100%, $E$13)</f>
        <v>17.9697</v>
      </c>
      <c r="G985" s="61">
        <f>17.9718 * CHOOSE(CONTROL!$C$22, $C$13, 100%, $E$13)</f>
        <v>17.971800000000002</v>
      </c>
      <c r="H985" s="61">
        <f>30.4289* CHOOSE(CONTROL!$C$22, $C$13, 100%, $E$13)</f>
        <v>30.428899999999999</v>
      </c>
      <c r="I985" s="61">
        <f>30.4311 * CHOOSE(CONTROL!$C$22, $C$13, 100%, $E$13)</f>
        <v>30.431100000000001</v>
      </c>
      <c r="J985" s="61">
        <f>17.9697 * CHOOSE(CONTROL!$C$22, $C$13, 100%, $E$13)</f>
        <v>17.9697</v>
      </c>
      <c r="K985" s="61">
        <f>17.9718 * CHOOSE(CONTROL!$C$22, $C$13, 100%, $E$13)</f>
        <v>17.971800000000002</v>
      </c>
    </row>
    <row r="986" spans="1:11" ht="15">
      <c r="A986" s="13">
        <v>71864</v>
      </c>
      <c r="B986" s="60">
        <f>14.8745 * CHOOSE(CONTROL!$C$22, $C$13, 100%, $E$13)</f>
        <v>14.874499999999999</v>
      </c>
      <c r="C986" s="60">
        <f>14.8745 * CHOOSE(CONTROL!$C$22, $C$13, 100%, $E$13)</f>
        <v>14.874499999999999</v>
      </c>
      <c r="D986" s="60">
        <f>14.8922 * CHOOSE(CONTROL!$C$22, $C$13, 100%, $E$13)</f>
        <v>14.892200000000001</v>
      </c>
      <c r="E986" s="61">
        <f>18.0819 * CHOOSE(CONTROL!$C$22, $C$13, 100%, $E$13)</f>
        <v>18.081900000000001</v>
      </c>
      <c r="F986" s="61">
        <f>18.0819 * CHOOSE(CONTROL!$C$22, $C$13, 100%, $E$13)</f>
        <v>18.081900000000001</v>
      </c>
      <c r="G986" s="61">
        <f>18.0821 * CHOOSE(CONTROL!$C$22, $C$13, 100%, $E$13)</f>
        <v>18.082100000000001</v>
      </c>
      <c r="H986" s="61">
        <f>30.4923* CHOOSE(CONTROL!$C$22, $C$13, 100%, $E$13)</f>
        <v>30.4923</v>
      </c>
      <c r="I986" s="61">
        <f>30.4925 * CHOOSE(CONTROL!$C$22, $C$13, 100%, $E$13)</f>
        <v>30.4925</v>
      </c>
      <c r="J986" s="61">
        <f>18.0819 * CHOOSE(CONTROL!$C$22, $C$13, 100%, $E$13)</f>
        <v>18.081900000000001</v>
      </c>
      <c r="K986" s="61">
        <f>18.0821 * CHOOSE(CONTROL!$C$22, $C$13, 100%, $E$13)</f>
        <v>18.082100000000001</v>
      </c>
    </row>
    <row r="987" spans="1:11" ht="15">
      <c r="A987" s="13">
        <v>71895</v>
      </c>
      <c r="B987" s="60">
        <f>14.8776 * CHOOSE(CONTROL!$C$22, $C$13, 100%, $E$13)</f>
        <v>14.877599999999999</v>
      </c>
      <c r="C987" s="60">
        <f>14.8776 * CHOOSE(CONTROL!$C$22, $C$13, 100%, $E$13)</f>
        <v>14.877599999999999</v>
      </c>
      <c r="D987" s="60">
        <f>14.8952 * CHOOSE(CONTROL!$C$22, $C$13, 100%, $E$13)</f>
        <v>14.895200000000001</v>
      </c>
      <c r="E987" s="61">
        <f>18.1469 * CHOOSE(CONTROL!$C$22, $C$13, 100%, $E$13)</f>
        <v>18.146899999999999</v>
      </c>
      <c r="F987" s="61">
        <f>18.1469 * CHOOSE(CONTROL!$C$22, $C$13, 100%, $E$13)</f>
        <v>18.146899999999999</v>
      </c>
      <c r="G987" s="61">
        <f>18.147 * CHOOSE(CONTROL!$C$22, $C$13, 100%, $E$13)</f>
        <v>18.146999999999998</v>
      </c>
      <c r="H987" s="61">
        <f>30.5559* CHOOSE(CONTROL!$C$22, $C$13, 100%, $E$13)</f>
        <v>30.555900000000001</v>
      </c>
      <c r="I987" s="61">
        <f>30.556 * CHOOSE(CONTROL!$C$22, $C$13, 100%, $E$13)</f>
        <v>30.556000000000001</v>
      </c>
      <c r="J987" s="61">
        <f>18.1469 * CHOOSE(CONTROL!$C$22, $C$13, 100%, $E$13)</f>
        <v>18.146899999999999</v>
      </c>
      <c r="K987" s="61">
        <f>18.147 * CHOOSE(CONTROL!$C$22, $C$13, 100%, $E$13)</f>
        <v>18.146999999999998</v>
      </c>
    </row>
    <row r="988" spans="1:11" ht="15">
      <c r="A988" s="13">
        <v>71925</v>
      </c>
      <c r="B988" s="60">
        <f>14.8776 * CHOOSE(CONTROL!$C$22, $C$13, 100%, $E$13)</f>
        <v>14.877599999999999</v>
      </c>
      <c r="C988" s="60">
        <f>14.8776 * CHOOSE(CONTROL!$C$22, $C$13, 100%, $E$13)</f>
        <v>14.877599999999999</v>
      </c>
      <c r="D988" s="60">
        <f>14.8952 * CHOOSE(CONTROL!$C$22, $C$13, 100%, $E$13)</f>
        <v>14.895200000000001</v>
      </c>
      <c r="E988" s="61">
        <f>17.9898 * CHOOSE(CONTROL!$C$22, $C$13, 100%, $E$13)</f>
        <v>17.989799999999999</v>
      </c>
      <c r="F988" s="61">
        <f>17.9898 * CHOOSE(CONTROL!$C$22, $C$13, 100%, $E$13)</f>
        <v>17.989799999999999</v>
      </c>
      <c r="G988" s="61">
        <f>17.99 * CHOOSE(CONTROL!$C$22, $C$13, 100%, $E$13)</f>
        <v>17.989999999999998</v>
      </c>
      <c r="H988" s="61">
        <f>30.6195* CHOOSE(CONTROL!$C$22, $C$13, 100%, $E$13)</f>
        <v>30.619499999999999</v>
      </c>
      <c r="I988" s="61">
        <f>30.6197 * CHOOSE(CONTROL!$C$22, $C$13, 100%, $E$13)</f>
        <v>30.619700000000002</v>
      </c>
      <c r="J988" s="61">
        <f>17.9898 * CHOOSE(CONTROL!$C$22, $C$13, 100%, $E$13)</f>
        <v>17.989799999999999</v>
      </c>
      <c r="K988" s="61">
        <f>17.99 * CHOOSE(CONTROL!$C$22, $C$13, 100%, $E$13)</f>
        <v>17.989999999999998</v>
      </c>
    </row>
    <row r="989" spans="1:11" ht="15">
      <c r="A989" s="13">
        <v>71956</v>
      </c>
      <c r="B989" s="60">
        <f>14.8225 * CHOOSE(CONTROL!$C$22, $C$13, 100%, $E$13)</f>
        <v>14.8225</v>
      </c>
      <c r="C989" s="60">
        <f>14.8225 * CHOOSE(CONTROL!$C$22, $C$13, 100%, $E$13)</f>
        <v>14.8225</v>
      </c>
      <c r="D989" s="60">
        <f>14.8401 * CHOOSE(CONTROL!$C$22, $C$13, 100%, $E$13)</f>
        <v>14.8401</v>
      </c>
      <c r="E989" s="61">
        <f>18.0251 * CHOOSE(CONTROL!$C$22, $C$13, 100%, $E$13)</f>
        <v>18.025099999999998</v>
      </c>
      <c r="F989" s="61">
        <f>18.0251 * CHOOSE(CONTROL!$C$22, $C$13, 100%, $E$13)</f>
        <v>18.025099999999998</v>
      </c>
      <c r="G989" s="61">
        <f>18.0253 * CHOOSE(CONTROL!$C$22, $C$13, 100%, $E$13)</f>
        <v>18.025300000000001</v>
      </c>
      <c r="H989" s="61">
        <f>30.328* CHOOSE(CONTROL!$C$22, $C$13, 100%, $E$13)</f>
        <v>30.327999999999999</v>
      </c>
      <c r="I989" s="61">
        <f>30.3282 * CHOOSE(CONTROL!$C$22, $C$13, 100%, $E$13)</f>
        <v>30.328199999999999</v>
      </c>
      <c r="J989" s="61">
        <f>18.0251 * CHOOSE(CONTROL!$C$22, $C$13, 100%, $E$13)</f>
        <v>18.025099999999998</v>
      </c>
      <c r="K989" s="61">
        <f>18.0253 * CHOOSE(CONTROL!$C$22, $C$13, 100%, $E$13)</f>
        <v>18.025300000000001</v>
      </c>
    </row>
    <row r="990" spans="1:11" ht="15">
      <c r="A990" s="13">
        <v>71987</v>
      </c>
      <c r="B990" s="60">
        <f>14.8194 * CHOOSE(CONTROL!$C$22, $C$13, 100%, $E$13)</f>
        <v>14.8194</v>
      </c>
      <c r="C990" s="60">
        <f>14.8194 * CHOOSE(CONTROL!$C$22, $C$13, 100%, $E$13)</f>
        <v>14.8194</v>
      </c>
      <c r="D990" s="60">
        <f>14.8371 * CHOOSE(CONTROL!$C$22, $C$13, 100%, $E$13)</f>
        <v>14.8371</v>
      </c>
      <c r="E990" s="61">
        <f>17.7217 * CHOOSE(CONTROL!$C$22, $C$13, 100%, $E$13)</f>
        <v>17.721699999999998</v>
      </c>
      <c r="F990" s="61">
        <f>17.7217 * CHOOSE(CONTROL!$C$22, $C$13, 100%, $E$13)</f>
        <v>17.721699999999998</v>
      </c>
      <c r="G990" s="61">
        <f>17.7218 * CHOOSE(CONTROL!$C$22, $C$13, 100%, $E$13)</f>
        <v>17.721800000000002</v>
      </c>
      <c r="H990" s="61">
        <f>30.3912* CHOOSE(CONTROL!$C$22, $C$13, 100%, $E$13)</f>
        <v>30.391200000000001</v>
      </c>
      <c r="I990" s="61">
        <f>30.3913 * CHOOSE(CONTROL!$C$22, $C$13, 100%, $E$13)</f>
        <v>30.391300000000001</v>
      </c>
      <c r="J990" s="61">
        <f>17.7217 * CHOOSE(CONTROL!$C$22, $C$13, 100%, $E$13)</f>
        <v>17.721699999999998</v>
      </c>
      <c r="K990" s="61">
        <f>17.7218 * CHOOSE(CONTROL!$C$22, $C$13, 100%, $E$13)</f>
        <v>17.721800000000002</v>
      </c>
    </row>
    <row r="991" spans="1:11" ht="15">
      <c r="A991" s="13">
        <v>72015</v>
      </c>
      <c r="B991" s="60">
        <f>14.8164 * CHOOSE(CONTROL!$C$22, $C$13, 100%, $E$13)</f>
        <v>14.8164</v>
      </c>
      <c r="C991" s="60">
        <f>14.8164 * CHOOSE(CONTROL!$C$22, $C$13, 100%, $E$13)</f>
        <v>14.8164</v>
      </c>
      <c r="D991" s="60">
        <f>14.8341 * CHOOSE(CONTROL!$C$22, $C$13, 100%, $E$13)</f>
        <v>14.834099999999999</v>
      </c>
      <c r="E991" s="61">
        <f>17.9571 * CHOOSE(CONTROL!$C$22, $C$13, 100%, $E$13)</f>
        <v>17.957100000000001</v>
      </c>
      <c r="F991" s="61">
        <f>17.9571 * CHOOSE(CONTROL!$C$22, $C$13, 100%, $E$13)</f>
        <v>17.957100000000001</v>
      </c>
      <c r="G991" s="61">
        <f>17.9573 * CHOOSE(CONTROL!$C$22, $C$13, 100%, $E$13)</f>
        <v>17.9573</v>
      </c>
      <c r="H991" s="61">
        <f>30.4545* CHOOSE(CONTROL!$C$22, $C$13, 100%, $E$13)</f>
        <v>30.454499999999999</v>
      </c>
      <c r="I991" s="61">
        <f>30.4547 * CHOOSE(CONTROL!$C$22, $C$13, 100%, $E$13)</f>
        <v>30.454699999999999</v>
      </c>
      <c r="J991" s="61">
        <f>17.9571 * CHOOSE(CONTROL!$C$22, $C$13, 100%, $E$13)</f>
        <v>17.957100000000001</v>
      </c>
      <c r="K991" s="61">
        <f>17.9573 * CHOOSE(CONTROL!$C$22, $C$13, 100%, $E$13)</f>
        <v>17.9573</v>
      </c>
    </row>
    <row r="992" spans="1:11" ht="15">
      <c r="A992" s="13">
        <v>72046</v>
      </c>
      <c r="B992" s="60">
        <f>14.8247 * CHOOSE(CONTROL!$C$22, $C$13, 100%, $E$13)</f>
        <v>14.8247</v>
      </c>
      <c r="C992" s="60">
        <f>14.8247 * CHOOSE(CONTROL!$C$22, $C$13, 100%, $E$13)</f>
        <v>14.8247</v>
      </c>
      <c r="D992" s="60">
        <f>14.8424 * CHOOSE(CONTROL!$C$22, $C$13, 100%, $E$13)</f>
        <v>14.8424</v>
      </c>
      <c r="E992" s="61">
        <f>18.208 * CHOOSE(CONTROL!$C$22, $C$13, 100%, $E$13)</f>
        <v>18.207999999999998</v>
      </c>
      <c r="F992" s="61">
        <f>18.208 * CHOOSE(CONTROL!$C$22, $C$13, 100%, $E$13)</f>
        <v>18.207999999999998</v>
      </c>
      <c r="G992" s="61">
        <f>18.2081 * CHOOSE(CONTROL!$C$22, $C$13, 100%, $E$13)</f>
        <v>18.208100000000002</v>
      </c>
      <c r="H992" s="61">
        <f>30.5179* CHOOSE(CONTROL!$C$22, $C$13, 100%, $E$13)</f>
        <v>30.517900000000001</v>
      </c>
      <c r="I992" s="61">
        <f>30.5181 * CHOOSE(CONTROL!$C$22, $C$13, 100%, $E$13)</f>
        <v>30.5181</v>
      </c>
      <c r="J992" s="61">
        <f>18.208 * CHOOSE(CONTROL!$C$22, $C$13, 100%, $E$13)</f>
        <v>18.207999999999998</v>
      </c>
      <c r="K992" s="61">
        <f>18.2081 * CHOOSE(CONTROL!$C$22, $C$13, 100%, $E$13)</f>
        <v>18.208100000000002</v>
      </c>
    </row>
    <row r="993" spans="1:11" ht="15">
      <c r="A993" s="13">
        <v>72076</v>
      </c>
      <c r="B993" s="60">
        <f>14.8247 * CHOOSE(CONTROL!$C$22, $C$13, 100%, $E$13)</f>
        <v>14.8247</v>
      </c>
      <c r="C993" s="60">
        <f>14.8247 * CHOOSE(CONTROL!$C$22, $C$13, 100%, $E$13)</f>
        <v>14.8247</v>
      </c>
      <c r="D993" s="60">
        <f>14.86 * CHOOSE(CONTROL!$C$22, $C$13, 100%, $E$13)</f>
        <v>14.86</v>
      </c>
      <c r="E993" s="61">
        <f>18.3036 * CHOOSE(CONTROL!$C$22, $C$13, 100%, $E$13)</f>
        <v>18.303599999999999</v>
      </c>
      <c r="F993" s="61">
        <f>18.3036 * CHOOSE(CONTROL!$C$22, $C$13, 100%, $E$13)</f>
        <v>18.303599999999999</v>
      </c>
      <c r="G993" s="61">
        <f>18.3058 * CHOOSE(CONTROL!$C$22, $C$13, 100%, $E$13)</f>
        <v>18.305800000000001</v>
      </c>
      <c r="H993" s="61">
        <f>30.5815* CHOOSE(CONTROL!$C$22, $C$13, 100%, $E$13)</f>
        <v>30.581499999999998</v>
      </c>
      <c r="I993" s="61">
        <f>30.5837 * CHOOSE(CONTROL!$C$22, $C$13, 100%, $E$13)</f>
        <v>30.5837</v>
      </c>
      <c r="J993" s="61">
        <f>18.3036 * CHOOSE(CONTROL!$C$22, $C$13, 100%, $E$13)</f>
        <v>18.303599999999999</v>
      </c>
      <c r="K993" s="61">
        <f>18.3058 * CHOOSE(CONTROL!$C$22, $C$13, 100%, $E$13)</f>
        <v>18.305800000000001</v>
      </c>
    </row>
    <row r="994" spans="1:11" ht="15">
      <c r="A994" s="13">
        <v>72107</v>
      </c>
      <c r="B994" s="60">
        <f>14.8308 * CHOOSE(CONTROL!$C$22, $C$13, 100%, $E$13)</f>
        <v>14.8308</v>
      </c>
      <c r="C994" s="60">
        <f>14.8308 * CHOOSE(CONTROL!$C$22, $C$13, 100%, $E$13)</f>
        <v>14.8308</v>
      </c>
      <c r="D994" s="60">
        <f>14.8661 * CHOOSE(CONTROL!$C$22, $C$13, 100%, $E$13)</f>
        <v>14.866099999999999</v>
      </c>
      <c r="E994" s="61">
        <f>18.2122 * CHOOSE(CONTROL!$C$22, $C$13, 100%, $E$13)</f>
        <v>18.212199999999999</v>
      </c>
      <c r="F994" s="61">
        <f>18.2122 * CHOOSE(CONTROL!$C$22, $C$13, 100%, $E$13)</f>
        <v>18.212199999999999</v>
      </c>
      <c r="G994" s="61">
        <f>18.2144 * CHOOSE(CONTROL!$C$22, $C$13, 100%, $E$13)</f>
        <v>18.214400000000001</v>
      </c>
      <c r="H994" s="61">
        <f>30.6452* CHOOSE(CONTROL!$C$22, $C$13, 100%, $E$13)</f>
        <v>30.645199999999999</v>
      </c>
      <c r="I994" s="61">
        <f>30.6474 * CHOOSE(CONTROL!$C$22, $C$13, 100%, $E$13)</f>
        <v>30.647400000000001</v>
      </c>
      <c r="J994" s="61">
        <f>18.2122 * CHOOSE(CONTROL!$C$22, $C$13, 100%, $E$13)</f>
        <v>18.212199999999999</v>
      </c>
      <c r="K994" s="61">
        <f>18.2144 * CHOOSE(CONTROL!$C$22, $C$13, 100%, $E$13)</f>
        <v>18.214400000000001</v>
      </c>
    </row>
    <row r="995" spans="1:11" ht="15">
      <c r="A995" s="13">
        <v>72137</v>
      </c>
      <c r="B995" s="60">
        <f>15.034 * CHOOSE(CONTROL!$C$22, $C$13, 100%, $E$13)</f>
        <v>15.034000000000001</v>
      </c>
      <c r="C995" s="60">
        <f>15.034 * CHOOSE(CONTROL!$C$22, $C$13, 100%, $E$13)</f>
        <v>15.034000000000001</v>
      </c>
      <c r="D995" s="60">
        <f>15.0693 * CHOOSE(CONTROL!$C$22, $C$13, 100%, $E$13)</f>
        <v>15.0693</v>
      </c>
      <c r="E995" s="61">
        <f>18.5404 * CHOOSE(CONTROL!$C$22, $C$13, 100%, $E$13)</f>
        <v>18.540400000000002</v>
      </c>
      <c r="F995" s="61">
        <f>18.5404 * CHOOSE(CONTROL!$C$22, $C$13, 100%, $E$13)</f>
        <v>18.540400000000002</v>
      </c>
      <c r="G995" s="61">
        <f>18.5426 * CHOOSE(CONTROL!$C$22, $C$13, 100%, $E$13)</f>
        <v>18.5426</v>
      </c>
      <c r="H995" s="61">
        <f>30.7091* CHOOSE(CONTROL!$C$22, $C$13, 100%, $E$13)</f>
        <v>30.709099999999999</v>
      </c>
      <c r="I995" s="61">
        <f>30.7112 * CHOOSE(CONTROL!$C$22, $C$13, 100%, $E$13)</f>
        <v>30.711200000000002</v>
      </c>
      <c r="J995" s="61">
        <f>18.5404 * CHOOSE(CONTROL!$C$22, $C$13, 100%, $E$13)</f>
        <v>18.540400000000002</v>
      </c>
      <c r="K995" s="61">
        <f>18.5426 * CHOOSE(CONTROL!$C$22, $C$13, 100%, $E$13)</f>
        <v>18.5426</v>
      </c>
    </row>
    <row r="996" spans="1:11" ht="15">
      <c r="A996" s="13">
        <v>72168</v>
      </c>
      <c r="B996" s="60">
        <f>15.0407 * CHOOSE(CONTROL!$C$22, $C$13, 100%, $E$13)</f>
        <v>15.040699999999999</v>
      </c>
      <c r="C996" s="60">
        <f>15.0407 * CHOOSE(CONTROL!$C$22, $C$13, 100%, $E$13)</f>
        <v>15.040699999999999</v>
      </c>
      <c r="D996" s="60">
        <f>15.076 * CHOOSE(CONTROL!$C$22, $C$13, 100%, $E$13)</f>
        <v>15.076000000000001</v>
      </c>
      <c r="E996" s="61">
        <f>18.258 * CHOOSE(CONTROL!$C$22, $C$13, 100%, $E$13)</f>
        <v>18.257999999999999</v>
      </c>
      <c r="F996" s="61">
        <f>18.258 * CHOOSE(CONTROL!$C$22, $C$13, 100%, $E$13)</f>
        <v>18.257999999999999</v>
      </c>
      <c r="G996" s="61">
        <f>18.2602 * CHOOSE(CONTROL!$C$22, $C$13, 100%, $E$13)</f>
        <v>18.260200000000001</v>
      </c>
      <c r="H996" s="61">
        <f>30.773* CHOOSE(CONTROL!$C$22, $C$13, 100%, $E$13)</f>
        <v>30.773</v>
      </c>
      <c r="I996" s="61">
        <f>30.7752 * CHOOSE(CONTROL!$C$22, $C$13, 100%, $E$13)</f>
        <v>30.775200000000002</v>
      </c>
      <c r="J996" s="61">
        <f>18.258 * CHOOSE(CONTROL!$C$22, $C$13, 100%, $E$13)</f>
        <v>18.257999999999999</v>
      </c>
      <c r="K996" s="61">
        <f>18.2602 * CHOOSE(CONTROL!$C$22, $C$13, 100%, $E$13)</f>
        <v>18.260200000000001</v>
      </c>
    </row>
    <row r="997" spans="1:11" ht="15">
      <c r="A997" s="13">
        <v>72199</v>
      </c>
      <c r="B997" s="60">
        <f>15.0376 * CHOOSE(CONTROL!$C$22, $C$13, 100%, $E$13)</f>
        <v>15.037599999999999</v>
      </c>
      <c r="C997" s="60">
        <f>15.0376 * CHOOSE(CONTROL!$C$22, $C$13, 100%, $E$13)</f>
        <v>15.037599999999999</v>
      </c>
      <c r="D997" s="60">
        <f>15.0729 * CHOOSE(CONTROL!$C$22, $C$13, 100%, $E$13)</f>
        <v>15.072900000000001</v>
      </c>
      <c r="E997" s="61">
        <f>18.224 * CHOOSE(CONTROL!$C$22, $C$13, 100%, $E$13)</f>
        <v>18.224</v>
      </c>
      <c r="F997" s="61">
        <f>18.224 * CHOOSE(CONTROL!$C$22, $C$13, 100%, $E$13)</f>
        <v>18.224</v>
      </c>
      <c r="G997" s="61">
        <f>18.2262 * CHOOSE(CONTROL!$C$22, $C$13, 100%, $E$13)</f>
        <v>18.226199999999999</v>
      </c>
      <c r="H997" s="61">
        <f>30.8372* CHOOSE(CONTROL!$C$22, $C$13, 100%, $E$13)</f>
        <v>30.837199999999999</v>
      </c>
      <c r="I997" s="61">
        <f>30.8393 * CHOOSE(CONTROL!$C$22, $C$13, 100%, $E$13)</f>
        <v>30.839300000000001</v>
      </c>
      <c r="J997" s="61">
        <f>18.224 * CHOOSE(CONTROL!$C$22, $C$13, 100%, $E$13)</f>
        <v>18.224</v>
      </c>
      <c r="K997" s="61">
        <f>18.2262 * CHOOSE(CONTROL!$C$22, $C$13, 100%, $E$13)</f>
        <v>18.226199999999999</v>
      </c>
    </row>
    <row r="998" spans="1:11" ht="15">
      <c r="A998" s="13">
        <v>72229</v>
      </c>
      <c r="B998" s="60">
        <f>15.0746 * CHOOSE(CONTROL!$C$22, $C$13, 100%, $E$13)</f>
        <v>15.0746</v>
      </c>
      <c r="C998" s="60">
        <f>15.0746 * CHOOSE(CONTROL!$C$22, $C$13, 100%, $E$13)</f>
        <v>15.0746</v>
      </c>
      <c r="D998" s="60">
        <f>15.0923 * CHOOSE(CONTROL!$C$22, $C$13, 100%, $E$13)</f>
        <v>15.0923</v>
      </c>
      <c r="E998" s="61">
        <f>18.3382 * CHOOSE(CONTROL!$C$22, $C$13, 100%, $E$13)</f>
        <v>18.338200000000001</v>
      </c>
      <c r="F998" s="61">
        <f>18.3382 * CHOOSE(CONTROL!$C$22, $C$13, 100%, $E$13)</f>
        <v>18.338200000000001</v>
      </c>
      <c r="G998" s="61">
        <f>18.3383 * CHOOSE(CONTROL!$C$22, $C$13, 100%, $E$13)</f>
        <v>18.3383</v>
      </c>
      <c r="H998" s="61">
        <f>30.9014* CHOOSE(CONTROL!$C$22, $C$13, 100%, $E$13)</f>
        <v>30.901399999999999</v>
      </c>
      <c r="I998" s="61">
        <f>30.9016 * CHOOSE(CONTROL!$C$22, $C$13, 100%, $E$13)</f>
        <v>30.901599999999998</v>
      </c>
      <c r="J998" s="61">
        <f>18.3382 * CHOOSE(CONTROL!$C$22, $C$13, 100%, $E$13)</f>
        <v>18.338200000000001</v>
      </c>
      <c r="K998" s="61">
        <f>18.3383 * CHOOSE(CONTROL!$C$22, $C$13, 100%, $E$13)</f>
        <v>18.3383</v>
      </c>
    </row>
    <row r="999" spans="1:11" ht="15">
      <c r="A999" s="13">
        <v>72260</v>
      </c>
      <c r="B999" s="60">
        <f>15.0776 * CHOOSE(CONTROL!$C$22, $C$13, 100%, $E$13)</f>
        <v>15.0776</v>
      </c>
      <c r="C999" s="60">
        <f>15.0776 * CHOOSE(CONTROL!$C$22, $C$13, 100%, $E$13)</f>
        <v>15.0776</v>
      </c>
      <c r="D999" s="60">
        <f>15.0953 * CHOOSE(CONTROL!$C$22, $C$13, 100%, $E$13)</f>
        <v>15.0953</v>
      </c>
      <c r="E999" s="61">
        <f>18.4041 * CHOOSE(CONTROL!$C$22, $C$13, 100%, $E$13)</f>
        <v>18.4041</v>
      </c>
      <c r="F999" s="61">
        <f>18.4041 * CHOOSE(CONTROL!$C$22, $C$13, 100%, $E$13)</f>
        <v>18.4041</v>
      </c>
      <c r="G999" s="61">
        <f>18.4042 * CHOOSE(CONTROL!$C$22, $C$13, 100%, $E$13)</f>
        <v>18.404199999999999</v>
      </c>
      <c r="H999" s="61">
        <f>30.9658* CHOOSE(CONTROL!$C$22, $C$13, 100%, $E$13)</f>
        <v>30.965800000000002</v>
      </c>
      <c r="I999" s="61">
        <f>30.9659 * CHOOSE(CONTROL!$C$22, $C$13, 100%, $E$13)</f>
        <v>30.965900000000001</v>
      </c>
      <c r="J999" s="61">
        <f>18.4041 * CHOOSE(CONTROL!$C$22, $C$13, 100%, $E$13)</f>
        <v>18.4041</v>
      </c>
      <c r="K999" s="61">
        <f>18.4042 * CHOOSE(CONTROL!$C$22, $C$13, 100%, $E$13)</f>
        <v>18.404199999999999</v>
      </c>
    </row>
    <row r="1000" spans="1:11" ht="15">
      <c r="A1000" s="13">
        <v>72290</v>
      </c>
      <c r="B1000" s="60">
        <f>15.0776 * CHOOSE(CONTROL!$C$22, $C$13, 100%, $E$13)</f>
        <v>15.0776</v>
      </c>
      <c r="C1000" s="60">
        <f>15.0776 * CHOOSE(CONTROL!$C$22, $C$13, 100%, $E$13)</f>
        <v>15.0776</v>
      </c>
      <c r="D1000" s="60">
        <f>15.0953 * CHOOSE(CONTROL!$C$22, $C$13, 100%, $E$13)</f>
        <v>15.0953</v>
      </c>
      <c r="E1000" s="61">
        <f>18.2446 * CHOOSE(CONTROL!$C$22, $C$13, 100%, $E$13)</f>
        <v>18.244599999999998</v>
      </c>
      <c r="F1000" s="61">
        <f>18.2446 * CHOOSE(CONTROL!$C$22, $C$13, 100%, $E$13)</f>
        <v>18.244599999999998</v>
      </c>
      <c r="G1000" s="61">
        <f>18.2448 * CHOOSE(CONTROL!$C$22, $C$13, 100%, $E$13)</f>
        <v>18.244800000000001</v>
      </c>
      <c r="H1000" s="61">
        <f>31.0303* CHOOSE(CONTROL!$C$22, $C$13, 100%, $E$13)</f>
        <v>31.0303</v>
      </c>
      <c r="I1000" s="61">
        <f>31.0305 * CHOOSE(CONTROL!$C$22, $C$13, 100%, $E$13)</f>
        <v>31.0305</v>
      </c>
      <c r="J1000" s="61">
        <f>18.2446 * CHOOSE(CONTROL!$C$22, $C$13, 100%, $E$13)</f>
        <v>18.244599999999998</v>
      </c>
      <c r="K1000" s="61">
        <f>18.2448 * CHOOSE(CONTROL!$C$22, $C$13, 100%, $E$13)</f>
        <v>18.244800000000001</v>
      </c>
    </row>
    <row r="1001" spans="1:11" ht="15">
      <c r="A1001" s="13">
        <v>72321</v>
      </c>
      <c r="B1001" s="60">
        <f>15.0191 * CHOOSE(CONTROL!$C$22, $C$13, 100%, $E$13)</f>
        <v>15.0191</v>
      </c>
      <c r="C1001" s="60">
        <f>15.0191 * CHOOSE(CONTROL!$C$22, $C$13, 100%, $E$13)</f>
        <v>15.0191</v>
      </c>
      <c r="D1001" s="60">
        <f>15.0368 * CHOOSE(CONTROL!$C$22, $C$13, 100%, $E$13)</f>
        <v>15.036799999999999</v>
      </c>
      <c r="E1001" s="61">
        <f>18.2769 * CHOOSE(CONTROL!$C$22, $C$13, 100%, $E$13)</f>
        <v>18.276900000000001</v>
      </c>
      <c r="F1001" s="61">
        <f>18.2769 * CHOOSE(CONTROL!$C$22, $C$13, 100%, $E$13)</f>
        <v>18.276900000000001</v>
      </c>
      <c r="G1001" s="61">
        <f>18.2771 * CHOOSE(CONTROL!$C$22, $C$13, 100%, $E$13)</f>
        <v>18.277100000000001</v>
      </c>
      <c r="H1001" s="61">
        <f>30.7294* CHOOSE(CONTROL!$C$22, $C$13, 100%, $E$13)</f>
        <v>30.729399999999998</v>
      </c>
      <c r="I1001" s="61">
        <f>30.7296 * CHOOSE(CONTROL!$C$22, $C$13, 100%, $E$13)</f>
        <v>30.729600000000001</v>
      </c>
      <c r="J1001" s="61">
        <f>18.2769 * CHOOSE(CONTROL!$C$22, $C$13, 100%, $E$13)</f>
        <v>18.276900000000001</v>
      </c>
      <c r="K1001" s="61">
        <f>18.2771 * CHOOSE(CONTROL!$C$22, $C$13, 100%, $E$13)</f>
        <v>18.277100000000001</v>
      </c>
    </row>
    <row r="1002" spans="1:11" ht="15">
      <c r="A1002" s="13">
        <v>72352</v>
      </c>
      <c r="B1002" s="60">
        <f>15.0161 * CHOOSE(CONTROL!$C$22, $C$13, 100%, $E$13)</f>
        <v>15.0161</v>
      </c>
      <c r="C1002" s="60">
        <f>15.0161 * CHOOSE(CONTROL!$C$22, $C$13, 100%, $E$13)</f>
        <v>15.0161</v>
      </c>
      <c r="D1002" s="60">
        <f>15.0337 * CHOOSE(CONTROL!$C$22, $C$13, 100%, $E$13)</f>
        <v>15.0337</v>
      </c>
      <c r="E1002" s="61">
        <f>17.969 * CHOOSE(CONTROL!$C$22, $C$13, 100%, $E$13)</f>
        <v>17.969000000000001</v>
      </c>
      <c r="F1002" s="61">
        <f>17.969 * CHOOSE(CONTROL!$C$22, $C$13, 100%, $E$13)</f>
        <v>17.969000000000001</v>
      </c>
      <c r="G1002" s="61">
        <f>17.9692 * CHOOSE(CONTROL!$C$22, $C$13, 100%, $E$13)</f>
        <v>17.969200000000001</v>
      </c>
      <c r="H1002" s="61">
        <f>30.7935* CHOOSE(CONTROL!$C$22, $C$13, 100%, $E$13)</f>
        <v>30.793500000000002</v>
      </c>
      <c r="I1002" s="61">
        <f>30.7936 * CHOOSE(CONTROL!$C$22, $C$13, 100%, $E$13)</f>
        <v>30.793600000000001</v>
      </c>
      <c r="J1002" s="61">
        <f>17.969 * CHOOSE(CONTROL!$C$22, $C$13, 100%, $E$13)</f>
        <v>17.969000000000001</v>
      </c>
      <c r="K1002" s="61">
        <f>17.9692 * CHOOSE(CONTROL!$C$22, $C$13, 100%, $E$13)</f>
        <v>17.969200000000001</v>
      </c>
    </row>
    <row r="1003" spans="1:11" ht="15">
      <c r="A1003" s="13">
        <v>72380</v>
      </c>
      <c r="B1003" s="60">
        <f>15.013 * CHOOSE(CONTROL!$C$22, $C$13, 100%, $E$13)</f>
        <v>15.013</v>
      </c>
      <c r="C1003" s="60">
        <f>15.013 * CHOOSE(CONTROL!$C$22, $C$13, 100%, $E$13)</f>
        <v>15.013</v>
      </c>
      <c r="D1003" s="60">
        <f>15.0307 * CHOOSE(CONTROL!$C$22, $C$13, 100%, $E$13)</f>
        <v>15.0307</v>
      </c>
      <c r="E1003" s="61">
        <f>18.208 * CHOOSE(CONTROL!$C$22, $C$13, 100%, $E$13)</f>
        <v>18.207999999999998</v>
      </c>
      <c r="F1003" s="61">
        <f>18.208 * CHOOSE(CONTROL!$C$22, $C$13, 100%, $E$13)</f>
        <v>18.207999999999998</v>
      </c>
      <c r="G1003" s="61">
        <f>18.2082 * CHOOSE(CONTROL!$C$22, $C$13, 100%, $E$13)</f>
        <v>18.208200000000001</v>
      </c>
      <c r="H1003" s="61">
        <f>30.8576* CHOOSE(CONTROL!$C$22, $C$13, 100%, $E$13)</f>
        <v>30.857600000000001</v>
      </c>
      <c r="I1003" s="61">
        <f>30.8578 * CHOOSE(CONTROL!$C$22, $C$13, 100%, $E$13)</f>
        <v>30.857800000000001</v>
      </c>
      <c r="J1003" s="61">
        <f>18.208 * CHOOSE(CONTROL!$C$22, $C$13, 100%, $E$13)</f>
        <v>18.207999999999998</v>
      </c>
      <c r="K1003" s="61">
        <f>18.2082 * CHOOSE(CONTROL!$C$22, $C$13, 100%, $E$13)</f>
        <v>18.208200000000001</v>
      </c>
    </row>
    <row r="1004" spans="1:11" ht="15">
      <c r="A1004" s="13">
        <v>72411</v>
      </c>
      <c r="B1004" s="60">
        <f>15.0215 * CHOOSE(CONTROL!$C$22, $C$13, 100%, $E$13)</f>
        <v>15.0215</v>
      </c>
      <c r="C1004" s="60">
        <f>15.0215 * CHOOSE(CONTROL!$C$22, $C$13, 100%, $E$13)</f>
        <v>15.0215</v>
      </c>
      <c r="D1004" s="60">
        <f>15.0392 * CHOOSE(CONTROL!$C$22, $C$13, 100%, $E$13)</f>
        <v>15.039199999999999</v>
      </c>
      <c r="E1004" s="61">
        <f>18.4626 * CHOOSE(CONTROL!$C$22, $C$13, 100%, $E$13)</f>
        <v>18.462599999999998</v>
      </c>
      <c r="F1004" s="61">
        <f>18.4626 * CHOOSE(CONTROL!$C$22, $C$13, 100%, $E$13)</f>
        <v>18.462599999999998</v>
      </c>
      <c r="G1004" s="61">
        <f>18.4628 * CHOOSE(CONTROL!$C$22, $C$13, 100%, $E$13)</f>
        <v>18.462800000000001</v>
      </c>
      <c r="H1004" s="61">
        <f>30.9219* CHOOSE(CONTROL!$C$22, $C$13, 100%, $E$13)</f>
        <v>30.921900000000001</v>
      </c>
      <c r="I1004" s="61">
        <f>30.9221 * CHOOSE(CONTROL!$C$22, $C$13, 100%, $E$13)</f>
        <v>30.9221</v>
      </c>
      <c r="J1004" s="61">
        <f>18.4626 * CHOOSE(CONTROL!$C$22, $C$13, 100%, $E$13)</f>
        <v>18.462599999999998</v>
      </c>
      <c r="K1004" s="61">
        <f>18.4628 * CHOOSE(CONTROL!$C$22, $C$13, 100%, $E$13)</f>
        <v>18.462800000000001</v>
      </c>
    </row>
    <row r="1005" spans="1:11" ht="15">
      <c r="A1005" s="13">
        <v>72441</v>
      </c>
      <c r="B1005" s="60">
        <f>15.0215 * CHOOSE(CONTROL!$C$22, $C$13, 100%, $E$13)</f>
        <v>15.0215</v>
      </c>
      <c r="C1005" s="60">
        <f>15.0215 * CHOOSE(CONTROL!$C$22, $C$13, 100%, $E$13)</f>
        <v>15.0215</v>
      </c>
      <c r="D1005" s="60">
        <f>15.0568 * CHOOSE(CONTROL!$C$22, $C$13, 100%, $E$13)</f>
        <v>15.056800000000001</v>
      </c>
      <c r="E1005" s="61">
        <f>18.5597 * CHOOSE(CONTROL!$C$22, $C$13, 100%, $E$13)</f>
        <v>18.559699999999999</v>
      </c>
      <c r="F1005" s="61">
        <f>18.5597 * CHOOSE(CONTROL!$C$22, $C$13, 100%, $E$13)</f>
        <v>18.559699999999999</v>
      </c>
      <c r="G1005" s="61">
        <f>18.5619 * CHOOSE(CONTROL!$C$22, $C$13, 100%, $E$13)</f>
        <v>18.561900000000001</v>
      </c>
      <c r="H1005" s="61">
        <f>30.9863* CHOOSE(CONTROL!$C$22, $C$13, 100%, $E$13)</f>
        <v>30.9863</v>
      </c>
      <c r="I1005" s="61">
        <f>30.9885 * CHOOSE(CONTROL!$C$22, $C$13, 100%, $E$13)</f>
        <v>30.988499999999998</v>
      </c>
      <c r="J1005" s="61">
        <f>18.5597 * CHOOSE(CONTROL!$C$22, $C$13, 100%, $E$13)</f>
        <v>18.559699999999999</v>
      </c>
      <c r="K1005" s="61">
        <f>18.5619 * CHOOSE(CONTROL!$C$22, $C$13, 100%, $E$13)</f>
        <v>18.561900000000001</v>
      </c>
    </row>
    <row r="1006" spans="1:11" ht="15">
      <c r="A1006" s="13">
        <v>72472</v>
      </c>
      <c r="B1006" s="60">
        <f>15.0276 * CHOOSE(CONTROL!$C$22, $C$13, 100%, $E$13)</f>
        <v>15.0276</v>
      </c>
      <c r="C1006" s="60">
        <f>15.0276 * CHOOSE(CONTROL!$C$22, $C$13, 100%, $E$13)</f>
        <v>15.0276</v>
      </c>
      <c r="D1006" s="60">
        <f>15.0629 * CHOOSE(CONTROL!$C$22, $C$13, 100%, $E$13)</f>
        <v>15.062900000000001</v>
      </c>
      <c r="E1006" s="61">
        <f>18.4669 * CHOOSE(CONTROL!$C$22, $C$13, 100%, $E$13)</f>
        <v>18.466899999999999</v>
      </c>
      <c r="F1006" s="61">
        <f>18.4669 * CHOOSE(CONTROL!$C$22, $C$13, 100%, $E$13)</f>
        <v>18.466899999999999</v>
      </c>
      <c r="G1006" s="61">
        <f>18.469 * CHOOSE(CONTROL!$C$22, $C$13, 100%, $E$13)</f>
        <v>18.469000000000001</v>
      </c>
      <c r="H1006" s="61">
        <f>31.0509* CHOOSE(CONTROL!$C$22, $C$13, 100%, $E$13)</f>
        <v>31.050899999999999</v>
      </c>
      <c r="I1006" s="61">
        <f>31.0531 * CHOOSE(CONTROL!$C$22, $C$13, 100%, $E$13)</f>
        <v>31.053100000000001</v>
      </c>
      <c r="J1006" s="61">
        <f>18.4669 * CHOOSE(CONTROL!$C$22, $C$13, 100%, $E$13)</f>
        <v>18.466899999999999</v>
      </c>
      <c r="K1006" s="61">
        <f>18.469 * CHOOSE(CONTROL!$C$22, $C$13, 100%, $E$13)</f>
        <v>18.469000000000001</v>
      </c>
    </row>
    <row r="1007" spans="1:11" ht="15">
      <c r="A1007" s="13">
        <v>72502</v>
      </c>
      <c r="B1007" s="60">
        <f>15.2333 * CHOOSE(CONTROL!$C$22, $C$13, 100%, $E$13)</f>
        <v>15.2333</v>
      </c>
      <c r="C1007" s="60">
        <f>15.2333 * CHOOSE(CONTROL!$C$22, $C$13, 100%, $E$13)</f>
        <v>15.2333</v>
      </c>
      <c r="D1007" s="60">
        <f>15.2686 * CHOOSE(CONTROL!$C$22, $C$13, 100%, $E$13)</f>
        <v>15.268599999999999</v>
      </c>
      <c r="E1007" s="61">
        <f>18.7995 * CHOOSE(CONTROL!$C$22, $C$13, 100%, $E$13)</f>
        <v>18.799499999999998</v>
      </c>
      <c r="F1007" s="61">
        <f>18.7995 * CHOOSE(CONTROL!$C$22, $C$13, 100%, $E$13)</f>
        <v>18.799499999999998</v>
      </c>
      <c r="G1007" s="61">
        <f>18.8017 * CHOOSE(CONTROL!$C$22, $C$13, 100%, $E$13)</f>
        <v>18.8017</v>
      </c>
      <c r="H1007" s="61">
        <f>31.1156* CHOOSE(CONTROL!$C$22, $C$13, 100%, $E$13)</f>
        <v>31.115600000000001</v>
      </c>
      <c r="I1007" s="61">
        <f>31.1178 * CHOOSE(CONTROL!$C$22, $C$13, 100%, $E$13)</f>
        <v>31.117799999999999</v>
      </c>
      <c r="J1007" s="61">
        <f>18.7995 * CHOOSE(CONTROL!$C$22, $C$13, 100%, $E$13)</f>
        <v>18.799499999999998</v>
      </c>
      <c r="K1007" s="61">
        <f>18.8017 * CHOOSE(CONTROL!$C$22, $C$13, 100%, $E$13)</f>
        <v>18.8017</v>
      </c>
    </row>
    <row r="1008" spans="1:11" ht="15">
      <c r="A1008" s="13">
        <v>72533</v>
      </c>
      <c r="B1008" s="60">
        <f>15.24 * CHOOSE(CONTROL!$C$22, $C$13, 100%, $E$13)</f>
        <v>15.24</v>
      </c>
      <c r="C1008" s="60">
        <f>15.24 * CHOOSE(CONTROL!$C$22, $C$13, 100%, $E$13)</f>
        <v>15.24</v>
      </c>
      <c r="D1008" s="60">
        <f>15.2753 * CHOOSE(CONTROL!$C$22, $C$13, 100%, $E$13)</f>
        <v>15.2753</v>
      </c>
      <c r="E1008" s="61">
        <f>18.5129 * CHOOSE(CONTROL!$C$22, $C$13, 100%, $E$13)</f>
        <v>18.512899999999998</v>
      </c>
      <c r="F1008" s="61">
        <f>18.5129 * CHOOSE(CONTROL!$C$22, $C$13, 100%, $E$13)</f>
        <v>18.512899999999998</v>
      </c>
      <c r="G1008" s="61">
        <f>18.5151 * CHOOSE(CONTROL!$C$22, $C$13, 100%, $E$13)</f>
        <v>18.5151</v>
      </c>
      <c r="H1008" s="61">
        <f>31.1804* CHOOSE(CONTROL!$C$22, $C$13, 100%, $E$13)</f>
        <v>31.180399999999999</v>
      </c>
      <c r="I1008" s="61">
        <f>31.1826 * CHOOSE(CONTROL!$C$22, $C$13, 100%, $E$13)</f>
        <v>31.182600000000001</v>
      </c>
      <c r="J1008" s="61">
        <f>18.5129 * CHOOSE(CONTROL!$C$22, $C$13, 100%, $E$13)</f>
        <v>18.512899999999998</v>
      </c>
      <c r="K1008" s="61">
        <f>18.5151 * CHOOSE(CONTROL!$C$22, $C$13, 100%, $E$13)</f>
        <v>18.5151</v>
      </c>
    </row>
    <row r="1009" spans="1:11" ht="15">
      <c r="A1009" s="13">
        <v>72564</v>
      </c>
      <c r="B1009" s="60">
        <f>15.2369 * CHOOSE(CONTROL!$C$22, $C$13, 100%, $E$13)</f>
        <v>15.2369</v>
      </c>
      <c r="C1009" s="60">
        <f>15.2369 * CHOOSE(CONTROL!$C$22, $C$13, 100%, $E$13)</f>
        <v>15.2369</v>
      </c>
      <c r="D1009" s="60">
        <f>15.2723 * CHOOSE(CONTROL!$C$22, $C$13, 100%, $E$13)</f>
        <v>15.2723</v>
      </c>
      <c r="E1009" s="61">
        <f>18.4784 * CHOOSE(CONTROL!$C$22, $C$13, 100%, $E$13)</f>
        <v>18.478400000000001</v>
      </c>
      <c r="F1009" s="61">
        <f>18.4784 * CHOOSE(CONTROL!$C$22, $C$13, 100%, $E$13)</f>
        <v>18.478400000000001</v>
      </c>
      <c r="G1009" s="61">
        <f>18.4806 * CHOOSE(CONTROL!$C$22, $C$13, 100%, $E$13)</f>
        <v>18.480599999999999</v>
      </c>
      <c r="H1009" s="61">
        <f>31.2454* CHOOSE(CONTROL!$C$22, $C$13, 100%, $E$13)</f>
        <v>31.2454</v>
      </c>
      <c r="I1009" s="61">
        <f>31.2475 * CHOOSE(CONTROL!$C$22, $C$13, 100%, $E$13)</f>
        <v>31.247499999999999</v>
      </c>
      <c r="J1009" s="61">
        <f>18.4784 * CHOOSE(CONTROL!$C$22, $C$13, 100%, $E$13)</f>
        <v>18.478400000000001</v>
      </c>
      <c r="K1009" s="61">
        <f>18.4806 * CHOOSE(CONTROL!$C$22, $C$13, 100%, $E$13)</f>
        <v>18.480599999999999</v>
      </c>
    </row>
    <row r="1010" spans="1:11" ht="15">
      <c r="A1010" s="13">
        <v>72594</v>
      </c>
      <c r="B1010" s="60">
        <f>15.2747 * CHOOSE(CONTROL!$C$22, $C$13, 100%, $E$13)</f>
        <v>15.274699999999999</v>
      </c>
      <c r="C1010" s="60">
        <f>15.2747 * CHOOSE(CONTROL!$C$22, $C$13, 100%, $E$13)</f>
        <v>15.274699999999999</v>
      </c>
      <c r="D1010" s="60">
        <f>15.2923 * CHOOSE(CONTROL!$C$22, $C$13, 100%, $E$13)</f>
        <v>15.292299999999999</v>
      </c>
      <c r="E1010" s="61">
        <f>18.5944 * CHOOSE(CONTROL!$C$22, $C$13, 100%, $E$13)</f>
        <v>18.5944</v>
      </c>
      <c r="F1010" s="61">
        <f>18.5944 * CHOOSE(CONTROL!$C$22, $C$13, 100%, $E$13)</f>
        <v>18.5944</v>
      </c>
      <c r="G1010" s="61">
        <f>18.5946 * CHOOSE(CONTROL!$C$22, $C$13, 100%, $E$13)</f>
        <v>18.5946</v>
      </c>
      <c r="H1010" s="61">
        <f>31.3104* CHOOSE(CONTROL!$C$22, $C$13, 100%, $E$13)</f>
        <v>31.310400000000001</v>
      </c>
      <c r="I1010" s="61">
        <f>31.3106 * CHOOSE(CONTROL!$C$22, $C$13, 100%, $E$13)</f>
        <v>31.310600000000001</v>
      </c>
      <c r="J1010" s="61">
        <f>18.5944 * CHOOSE(CONTROL!$C$22, $C$13, 100%, $E$13)</f>
        <v>18.5944</v>
      </c>
      <c r="K1010" s="61">
        <f>18.5946 * CHOOSE(CONTROL!$C$22, $C$13, 100%, $E$13)</f>
        <v>18.5946</v>
      </c>
    </row>
    <row r="1011" spans="1:11" ht="15">
      <c r="A1011" s="13">
        <v>72625</v>
      </c>
      <c r="B1011" s="60">
        <f>15.2777 * CHOOSE(CONTROL!$C$22, $C$13, 100%, $E$13)</f>
        <v>15.277699999999999</v>
      </c>
      <c r="C1011" s="60">
        <f>15.2777 * CHOOSE(CONTROL!$C$22, $C$13, 100%, $E$13)</f>
        <v>15.277699999999999</v>
      </c>
      <c r="D1011" s="60">
        <f>15.2954 * CHOOSE(CONTROL!$C$22, $C$13, 100%, $E$13)</f>
        <v>15.295400000000001</v>
      </c>
      <c r="E1011" s="61">
        <f>18.6613 * CHOOSE(CONTROL!$C$22, $C$13, 100%, $E$13)</f>
        <v>18.661300000000001</v>
      </c>
      <c r="F1011" s="61">
        <f>18.6613 * CHOOSE(CONTROL!$C$22, $C$13, 100%, $E$13)</f>
        <v>18.661300000000001</v>
      </c>
      <c r="G1011" s="61">
        <f>18.6614 * CHOOSE(CONTROL!$C$22, $C$13, 100%, $E$13)</f>
        <v>18.6614</v>
      </c>
      <c r="H1011" s="61">
        <f>31.3757* CHOOSE(CONTROL!$C$22, $C$13, 100%, $E$13)</f>
        <v>31.375699999999998</v>
      </c>
      <c r="I1011" s="61">
        <f>31.3759 * CHOOSE(CONTROL!$C$22, $C$13, 100%, $E$13)</f>
        <v>31.375900000000001</v>
      </c>
      <c r="J1011" s="61">
        <f>18.6613 * CHOOSE(CONTROL!$C$22, $C$13, 100%, $E$13)</f>
        <v>18.661300000000001</v>
      </c>
      <c r="K1011" s="61">
        <f>18.6614 * CHOOSE(CONTROL!$C$22, $C$13, 100%, $E$13)</f>
        <v>18.6614</v>
      </c>
    </row>
    <row r="1012" spans="1:11" ht="15">
      <c r="A1012" s="13">
        <v>72655</v>
      </c>
      <c r="B1012" s="60">
        <f>15.2777 * CHOOSE(CONTROL!$C$22, $C$13, 100%, $E$13)</f>
        <v>15.277699999999999</v>
      </c>
      <c r="C1012" s="60">
        <f>15.2777 * CHOOSE(CONTROL!$C$22, $C$13, 100%, $E$13)</f>
        <v>15.277699999999999</v>
      </c>
      <c r="D1012" s="60">
        <f>15.2954 * CHOOSE(CONTROL!$C$22, $C$13, 100%, $E$13)</f>
        <v>15.295400000000001</v>
      </c>
      <c r="E1012" s="61">
        <f>18.4995 * CHOOSE(CONTROL!$C$22, $C$13, 100%, $E$13)</f>
        <v>18.499500000000001</v>
      </c>
      <c r="F1012" s="61">
        <f>18.4995 * CHOOSE(CONTROL!$C$22, $C$13, 100%, $E$13)</f>
        <v>18.499500000000001</v>
      </c>
      <c r="G1012" s="61">
        <f>18.4996 * CHOOSE(CONTROL!$C$22, $C$13, 100%, $E$13)</f>
        <v>18.499600000000001</v>
      </c>
      <c r="H1012" s="61">
        <f>31.441* CHOOSE(CONTROL!$C$22, $C$13, 100%, $E$13)</f>
        <v>31.440999999999999</v>
      </c>
      <c r="I1012" s="61">
        <f>31.4412 * CHOOSE(CONTROL!$C$22, $C$13, 100%, $E$13)</f>
        <v>31.441199999999998</v>
      </c>
      <c r="J1012" s="61">
        <f>18.4995 * CHOOSE(CONTROL!$C$22, $C$13, 100%, $E$13)</f>
        <v>18.499500000000001</v>
      </c>
      <c r="K1012" s="61">
        <f>18.4996 * CHOOSE(CONTROL!$C$22, $C$13, 100%, $E$13)</f>
        <v>18.499600000000001</v>
      </c>
    </row>
    <row r="1013" spans="1:11" ht="15">
      <c r="A1013" s="13">
        <v>72686</v>
      </c>
      <c r="B1013" s="60">
        <f>15.2157 * CHOOSE(CONTROL!$C$22, $C$13, 100%, $E$13)</f>
        <v>15.2157</v>
      </c>
      <c r="C1013" s="60">
        <f>15.2157 * CHOOSE(CONTROL!$C$22, $C$13, 100%, $E$13)</f>
        <v>15.2157</v>
      </c>
      <c r="D1013" s="60">
        <f>15.2334 * CHOOSE(CONTROL!$C$22, $C$13, 100%, $E$13)</f>
        <v>15.2334</v>
      </c>
      <c r="E1013" s="61">
        <f>18.5288 * CHOOSE(CONTROL!$C$22, $C$13, 100%, $E$13)</f>
        <v>18.5288</v>
      </c>
      <c r="F1013" s="61">
        <f>18.5288 * CHOOSE(CONTROL!$C$22, $C$13, 100%, $E$13)</f>
        <v>18.5288</v>
      </c>
      <c r="G1013" s="61">
        <f>18.5289 * CHOOSE(CONTROL!$C$22, $C$13, 100%, $E$13)</f>
        <v>18.5289</v>
      </c>
      <c r="H1013" s="61">
        <f>31.1309* CHOOSE(CONTROL!$C$22, $C$13, 100%, $E$13)</f>
        <v>31.1309</v>
      </c>
      <c r="I1013" s="61">
        <f>31.1311 * CHOOSE(CONTROL!$C$22, $C$13, 100%, $E$13)</f>
        <v>31.1311</v>
      </c>
      <c r="J1013" s="61">
        <f>18.5288 * CHOOSE(CONTROL!$C$22, $C$13, 100%, $E$13)</f>
        <v>18.5288</v>
      </c>
      <c r="K1013" s="61">
        <f>18.5289 * CHOOSE(CONTROL!$C$22, $C$13, 100%, $E$13)</f>
        <v>18.5289</v>
      </c>
    </row>
    <row r="1014" spans="1:11" ht="15">
      <c r="A1014" s="13">
        <v>72717</v>
      </c>
      <c r="B1014" s="60">
        <f>15.2127 * CHOOSE(CONTROL!$C$22, $C$13, 100%, $E$13)</f>
        <v>15.2127</v>
      </c>
      <c r="C1014" s="60">
        <f>15.2127 * CHOOSE(CONTROL!$C$22, $C$13, 100%, $E$13)</f>
        <v>15.2127</v>
      </c>
      <c r="D1014" s="60">
        <f>15.2303 * CHOOSE(CONTROL!$C$22, $C$13, 100%, $E$13)</f>
        <v>15.2303</v>
      </c>
      <c r="E1014" s="61">
        <f>18.2164 * CHOOSE(CONTROL!$C$22, $C$13, 100%, $E$13)</f>
        <v>18.2164</v>
      </c>
      <c r="F1014" s="61">
        <f>18.2164 * CHOOSE(CONTROL!$C$22, $C$13, 100%, $E$13)</f>
        <v>18.2164</v>
      </c>
      <c r="G1014" s="61">
        <f>18.2166 * CHOOSE(CONTROL!$C$22, $C$13, 100%, $E$13)</f>
        <v>18.2166</v>
      </c>
      <c r="H1014" s="61">
        <f>31.1958* CHOOSE(CONTROL!$C$22, $C$13, 100%, $E$13)</f>
        <v>31.195799999999998</v>
      </c>
      <c r="I1014" s="61">
        <f>31.1959 * CHOOSE(CONTROL!$C$22, $C$13, 100%, $E$13)</f>
        <v>31.195900000000002</v>
      </c>
      <c r="J1014" s="61">
        <f>18.2164 * CHOOSE(CONTROL!$C$22, $C$13, 100%, $E$13)</f>
        <v>18.2164</v>
      </c>
      <c r="K1014" s="61">
        <f>18.2166 * CHOOSE(CONTROL!$C$22, $C$13, 100%, $E$13)</f>
        <v>18.2166</v>
      </c>
    </row>
    <row r="1015" spans="1:11" ht="15">
      <c r="A1015" s="13">
        <v>72745</v>
      </c>
      <c r="B1015" s="60">
        <f>15.2096 * CHOOSE(CONTROL!$C$22, $C$13, 100%, $E$13)</f>
        <v>15.2096</v>
      </c>
      <c r="C1015" s="60">
        <f>15.2096 * CHOOSE(CONTROL!$C$22, $C$13, 100%, $E$13)</f>
        <v>15.2096</v>
      </c>
      <c r="D1015" s="60">
        <f>15.2273 * CHOOSE(CONTROL!$C$22, $C$13, 100%, $E$13)</f>
        <v>15.2273</v>
      </c>
      <c r="E1015" s="61">
        <f>18.4589 * CHOOSE(CONTROL!$C$22, $C$13, 100%, $E$13)</f>
        <v>18.4589</v>
      </c>
      <c r="F1015" s="61">
        <f>18.4589 * CHOOSE(CONTROL!$C$22, $C$13, 100%, $E$13)</f>
        <v>18.4589</v>
      </c>
      <c r="G1015" s="61">
        <f>18.459 * CHOOSE(CONTROL!$C$22, $C$13, 100%, $E$13)</f>
        <v>18.459</v>
      </c>
      <c r="H1015" s="61">
        <f>31.2608* CHOOSE(CONTROL!$C$22, $C$13, 100%, $E$13)</f>
        <v>31.2608</v>
      </c>
      <c r="I1015" s="61">
        <f>31.2609 * CHOOSE(CONTROL!$C$22, $C$13, 100%, $E$13)</f>
        <v>31.260899999999999</v>
      </c>
      <c r="J1015" s="61">
        <f>18.4589 * CHOOSE(CONTROL!$C$22, $C$13, 100%, $E$13)</f>
        <v>18.4589</v>
      </c>
      <c r="K1015" s="61">
        <f>18.459 * CHOOSE(CONTROL!$C$22, $C$13, 100%, $E$13)</f>
        <v>18.459</v>
      </c>
    </row>
    <row r="1016" spans="1:11" ht="15">
      <c r="A1016" s="13">
        <v>72776</v>
      </c>
      <c r="B1016" s="60">
        <f>15.2183 * CHOOSE(CONTROL!$C$22, $C$13, 100%, $E$13)</f>
        <v>15.218299999999999</v>
      </c>
      <c r="C1016" s="60">
        <f>15.2183 * CHOOSE(CONTROL!$C$22, $C$13, 100%, $E$13)</f>
        <v>15.218299999999999</v>
      </c>
      <c r="D1016" s="60">
        <f>15.236 * CHOOSE(CONTROL!$C$22, $C$13, 100%, $E$13)</f>
        <v>15.236000000000001</v>
      </c>
      <c r="E1016" s="61">
        <f>18.7173 * CHOOSE(CONTROL!$C$22, $C$13, 100%, $E$13)</f>
        <v>18.717300000000002</v>
      </c>
      <c r="F1016" s="61">
        <f>18.7173 * CHOOSE(CONTROL!$C$22, $C$13, 100%, $E$13)</f>
        <v>18.717300000000002</v>
      </c>
      <c r="G1016" s="61">
        <f>18.7175 * CHOOSE(CONTROL!$C$22, $C$13, 100%, $E$13)</f>
        <v>18.717500000000001</v>
      </c>
      <c r="H1016" s="61">
        <f>31.3259* CHOOSE(CONTROL!$C$22, $C$13, 100%, $E$13)</f>
        <v>31.325900000000001</v>
      </c>
      <c r="I1016" s="61">
        <f>31.3261 * CHOOSE(CONTROL!$C$22, $C$13, 100%, $E$13)</f>
        <v>31.3261</v>
      </c>
      <c r="J1016" s="61">
        <f>18.7173 * CHOOSE(CONTROL!$C$22, $C$13, 100%, $E$13)</f>
        <v>18.717300000000002</v>
      </c>
      <c r="K1016" s="61">
        <f>18.7175 * CHOOSE(CONTROL!$C$22, $C$13, 100%, $E$13)</f>
        <v>18.717500000000001</v>
      </c>
    </row>
    <row r="1017" spans="1:11" ht="15">
      <c r="A1017" s="13">
        <v>72806</v>
      </c>
      <c r="B1017" s="60">
        <f>15.2183 * CHOOSE(CONTROL!$C$22, $C$13, 100%, $E$13)</f>
        <v>15.218299999999999</v>
      </c>
      <c r="C1017" s="60">
        <f>15.2183 * CHOOSE(CONTROL!$C$22, $C$13, 100%, $E$13)</f>
        <v>15.218299999999999</v>
      </c>
      <c r="D1017" s="60">
        <f>15.2537 * CHOOSE(CONTROL!$C$22, $C$13, 100%, $E$13)</f>
        <v>15.2537</v>
      </c>
      <c r="E1017" s="61">
        <f>18.8158 * CHOOSE(CONTROL!$C$22, $C$13, 100%, $E$13)</f>
        <v>18.815799999999999</v>
      </c>
      <c r="F1017" s="61">
        <f>18.8158 * CHOOSE(CONTROL!$C$22, $C$13, 100%, $E$13)</f>
        <v>18.815799999999999</v>
      </c>
      <c r="G1017" s="61">
        <f>18.818 * CHOOSE(CONTROL!$C$22, $C$13, 100%, $E$13)</f>
        <v>18.818000000000001</v>
      </c>
      <c r="H1017" s="61">
        <f>31.3911* CHOOSE(CONTROL!$C$22, $C$13, 100%, $E$13)</f>
        <v>31.391100000000002</v>
      </c>
      <c r="I1017" s="61">
        <f>31.3933 * CHOOSE(CONTROL!$C$22, $C$13, 100%, $E$13)</f>
        <v>31.3933</v>
      </c>
      <c r="J1017" s="61">
        <f>18.8158 * CHOOSE(CONTROL!$C$22, $C$13, 100%, $E$13)</f>
        <v>18.815799999999999</v>
      </c>
      <c r="K1017" s="61">
        <f>18.818 * CHOOSE(CONTROL!$C$22, $C$13, 100%, $E$13)</f>
        <v>18.818000000000001</v>
      </c>
    </row>
    <row r="1018" spans="1:11" ht="15">
      <c r="A1018" s="13">
        <v>72837</v>
      </c>
      <c r="B1018" s="60">
        <f>15.2244 * CHOOSE(CONTROL!$C$22, $C$13, 100%, $E$13)</f>
        <v>15.224399999999999</v>
      </c>
      <c r="C1018" s="60">
        <f>15.2244 * CHOOSE(CONTROL!$C$22, $C$13, 100%, $E$13)</f>
        <v>15.224399999999999</v>
      </c>
      <c r="D1018" s="60">
        <f>15.2597 * CHOOSE(CONTROL!$C$22, $C$13, 100%, $E$13)</f>
        <v>15.2597</v>
      </c>
      <c r="E1018" s="61">
        <f>18.7215 * CHOOSE(CONTROL!$C$22, $C$13, 100%, $E$13)</f>
        <v>18.721499999999999</v>
      </c>
      <c r="F1018" s="61">
        <f>18.7215 * CHOOSE(CONTROL!$C$22, $C$13, 100%, $E$13)</f>
        <v>18.721499999999999</v>
      </c>
      <c r="G1018" s="61">
        <f>18.7237 * CHOOSE(CONTROL!$C$22, $C$13, 100%, $E$13)</f>
        <v>18.723700000000001</v>
      </c>
      <c r="H1018" s="61">
        <f>31.4565* CHOOSE(CONTROL!$C$22, $C$13, 100%, $E$13)</f>
        <v>31.456499999999998</v>
      </c>
      <c r="I1018" s="61">
        <f>31.4587 * CHOOSE(CONTROL!$C$22, $C$13, 100%, $E$13)</f>
        <v>31.4587</v>
      </c>
      <c r="J1018" s="61">
        <f>18.7215 * CHOOSE(CONTROL!$C$22, $C$13, 100%, $E$13)</f>
        <v>18.721499999999999</v>
      </c>
      <c r="K1018" s="61">
        <f>18.7237 * CHOOSE(CONTROL!$C$22, $C$13, 100%, $E$13)</f>
        <v>18.723700000000001</v>
      </c>
    </row>
    <row r="1019" spans="1:11" ht="15">
      <c r="A1019" s="13">
        <v>72867</v>
      </c>
      <c r="B1019" s="60">
        <f>15.4326 * CHOOSE(CONTROL!$C$22, $C$13, 100%, $E$13)</f>
        <v>15.432600000000001</v>
      </c>
      <c r="C1019" s="60">
        <f>15.4326 * CHOOSE(CONTROL!$C$22, $C$13, 100%, $E$13)</f>
        <v>15.432600000000001</v>
      </c>
      <c r="D1019" s="60">
        <f>15.4679 * CHOOSE(CONTROL!$C$22, $C$13, 100%, $E$13)</f>
        <v>15.4679</v>
      </c>
      <c r="E1019" s="61">
        <f>19.0586 * CHOOSE(CONTROL!$C$22, $C$13, 100%, $E$13)</f>
        <v>19.058599999999998</v>
      </c>
      <c r="F1019" s="61">
        <f>19.0586 * CHOOSE(CONTROL!$C$22, $C$13, 100%, $E$13)</f>
        <v>19.058599999999998</v>
      </c>
      <c r="G1019" s="61">
        <f>19.0608 * CHOOSE(CONTROL!$C$22, $C$13, 100%, $E$13)</f>
        <v>19.0608</v>
      </c>
      <c r="H1019" s="61">
        <f>31.5221* CHOOSE(CONTROL!$C$22, $C$13, 100%, $E$13)</f>
        <v>31.522099999999998</v>
      </c>
      <c r="I1019" s="61">
        <f>31.5243 * CHOOSE(CONTROL!$C$22, $C$13, 100%, $E$13)</f>
        <v>31.5243</v>
      </c>
      <c r="J1019" s="61">
        <f>19.0586 * CHOOSE(CONTROL!$C$22, $C$13, 100%, $E$13)</f>
        <v>19.058599999999998</v>
      </c>
      <c r="K1019" s="61">
        <f>19.0608 * CHOOSE(CONTROL!$C$22, $C$13, 100%, $E$13)</f>
        <v>19.0608</v>
      </c>
    </row>
    <row r="1020" spans="1:11" ht="15">
      <c r="A1020" s="13">
        <v>72898</v>
      </c>
      <c r="B1020" s="60">
        <f>15.4393 * CHOOSE(CONTROL!$C$22, $C$13, 100%, $E$13)</f>
        <v>15.439299999999999</v>
      </c>
      <c r="C1020" s="60">
        <f>15.4393 * CHOOSE(CONTROL!$C$22, $C$13, 100%, $E$13)</f>
        <v>15.439299999999999</v>
      </c>
      <c r="D1020" s="60">
        <f>15.4746 * CHOOSE(CONTROL!$C$22, $C$13, 100%, $E$13)</f>
        <v>15.474600000000001</v>
      </c>
      <c r="E1020" s="61">
        <f>18.7677 * CHOOSE(CONTROL!$C$22, $C$13, 100%, $E$13)</f>
        <v>18.767700000000001</v>
      </c>
      <c r="F1020" s="61">
        <f>18.7677 * CHOOSE(CONTROL!$C$22, $C$13, 100%, $E$13)</f>
        <v>18.767700000000001</v>
      </c>
      <c r="G1020" s="61">
        <f>18.7699 * CHOOSE(CONTROL!$C$22, $C$13, 100%, $E$13)</f>
        <v>18.7699</v>
      </c>
      <c r="H1020" s="61">
        <f>31.5877* CHOOSE(CONTROL!$C$22, $C$13, 100%, $E$13)</f>
        <v>31.587700000000002</v>
      </c>
      <c r="I1020" s="61">
        <f>31.5899 * CHOOSE(CONTROL!$C$22, $C$13, 100%, $E$13)</f>
        <v>31.5899</v>
      </c>
      <c r="J1020" s="61">
        <f>18.7677 * CHOOSE(CONTROL!$C$22, $C$13, 100%, $E$13)</f>
        <v>18.767700000000001</v>
      </c>
      <c r="K1020" s="61">
        <f>18.7699 * CHOOSE(CONTROL!$C$22, $C$13, 100%, $E$13)</f>
        <v>18.7699</v>
      </c>
    </row>
    <row r="1021" spans="1:11" ht="15">
      <c r="A1021" s="13">
        <v>72929</v>
      </c>
      <c r="B1021" s="60">
        <f>15.4363 * CHOOSE(CONTROL!$C$22, $C$13, 100%, $E$13)</f>
        <v>15.436299999999999</v>
      </c>
      <c r="C1021" s="60">
        <f>15.4363 * CHOOSE(CONTROL!$C$22, $C$13, 100%, $E$13)</f>
        <v>15.436299999999999</v>
      </c>
      <c r="D1021" s="60">
        <f>15.4716 * CHOOSE(CONTROL!$C$22, $C$13, 100%, $E$13)</f>
        <v>15.4716</v>
      </c>
      <c r="E1021" s="61">
        <f>18.7328 * CHOOSE(CONTROL!$C$22, $C$13, 100%, $E$13)</f>
        <v>18.732800000000001</v>
      </c>
      <c r="F1021" s="61">
        <f>18.7328 * CHOOSE(CONTROL!$C$22, $C$13, 100%, $E$13)</f>
        <v>18.732800000000001</v>
      </c>
      <c r="G1021" s="61">
        <f>18.735 * CHOOSE(CONTROL!$C$22, $C$13, 100%, $E$13)</f>
        <v>18.734999999999999</v>
      </c>
      <c r="H1021" s="61">
        <f>31.6536* CHOOSE(CONTROL!$C$22, $C$13, 100%, $E$13)</f>
        <v>31.653600000000001</v>
      </c>
      <c r="I1021" s="61">
        <f>31.6557 * CHOOSE(CONTROL!$C$22, $C$13, 100%, $E$13)</f>
        <v>31.6557</v>
      </c>
      <c r="J1021" s="61">
        <f>18.7328 * CHOOSE(CONTROL!$C$22, $C$13, 100%, $E$13)</f>
        <v>18.732800000000001</v>
      </c>
      <c r="K1021" s="61">
        <f>18.735 * CHOOSE(CONTROL!$C$22, $C$13, 100%, $E$13)</f>
        <v>18.734999999999999</v>
      </c>
    </row>
    <row r="1022" spans="1:11" ht="15">
      <c r="A1022" s="13">
        <v>72959</v>
      </c>
      <c r="B1022" s="60">
        <f>15.4747 * CHOOSE(CONTROL!$C$22, $C$13, 100%, $E$13)</f>
        <v>15.4747</v>
      </c>
      <c r="C1022" s="60">
        <f>15.4747 * CHOOSE(CONTROL!$C$22, $C$13, 100%, $E$13)</f>
        <v>15.4747</v>
      </c>
      <c r="D1022" s="60">
        <f>15.4924 * CHOOSE(CONTROL!$C$22, $C$13, 100%, $E$13)</f>
        <v>15.4924</v>
      </c>
      <c r="E1022" s="61">
        <f>18.8507 * CHOOSE(CONTROL!$C$22, $C$13, 100%, $E$13)</f>
        <v>18.8507</v>
      </c>
      <c r="F1022" s="61">
        <f>18.8507 * CHOOSE(CONTROL!$C$22, $C$13, 100%, $E$13)</f>
        <v>18.8507</v>
      </c>
      <c r="G1022" s="61">
        <f>18.8509 * CHOOSE(CONTROL!$C$22, $C$13, 100%, $E$13)</f>
        <v>18.850899999999999</v>
      </c>
      <c r="H1022" s="61">
        <f>31.7195* CHOOSE(CONTROL!$C$22, $C$13, 100%, $E$13)</f>
        <v>31.7195</v>
      </c>
      <c r="I1022" s="61">
        <f>31.7197 * CHOOSE(CONTROL!$C$22, $C$13, 100%, $E$13)</f>
        <v>31.7197</v>
      </c>
      <c r="J1022" s="61">
        <f>18.8507 * CHOOSE(CONTROL!$C$22, $C$13, 100%, $E$13)</f>
        <v>18.8507</v>
      </c>
      <c r="K1022" s="61">
        <f>18.8509 * CHOOSE(CONTROL!$C$22, $C$13, 100%, $E$13)</f>
        <v>18.850899999999999</v>
      </c>
    </row>
    <row r="1023" spans="1:11" ht="15">
      <c r="A1023" s="13">
        <v>72990</v>
      </c>
      <c r="B1023" s="60">
        <f>15.4778 * CHOOSE(CONTROL!$C$22, $C$13, 100%, $E$13)</f>
        <v>15.4778</v>
      </c>
      <c r="C1023" s="60">
        <f>15.4778 * CHOOSE(CONTROL!$C$22, $C$13, 100%, $E$13)</f>
        <v>15.4778</v>
      </c>
      <c r="D1023" s="60">
        <f>15.4954 * CHOOSE(CONTROL!$C$22, $C$13, 100%, $E$13)</f>
        <v>15.4954</v>
      </c>
      <c r="E1023" s="61">
        <f>18.9185 * CHOOSE(CONTROL!$C$22, $C$13, 100%, $E$13)</f>
        <v>18.918500000000002</v>
      </c>
      <c r="F1023" s="61">
        <f>18.9185 * CHOOSE(CONTROL!$C$22, $C$13, 100%, $E$13)</f>
        <v>18.918500000000002</v>
      </c>
      <c r="G1023" s="61">
        <f>18.9187 * CHOOSE(CONTROL!$C$22, $C$13, 100%, $E$13)</f>
        <v>18.918700000000001</v>
      </c>
      <c r="H1023" s="61">
        <f>31.7856* CHOOSE(CONTROL!$C$22, $C$13, 100%, $E$13)</f>
        <v>31.785599999999999</v>
      </c>
      <c r="I1023" s="61">
        <f>31.7858 * CHOOSE(CONTROL!$C$22, $C$13, 100%, $E$13)</f>
        <v>31.785799999999998</v>
      </c>
      <c r="J1023" s="61">
        <f>18.9185 * CHOOSE(CONTROL!$C$22, $C$13, 100%, $E$13)</f>
        <v>18.918500000000002</v>
      </c>
      <c r="K1023" s="61">
        <f>18.9187 * CHOOSE(CONTROL!$C$22, $C$13, 100%, $E$13)</f>
        <v>18.918700000000001</v>
      </c>
    </row>
    <row r="1024" spans="1:11" ht="15">
      <c r="A1024" s="13">
        <v>73020</v>
      </c>
      <c r="B1024" s="60">
        <f>15.4778 * CHOOSE(CONTROL!$C$22, $C$13, 100%, $E$13)</f>
        <v>15.4778</v>
      </c>
      <c r="C1024" s="60">
        <f>15.4778 * CHOOSE(CONTROL!$C$22, $C$13, 100%, $E$13)</f>
        <v>15.4778</v>
      </c>
      <c r="D1024" s="60">
        <f>15.4954 * CHOOSE(CONTROL!$C$22, $C$13, 100%, $E$13)</f>
        <v>15.4954</v>
      </c>
      <c r="E1024" s="61">
        <f>18.7543 * CHOOSE(CONTROL!$C$22, $C$13, 100%, $E$13)</f>
        <v>18.754300000000001</v>
      </c>
      <c r="F1024" s="61">
        <f>18.7543 * CHOOSE(CONTROL!$C$22, $C$13, 100%, $E$13)</f>
        <v>18.754300000000001</v>
      </c>
      <c r="G1024" s="61">
        <f>18.7545 * CHOOSE(CONTROL!$C$22, $C$13, 100%, $E$13)</f>
        <v>18.7545</v>
      </c>
      <c r="H1024" s="61">
        <f>31.8518* CHOOSE(CONTROL!$C$22, $C$13, 100%, $E$13)</f>
        <v>31.851800000000001</v>
      </c>
      <c r="I1024" s="61">
        <f>31.852 * CHOOSE(CONTROL!$C$22, $C$13, 100%, $E$13)</f>
        <v>31.852</v>
      </c>
      <c r="J1024" s="61">
        <f>18.7543 * CHOOSE(CONTROL!$C$22, $C$13, 100%, $E$13)</f>
        <v>18.754300000000001</v>
      </c>
      <c r="K1024" s="61">
        <f>18.7545 * CHOOSE(CONTROL!$C$22, $C$13, 100%, $E$13)</f>
        <v>18.7545</v>
      </c>
    </row>
    <row r="1025" spans="1:11" ht="15">
      <c r="A1025" s="13">
        <v>73051</v>
      </c>
      <c r="B1025" s="60">
        <f>15.4123 * CHOOSE(CONTROL!$C$22, $C$13, 100%, $E$13)</f>
        <v>15.4123</v>
      </c>
      <c r="C1025" s="60">
        <f>15.4123 * CHOOSE(CONTROL!$C$22, $C$13, 100%, $E$13)</f>
        <v>15.4123</v>
      </c>
      <c r="D1025" s="60">
        <f>15.43 * CHOOSE(CONTROL!$C$22, $C$13, 100%, $E$13)</f>
        <v>15.43</v>
      </c>
      <c r="E1025" s="61">
        <f>18.7806 * CHOOSE(CONTROL!$C$22, $C$13, 100%, $E$13)</f>
        <v>18.7806</v>
      </c>
      <c r="F1025" s="61">
        <f>18.7806 * CHOOSE(CONTROL!$C$22, $C$13, 100%, $E$13)</f>
        <v>18.7806</v>
      </c>
      <c r="G1025" s="61">
        <f>18.7808 * CHOOSE(CONTROL!$C$22, $C$13, 100%, $E$13)</f>
        <v>18.780799999999999</v>
      </c>
      <c r="H1025" s="61">
        <f>31.5324* CHOOSE(CONTROL!$C$22, $C$13, 100%, $E$13)</f>
        <v>31.532399999999999</v>
      </c>
      <c r="I1025" s="61">
        <f>31.5325 * CHOOSE(CONTROL!$C$22, $C$13, 100%, $E$13)</f>
        <v>31.532499999999999</v>
      </c>
      <c r="J1025" s="61">
        <f>18.7806 * CHOOSE(CONTROL!$C$22, $C$13, 100%, $E$13)</f>
        <v>18.7806</v>
      </c>
      <c r="K1025" s="61">
        <f>18.7808 * CHOOSE(CONTROL!$C$22, $C$13, 100%, $E$13)</f>
        <v>18.780799999999999</v>
      </c>
    </row>
    <row r="1026" spans="1:11" ht="15">
      <c r="A1026" s="13">
        <v>73082</v>
      </c>
      <c r="B1026" s="60">
        <f>15.4093 * CHOOSE(CONTROL!$C$22, $C$13, 100%, $E$13)</f>
        <v>15.4093</v>
      </c>
      <c r="C1026" s="60">
        <f>15.4093 * CHOOSE(CONTROL!$C$22, $C$13, 100%, $E$13)</f>
        <v>15.4093</v>
      </c>
      <c r="D1026" s="60">
        <f>15.427 * CHOOSE(CONTROL!$C$22, $C$13, 100%, $E$13)</f>
        <v>15.427</v>
      </c>
      <c r="E1026" s="61">
        <f>18.4638 * CHOOSE(CONTROL!$C$22, $C$13, 100%, $E$13)</f>
        <v>18.463799999999999</v>
      </c>
      <c r="F1026" s="61">
        <f>18.4638 * CHOOSE(CONTROL!$C$22, $C$13, 100%, $E$13)</f>
        <v>18.463799999999999</v>
      </c>
      <c r="G1026" s="61">
        <f>18.4639 * CHOOSE(CONTROL!$C$22, $C$13, 100%, $E$13)</f>
        <v>18.463899999999999</v>
      </c>
      <c r="H1026" s="61">
        <f>31.5981* CHOOSE(CONTROL!$C$22, $C$13, 100%, $E$13)</f>
        <v>31.598099999999999</v>
      </c>
      <c r="I1026" s="61">
        <f>31.5982 * CHOOSE(CONTROL!$C$22, $C$13, 100%, $E$13)</f>
        <v>31.598199999999999</v>
      </c>
      <c r="J1026" s="61">
        <f>18.4638 * CHOOSE(CONTROL!$C$22, $C$13, 100%, $E$13)</f>
        <v>18.463799999999999</v>
      </c>
      <c r="K1026" s="61">
        <f>18.4639 * CHOOSE(CONTROL!$C$22, $C$13, 100%, $E$13)</f>
        <v>18.463899999999999</v>
      </c>
    </row>
    <row r="1027" spans="1:11" ht="15">
      <c r="A1027" s="13">
        <v>73110</v>
      </c>
      <c r="B1027" s="60">
        <f>15.4063 * CHOOSE(CONTROL!$C$22, $C$13, 100%, $E$13)</f>
        <v>15.4063</v>
      </c>
      <c r="C1027" s="60">
        <f>15.4063 * CHOOSE(CONTROL!$C$22, $C$13, 100%, $E$13)</f>
        <v>15.4063</v>
      </c>
      <c r="D1027" s="60">
        <f>15.4239 * CHOOSE(CONTROL!$C$22, $C$13, 100%, $E$13)</f>
        <v>15.4239</v>
      </c>
      <c r="E1027" s="61">
        <f>18.7098 * CHOOSE(CONTROL!$C$22, $C$13, 100%, $E$13)</f>
        <v>18.709800000000001</v>
      </c>
      <c r="F1027" s="61">
        <f>18.7098 * CHOOSE(CONTROL!$C$22, $C$13, 100%, $E$13)</f>
        <v>18.709800000000001</v>
      </c>
      <c r="G1027" s="61">
        <f>18.7099 * CHOOSE(CONTROL!$C$22, $C$13, 100%, $E$13)</f>
        <v>18.709900000000001</v>
      </c>
      <c r="H1027" s="61">
        <f>31.6639* CHOOSE(CONTROL!$C$22, $C$13, 100%, $E$13)</f>
        <v>31.663900000000002</v>
      </c>
      <c r="I1027" s="61">
        <f>31.6641 * CHOOSE(CONTROL!$C$22, $C$13, 100%, $E$13)</f>
        <v>31.664100000000001</v>
      </c>
      <c r="J1027" s="61">
        <f>18.7098 * CHOOSE(CONTROL!$C$22, $C$13, 100%, $E$13)</f>
        <v>18.709800000000001</v>
      </c>
      <c r="K1027" s="61">
        <f>18.7099 * CHOOSE(CONTROL!$C$22, $C$13, 100%, $E$13)</f>
        <v>18.709900000000001</v>
      </c>
    </row>
    <row r="1028" spans="1:11" ht="15">
      <c r="A1028" s="13">
        <v>73141</v>
      </c>
      <c r="B1028" s="60">
        <f>15.4152 * CHOOSE(CONTROL!$C$22, $C$13, 100%, $E$13)</f>
        <v>15.4152</v>
      </c>
      <c r="C1028" s="60">
        <f>15.4152 * CHOOSE(CONTROL!$C$22, $C$13, 100%, $E$13)</f>
        <v>15.4152</v>
      </c>
      <c r="D1028" s="60">
        <f>15.4328 * CHOOSE(CONTROL!$C$22, $C$13, 100%, $E$13)</f>
        <v>15.4328</v>
      </c>
      <c r="E1028" s="61">
        <f>18.972 * CHOOSE(CONTROL!$C$22, $C$13, 100%, $E$13)</f>
        <v>18.972000000000001</v>
      </c>
      <c r="F1028" s="61">
        <f>18.972 * CHOOSE(CONTROL!$C$22, $C$13, 100%, $E$13)</f>
        <v>18.972000000000001</v>
      </c>
      <c r="G1028" s="61">
        <f>18.9722 * CHOOSE(CONTROL!$C$22, $C$13, 100%, $E$13)</f>
        <v>18.972200000000001</v>
      </c>
      <c r="H1028" s="61">
        <f>31.7299* CHOOSE(CONTROL!$C$22, $C$13, 100%, $E$13)</f>
        <v>31.729900000000001</v>
      </c>
      <c r="I1028" s="61">
        <f>31.73 * CHOOSE(CONTROL!$C$22, $C$13, 100%, $E$13)</f>
        <v>31.73</v>
      </c>
      <c r="J1028" s="61">
        <f>18.972 * CHOOSE(CONTROL!$C$22, $C$13, 100%, $E$13)</f>
        <v>18.972000000000001</v>
      </c>
      <c r="K1028" s="61">
        <f>18.9722 * CHOOSE(CONTROL!$C$22, $C$13, 100%, $E$13)</f>
        <v>18.972200000000001</v>
      </c>
    </row>
    <row r="1029" spans="1:11" ht="15">
      <c r="A1029" s="13">
        <v>73171</v>
      </c>
      <c r="B1029" s="60">
        <f>15.4152 * CHOOSE(CONTROL!$C$22, $C$13, 100%, $E$13)</f>
        <v>15.4152</v>
      </c>
      <c r="C1029" s="60">
        <f>15.4152 * CHOOSE(CONTROL!$C$22, $C$13, 100%, $E$13)</f>
        <v>15.4152</v>
      </c>
      <c r="D1029" s="60">
        <f>15.4505 * CHOOSE(CONTROL!$C$22, $C$13, 100%, $E$13)</f>
        <v>15.4505</v>
      </c>
      <c r="E1029" s="61">
        <f>19.0719 * CHOOSE(CONTROL!$C$22, $C$13, 100%, $E$13)</f>
        <v>19.071899999999999</v>
      </c>
      <c r="F1029" s="61">
        <f>19.0719 * CHOOSE(CONTROL!$C$22, $C$13, 100%, $E$13)</f>
        <v>19.071899999999999</v>
      </c>
      <c r="G1029" s="61">
        <f>19.0741 * CHOOSE(CONTROL!$C$22, $C$13, 100%, $E$13)</f>
        <v>19.074100000000001</v>
      </c>
      <c r="H1029" s="61">
        <f>31.796* CHOOSE(CONTROL!$C$22, $C$13, 100%, $E$13)</f>
        <v>31.795999999999999</v>
      </c>
      <c r="I1029" s="61">
        <f>31.7981 * CHOOSE(CONTROL!$C$22, $C$13, 100%, $E$13)</f>
        <v>31.798100000000002</v>
      </c>
      <c r="J1029" s="61">
        <f>19.0719 * CHOOSE(CONTROL!$C$22, $C$13, 100%, $E$13)</f>
        <v>19.071899999999999</v>
      </c>
      <c r="K1029" s="61">
        <f>19.0741 * CHOOSE(CONTROL!$C$22, $C$13, 100%, $E$13)</f>
        <v>19.074100000000001</v>
      </c>
    </row>
    <row r="1030" spans="1:11" ht="15">
      <c r="A1030" s="13">
        <v>73202</v>
      </c>
      <c r="B1030" s="60">
        <f>15.4212 * CHOOSE(CONTROL!$C$22, $C$13, 100%, $E$13)</f>
        <v>15.421200000000001</v>
      </c>
      <c r="C1030" s="60">
        <f>15.4212 * CHOOSE(CONTROL!$C$22, $C$13, 100%, $E$13)</f>
        <v>15.421200000000001</v>
      </c>
      <c r="D1030" s="60">
        <f>15.4566 * CHOOSE(CONTROL!$C$22, $C$13, 100%, $E$13)</f>
        <v>15.4566</v>
      </c>
      <c r="E1030" s="61">
        <f>18.9762 * CHOOSE(CONTROL!$C$22, $C$13, 100%, $E$13)</f>
        <v>18.976199999999999</v>
      </c>
      <c r="F1030" s="61">
        <f>18.9762 * CHOOSE(CONTROL!$C$22, $C$13, 100%, $E$13)</f>
        <v>18.976199999999999</v>
      </c>
      <c r="G1030" s="61">
        <f>18.9784 * CHOOSE(CONTROL!$C$22, $C$13, 100%, $E$13)</f>
        <v>18.978400000000001</v>
      </c>
      <c r="H1030" s="61">
        <f>31.8622* CHOOSE(CONTROL!$C$22, $C$13, 100%, $E$13)</f>
        <v>31.862200000000001</v>
      </c>
      <c r="I1030" s="61">
        <f>31.8644 * CHOOSE(CONTROL!$C$22, $C$13, 100%, $E$13)</f>
        <v>31.8644</v>
      </c>
      <c r="J1030" s="61">
        <f>18.9762 * CHOOSE(CONTROL!$C$22, $C$13, 100%, $E$13)</f>
        <v>18.976199999999999</v>
      </c>
      <c r="K1030" s="61">
        <f>18.9784 * CHOOSE(CONTROL!$C$22, $C$13, 100%, $E$13)</f>
        <v>18.978400000000001</v>
      </c>
    </row>
    <row r="1031" spans="1:11" ht="15">
      <c r="A1031" s="13">
        <v>73232</v>
      </c>
      <c r="B1031" s="60">
        <f>15.6319 * CHOOSE(CONTROL!$C$22, $C$13, 100%, $E$13)</f>
        <v>15.6319</v>
      </c>
      <c r="C1031" s="60">
        <f>15.6319 * CHOOSE(CONTROL!$C$22, $C$13, 100%, $E$13)</f>
        <v>15.6319</v>
      </c>
      <c r="D1031" s="60">
        <f>15.6672 * CHOOSE(CONTROL!$C$22, $C$13, 100%, $E$13)</f>
        <v>15.667199999999999</v>
      </c>
      <c r="E1031" s="61">
        <f>19.3177 * CHOOSE(CONTROL!$C$22, $C$13, 100%, $E$13)</f>
        <v>19.317699999999999</v>
      </c>
      <c r="F1031" s="61">
        <f>19.3177 * CHOOSE(CONTROL!$C$22, $C$13, 100%, $E$13)</f>
        <v>19.317699999999999</v>
      </c>
      <c r="G1031" s="61">
        <f>19.3199 * CHOOSE(CONTROL!$C$22, $C$13, 100%, $E$13)</f>
        <v>19.319900000000001</v>
      </c>
      <c r="H1031" s="61">
        <f>31.9286* CHOOSE(CONTROL!$C$22, $C$13, 100%, $E$13)</f>
        <v>31.928599999999999</v>
      </c>
      <c r="I1031" s="61">
        <f>31.9308 * CHOOSE(CONTROL!$C$22, $C$13, 100%, $E$13)</f>
        <v>31.930800000000001</v>
      </c>
      <c r="J1031" s="61">
        <f>19.3177 * CHOOSE(CONTROL!$C$22, $C$13, 100%, $E$13)</f>
        <v>19.317699999999999</v>
      </c>
      <c r="K1031" s="61">
        <f>19.3199 * CHOOSE(CONTROL!$C$22, $C$13, 100%, $E$13)</f>
        <v>19.319900000000001</v>
      </c>
    </row>
    <row r="1032" spans="1:11" ht="15">
      <c r="A1032" s="13">
        <v>73263</v>
      </c>
      <c r="B1032" s="60">
        <f>15.6386 * CHOOSE(CONTROL!$C$22, $C$13, 100%, $E$13)</f>
        <v>15.6386</v>
      </c>
      <c r="C1032" s="60">
        <f>15.6386 * CHOOSE(CONTROL!$C$22, $C$13, 100%, $E$13)</f>
        <v>15.6386</v>
      </c>
      <c r="D1032" s="60">
        <f>15.6739 * CHOOSE(CONTROL!$C$22, $C$13, 100%, $E$13)</f>
        <v>15.6739</v>
      </c>
      <c r="E1032" s="61">
        <f>19.0226 * CHOOSE(CONTROL!$C$22, $C$13, 100%, $E$13)</f>
        <v>19.022600000000001</v>
      </c>
      <c r="F1032" s="61">
        <f>19.0226 * CHOOSE(CONTROL!$C$22, $C$13, 100%, $E$13)</f>
        <v>19.022600000000001</v>
      </c>
      <c r="G1032" s="61">
        <f>19.0248 * CHOOSE(CONTROL!$C$22, $C$13, 100%, $E$13)</f>
        <v>19.024799999999999</v>
      </c>
      <c r="H1032" s="61">
        <f>31.9951* CHOOSE(CONTROL!$C$22, $C$13, 100%, $E$13)</f>
        <v>31.995100000000001</v>
      </c>
      <c r="I1032" s="61">
        <f>31.9973 * CHOOSE(CONTROL!$C$22, $C$13, 100%, $E$13)</f>
        <v>31.997299999999999</v>
      </c>
      <c r="J1032" s="61">
        <f>19.0226 * CHOOSE(CONTROL!$C$22, $C$13, 100%, $E$13)</f>
        <v>19.022600000000001</v>
      </c>
      <c r="K1032" s="61">
        <f>19.0248 * CHOOSE(CONTROL!$C$22, $C$13, 100%, $E$13)</f>
        <v>19.024799999999999</v>
      </c>
    </row>
    <row r="1033" spans="1:11" ht="15">
      <c r="A1033" s="13">
        <v>73294</v>
      </c>
      <c r="B1033" s="60">
        <f>15.6356 * CHOOSE(CONTROL!$C$22, $C$13, 100%, $E$13)</f>
        <v>15.6356</v>
      </c>
      <c r="C1033" s="60">
        <f>15.6356 * CHOOSE(CONTROL!$C$22, $C$13, 100%, $E$13)</f>
        <v>15.6356</v>
      </c>
      <c r="D1033" s="60">
        <f>15.6709 * CHOOSE(CONTROL!$C$22, $C$13, 100%, $E$13)</f>
        <v>15.6709</v>
      </c>
      <c r="E1033" s="61">
        <f>18.9871 * CHOOSE(CONTROL!$C$22, $C$13, 100%, $E$13)</f>
        <v>18.987100000000002</v>
      </c>
      <c r="F1033" s="61">
        <f>18.9871 * CHOOSE(CONTROL!$C$22, $C$13, 100%, $E$13)</f>
        <v>18.987100000000002</v>
      </c>
      <c r="G1033" s="61">
        <f>18.9893 * CHOOSE(CONTROL!$C$22, $C$13, 100%, $E$13)</f>
        <v>18.9893</v>
      </c>
      <c r="H1033" s="61">
        <f>32.0618* CHOOSE(CONTROL!$C$22, $C$13, 100%, $E$13)</f>
        <v>32.061799999999998</v>
      </c>
      <c r="I1033" s="61">
        <f>32.0639 * CHOOSE(CONTROL!$C$22, $C$13, 100%, $E$13)</f>
        <v>32.063899999999997</v>
      </c>
      <c r="J1033" s="61">
        <f>18.9871 * CHOOSE(CONTROL!$C$22, $C$13, 100%, $E$13)</f>
        <v>18.987100000000002</v>
      </c>
      <c r="K1033" s="61">
        <f>18.9893 * CHOOSE(CONTROL!$C$22, $C$13, 100%, $E$13)</f>
        <v>18.9893</v>
      </c>
    </row>
    <row r="1034" spans="1:11" ht="15">
      <c r="A1034" s="13">
        <v>73324</v>
      </c>
      <c r="B1034" s="60">
        <f>15.6748 * CHOOSE(CONTROL!$C$22, $C$13, 100%, $E$13)</f>
        <v>15.674799999999999</v>
      </c>
      <c r="C1034" s="60">
        <f>15.6748 * CHOOSE(CONTROL!$C$22, $C$13, 100%, $E$13)</f>
        <v>15.674799999999999</v>
      </c>
      <c r="D1034" s="60">
        <f>15.6925 * CHOOSE(CONTROL!$C$22, $C$13, 100%, $E$13)</f>
        <v>15.692500000000001</v>
      </c>
      <c r="E1034" s="61">
        <f>19.107 * CHOOSE(CONTROL!$C$22, $C$13, 100%, $E$13)</f>
        <v>19.106999999999999</v>
      </c>
      <c r="F1034" s="61">
        <f>19.107 * CHOOSE(CONTROL!$C$22, $C$13, 100%, $E$13)</f>
        <v>19.106999999999999</v>
      </c>
      <c r="G1034" s="61">
        <f>19.1071 * CHOOSE(CONTROL!$C$22, $C$13, 100%, $E$13)</f>
        <v>19.107099999999999</v>
      </c>
      <c r="H1034" s="61">
        <f>32.1286* CHOOSE(CONTROL!$C$22, $C$13, 100%, $E$13)</f>
        <v>32.128599999999999</v>
      </c>
      <c r="I1034" s="61">
        <f>32.1287 * CHOOSE(CONTROL!$C$22, $C$13, 100%, $E$13)</f>
        <v>32.128700000000002</v>
      </c>
      <c r="J1034" s="61">
        <f>19.107 * CHOOSE(CONTROL!$C$22, $C$13, 100%, $E$13)</f>
        <v>19.106999999999999</v>
      </c>
      <c r="K1034" s="61">
        <f>19.1071 * CHOOSE(CONTROL!$C$22, $C$13, 100%, $E$13)</f>
        <v>19.107099999999999</v>
      </c>
    </row>
    <row r="1035" spans="1:11" ht="15">
      <c r="A1035" s="13">
        <v>73355</v>
      </c>
      <c r="B1035" s="60">
        <f>15.6778 * CHOOSE(CONTROL!$C$22, $C$13, 100%, $E$13)</f>
        <v>15.6778</v>
      </c>
      <c r="C1035" s="60">
        <f>15.6778 * CHOOSE(CONTROL!$C$22, $C$13, 100%, $E$13)</f>
        <v>15.6778</v>
      </c>
      <c r="D1035" s="60">
        <f>15.6955 * CHOOSE(CONTROL!$C$22, $C$13, 100%, $E$13)</f>
        <v>15.695499999999999</v>
      </c>
      <c r="E1035" s="61">
        <f>19.1757 * CHOOSE(CONTROL!$C$22, $C$13, 100%, $E$13)</f>
        <v>19.175699999999999</v>
      </c>
      <c r="F1035" s="61">
        <f>19.1757 * CHOOSE(CONTROL!$C$22, $C$13, 100%, $E$13)</f>
        <v>19.175699999999999</v>
      </c>
      <c r="G1035" s="61">
        <f>19.1759 * CHOOSE(CONTROL!$C$22, $C$13, 100%, $E$13)</f>
        <v>19.175899999999999</v>
      </c>
      <c r="H1035" s="61">
        <f>32.1955* CHOOSE(CONTROL!$C$22, $C$13, 100%, $E$13)</f>
        <v>32.195500000000003</v>
      </c>
      <c r="I1035" s="61">
        <f>32.1957 * CHOOSE(CONTROL!$C$22, $C$13, 100%, $E$13)</f>
        <v>32.195700000000002</v>
      </c>
      <c r="J1035" s="61">
        <f>19.1757 * CHOOSE(CONTROL!$C$22, $C$13, 100%, $E$13)</f>
        <v>19.175699999999999</v>
      </c>
      <c r="K1035" s="61">
        <f>19.1759 * CHOOSE(CONTROL!$C$22, $C$13, 100%, $E$13)</f>
        <v>19.175899999999999</v>
      </c>
    </row>
    <row r="1036" spans="1:11" ht="15">
      <c r="A1036" s="13">
        <v>73385</v>
      </c>
      <c r="B1036" s="60">
        <f>15.6778 * CHOOSE(CONTROL!$C$22, $C$13, 100%, $E$13)</f>
        <v>15.6778</v>
      </c>
      <c r="C1036" s="60">
        <f>15.6778 * CHOOSE(CONTROL!$C$22, $C$13, 100%, $E$13)</f>
        <v>15.6778</v>
      </c>
      <c r="D1036" s="60">
        <f>15.6955 * CHOOSE(CONTROL!$C$22, $C$13, 100%, $E$13)</f>
        <v>15.695499999999999</v>
      </c>
      <c r="E1036" s="61">
        <f>19.0091 * CHOOSE(CONTROL!$C$22, $C$13, 100%, $E$13)</f>
        <v>19.0091</v>
      </c>
      <c r="F1036" s="61">
        <f>19.0091 * CHOOSE(CONTROL!$C$22, $C$13, 100%, $E$13)</f>
        <v>19.0091</v>
      </c>
      <c r="G1036" s="61">
        <f>19.0093 * CHOOSE(CONTROL!$C$22, $C$13, 100%, $E$13)</f>
        <v>19.0093</v>
      </c>
      <c r="H1036" s="61">
        <f>32.2626* CHOOSE(CONTROL!$C$22, $C$13, 100%, $E$13)</f>
        <v>32.262599999999999</v>
      </c>
      <c r="I1036" s="61">
        <f>32.2627 * CHOOSE(CONTROL!$C$22, $C$13, 100%, $E$13)</f>
        <v>32.262700000000002</v>
      </c>
      <c r="J1036" s="61">
        <f>19.0091 * CHOOSE(CONTROL!$C$22, $C$13, 100%, $E$13)</f>
        <v>19.0091</v>
      </c>
      <c r="K1036" s="61">
        <f>19.0093 * CHOOSE(CONTROL!$C$22, $C$13, 100%, $E$13)</f>
        <v>19.0093</v>
      </c>
    </row>
    <row r="1037" spans="1:11" ht="15">
      <c r="A1037" s="10"/>
      <c r="B1037" s="60"/>
      <c r="C1037" s="60"/>
      <c r="D1037" s="60"/>
      <c r="E1037" s="61"/>
      <c r="F1037" s="61"/>
      <c r="G1037" s="61"/>
      <c r="H1037" s="61"/>
      <c r="I1037" s="61"/>
      <c r="J1037" s="61"/>
      <c r="K1037" s="61"/>
    </row>
    <row r="1038" spans="1:11" ht="15">
      <c r="A1038" s="3">
        <v>2016</v>
      </c>
      <c r="B1038" s="60">
        <f t="shared" ref="B1038:K1038" si="0">AVERAGE(B17:B28)</f>
        <v>2.3326333333333338</v>
      </c>
      <c r="C1038" s="60">
        <f t="shared" si="0"/>
        <v>2.3326333333333338</v>
      </c>
      <c r="D1038" s="60">
        <f t="shared" si="0"/>
        <v>2.3576416666666664</v>
      </c>
      <c r="E1038" s="60">
        <f t="shared" si="0"/>
        <v>3.0010749999999997</v>
      </c>
      <c r="F1038" s="60">
        <f t="shared" si="0"/>
        <v>2.0505</v>
      </c>
      <c r="G1038" s="60">
        <f t="shared" si="0"/>
        <v>2.051533333333333</v>
      </c>
      <c r="H1038" s="60">
        <f t="shared" si="0"/>
        <v>5.2195333333333336</v>
      </c>
      <c r="I1038" s="60">
        <f t="shared" si="0"/>
        <v>5.2205500000000002</v>
      </c>
      <c r="J1038" s="60">
        <f t="shared" si="0"/>
        <v>3.0010749999999997</v>
      </c>
      <c r="K1038" s="60">
        <f t="shared" si="0"/>
        <v>3.0021</v>
      </c>
    </row>
    <row r="1039" spans="1:11" ht="15">
      <c r="A1039" s="3">
        <v>2017</v>
      </c>
      <c r="B1039" s="60">
        <f t="shared" ref="B1039:K1039" si="1">AVERAGE(B29:B40)</f>
        <v>2.2862499999999994</v>
      </c>
      <c r="C1039" s="60">
        <f t="shared" si="1"/>
        <v>2.2862499999999994</v>
      </c>
      <c r="D1039" s="60">
        <f t="shared" si="1"/>
        <v>2.3112750000000002</v>
      </c>
      <c r="E1039" s="60">
        <f t="shared" si="1"/>
        <v>3.4390666666666667</v>
      </c>
      <c r="F1039" s="60">
        <f t="shared" si="1"/>
        <v>2.0505</v>
      </c>
      <c r="G1039" s="60">
        <f t="shared" si="1"/>
        <v>2.051533333333333</v>
      </c>
      <c r="H1039" s="60">
        <f t="shared" si="1"/>
        <v>5.3515249999999996</v>
      </c>
      <c r="I1039" s="60">
        <f t="shared" si="1"/>
        <v>5.3525416666666672</v>
      </c>
      <c r="J1039" s="60">
        <f t="shared" si="1"/>
        <v>3.4390666666666667</v>
      </c>
      <c r="K1039" s="60">
        <f t="shared" si="1"/>
        <v>3.4401000000000006</v>
      </c>
    </row>
    <row r="1040" spans="1:11" ht="15">
      <c r="A1040" s="3">
        <v>2018</v>
      </c>
      <c r="B1040" s="60">
        <f t="shared" ref="B1040:K1040" si="2">AVERAGE(B41:B52)</f>
        <v>2.3824083333333332</v>
      </c>
      <c r="C1040" s="60">
        <f t="shared" si="2"/>
        <v>2.3824083333333332</v>
      </c>
      <c r="D1040" s="60">
        <f t="shared" si="2"/>
        <v>2.4074166666666668</v>
      </c>
      <c r="E1040" s="60">
        <f t="shared" si="2"/>
        <v>2.4131499999999995</v>
      </c>
      <c r="F1040" s="60">
        <f t="shared" si="2"/>
        <v>2.4131499999999995</v>
      </c>
      <c r="G1040" s="60">
        <f t="shared" si="2"/>
        <v>2.4141249999999994</v>
      </c>
      <c r="H1040" s="60">
        <f t="shared" si="2"/>
        <v>5.4868499999999996</v>
      </c>
      <c r="I1040" s="60">
        <f t="shared" si="2"/>
        <v>5.4878833333333326</v>
      </c>
      <c r="J1040" s="60">
        <f t="shared" si="2"/>
        <v>2.4131499999999995</v>
      </c>
      <c r="K1040" s="60">
        <f t="shared" si="2"/>
        <v>2.4141249999999994</v>
      </c>
    </row>
    <row r="1041" spans="1:11" ht="15">
      <c r="A1041" s="3">
        <v>2019</v>
      </c>
      <c r="B1041" s="60">
        <f t="shared" ref="B1041:K1041" si="3">AVERAGE(B53:B64)</f>
        <v>2.4799249999999997</v>
      </c>
      <c r="C1041" s="60">
        <f t="shared" si="3"/>
        <v>2.4799249999999997</v>
      </c>
      <c r="D1041" s="60">
        <f t="shared" si="3"/>
        <v>2.5049416666666668</v>
      </c>
      <c r="E1041" s="60">
        <f t="shared" si="3"/>
        <v>2.5851166666666665</v>
      </c>
      <c r="F1041" s="60">
        <f t="shared" si="3"/>
        <v>2.5851166666666665</v>
      </c>
      <c r="G1041" s="60">
        <f t="shared" si="3"/>
        <v>2.5861166666666668</v>
      </c>
      <c r="H1041" s="60">
        <f t="shared" si="3"/>
        <v>5.6256000000000013</v>
      </c>
      <c r="I1041" s="60">
        <f t="shared" si="3"/>
        <v>5.6266250000000007</v>
      </c>
      <c r="J1041" s="60">
        <f t="shared" si="3"/>
        <v>2.5851166666666665</v>
      </c>
      <c r="K1041" s="60">
        <f t="shared" si="3"/>
        <v>2.5861166666666668</v>
      </c>
    </row>
    <row r="1042" spans="1:11" ht="15">
      <c r="A1042" s="3">
        <v>2020</v>
      </c>
      <c r="B1042" s="60">
        <f t="shared" ref="B1042:K1042" si="4">AVERAGE(B65:B76)</f>
        <v>2.7314916666666664</v>
      </c>
      <c r="C1042" s="60">
        <f t="shared" si="4"/>
        <v>2.7314916666666664</v>
      </c>
      <c r="D1042" s="60">
        <f t="shared" si="4"/>
        <v>2.7565166666666667</v>
      </c>
      <c r="E1042" s="60">
        <f t="shared" si="4"/>
        <v>2.7418416666666663</v>
      </c>
      <c r="F1042" s="60">
        <f t="shared" si="4"/>
        <v>2.7418416666666663</v>
      </c>
      <c r="G1042" s="60">
        <f t="shared" si="4"/>
        <v>2.742858333333333</v>
      </c>
      <c r="H1042" s="60">
        <f t="shared" si="4"/>
        <v>5.7678833333333337</v>
      </c>
      <c r="I1042" s="60">
        <f t="shared" si="4"/>
        <v>5.7688833333333323</v>
      </c>
      <c r="J1042" s="60">
        <f t="shared" si="4"/>
        <v>2.7418416666666663</v>
      </c>
      <c r="K1042" s="60">
        <f t="shared" si="4"/>
        <v>2.742858333333333</v>
      </c>
    </row>
    <row r="1043" spans="1:11" ht="15">
      <c r="A1043" s="3">
        <v>2021</v>
      </c>
      <c r="B1043" s="60">
        <f t="shared" ref="B1043:K1043" si="5">AVERAGE(B77:B88)</f>
        <v>2.8390749999999998</v>
      </c>
      <c r="C1043" s="60">
        <f t="shared" si="5"/>
        <v>2.8390749999999998</v>
      </c>
      <c r="D1043" s="60">
        <f t="shared" si="5"/>
        <v>2.8640833333333333</v>
      </c>
      <c r="E1043" s="60">
        <f t="shared" si="5"/>
        <v>2.8837499999999996</v>
      </c>
      <c r="F1043" s="60">
        <f t="shared" si="5"/>
        <v>2.8837499999999996</v>
      </c>
      <c r="G1043" s="60">
        <f t="shared" si="5"/>
        <v>2.8847666666666663</v>
      </c>
      <c r="H1043" s="60">
        <f t="shared" si="5"/>
        <v>5.9137416666666667</v>
      </c>
      <c r="I1043" s="60">
        <f t="shared" si="5"/>
        <v>5.914741666666667</v>
      </c>
      <c r="J1043" s="60">
        <f t="shared" si="5"/>
        <v>2.8837499999999996</v>
      </c>
      <c r="K1043" s="60">
        <f t="shared" si="5"/>
        <v>2.8847666666666663</v>
      </c>
    </row>
    <row r="1044" spans="1:11" ht="15">
      <c r="A1044" s="3">
        <v>2022</v>
      </c>
      <c r="B1044" s="60">
        <f t="shared" ref="B1044:K1044" si="6">AVERAGE(B89:B100)</f>
        <v>2.9780166666666665</v>
      </c>
      <c r="C1044" s="60">
        <f t="shared" si="6"/>
        <v>2.9780166666666665</v>
      </c>
      <c r="D1044" s="60">
        <f t="shared" si="6"/>
        <v>3.0030416666666668</v>
      </c>
      <c r="E1044" s="60">
        <f t="shared" si="6"/>
        <v>3.0113999999999987</v>
      </c>
      <c r="F1044" s="60">
        <f t="shared" si="6"/>
        <v>3.0113999999999987</v>
      </c>
      <c r="G1044" s="60">
        <f t="shared" si="6"/>
        <v>3.0124083333333331</v>
      </c>
      <c r="H1044" s="60">
        <f t="shared" si="6"/>
        <v>6.0632833333333345</v>
      </c>
      <c r="I1044" s="60">
        <f t="shared" si="6"/>
        <v>6.0642916666666666</v>
      </c>
      <c r="J1044" s="60">
        <f t="shared" si="6"/>
        <v>3.0113999999999987</v>
      </c>
      <c r="K1044" s="60">
        <f t="shared" si="6"/>
        <v>3.0124083333333331</v>
      </c>
    </row>
    <row r="1045" spans="1:11" ht="15">
      <c r="A1045" s="3">
        <v>2023</v>
      </c>
      <c r="B1045" s="60">
        <f t="shared" ref="B1045:K1045" si="7">AVERAGE(B101:B112)</f>
        <v>3.0768416666666667</v>
      </c>
      <c r="C1045" s="60">
        <f t="shared" si="7"/>
        <v>3.0768416666666667</v>
      </c>
      <c r="D1045" s="60">
        <f t="shared" si="7"/>
        <v>3.1018583333333329</v>
      </c>
      <c r="E1045" s="60">
        <f t="shared" si="7"/>
        <v>3.1658749999999998</v>
      </c>
      <c r="F1045" s="60">
        <f t="shared" si="7"/>
        <v>3.1658749999999998</v>
      </c>
      <c r="G1045" s="60">
        <f t="shared" si="7"/>
        <v>3.1669083333333332</v>
      </c>
      <c r="H1045" s="60">
        <f t="shared" si="7"/>
        <v>6.2166166666666669</v>
      </c>
      <c r="I1045" s="60">
        <f t="shared" si="7"/>
        <v>6.2176416666666663</v>
      </c>
      <c r="J1045" s="60">
        <f t="shared" si="7"/>
        <v>3.1658749999999998</v>
      </c>
      <c r="K1045" s="60">
        <f t="shared" si="7"/>
        <v>3.1669083333333332</v>
      </c>
    </row>
    <row r="1046" spans="1:11" ht="15">
      <c r="A1046" s="3">
        <v>2024</v>
      </c>
      <c r="B1046" s="60">
        <f t="shared" ref="B1046:K1046" si="8">AVERAGE(B113:B124)</f>
        <v>3.1546750000000006</v>
      </c>
      <c r="C1046" s="60">
        <f t="shared" si="8"/>
        <v>3.1546750000000006</v>
      </c>
      <c r="D1046" s="60">
        <f t="shared" si="8"/>
        <v>3.1796833333333336</v>
      </c>
      <c r="E1046" s="60">
        <f t="shared" si="8"/>
        <v>3.2875416666666664</v>
      </c>
      <c r="F1046" s="60">
        <f t="shared" si="8"/>
        <v>3.2875416666666664</v>
      </c>
      <c r="G1046" s="60">
        <f t="shared" si="8"/>
        <v>3.2885166666666668</v>
      </c>
      <c r="H1046" s="60">
        <f t="shared" si="8"/>
        <v>6.3738250000000001</v>
      </c>
      <c r="I1046" s="60">
        <f t="shared" si="8"/>
        <v>6.3748416666666676</v>
      </c>
      <c r="J1046" s="60">
        <f t="shared" si="8"/>
        <v>3.2875416666666664</v>
      </c>
      <c r="K1046" s="60">
        <f t="shared" si="8"/>
        <v>3.2885166666666668</v>
      </c>
    </row>
    <row r="1047" spans="1:11" ht="15">
      <c r="A1047" s="3">
        <v>2025</v>
      </c>
      <c r="B1047" s="60">
        <f t="shared" ref="B1047:K1047" si="9">AVERAGE(B125:B136)</f>
        <v>3.2306000000000004</v>
      </c>
      <c r="C1047" s="60">
        <f t="shared" si="9"/>
        <v>3.2306000000000004</v>
      </c>
      <c r="D1047" s="60">
        <f t="shared" si="9"/>
        <v>3.2555999999999998</v>
      </c>
      <c r="E1047" s="60">
        <f t="shared" si="9"/>
        <v>3.4095249999999999</v>
      </c>
      <c r="F1047" s="60">
        <f t="shared" si="9"/>
        <v>3.4095249999999999</v>
      </c>
      <c r="G1047" s="60">
        <f t="shared" si="9"/>
        <v>3.4105416666666666</v>
      </c>
      <c r="H1047" s="60">
        <f t="shared" si="9"/>
        <v>6.5350166666666674</v>
      </c>
      <c r="I1047" s="60">
        <f t="shared" si="9"/>
        <v>6.5360249999999995</v>
      </c>
      <c r="J1047" s="60">
        <f t="shared" si="9"/>
        <v>3.4095249999999999</v>
      </c>
      <c r="K1047" s="60">
        <f t="shared" si="9"/>
        <v>3.4105416666666666</v>
      </c>
    </row>
    <row r="1048" spans="1:11" ht="15">
      <c r="A1048" s="3">
        <v>2026</v>
      </c>
      <c r="B1048" s="60">
        <f t="shared" ref="B1048:K1048" si="10">AVERAGE(B137:B148)</f>
        <v>3.3089750000000002</v>
      </c>
      <c r="C1048" s="60">
        <f t="shared" si="10"/>
        <v>3.3089750000000002</v>
      </c>
      <c r="D1048" s="60">
        <f t="shared" si="10"/>
        <v>3.3339999999999996</v>
      </c>
      <c r="E1048" s="60">
        <f t="shared" si="10"/>
        <v>3.5205666666666668</v>
      </c>
      <c r="F1048" s="60">
        <f t="shared" si="10"/>
        <v>3.5205666666666668</v>
      </c>
      <c r="G1048" s="60">
        <f t="shared" si="10"/>
        <v>3.5215749999999999</v>
      </c>
      <c r="H1048" s="60">
        <f t="shared" si="10"/>
        <v>6.7002666666666668</v>
      </c>
      <c r="I1048" s="60">
        <f t="shared" si="10"/>
        <v>6.7012833333333335</v>
      </c>
      <c r="J1048" s="60">
        <f t="shared" si="10"/>
        <v>3.5205666666666668</v>
      </c>
      <c r="K1048" s="60">
        <f t="shared" si="10"/>
        <v>3.5215749999999999</v>
      </c>
    </row>
    <row r="1049" spans="1:11" ht="15">
      <c r="A1049" s="3">
        <v>2027</v>
      </c>
      <c r="B1049" s="60">
        <f t="shared" ref="B1049:K1049" si="11">AVERAGE(B149:B160)</f>
        <v>3.3874416666666671</v>
      </c>
      <c r="C1049" s="60">
        <f t="shared" si="11"/>
        <v>3.3874416666666671</v>
      </c>
      <c r="D1049" s="60">
        <f t="shared" si="11"/>
        <v>3.4124583333333329</v>
      </c>
      <c r="E1049" s="60">
        <f t="shared" si="11"/>
        <v>3.6206999999999998</v>
      </c>
      <c r="F1049" s="60">
        <f t="shared" si="11"/>
        <v>3.6206999999999998</v>
      </c>
      <c r="G1049" s="60">
        <f t="shared" si="11"/>
        <v>3.6217250000000001</v>
      </c>
      <c r="H1049" s="60">
        <f t="shared" si="11"/>
        <v>6.8697249999999999</v>
      </c>
      <c r="I1049" s="60">
        <f t="shared" si="11"/>
        <v>6.8707416666666674</v>
      </c>
      <c r="J1049" s="60">
        <f t="shared" si="11"/>
        <v>3.6206999999999998</v>
      </c>
      <c r="K1049" s="60">
        <f t="shared" si="11"/>
        <v>3.6217250000000001</v>
      </c>
    </row>
    <row r="1050" spans="1:11" ht="15">
      <c r="A1050" s="3">
        <v>2028</v>
      </c>
      <c r="B1050" s="60">
        <f t="shared" ref="B1050:K1050" si="12">AVERAGE(B161:B172)</f>
        <v>3.4717833333333332</v>
      </c>
      <c r="C1050" s="60">
        <f t="shared" si="12"/>
        <v>3.4717833333333332</v>
      </c>
      <c r="D1050" s="60">
        <f t="shared" si="12"/>
        <v>3.4967916666666667</v>
      </c>
      <c r="E1050" s="60">
        <f t="shared" si="12"/>
        <v>3.6455333333333333</v>
      </c>
      <c r="F1050" s="60">
        <f t="shared" si="12"/>
        <v>3.6455333333333333</v>
      </c>
      <c r="G1050" s="60">
        <f t="shared" si="12"/>
        <v>3.6465249999999991</v>
      </c>
      <c r="H1050" s="60">
        <f t="shared" si="12"/>
        <v>7.043425</v>
      </c>
      <c r="I1050" s="60">
        <f t="shared" si="12"/>
        <v>7.0444583333333339</v>
      </c>
      <c r="J1050" s="60">
        <f t="shared" si="12"/>
        <v>3.6455333333333333</v>
      </c>
      <c r="K1050" s="60">
        <f t="shared" si="12"/>
        <v>3.6465249999999991</v>
      </c>
    </row>
    <row r="1051" spans="1:11" ht="15">
      <c r="A1051" s="3">
        <v>2029</v>
      </c>
      <c r="B1051" s="60">
        <f t="shared" ref="B1051:K1051" si="13">AVERAGE(B173:B184)</f>
        <v>3.5597499999999997</v>
      </c>
      <c r="C1051" s="60">
        <f t="shared" si="13"/>
        <v>3.5597499999999997</v>
      </c>
      <c r="D1051" s="60">
        <f t="shared" si="13"/>
        <v>3.584775</v>
      </c>
      <c r="E1051" s="60">
        <f t="shared" si="13"/>
        <v>3.7360416666666669</v>
      </c>
      <c r="F1051" s="60">
        <f t="shared" si="13"/>
        <v>3.7360416666666669</v>
      </c>
      <c r="G1051" s="60">
        <f t="shared" si="13"/>
        <v>3.73705</v>
      </c>
      <c r="H1051" s="60">
        <f t="shared" si="13"/>
        <v>7.2215750000000005</v>
      </c>
      <c r="I1051" s="60">
        <f t="shared" si="13"/>
        <v>7.2225583333333327</v>
      </c>
      <c r="J1051" s="60">
        <f t="shared" si="13"/>
        <v>3.7360416666666669</v>
      </c>
      <c r="K1051" s="60">
        <f t="shared" si="13"/>
        <v>3.73705</v>
      </c>
    </row>
    <row r="1052" spans="1:11" ht="15">
      <c r="A1052" s="3">
        <v>2030</v>
      </c>
      <c r="B1052" s="60">
        <f t="shared" ref="B1052:K1052" si="14">AVERAGE(B185:B196)</f>
        <v>3.6564333333333328</v>
      </c>
      <c r="C1052" s="60">
        <f t="shared" si="14"/>
        <v>3.6564333333333328</v>
      </c>
      <c r="D1052" s="60">
        <f t="shared" si="14"/>
        <v>3.6814416666666663</v>
      </c>
      <c r="E1052" s="60">
        <f t="shared" si="14"/>
        <v>3.8432166666666667</v>
      </c>
      <c r="F1052" s="60">
        <f t="shared" si="14"/>
        <v>3.8432166666666667</v>
      </c>
      <c r="G1052" s="60">
        <f t="shared" si="14"/>
        <v>3.8442250000000002</v>
      </c>
      <c r="H1052" s="60">
        <f t="shared" si="14"/>
        <v>7.4041833333333331</v>
      </c>
      <c r="I1052" s="60">
        <f t="shared" si="14"/>
        <v>7.4051833333333326</v>
      </c>
      <c r="J1052" s="60">
        <f t="shared" si="14"/>
        <v>3.8432166666666667</v>
      </c>
      <c r="K1052" s="60">
        <f t="shared" si="14"/>
        <v>3.8442250000000002</v>
      </c>
    </row>
    <row r="1053" spans="1:11" ht="15">
      <c r="A1053" s="3">
        <v>2031</v>
      </c>
      <c r="B1053" s="60">
        <f t="shared" ref="B1053:K1053" si="15">AVERAGE(B197:B208)</f>
        <v>3.7383999999999999</v>
      </c>
      <c r="C1053" s="60">
        <f t="shared" si="15"/>
        <v>3.7383999999999999</v>
      </c>
      <c r="D1053" s="60">
        <f t="shared" si="15"/>
        <v>3.7634250000000002</v>
      </c>
      <c r="E1053" s="60">
        <f t="shared" si="15"/>
        <v>3.9515583333333333</v>
      </c>
      <c r="F1053" s="60">
        <f t="shared" si="15"/>
        <v>3.9515583333333333</v>
      </c>
      <c r="G1053" s="60">
        <f t="shared" si="15"/>
        <v>3.9525583333333327</v>
      </c>
      <c r="H1053" s="60">
        <f t="shared" si="15"/>
        <v>7.5914166666666674</v>
      </c>
      <c r="I1053" s="60">
        <f t="shared" si="15"/>
        <v>7.5924166666666659</v>
      </c>
      <c r="J1053" s="60">
        <f t="shared" si="15"/>
        <v>3.9515583333333333</v>
      </c>
      <c r="K1053" s="60">
        <f t="shared" si="15"/>
        <v>3.9525583333333327</v>
      </c>
    </row>
    <row r="1054" spans="1:11" ht="15">
      <c r="A1054" s="3">
        <v>2032</v>
      </c>
      <c r="B1054" s="60">
        <f t="shared" ref="B1054:K1054" si="16">AVERAGE(B209:B220)</f>
        <v>3.8228833333333339</v>
      </c>
      <c r="C1054" s="60">
        <f t="shared" si="16"/>
        <v>3.8228833333333339</v>
      </c>
      <c r="D1054" s="60">
        <f t="shared" si="16"/>
        <v>3.8478916666666669</v>
      </c>
      <c r="E1054" s="60">
        <f t="shared" si="16"/>
        <v>4.0618500000000006</v>
      </c>
      <c r="F1054" s="60">
        <f t="shared" si="16"/>
        <v>4.0618500000000006</v>
      </c>
      <c r="G1054" s="60">
        <f t="shared" si="16"/>
        <v>4.0628666666666664</v>
      </c>
      <c r="H1054" s="60">
        <f t="shared" si="16"/>
        <v>7.7833833333333331</v>
      </c>
      <c r="I1054" s="60">
        <f t="shared" si="16"/>
        <v>7.7844166666666661</v>
      </c>
      <c r="J1054" s="60">
        <f t="shared" si="16"/>
        <v>4.0618500000000006</v>
      </c>
      <c r="K1054" s="60">
        <f t="shared" si="16"/>
        <v>4.0628666666666664</v>
      </c>
    </row>
    <row r="1055" spans="1:11" ht="15">
      <c r="A1055" s="3">
        <v>2033</v>
      </c>
      <c r="B1055" s="60">
        <f t="shared" ref="B1055:K1055" si="17">AVERAGE(B221:B232)</f>
        <v>3.9006083333333326</v>
      </c>
      <c r="C1055" s="60">
        <f t="shared" si="17"/>
        <v>3.9006083333333326</v>
      </c>
      <c r="D1055" s="60">
        <f t="shared" si="17"/>
        <v>3.9256166666666665</v>
      </c>
      <c r="E1055" s="60">
        <f t="shared" si="17"/>
        <v>4.1747916666666658</v>
      </c>
      <c r="F1055" s="60">
        <f t="shared" si="17"/>
        <v>4.1747916666666658</v>
      </c>
      <c r="G1055" s="60">
        <f t="shared" si="17"/>
        <v>4.1757999999999997</v>
      </c>
      <c r="H1055" s="60">
        <f t="shared" si="17"/>
        <v>7.9802166666666663</v>
      </c>
      <c r="I1055" s="60">
        <f t="shared" si="17"/>
        <v>7.9812416666666666</v>
      </c>
      <c r="J1055" s="60">
        <f t="shared" si="17"/>
        <v>4.1747916666666658</v>
      </c>
      <c r="K1055" s="60">
        <f t="shared" si="17"/>
        <v>4.1757999999999997</v>
      </c>
    </row>
    <row r="1056" spans="1:11" ht="15">
      <c r="A1056" s="3">
        <v>2034</v>
      </c>
      <c r="B1056" s="60">
        <f t="shared" ref="B1056:K1056" si="18">AVERAGE(B233:B244)</f>
        <v>3.9877083333333334</v>
      </c>
      <c r="C1056" s="60">
        <f t="shared" si="18"/>
        <v>3.9877083333333334</v>
      </c>
      <c r="D1056" s="60">
        <f t="shared" si="18"/>
        <v>4.0127333333333342</v>
      </c>
      <c r="E1056" s="60">
        <f t="shared" si="18"/>
        <v>4.2910750000000002</v>
      </c>
      <c r="F1056" s="60">
        <f t="shared" si="18"/>
        <v>4.2910750000000002</v>
      </c>
      <c r="G1056" s="60">
        <f t="shared" si="18"/>
        <v>4.2920833333333333</v>
      </c>
      <c r="H1056" s="60">
        <f t="shared" si="18"/>
        <v>8.1820250000000012</v>
      </c>
      <c r="I1056" s="60">
        <f t="shared" si="18"/>
        <v>8.1830416666666661</v>
      </c>
      <c r="J1056" s="60">
        <f t="shared" si="18"/>
        <v>4.2910750000000002</v>
      </c>
      <c r="K1056" s="60">
        <f t="shared" si="18"/>
        <v>4.2920833333333333</v>
      </c>
    </row>
    <row r="1057" spans="1:11" ht="15">
      <c r="A1057" s="3">
        <v>2035</v>
      </c>
      <c r="B1057" s="60">
        <f t="shared" ref="B1057:K1057" si="19">AVERAGE(B245:B256)</f>
        <v>4.0831583333333343</v>
      </c>
      <c r="C1057" s="60">
        <f t="shared" si="19"/>
        <v>4.0831583333333343</v>
      </c>
      <c r="D1057" s="60">
        <f t="shared" si="19"/>
        <v>4.1081583333333347</v>
      </c>
      <c r="E1057" s="60">
        <f t="shared" si="19"/>
        <v>4.4108166666666664</v>
      </c>
      <c r="F1057" s="60">
        <f t="shared" si="19"/>
        <v>4.4108166666666664</v>
      </c>
      <c r="G1057" s="60">
        <f t="shared" si="19"/>
        <v>4.4118166666666667</v>
      </c>
      <c r="H1057" s="60">
        <f t="shared" si="19"/>
        <v>8.3889583333333348</v>
      </c>
      <c r="I1057" s="60">
        <f t="shared" si="19"/>
        <v>8.3899500000000007</v>
      </c>
      <c r="J1057" s="60">
        <f t="shared" si="19"/>
        <v>4.4108166666666664</v>
      </c>
      <c r="K1057" s="60">
        <f t="shared" si="19"/>
        <v>4.4118166666666667</v>
      </c>
    </row>
    <row r="1058" spans="1:11" ht="15">
      <c r="A1058" s="3">
        <v>2036</v>
      </c>
      <c r="B1058" s="60">
        <f t="shared" ref="B1058:K1058" si="20">AVERAGE(B257:B268)</f>
        <v>4.1822749999999997</v>
      </c>
      <c r="C1058" s="60">
        <f t="shared" si="20"/>
        <v>4.1822749999999997</v>
      </c>
      <c r="D1058" s="60">
        <f t="shared" si="20"/>
        <v>4.2073000000000009</v>
      </c>
      <c r="E1058" s="60">
        <f t="shared" si="20"/>
        <v>4.5303666666666667</v>
      </c>
      <c r="F1058" s="60">
        <f t="shared" si="20"/>
        <v>4.5303666666666667</v>
      </c>
      <c r="G1058" s="60">
        <f t="shared" si="20"/>
        <v>4.531366666666667</v>
      </c>
      <c r="H1058" s="60">
        <f t="shared" si="20"/>
        <v>8.6010833333333334</v>
      </c>
      <c r="I1058" s="60">
        <f t="shared" si="20"/>
        <v>8.6021000000000019</v>
      </c>
      <c r="J1058" s="60">
        <f t="shared" si="20"/>
        <v>4.5303666666666667</v>
      </c>
      <c r="K1058" s="60">
        <f t="shared" si="20"/>
        <v>4.531366666666667</v>
      </c>
    </row>
    <row r="1059" spans="1:11" ht="15">
      <c r="A1059" s="3">
        <v>2037</v>
      </c>
      <c r="B1059" s="60">
        <f t="shared" ref="B1059:K1059" si="21">AVERAGE(B269:B280)</f>
        <v>4.2830666666666675</v>
      </c>
      <c r="C1059" s="60">
        <f t="shared" si="21"/>
        <v>4.2830666666666675</v>
      </c>
      <c r="D1059" s="60">
        <f t="shared" si="21"/>
        <v>4.3080833333333333</v>
      </c>
      <c r="E1059" s="60">
        <f t="shared" si="21"/>
        <v>4.6544583333333334</v>
      </c>
      <c r="F1059" s="60">
        <f t="shared" si="21"/>
        <v>4.6544583333333334</v>
      </c>
      <c r="G1059" s="60">
        <f t="shared" si="21"/>
        <v>4.6554666666666664</v>
      </c>
      <c r="H1059" s="60">
        <f t="shared" si="21"/>
        <v>8.8185916666666682</v>
      </c>
      <c r="I1059" s="60">
        <f t="shared" si="21"/>
        <v>8.8196083333333331</v>
      </c>
      <c r="J1059" s="60">
        <f t="shared" si="21"/>
        <v>4.6544583333333334</v>
      </c>
      <c r="K1059" s="60">
        <f t="shared" si="21"/>
        <v>4.6554666666666664</v>
      </c>
    </row>
    <row r="1060" spans="1:11" ht="15">
      <c r="A1060" s="3">
        <v>2038</v>
      </c>
      <c r="B1060" s="60">
        <f t="shared" ref="B1060:K1060" si="22">AVERAGE(B281:B292)</f>
        <v>4.3887583333333327</v>
      </c>
      <c r="C1060" s="60">
        <f t="shared" si="22"/>
        <v>4.3887583333333327</v>
      </c>
      <c r="D1060" s="60">
        <f t="shared" si="22"/>
        <v>4.4137750000000002</v>
      </c>
      <c r="E1060" s="60">
        <f t="shared" si="22"/>
        <v>4.7885083333333336</v>
      </c>
      <c r="F1060" s="60">
        <f t="shared" si="22"/>
        <v>4.7885083333333336</v>
      </c>
      <c r="G1060" s="60">
        <f t="shared" si="22"/>
        <v>4.7895333333333339</v>
      </c>
      <c r="H1060" s="60">
        <f t="shared" si="22"/>
        <v>9.041616666666668</v>
      </c>
      <c r="I1060" s="60">
        <f t="shared" si="22"/>
        <v>9.042608333333332</v>
      </c>
      <c r="J1060" s="60">
        <f t="shared" si="22"/>
        <v>4.7885083333333336</v>
      </c>
      <c r="K1060" s="60">
        <f t="shared" si="22"/>
        <v>4.7895333333333339</v>
      </c>
    </row>
    <row r="1061" spans="1:11" ht="15">
      <c r="A1061" s="3">
        <v>2039</v>
      </c>
      <c r="B1061" s="60">
        <f t="shared" ref="B1061:K1061" si="23">AVERAGE(B293:B304)</f>
        <v>4.4963916666666668</v>
      </c>
      <c r="C1061" s="60">
        <f t="shared" si="23"/>
        <v>4.4963916666666668</v>
      </c>
      <c r="D1061" s="60">
        <f t="shared" si="23"/>
        <v>4.5214083333333335</v>
      </c>
      <c r="E1061" s="60">
        <f t="shared" si="23"/>
        <v>4.9185083333333326</v>
      </c>
      <c r="F1061" s="60">
        <f t="shared" si="23"/>
        <v>4.9185083333333326</v>
      </c>
      <c r="G1061" s="60">
        <f t="shared" si="23"/>
        <v>4.9195250000000001</v>
      </c>
      <c r="H1061" s="60">
        <f t="shared" si="23"/>
        <v>9.2702500000000008</v>
      </c>
      <c r="I1061" s="60">
        <f t="shared" si="23"/>
        <v>9.2712749999999975</v>
      </c>
      <c r="J1061" s="60">
        <f t="shared" si="23"/>
        <v>4.9185083333333326</v>
      </c>
      <c r="K1061" s="60">
        <f t="shared" si="23"/>
        <v>4.9195250000000001</v>
      </c>
    </row>
    <row r="1062" spans="1:11" ht="15">
      <c r="A1062" s="3">
        <v>2040</v>
      </c>
      <c r="B1062" s="60">
        <f t="shared" ref="B1062:K1062" si="24">AVERAGE(B305:B316)</f>
        <v>4.6104833333333328</v>
      </c>
      <c r="C1062" s="60">
        <f t="shared" si="24"/>
        <v>4.6104833333333328</v>
      </c>
      <c r="D1062" s="60">
        <f t="shared" si="24"/>
        <v>4.6354916666666677</v>
      </c>
      <c r="E1062" s="60">
        <f t="shared" si="24"/>
        <v>5.0565249999999997</v>
      </c>
      <c r="F1062" s="60">
        <f t="shared" si="24"/>
        <v>5.0565249999999997</v>
      </c>
      <c r="G1062" s="60">
        <f t="shared" si="24"/>
        <v>5.057525</v>
      </c>
      <c r="H1062" s="60">
        <f t="shared" si="24"/>
        <v>9.5046916666666679</v>
      </c>
      <c r="I1062" s="60">
        <f t="shared" si="24"/>
        <v>9.5056750000000001</v>
      </c>
      <c r="J1062" s="60">
        <f t="shared" si="24"/>
        <v>5.0565249999999997</v>
      </c>
      <c r="K1062" s="60">
        <f t="shared" si="24"/>
        <v>5.057525</v>
      </c>
    </row>
    <row r="1063" spans="1:11" ht="15">
      <c r="A1063" s="3">
        <v>2041</v>
      </c>
      <c r="B1063" s="60">
        <f t="shared" ref="B1063:K1063" si="25">AVERAGE(B317:B328)</f>
        <v>4.727475000000001</v>
      </c>
      <c r="C1063" s="60">
        <f t="shared" si="25"/>
        <v>4.727475000000001</v>
      </c>
      <c r="D1063" s="60">
        <f t="shared" si="25"/>
        <v>4.7524749999999996</v>
      </c>
      <c r="E1063" s="60">
        <f t="shared" si="25"/>
        <v>5.1984249999999994</v>
      </c>
      <c r="F1063" s="60">
        <f t="shared" si="25"/>
        <v>5.1984249999999994</v>
      </c>
      <c r="G1063" s="60">
        <f t="shared" si="25"/>
        <v>5.1994333333333342</v>
      </c>
      <c r="H1063" s="60">
        <f t="shared" si="25"/>
        <v>9.7450499999999991</v>
      </c>
      <c r="I1063" s="60">
        <f t="shared" si="25"/>
        <v>9.7460499999999985</v>
      </c>
      <c r="J1063" s="60">
        <f t="shared" si="25"/>
        <v>5.1984249999999994</v>
      </c>
      <c r="K1063" s="60">
        <f t="shared" si="25"/>
        <v>5.1994333333333342</v>
      </c>
    </row>
    <row r="1064" spans="1:11" ht="15">
      <c r="A1064" s="3">
        <v>2042</v>
      </c>
      <c r="B1064" s="60">
        <f t="shared" ref="B1064:K1064" si="26">AVERAGE(B329:B340)</f>
        <v>4.8474083333333331</v>
      </c>
      <c r="C1064" s="60">
        <f t="shared" si="26"/>
        <v>4.8474083333333331</v>
      </c>
      <c r="D1064" s="60">
        <f t="shared" si="26"/>
        <v>4.8724416666666661</v>
      </c>
      <c r="E1064" s="60">
        <f t="shared" si="26"/>
        <v>5.3443250000000004</v>
      </c>
      <c r="F1064" s="60">
        <f t="shared" si="26"/>
        <v>5.3443250000000004</v>
      </c>
      <c r="G1064" s="60">
        <f t="shared" si="26"/>
        <v>5.3453416666666671</v>
      </c>
      <c r="H1064" s="60">
        <f t="shared" si="26"/>
        <v>9.9914750000000012</v>
      </c>
      <c r="I1064" s="60">
        <f t="shared" si="26"/>
        <v>9.9924833333333343</v>
      </c>
      <c r="J1064" s="60">
        <f t="shared" si="26"/>
        <v>5.3443250000000004</v>
      </c>
      <c r="K1064" s="60">
        <f t="shared" si="26"/>
        <v>5.3453416666666671</v>
      </c>
    </row>
    <row r="1065" spans="1:11" ht="15">
      <c r="A1065" s="3">
        <v>2043</v>
      </c>
      <c r="B1065" s="60">
        <f t="shared" ref="B1065:K1065" si="27">AVERAGE(B341:B352)</f>
        <v>4.9704083333333342</v>
      </c>
      <c r="C1065" s="60">
        <f t="shared" si="27"/>
        <v>4.9704083333333342</v>
      </c>
      <c r="D1065" s="60">
        <f t="shared" si="27"/>
        <v>4.995425</v>
      </c>
      <c r="E1065" s="60">
        <f t="shared" si="27"/>
        <v>5.4943166666666663</v>
      </c>
      <c r="F1065" s="60">
        <f t="shared" si="27"/>
        <v>5.4943166666666663</v>
      </c>
      <c r="G1065" s="60">
        <f t="shared" si="27"/>
        <v>5.4953416666666657</v>
      </c>
      <c r="H1065" s="60">
        <f t="shared" si="27"/>
        <v>10.244141666666668</v>
      </c>
      <c r="I1065" s="60">
        <f t="shared" si="27"/>
        <v>10.245158333333332</v>
      </c>
      <c r="J1065" s="60">
        <f t="shared" si="27"/>
        <v>5.4943166666666663</v>
      </c>
      <c r="K1065" s="60">
        <f t="shared" si="27"/>
        <v>5.4953416666666657</v>
      </c>
    </row>
    <row r="1066" spans="1:11" ht="15">
      <c r="A1066" s="3">
        <v>2044</v>
      </c>
      <c r="B1066" s="60">
        <f t="shared" ref="B1066:K1066" si="28">AVERAGE(B353:B364)</f>
        <v>5.0965250000000006</v>
      </c>
      <c r="C1066" s="60">
        <f t="shared" si="28"/>
        <v>5.0965250000000006</v>
      </c>
      <c r="D1066" s="60">
        <f t="shared" si="28"/>
        <v>5.1215666666666664</v>
      </c>
      <c r="E1066" s="60">
        <f t="shared" si="28"/>
        <v>5.6485583333333338</v>
      </c>
      <c r="F1066" s="60">
        <f t="shared" si="28"/>
        <v>5.6485583333333338</v>
      </c>
      <c r="G1066" s="60">
        <f t="shared" si="28"/>
        <v>5.6495666666666677</v>
      </c>
      <c r="H1066" s="60">
        <f t="shared" si="28"/>
        <v>10.5032</v>
      </c>
      <c r="I1066" s="60">
        <f t="shared" si="28"/>
        <v>10.504225</v>
      </c>
      <c r="J1066" s="60">
        <f t="shared" si="28"/>
        <v>5.6485583333333338</v>
      </c>
      <c r="K1066" s="60">
        <f t="shared" si="28"/>
        <v>5.6495666666666677</v>
      </c>
    </row>
    <row r="1067" spans="1:11" ht="15">
      <c r="A1067" s="3">
        <v>2045</v>
      </c>
      <c r="B1067" s="60">
        <f t="shared" ref="B1067:K1067" si="29">AVERAGE(B365:B376)</f>
        <v>5.2258749999999994</v>
      </c>
      <c r="C1067" s="60">
        <f t="shared" si="29"/>
        <v>5.2258749999999994</v>
      </c>
      <c r="D1067" s="60">
        <f t="shared" si="29"/>
        <v>5.2508833333333333</v>
      </c>
      <c r="E1067" s="60">
        <f t="shared" si="29"/>
        <v>5.8071166666666683</v>
      </c>
      <c r="F1067" s="60">
        <f t="shared" si="29"/>
        <v>5.8071166666666683</v>
      </c>
      <c r="G1067" s="60">
        <f t="shared" si="29"/>
        <v>5.8081416666666668</v>
      </c>
      <c r="H1067" s="60">
        <f t="shared" si="29"/>
        <v>10.768833333333333</v>
      </c>
      <c r="I1067" s="60">
        <f t="shared" si="29"/>
        <v>10.769824999999999</v>
      </c>
      <c r="J1067" s="60">
        <f t="shared" si="29"/>
        <v>5.8071166666666683</v>
      </c>
      <c r="K1067" s="60">
        <f t="shared" si="29"/>
        <v>5.8081416666666668</v>
      </c>
    </row>
    <row r="1068" spans="1:11" ht="15">
      <c r="A1068" s="3">
        <v>2046</v>
      </c>
      <c r="B1068" s="60">
        <f t="shared" ref="B1068:K1068" si="30">AVERAGE(B377:B388)</f>
        <v>5.3584916666666667</v>
      </c>
      <c r="C1068" s="60">
        <f t="shared" si="30"/>
        <v>5.3584916666666667</v>
      </c>
      <c r="D1068" s="60">
        <f t="shared" si="30"/>
        <v>5.3835166666666661</v>
      </c>
      <c r="E1068" s="60">
        <f t="shared" si="30"/>
        <v>5.9701666666666666</v>
      </c>
      <c r="F1068" s="60">
        <f t="shared" si="30"/>
        <v>5.9701666666666666</v>
      </c>
      <c r="G1068" s="60">
        <f t="shared" si="30"/>
        <v>5.9711833333333324</v>
      </c>
      <c r="H1068" s="60">
        <f t="shared" si="30"/>
        <v>11.04115</v>
      </c>
      <c r="I1068" s="60">
        <f t="shared" si="30"/>
        <v>11.042150000000001</v>
      </c>
      <c r="J1068" s="60">
        <f t="shared" si="30"/>
        <v>5.9701666666666666</v>
      </c>
      <c r="K1068" s="60">
        <f t="shared" si="30"/>
        <v>5.9711833333333324</v>
      </c>
    </row>
    <row r="1069" spans="1:11" ht="15">
      <c r="A1069" s="3">
        <v>2047</v>
      </c>
      <c r="B1069" s="60">
        <f t="shared" ref="B1069:K1069" si="31">AVERAGE(B389:B400)</f>
        <v>5.4945083333333331</v>
      </c>
      <c r="C1069" s="60">
        <f t="shared" si="31"/>
        <v>5.4945083333333331</v>
      </c>
      <c r="D1069" s="60">
        <f t="shared" si="31"/>
        <v>5.5195083333333335</v>
      </c>
      <c r="E1069" s="60">
        <f t="shared" si="31"/>
        <v>6.1377999999999995</v>
      </c>
      <c r="F1069" s="60">
        <f t="shared" si="31"/>
        <v>6.1377999999999995</v>
      </c>
      <c r="G1069" s="60">
        <f t="shared" si="31"/>
        <v>6.1388083333333325</v>
      </c>
      <c r="H1069" s="60">
        <f t="shared" si="31"/>
        <v>11.320358333333333</v>
      </c>
      <c r="I1069" s="60">
        <f t="shared" si="31"/>
        <v>11.321375000000002</v>
      </c>
      <c r="J1069" s="60">
        <f t="shared" si="31"/>
        <v>6.1377999999999995</v>
      </c>
      <c r="K1069" s="60">
        <f t="shared" si="31"/>
        <v>6.1388083333333325</v>
      </c>
    </row>
    <row r="1070" spans="1:11" ht="15">
      <c r="A1070" s="3">
        <v>2048</v>
      </c>
      <c r="B1070" s="60">
        <f t="shared" ref="B1070:K1070" si="32">AVERAGE(B401:B412)</f>
        <v>5.6339333333333341</v>
      </c>
      <c r="C1070" s="60">
        <f t="shared" si="32"/>
        <v>5.6339333333333341</v>
      </c>
      <c r="D1070" s="60">
        <f t="shared" si="32"/>
        <v>5.6589416666666672</v>
      </c>
      <c r="E1070" s="60">
        <f t="shared" si="32"/>
        <v>6.3101416666666674</v>
      </c>
      <c r="F1070" s="60">
        <f t="shared" si="32"/>
        <v>6.3101416666666674</v>
      </c>
      <c r="G1070" s="60">
        <f t="shared" si="32"/>
        <v>6.3111416666666669</v>
      </c>
      <c r="H1070" s="60">
        <f t="shared" si="32"/>
        <v>11.606624999999999</v>
      </c>
      <c r="I1070" s="60">
        <f t="shared" si="32"/>
        <v>11.607641666666666</v>
      </c>
      <c r="J1070" s="60">
        <f t="shared" si="32"/>
        <v>6.3101416666666674</v>
      </c>
      <c r="K1070" s="60">
        <f t="shared" si="32"/>
        <v>6.3111416666666669</v>
      </c>
    </row>
    <row r="1071" spans="1:11" ht="15">
      <c r="A1071" s="3">
        <v>2049</v>
      </c>
      <c r="B1071" s="60">
        <f t="shared" ref="B1071:K1071" si="33">AVERAGE(B413:B424)</f>
        <v>5.7769416666666666</v>
      </c>
      <c r="C1071" s="60">
        <f t="shared" si="33"/>
        <v>5.7769416666666666</v>
      </c>
      <c r="D1071" s="60">
        <f t="shared" si="33"/>
        <v>5.801941666666667</v>
      </c>
      <c r="E1071" s="60">
        <f t="shared" si="33"/>
        <v>6.487333333333333</v>
      </c>
      <c r="F1071" s="60">
        <f t="shared" si="33"/>
        <v>6.487333333333333</v>
      </c>
      <c r="G1071" s="60">
        <f t="shared" si="33"/>
        <v>6.4883499999999978</v>
      </c>
      <c r="H1071" s="60">
        <f t="shared" si="33"/>
        <v>11.900133333333335</v>
      </c>
      <c r="I1071" s="60">
        <f t="shared" si="33"/>
        <v>11.901158333333335</v>
      </c>
      <c r="J1071" s="60">
        <f t="shared" si="33"/>
        <v>6.487333333333333</v>
      </c>
      <c r="K1071" s="60">
        <f t="shared" si="33"/>
        <v>6.4883499999999978</v>
      </c>
    </row>
    <row r="1072" spans="1:11" ht="15">
      <c r="A1072" s="3">
        <v>2050</v>
      </c>
      <c r="B1072" s="60">
        <f t="shared" ref="B1072:K1072" si="34">AVERAGE(B425:B436)</f>
        <v>5.923566666666666</v>
      </c>
      <c r="C1072" s="60">
        <f t="shared" si="34"/>
        <v>5.923566666666666</v>
      </c>
      <c r="D1072" s="60">
        <f t="shared" si="34"/>
        <v>5.9485749999999991</v>
      </c>
      <c r="E1072" s="60">
        <f t="shared" si="34"/>
        <v>6.6695499999999983</v>
      </c>
      <c r="F1072" s="60">
        <f t="shared" si="34"/>
        <v>6.6695499999999983</v>
      </c>
      <c r="G1072" s="60">
        <f t="shared" si="34"/>
        <v>6.6705499999999995</v>
      </c>
      <c r="H1072" s="60">
        <f t="shared" si="34"/>
        <v>12.201083333333335</v>
      </c>
      <c r="I1072" s="60">
        <f t="shared" si="34"/>
        <v>12.202091666666666</v>
      </c>
      <c r="J1072" s="60">
        <f t="shared" si="34"/>
        <v>6.6695499999999983</v>
      </c>
      <c r="K1072" s="60">
        <f t="shared" si="34"/>
        <v>6.6705499999999995</v>
      </c>
    </row>
    <row r="1073" spans="1:11" ht="15">
      <c r="A1073" s="3">
        <v>2051</v>
      </c>
      <c r="B1073" s="60">
        <f t="shared" ref="B1073:K1073" si="35">AVERAGE(B437:B448)</f>
        <v>6.0739333333333336</v>
      </c>
      <c r="C1073" s="60">
        <f t="shared" si="35"/>
        <v>6.0739333333333336</v>
      </c>
      <c r="D1073" s="60">
        <f t="shared" si="35"/>
        <v>6.0989416666666658</v>
      </c>
      <c r="E1073" s="60">
        <f t="shared" si="35"/>
        <v>6.8568833333333332</v>
      </c>
      <c r="F1073" s="60">
        <f t="shared" si="35"/>
        <v>6.8568833333333332</v>
      </c>
      <c r="G1073" s="60">
        <f t="shared" si="35"/>
        <v>6.8578833333333327</v>
      </c>
      <c r="H1073" s="60">
        <f t="shared" si="35"/>
        <v>12.509625000000002</v>
      </c>
      <c r="I1073" s="60">
        <f t="shared" si="35"/>
        <v>12.510641666666666</v>
      </c>
      <c r="J1073" s="60">
        <f t="shared" si="35"/>
        <v>6.8568833333333332</v>
      </c>
      <c r="K1073" s="60">
        <f t="shared" si="35"/>
        <v>6.8578833333333327</v>
      </c>
    </row>
    <row r="1074" spans="1:11" ht="15">
      <c r="A1074" s="3">
        <v>2052</v>
      </c>
      <c r="B1074" s="60">
        <f t="shared" ref="B1074:K1074" si="36">AVERAGE(B449:B460)</f>
        <v>6.2281083333333322</v>
      </c>
      <c r="C1074" s="60">
        <f t="shared" si="36"/>
        <v>6.2281083333333322</v>
      </c>
      <c r="D1074" s="60">
        <f t="shared" si="36"/>
        <v>6.2531166666666662</v>
      </c>
      <c r="E1074" s="60">
        <f t="shared" si="36"/>
        <v>7.049475000000001</v>
      </c>
      <c r="F1074" s="60">
        <f t="shared" si="36"/>
        <v>7.049475000000001</v>
      </c>
      <c r="G1074" s="60">
        <f t="shared" si="36"/>
        <v>7.0504833333333332</v>
      </c>
      <c r="H1074" s="60">
        <f t="shared" si="36"/>
        <v>12.825983333333333</v>
      </c>
      <c r="I1074" s="60">
        <f t="shared" si="36"/>
        <v>12.827000000000004</v>
      </c>
      <c r="J1074" s="60">
        <f t="shared" si="36"/>
        <v>7.049475000000001</v>
      </c>
      <c r="K1074" s="60">
        <f t="shared" si="36"/>
        <v>7.0504833333333332</v>
      </c>
    </row>
    <row r="1075" spans="1:11" ht="15">
      <c r="A1075" s="3">
        <v>2053</v>
      </c>
      <c r="B1075" s="60">
        <f t="shared" ref="B1075:K1075" si="37">AVERAGE(B461:B472)</f>
        <v>6.386216666666666</v>
      </c>
      <c r="C1075" s="60">
        <f t="shared" si="37"/>
        <v>6.386216666666666</v>
      </c>
      <c r="D1075" s="60">
        <f t="shared" si="37"/>
        <v>6.4112249999999982</v>
      </c>
      <c r="E1075" s="60">
        <f t="shared" si="37"/>
        <v>7.2475249999999996</v>
      </c>
      <c r="F1075" s="60">
        <f t="shared" si="37"/>
        <v>7.2475249999999996</v>
      </c>
      <c r="G1075" s="60">
        <f t="shared" si="37"/>
        <v>7.2485333333333344</v>
      </c>
      <c r="H1075" s="60">
        <f t="shared" si="37"/>
        <v>13.150316666666667</v>
      </c>
      <c r="I1075" s="60">
        <f t="shared" si="37"/>
        <v>13.151341666666665</v>
      </c>
      <c r="J1075" s="60">
        <f t="shared" si="37"/>
        <v>7.2475249999999996</v>
      </c>
      <c r="K1075" s="60">
        <f t="shared" si="37"/>
        <v>7.2485333333333344</v>
      </c>
    </row>
    <row r="1076" spans="1:11" ht="15">
      <c r="A1076" s="3">
        <v>2054</v>
      </c>
      <c r="B1076" s="60">
        <f t="shared" ref="B1076:K1076" si="38">AVERAGE(B473:B484)</f>
        <v>6.5483416666666656</v>
      </c>
      <c r="C1076" s="60">
        <f t="shared" si="38"/>
        <v>6.5483416666666656</v>
      </c>
      <c r="D1076" s="60">
        <f t="shared" si="38"/>
        <v>6.5733583333333341</v>
      </c>
      <c r="E1076" s="60">
        <f t="shared" si="38"/>
        <v>7.4511333333333338</v>
      </c>
      <c r="F1076" s="60">
        <f t="shared" si="38"/>
        <v>7.4511333333333338</v>
      </c>
      <c r="G1076" s="60">
        <f t="shared" si="38"/>
        <v>7.452141666666666</v>
      </c>
      <c r="H1076" s="60">
        <f t="shared" si="38"/>
        <v>13.482891666666665</v>
      </c>
      <c r="I1076" s="60">
        <f t="shared" si="38"/>
        <v>13.4839</v>
      </c>
      <c r="J1076" s="60">
        <f t="shared" si="38"/>
        <v>7.4511333333333338</v>
      </c>
      <c r="K1076" s="60">
        <f t="shared" si="38"/>
        <v>7.452141666666666</v>
      </c>
    </row>
    <row r="1077" spans="1:11" ht="15">
      <c r="A1077" s="3">
        <v>2055</v>
      </c>
      <c r="B1077" s="60">
        <f t="shared" ref="B1077:K1077" si="39">AVERAGE(B17:B496)</f>
        <v>4.2844087499999954</v>
      </c>
      <c r="C1077" s="60">
        <f t="shared" si="39"/>
        <v>4.2844087499999954</v>
      </c>
      <c r="D1077" s="60">
        <f t="shared" si="39"/>
        <v>4.3094231250000012</v>
      </c>
      <c r="E1077" s="60">
        <f t="shared" si="39"/>
        <v>4.7119027083333327</v>
      </c>
      <c r="F1077" s="60">
        <f t="shared" si="39"/>
        <v>4.6534241666666665</v>
      </c>
      <c r="G1077" s="60">
        <f t="shared" si="39"/>
        <v>4.6544337499999981</v>
      </c>
      <c r="H1077" s="60">
        <f t="shared" si="39"/>
        <v>8.8517497916666734</v>
      </c>
      <c r="I1077" s="60">
        <f t="shared" si="39"/>
        <v>8.8527618750000041</v>
      </c>
      <c r="J1077" s="60">
        <f t="shared" si="39"/>
        <v>4.7119027083333327</v>
      </c>
      <c r="K1077" s="60">
        <f t="shared" si="39"/>
        <v>4.7129120833333324</v>
      </c>
    </row>
    <row r="1078" spans="1:11" ht="15">
      <c r="A1078" s="3">
        <v>2056</v>
      </c>
      <c r="B1078" s="60">
        <f t="shared" ref="B1078:K1078" si="40">AVERAGE(B497:B508)</f>
        <v>6.8850749999999996</v>
      </c>
      <c r="C1078" s="60">
        <f t="shared" si="40"/>
        <v>6.8850749999999996</v>
      </c>
      <c r="D1078" s="60">
        <f t="shared" si="40"/>
        <v>6.9100916666666672</v>
      </c>
      <c r="E1078" s="60">
        <f t="shared" si="40"/>
        <v>7.8757666666666664</v>
      </c>
      <c r="F1078" s="60">
        <f t="shared" si="40"/>
        <v>7.8757666666666664</v>
      </c>
      <c r="G1078" s="60">
        <f t="shared" si="40"/>
        <v>7.8767666666666658</v>
      </c>
      <c r="H1078" s="60">
        <f t="shared" si="40"/>
        <v>14.173424999999996</v>
      </c>
      <c r="I1078" s="60">
        <f t="shared" si="40"/>
        <v>14.174441666666667</v>
      </c>
      <c r="J1078" s="60">
        <f t="shared" si="40"/>
        <v>7.8757666666666664</v>
      </c>
      <c r="K1078" s="60">
        <f t="shared" si="40"/>
        <v>7.8767666666666658</v>
      </c>
    </row>
    <row r="1079" spans="1:11" ht="15">
      <c r="A1079" s="3">
        <v>2057</v>
      </c>
      <c r="B1079" s="60">
        <f t="shared" ref="B1079:K1079" si="41">AVERAGE(B509:B520)</f>
        <v>7.0598833333333326</v>
      </c>
      <c r="C1079" s="60">
        <f t="shared" si="41"/>
        <v>7.0598833333333326</v>
      </c>
      <c r="D1079" s="60">
        <f t="shared" si="41"/>
        <v>7.0848916666666666</v>
      </c>
      <c r="E1079" s="60">
        <f t="shared" si="41"/>
        <v>8.0970833333333321</v>
      </c>
      <c r="F1079" s="60">
        <f t="shared" si="41"/>
        <v>8.0970833333333321</v>
      </c>
      <c r="G1079" s="60">
        <f t="shared" si="41"/>
        <v>8.0980833333333333</v>
      </c>
      <c r="H1079" s="60">
        <f t="shared" si="41"/>
        <v>14.531858333333334</v>
      </c>
      <c r="I1079" s="60">
        <f t="shared" si="41"/>
        <v>14.532866666666669</v>
      </c>
      <c r="J1079" s="60">
        <f t="shared" si="41"/>
        <v>8.0970833333333321</v>
      </c>
      <c r="K1079" s="60">
        <f t="shared" si="41"/>
        <v>8.0980833333333333</v>
      </c>
    </row>
    <row r="1080" spans="1:11" ht="15">
      <c r="A1080" s="3">
        <v>2058</v>
      </c>
      <c r="B1080" s="60">
        <f t="shared" ref="B1080:K1080" si="42">AVERAGE(B521:B532)</f>
        <v>7.239141666666665</v>
      </c>
      <c r="C1080" s="60">
        <f t="shared" si="42"/>
        <v>7.239141666666665</v>
      </c>
      <c r="D1080" s="60">
        <f t="shared" si="42"/>
        <v>7.2641416666666663</v>
      </c>
      <c r="E1080" s="60">
        <f t="shared" si="42"/>
        <v>8.3246583333333337</v>
      </c>
      <c r="F1080" s="60">
        <f t="shared" si="42"/>
        <v>8.3246583333333337</v>
      </c>
      <c r="G1080" s="60">
        <f t="shared" si="42"/>
        <v>8.3256583333333349</v>
      </c>
      <c r="H1080" s="60">
        <f t="shared" si="42"/>
        <v>14.899341666666666</v>
      </c>
      <c r="I1080" s="60">
        <f t="shared" si="42"/>
        <v>14.900333333333334</v>
      </c>
      <c r="J1080" s="60">
        <f t="shared" si="42"/>
        <v>8.3246583333333337</v>
      </c>
      <c r="K1080" s="60">
        <f t="shared" si="42"/>
        <v>8.3256583333333349</v>
      </c>
    </row>
    <row r="1081" spans="1:11" ht="15">
      <c r="A1081" s="3">
        <v>2059</v>
      </c>
      <c r="B1081" s="60">
        <f t="shared" ref="B1081:K1081" si="43">AVERAGE(B533:B544)</f>
        <v>7.4229666666666665</v>
      </c>
      <c r="C1081" s="60">
        <f t="shared" si="43"/>
        <v>7.4229666666666665</v>
      </c>
      <c r="D1081" s="60">
        <f t="shared" si="43"/>
        <v>7.4479666666666686</v>
      </c>
      <c r="E1081" s="60">
        <f t="shared" si="43"/>
        <v>8.5586166666666657</v>
      </c>
      <c r="F1081" s="60">
        <f t="shared" si="43"/>
        <v>8.5586166666666657</v>
      </c>
      <c r="G1081" s="60">
        <f t="shared" si="43"/>
        <v>8.5596500000000013</v>
      </c>
      <c r="H1081" s="60">
        <f t="shared" si="43"/>
        <v>15.276116666666667</v>
      </c>
      <c r="I1081" s="60">
        <f t="shared" si="43"/>
        <v>15.277124999999998</v>
      </c>
      <c r="J1081" s="60">
        <f t="shared" si="43"/>
        <v>8.5586166666666657</v>
      </c>
      <c r="K1081" s="60">
        <f t="shared" si="43"/>
        <v>8.5596500000000013</v>
      </c>
    </row>
    <row r="1082" spans="1:11" ht="15">
      <c r="A1082" s="3">
        <v>2060</v>
      </c>
      <c r="B1082" s="60">
        <f t="shared" ref="B1082:K1082" si="44">AVERAGE(B545:B556)</f>
        <v>7.611433333333335</v>
      </c>
      <c r="C1082" s="60">
        <f t="shared" si="44"/>
        <v>7.611433333333335</v>
      </c>
      <c r="D1082" s="60">
        <f t="shared" si="44"/>
        <v>7.6364499999999991</v>
      </c>
      <c r="E1082" s="60">
        <f t="shared" si="44"/>
        <v>8.7992083333333344</v>
      </c>
      <c r="F1082" s="60">
        <f t="shared" si="44"/>
        <v>8.7992083333333344</v>
      </c>
      <c r="G1082" s="60">
        <f t="shared" si="44"/>
        <v>8.8002333333333329</v>
      </c>
      <c r="H1082" s="60">
        <f t="shared" si="44"/>
        <v>15.662416666666667</v>
      </c>
      <c r="I1082" s="60">
        <f t="shared" si="44"/>
        <v>15.663433333333332</v>
      </c>
      <c r="J1082" s="60">
        <f t="shared" si="44"/>
        <v>8.7992083333333344</v>
      </c>
      <c r="K1082" s="60">
        <f t="shared" si="44"/>
        <v>8.8002333333333329</v>
      </c>
    </row>
    <row r="1083" spans="1:11" ht="15">
      <c r="A1083" s="3">
        <v>2061</v>
      </c>
      <c r="B1083" s="60">
        <f t="shared" ref="B1083:K1083" si="45">AVERAGE(B557:B568)</f>
        <v>7.804733333333334</v>
      </c>
      <c r="C1083" s="60">
        <f t="shared" si="45"/>
        <v>7.804733333333334</v>
      </c>
      <c r="D1083" s="60">
        <f t="shared" si="45"/>
        <v>7.829749999999998</v>
      </c>
      <c r="E1083" s="60">
        <f t="shared" si="45"/>
        <v>9.0465833333333325</v>
      </c>
      <c r="F1083" s="60">
        <f t="shared" si="45"/>
        <v>9.0465833333333325</v>
      </c>
      <c r="G1083" s="60">
        <f t="shared" si="45"/>
        <v>9.047608333333331</v>
      </c>
      <c r="H1083" s="60">
        <f t="shared" si="45"/>
        <v>16.058508333333332</v>
      </c>
      <c r="I1083" s="60">
        <f t="shared" si="45"/>
        <v>16.059516666666667</v>
      </c>
      <c r="J1083" s="60">
        <f t="shared" si="45"/>
        <v>9.0465833333333325</v>
      </c>
      <c r="K1083" s="60">
        <f t="shared" si="45"/>
        <v>9.047608333333331</v>
      </c>
    </row>
    <row r="1084" spans="1:11" ht="15">
      <c r="A1084" s="3">
        <v>2062</v>
      </c>
      <c r="B1084" s="60">
        <f t="shared" ref="B1084:K1093" ca="1" si="46">AVERAGE(OFFSET(B$569,($A1084-$A$1084)*12,0,12,1))</f>
        <v>8.002933333333333</v>
      </c>
      <c r="C1084" s="60">
        <f t="shared" ca="1" si="46"/>
        <v>8.002933333333333</v>
      </c>
      <c r="D1084" s="60">
        <f t="shared" ca="1" si="46"/>
        <v>8.0279499999999988</v>
      </c>
      <c r="E1084" s="60">
        <f t="shared" ca="1" si="46"/>
        <v>9.3009249999999994</v>
      </c>
      <c r="F1084" s="60">
        <f t="shared" ca="1" si="46"/>
        <v>9.3009249999999994</v>
      </c>
      <c r="G1084" s="60">
        <f t="shared" ca="1" si="46"/>
        <v>9.3019583333333333</v>
      </c>
      <c r="H1084" s="60">
        <f t="shared" ca="1" si="46"/>
        <v>16.464608333333334</v>
      </c>
      <c r="I1084" s="60">
        <f t="shared" ca="1" si="46"/>
        <v>16.465608333333332</v>
      </c>
      <c r="J1084" s="60">
        <f t="shared" ca="1" si="46"/>
        <v>9.3009249999999994</v>
      </c>
      <c r="K1084" s="60">
        <f t="shared" ca="1" si="46"/>
        <v>9.3019583333333333</v>
      </c>
    </row>
    <row r="1085" spans="1:11" ht="15">
      <c r="A1085" s="3">
        <v>2063</v>
      </c>
      <c r="B1085" s="60">
        <f t="shared" ca="1" si="46"/>
        <v>8.2011416666666666</v>
      </c>
      <c r="C1085" s="60">
        <f t="shared" ca="1" si="46"/>
        <v>8.2011416666666666</v>
      </c>
      <c r="D1085" s="60">
        <f t="shared" ca="1" si="46"/>
        <v>8.2261500000000005</v>
      </c>
      <c r="E1085" s="60">
        <f t="shared" ca="1" si="46"/>
        <v>9.5553000000000008</v>
      </c>
      <c r="F1085" s="60">
        <f t="shared" ca="1" si="46"/>
        <v>9.5553000000000008</v>
      </c>
      <c r="G1085" s="60">
        <f t="shared" ca="1" si="46"/>
        <v>9.5562916666666666</v>
      </c>
      <c r="H1085" s="60">
        <f t="shared" ca="1" si="46"/>
        <v>16.870699999999999</v>
      </c>
      <c r="I1085" s="60">
        <f t="shared" ca="1" si="46"/>
        <v>16.871708333333331</v>
      </c>
      <c r="J1085" s="60">
        <f t="shared" ca="1" si="46"/>
        <v>9.5553000000000008</v>
      </c>
      <c r="K1085" s="60">
        <f t="shared" ca="1" si="46"/>
        <v>9.5562916666666666</v>
      </c>
    </row>
    <row r="1086" spans="1:11" ht="15">
      <c r="A1086" s="3">
        <v>2064</v>
      </c>
      <c r="B1086" s="60">
        <f t="shared" ca="1" si="46"/>
        <v>8.3993333333333347</v>
      </c>
      <c r="C1086" s="60">
        <f t="shared" ca="1" si="46"/>
        <v>8.3993333333333347</v>
      </c>
      <c r="D1086" s="60">
        <f t="shared" ca="1" si="46"/>
        <v>8.4243499999999987</v>
      </c>
      <c r="E1086" s="60">
        <f t="shared" ca="1" si="46"/>
        <v>9.8096166666666686</v>
      </c>
      <c r="F1086" s="60">
        <f t="shared" ca="1" si="46"/>
        <v>9.8096166666666686</v>
      </c>
      <c r="G1086" s="60">
        <f t="shared" ca="1" si="46"/>
        <v>9.8106499999999972</v>
      </c>
      <c r="H1086" s="60">
        <f t="shared" ca="1" si="46"/>
        <v>17.276791666666664</v>
      </c>
      <c r="I1086" s="60">
        <f t="shared" ca="1" si="46"/>
        <v>17.277800000000003</v>
      </c>
      <c r="J1086" s="60">
        <f t="shared" ca="1" si="46"/>
        <v>9.8096166666666686</v>
      </c>
      <c r="K1086" s="60">
        <f t="shared" ca="1" si="46"/>
        <v>9.8106499999999972</v>
      </c>
    </row>
    <row r="1087" spans="1:11" ht="15">
      <c r="A1087" s="3">
        <v>2065</v>
      </c>
      <c r="B1087" s="60">
        <f t="shared" ca="1" si="46"/>
        <v>8.5975333333333328</v>
      </c>
      <c r="C1087" s="60">
        <f t="shared" ca="1" si="46"/>
        <v>8.5975333333333328</v>
      </c>
      <c r="D1087" s="60">
        <f t="shared" ca="1" si="46"/>
        <v>8.622558333333334</v>
      </c>
      <c r="E1087" s="60">
        <f t="shared" ca="1" si="46"/>
        <v>10.063975000000001</v>
      </c>
      <c r="F1087" s="60">
        <f t="shared" ca="1" si="46"/>
        <v>10.063975000000001</v>
      </c>
      <c r="G1087" s="60">
        <f t="shared" ca="1" si="46"/>
        <v>10.064991666666666</v>
      </c>
      <c r="H1087" s="60">
        <f t="shared" ca="1" si="46"/>
        <v>17.682883333333333</v>
      </c>
      <c r="I1087" s="60">
        <f t="shared" ca="1" si="46"/>
        <v>17.683900000000001</v>
      </c>
      <c r="J1087" s="60">
        <f t="shared" ca="1" si="46"/>
        <v>10.063975000000001</v>
      </c>
      <c r="K1087" s="60">
        <f t="shared" ca="1" si="46"/>
        <v>10.064991666666666</v>
      </c>
    </row>
    <row r="1088" spans="1:11" ht="15">
      <c r="A1088" s="3">
        <v>2066</v>
      </c>
      <c r="B1088" s="60">
        <f t="shared" ca="1" si="46"/>
        <v>8.7957416666666663</v>
      </c>
      <c r="C1088" s="60">
        <f t="shared" ca="1" si="46"/>
        <v>8.7957416666666663</v>
      </c>
      <c r="D1088" s="60">
        <f t="shared" ca="1" si="46"/>
        <v>8.8207666666666658</v>
      </c>
      <c r="E1088" s="60">
        <f t="shared" ca="1" si="46"/>
        <v>10.318325</v>
      </c>
      <c r="F1088" s="60">
        <f t="shared" ca="1" si="46"/>
        <v>10.318325</v>
      </c>
      <c r="G1088" s="60">
        <f t="shared" ca="1" si="46"/>
        <v>10.319341666666668</v>
      </c>
      <c r="H1088" s="60">
        <f t="shared" ca="1" si="46"/>
        <v>18.088966666666664</v>
      </c>
      <c r="I1088" s="60">
        <f t="shared" ca="1" si="46"/>
        <v>18.089991666666666</v>
      </c>
      <c r="J1088" s="60">
        <f t="shared" ca="1" si="46"/>
        <v>10.318325</v>
      </c>
      <c r="K1088" s="60">
        <f t="shared" ca="1" si="46"/>
        <v>10.319341666666668</v>
      </c>
    </row>
    <row r="1089" spans="1:11" ht="15">
      <c r="A1089" s="3">
        <v>2067</v>
      </c>
      <c r="B1089" s="60">
        <f t="shared" ca="1" si="46"/>
        <v>8.9939499999999999</v>
      </c>
      <c r="C1089" s="60">
        <f t="shared" ca="1" si="46"/>
        <v>8.9939499999999999</v>
      </c>
      <c r="D1089" s="60">
        <f t="shared" ca="1" si="46"/>
        <v>9.0189666666666657</v>
      </c>
      <c r="E1089" s="60">
        <f t="shared" ca="1" si="46"/>
        <v>10.572658333333333</v>
      </c>
      <c r="F1089" s="60">
        <f t="shared" ca="1" si="46"/>
        <v>10.572658333333333</v>
      </c>
      <c r="G1089" s="60">
        <f t="shared" ca="1" si="46"/>
        <v>10.573675000000001</v>
      </c>
      <c r="H1089" s="60">
        <f t="shared" ca="1" si="46"/>
        <v>18.495075000000003</v>
      </c>
      <c r="I1089" s="60">
        <f t="shared" ca="1" si="46"/>
        <v>18.496083333333331</v>
      </c>
      <c r="J1089" s="60">
        <f t="shared" ca="1" si="46"/>
        <v>10.572658333333333</v>
      </c>
      <c r="K1089" s="60">
        <f t="shared" ca="1" si="46"/>
        <v>10.573675000000001</v>
      </c>
    </row>
    <row r="1090" spans="1:11" ht="15">
      <c r="A1090" s="3">
        <v>2068</v>
      </c>
      <c r="B1090" s="60">
        <f t="shared" ca="1" si="46"/>
        <v>9.1921583333333334</v>
      </c>
      <c r="C1090" s="60">
        <f t="shared" ca="1" si="46"/>
        <v>9.1921583333333334</v>
      </c>
      <c r="D1090" s="60">
        <f t="shared" ca="1" si="46"/>
        <v>9.2171749999999992</v>
      </c>
      <c r="E1090" s="60">
        <f t="shared" ca="1" si="46"/>
        <v>10.827016666666665</v>
      </c>
      <c r="F1090" s="60">
        <f t="shared" ca="1" si="46"/>
        <v>10.827016666666665</v>
      </c>
      <c r="G1090" s="60">
        <f t="shared" ca="1" si="46"/>
        <v>10.828033333333336</v>
      </c>
      <c r="H1090" s="60">
        <f t="shared" ca="1" si="46"/>
        <v>18.901183333333336</v>
      </c>
      <c r="I1090" s="60">
        <f t="shared" ca="1" si="46"/>
        <v>18.902183333333333</v>
      </c>
      <c r="J1090" s="60">
        <f t="shared" ca="1" si="46"/>
        <v>10.827016666666665</v>
      </c>
      <c r="K1090" s="60">
        <f t="shared" ca="1" si="46"/>
        <v>10.828033333333336</v>
      </c>
    </row>
    <row r="1091" spans="1:11" ht="15">
      <c r="A1091" s="3">
        <v>2069</v>
      </c>
      <c r="B1091" s="60">
        <f t="shared" ca="1" si="46"/>
        <v>9.3903750000000006</v>
      </c>
      <c r="C1091" s="60">
        <f t="shared" ca="1" si="46"/>
        <v>9.3903750000000006</v>
      </c>
      <c r="D1091" s="60">
        <f t="shared" ca="1" si="46"/>
        <v>9.4153833333333328</v>
      </c>
      <c r="E1091" s="60">
        <f t="shared" ca="1" si="46"/>
        <v>11.081358333333334</v>
      </c>
      <c r="F1091" s="60">
        <f t="shared" ca="1" si="46"/>
        <v>11.081358333333334</v>
      </c>
      <c r="G1091" s="60">
        <f t="shared" ca="1" si="46"/>
        <v>11.082374999999999</v>
      </c>
      <c r="H1091" s="60">
        <f t="shared" ca="1" si="46"/>
        <v>19.307258333333333</v>
      </c>
      <c r="I1091" s="60">
        <f t="shared" ca="1" si="46"/>
        <v>19.308283333333332</v>
      </c>
      <c r="J1091" s="60">
        <f t="shared" ca="1" si="46"/>
        <v>11.081358333333334</v>
      </c>
      <c r="K1091" s="60">
        <f t="shared" ca="1" si="46"/>
        <v>11.082374999999999</v>
      </c>
    </row>
    <row r="1092" spans="1:11" ht="15">
      <c r="A1092" s="3">
        <v>2070</v>
      </c>
      <c r="B1092" s="60">
        <f t="shared" ca="1" si="46"/>
        <v>9.5885749999999987</v>
      </c>
      <c r="C1092" s="60">
        <f t="shared" ca="1" si="46"/>
        <v>9.5885749999999987</v>
      </c>
      <c r="D1092" s="60">
        <f t="shared" ca="1" si="46"/>
        <v>9.6135749999999991</v>
      </c>
      <c r="E1092" s="60">
        <f t="shared" ca="1" si="46"/>
        <v>11.335708333333335</v>
      </c>
      <c r="F1092" s="60">
        <f t="shared" ca="1" si="46"/>
        <v>11.335708333333335</v>
      </c>
      <c r="G1092" s="60">
        <f t="shared" ca="1" si="46"/>
        <v>11.336725000000001</v>
      </c>
      <c r="H1092" s="60">
        <f t="shared" ca="1" si="46"/>
        <v>19.713366666666666</v>
      </c>
      <c r="I1092" s="60">
        <f t="shared" ca="1" si="46"/>
        <v>19.714383333333334</v>
      </c>
      <c r="J1092" s="60">
        <f t="shared" ca="1" si="46"/>
        <v>11.335708333333335</v>
      </c>
      <c r="K1092" s="60">
        <f t="shared" ca="1" si="46"/>
        <v>11.336725000000001</v>
      </c>
    </row>
    <row r="1093" spans="1:11" ht="15">
      <c r="A1093" s="3">
        <v>2071</v>
      </c>
      <c r="B1093" s="60">
        <f t="shared" ca="1" si="46"/>
        <v>9.7867666666666668</v>
      </c>
      <c r="C1093" s="60">
        <f t="shared" ca="1" si="46"/>
        <v>9.7867666666666668</v>
      </c>
      <c r="D1093" s="60">
        <f t="shared" ca="1" si="46"/>
        <v>9.811791666666668</v>
      </c>
      <c r="E1093" s="60">
        <f t="shared" ca="1" si="46"/>
        <v>11.590058333333332</v>
      </c>
      <c r="F1093" s="60">
        <f t="shared" ca="1" si="46"/>
        <v>11.590058333333332</v>
      </c>
      <c r="G1093" s="60">
        <f t="shared" ca="1" si="46"/>
        <v>11.591066666666665</v>
      </c>
      <c r="H1093" s="60">
        <f t="shared" ca="1" si="46"/>
        <v>20.119441666666667</v>
      </c>
      <c r="I1093" s="60">
        <f t="shared" ca="1" si="46"/>
        <v>20.120466666666665</v>
      </c>
      <c r="J1093" s="60">
        <f t="shared" ca="1" si="46"/>
        <v>11.590058333333332</v>
      </c>
      <c r="K1093" s="60">
        <f t="shared" ca="1" si="46"/>
        <v>11.591066666666665</v>
      </c>
    </row>
    <row r="1094" spans="1:11" ht="15">
      <c r="A1094" s="3">
        <v>2072</v>
      </c>
      <c r="B1094" s="60">
        <f t="shared" ref="B1094:K1103" ca="1" si="47">AVERAGE(OFFSET(B$569,($A1094-$A$1084)*12,0,12,1))</f>
        <v>9.9849666666666685</v>
      </c>
      <c r="C1094" s="60">
        <f t="shared" ca="1" si="47"/>
        <v>9.9849666666666685</v>
      </c>
      <c r="D1094" s="60">
        <f t="shared" ca="1" si="47"/>
        <v>10.009991666666666</v>
      </c>
      <c r="E1094" s="60">
        <f t="shared" ca="1" si="47"/>
        <v>11.844408333333334</v>
      </c>
      <c r="F1094" s="60">
        <f t="shared" ca="1" si="47"/>
        <v>11.844408333333334</v>
      </c>
      <c r="G1094" s="60">
        <f t="shared" ca="1" si="47"/>
        <v>11.845425000000001</v>
      </c>
      <c r="H1094" s="60">
        <f t="shared" ca="1" si="47"/>
        <v>20.525549999999999</v>
      </c>
      <c r="I1094" s="60">
        <f t="shared" ca="1" si="47"/>
        <v>20.526566666666664</v>
      </c>
      <c r="J1094" s="60">
        <f t="shared" ca="1" si="47"/>
        <v>11.844408333333334</v>
      </c>
      <c r="K1094" s="60">
        <f t="shared" ca="1" si="47"/>
        <v>11.845425000000001</v>
      </c>
    </row>
    <row r="1095" spans="1:11" ht="15">
      <c r="A1095" s="3">
        <v>2073</v>
      </c>
      <c r="B1095" s="60">
        <f t="shared" ca="1" si="47"/>
        <v>10.183174999999999</v>
      </c>
      <c r="C1095" s="60">
        <f t="shared" ca="1" si="47"/>
        <v>10.183174999999999</v>
      </c>
      <c r="D1095" s="60">
        <f t="shared" ca="1" si="47"/>
        <v>10.208183333333332</v>
      </c>
      <c r="E1095" s="60">
        <f t="shared" ca="1" si="47"/>
        <v>12.098766666666668</v>
      </c>
      <c r="F1095" s="60">
        <f t="shared" ca="1" si="47"/>
        <v>12.098766666666668</v>
      </c>
      <c r="G1095" s="60">
        <f t="shared" ca="1" si="47"/>
        <v>12.099766666666667</v>
      </c>
      <c r="H1095" s="60">
        <f t="shared" ca="1" si="47"/>
        <v>20.931641666666668</v>
      </c>
      <c r="I1095" s="60">
        <f t="shared" ca="1" si="47"/>
        <v>20.932658333333332</v>
      </c>
      <c r="J1095" s="60">
        <f t="shared" ca="1" si="47"/>
        <v>12.098766666666668</v>
      </c>
      <c r="K1095" s="60">
        <f t="shared" ca="1" si="47"/>
        <v>12.099766666666667</v>
      </c>
    </row>
    <row r="1096" spans="1:11" ht="15">
      <c r="A1096" s="3">
        <v>2074</v>
      </c>
      <c r="B1096" s="60">
        <f t="shared" ca="1" si="47"/>
        <v>10.381366666666667</v>
      </c>
      <c r="C1096" s="60">
        <f t="shared" ca="1" si="47"/>
        <v>10.381366666666667</v>
      </c>
      <c r="D1096" s="60">
        <f t="shared" ca="1" si="47"/>
        <v>10.406391666666666</v>
      </c>
      <c r="E1096" s="60">
        <f t="shared" ca="1" si="47"/>
        <v>12.353099999999998</v>
      </c>
      <c r="F1096" s="60">
        <f t="shared" ca="1" si="47"/>
        <v>12.353099999999998</v>
      </c>
      <c r="G1096" s="60">
        <f t="shared" ca="1" si="47"/>
        <v>12.354108333333331</v>
      </c>
      <c r="H1096" s="60">
        <f t="shared" ca="1" si="47"/>
        <v>21.33774166666667</v>
      </c>
      <c r="I1096" s="60">
        <f t="shared" ca="1" si="47"/>
        <v>21.338758333333335</v>
      </c>
      <c r="J1096" s="60">
        <f t="shared" ca="1" si="47"/>
        <v>12.353099999999998</v>
      </c>
      <c r="K1096" s="60">
        <f t="shared" ca="1" si="47"/>
        <v>12.354108333333331</v>
      </c>
    </row>
    <row r="1097" spans="1:11" ht="15">
      <c r="A1097" s="3">
        <v>2075</v>
      </c>
      <c r="B1097" s="60">
        <f t="shared" ca="1" si="47"/>
        <v>10.579575</v>
      </c>
      <c r="C1097" s="60">
        <f t="shared" ca="1" si="47"/>
        <v>10.579575</v>
      </c>
      <c r="D1097" s="60">
        <f t="shared" ca="1" si="47"/>
        <v>10.604591666666666</v>
      </c>
      <c r="E1097" s="60">
        <f t="shared" ca="1" si="47"/>
        <v>12.60745</v>
      </c>
      <c r="F1097" s="60">
        <f t="shared" ca="1" si="47"/>
        <v>12.60745</v>
      </c>
      <c r="G1097" s="60">
        <f t="shared" ca="1" si="47"/>
        <v>12.608474999999999</v>
      </c>
      <c r="H1097" s="60">
        <f t="shared" ca="1" si="47"/>
        <v>21.743841666666665</v>
      </c>
      <c r="I1097" s="60">
        <f t="shared" ca="1" si="47"/>
        <v>21.74484166666667</v>
      </c>
      <c r="J1097" s="60">
        <f t="shared" ca="1" si="47"/>
        <v>12.60745</v>
      </c>
      <c r="K1097" s="60">
        <f t="shared" ca="1" si="47"/>
        <v>12.608474999999999</v>
      </c>
    </row>
    <row r="1098" spans="1:11" ht="15">
      <c r="A1098" s="3">
        <v>2076</v>
      </c>
      <c r="B1098" s="60">
        <f t="shared" ca="1" si="47"/>
        <v>10.777783333333332</v>
      </c>
      <c r="C1098" s="60">
        <f t="shared" ca="1" si="47"/>
        <v>10.777783333333332</v>
      </c>
      <c r="D1098" s="60">
        <f t="shared" ca="1" si="47"/>
        <v>10.8028</v>
      </c>
      <c r="E1098" s="60">
        <f t="shared" ca="1" si="47"/>
        <v>12.861800000000001</v>
      </c>
      <c r="F1098" s="60">
        <f t="shared" ca="1" si="47"/>
        <v>12.861800000000001</v>
      </c>
      <c r="G1098" s="60">
        <f t="shared" ca="1" si="47"/>
        <v>12.862800000000002</v>
      </c>
      <c r="H1098" s="60">
        <f t="shared" ca="1" si="47"/>
        <v>22.149925</v>
      </c>
      <c r="I1098" s="60">
        <f t="shared" ca="1" si="47"/>
        <v>22.150941666666665</v>
      </c>
      <c r="J1098" s="60">
        <f t="shared" ca="1" si="47"/>
        <v>12.861800000000001</v>
      </c>
      <c r="K1098" s="60">
        <f t="shared" ca="1" si="47"/>
        <v>12.862800000000002</v>
      </c>
    </row>
    <row r="1099" spans="1:11" ht="15">
      <c r="A1099" s="3">
        <v>2077</v>
      </c>
      <c r="B1099" s="60">
        <f t="shared" ca="1" si="47"/>
        <v>10.975991666666667</v>
      </c>
      <c r="C1099" s="60">
        <f t="shared" ca="1" si="47"/>
        <v>10.975991666666667</v>
      </c>
      <c r="D1099" s="60">
        <f t="shared" ca="1" si="47"/>
        <v>11.001008333333337</v>
      </c>
      <c r="E1099" s="60">
        <f t="shared" ca="1" si="47"/>
        <v>13.116141666666664</v>
      </c>
      <c r="F1099" s="60">
        <f t="shared" ca="1" si="47"/>
        <v>13.116141666666664</v>
      </c>
      <c r="G1099" s="60">
        <f t="shared" ca="1" si="47"/>
        <v>13.117141666666667</v>
      </c>
      <c r="H1099" s="60">
        <f t="shared" ca="1" si="47"/>
        <v>22.556016666666668</v>
      </c>
      <c r="I1099" s="60">
        <f t="shared" ca="1" si="47"/>
        <v>22.557033333333333</v>
      </c>
      <c r="J1099" s="60">
        <f t="shared" ca="1" si="47"/>
        <v>13.116141666666664</v>
      </c>
      <c r="K1099" s="60">
        <f t="shared" ca="1" si="47"/>
        <v>13.117141666666667</v>
      </c>
    </row>
    <row r="1100" spans="1:11" ht="15">
      <c r="A1100" s="3">
        <v>2078</v>
      </c>
      <c r="B1100" s="60">
        <f t="shared" ca="1" si="47"/>
        <v>11.174191666666667</v>
      </c>
      <c r="C1100" s="60">
        <f t="shared" ca="1" si="47"/>
        <v>11.174191666666667</v>
      </c>
      <c r="D1100" s="60">
        <f t="shared" ca="1" si="47"/>
        <v>11.199199999999999</v>
      </c>
      <c r="E1100" s="60">
        <f t="shared" ca="1" si="47"/>
        <v>13.370483333333333</v>
      </c>
      <c r="F1100" s="60">
        <f t="shared" ca="1" si="47"/>
        <v>13.370483333333333</v>
      </c>
      <c r="G1100" s="60">
        <f t="shared" ca="1" si="47"/>
        <v>13.371508333333333</v>
      </c>
      <c r="H1100" s="60">
        <f t="shared" ca="1" si="47"/>
        <v>22.962125</v>
      </c>
      <c r="I1100" s="60">
        <f t="shared" ca="1" si="47"/>
        <v>22.963133333333332</v>
      </c>
      <c r="J1100" s="60">
        <f t="shared" ca="1" si="47"/>
        <v>13.370483333333333</v>
      </c>
      <c r="K1100" s="60">
        <f t="shared" ca="1" si="47"/>
        <v>13.371508333333333</v>
      </c>
    </row>
    <row r="1101" spans="1:11" ht="15">
      <c r="A1101" s="3">
        <v>2079</v>
      </c>
      <c r="B1101" s="60">
        <f t="shared" ca="1" si="47"/>
        <v>11.372391666666667</v>
      </c>
      <c r="C1101" s="60">
        <f t="shared" ca="1" si="47"/>
        <v>11.372391666666667</v>
      </c>
      <c r="D1101" s="60">
        <f t="shared" ca="1" si="47"/>
        <v>11.397399999999999</v>
      </c>
      <c r="E1101" s="60">
        <f t="shared" ca="1" si="47"/>
        <v>13.624833333333333</v>
      </c>
      <c r="F1101" s="60">
        <f t="shared" ca="1" si="47"/>
        <v>13.624833333333333</v>
      </c>
      <c r="G1101" s="60">
        <f t="shared" ca="1" si="47"/>
        <v>13.625833333333333</v>
      </c>
      <c r="H1101" s="60">
        <f t="shared" ca="1" si="47"/>
        <v>23.368208333333328</v>
      </c>
      <c r="I1101" s="60">
        <f t="shared" ca="1" si="47"/>
        <v>23.369233333333337</v>
      </c>
      <c r="J1101" s="60">
        <f t="shared" ca="1" si="47"/>
        <v>13.624833333333333</v>
      </c>
      <c r="K1101" s="60">
        <f t="shared" ca="1" si="47"/>
        <v>13.625833333333333</v>
      </c>
    </row>
    <row r="1102" spans="1:11" ht="15">
      <c r="A1102" s="3">
        <v>2080</v>
      </c>
      <c r="B1102" s="60">
        <f t="shared" ca="1" si="47"/>
        <v>11.570599999999999</v>
      </c>
      <c r="C1102" s="60">
        <f t="shared" ca="1" si="47"/>
        <v>11.570599999999999</v>
      </c>
      <c r="D1102" s="60">
        <f t="shared" ca="1" si="47"/>
        <v>11.595608333333336</v>
      </c>
      <c r="E1102" s="60">
        <f t="shared" ca="1" si="47"/>
        <v>13.879166666666665</v>
      </c>
      <c r="F1102" s="60">
        <f t="shared" ca="1" si="47"/>
        <v>13.879166666666665</v>
      </c>
      <c r="G1102" s="60">
        <f t="shared" ca="1" si="47"/>
        <v>13.8802</v>
      </c>
      <c r="H1102" s="60">
        <f t="shared" ca="1" si="47"/>
        <v>23.774308333333327</v>
      </c>
      <c r="I1102" s="60">
        <f t="shared" ca="1" si="47"/>
        <v>23.775324999999999</v>
      </c>
      <c r="J1102" s="60">
        <f t="shared" ca="1" si="47"/>
        <v>13.879166666666665</v>
      </c>
      <c r="K1102" s="60">
        <f t="shared" ca="1" si="47"/>
        <v>13.8802</v>
      </c>
    </row>
    <row r="1103" spans="1:11" ht="15">
      <c r="A1103" s="3">
        <v>2081</v>
      </c>
      <c r="B1103" s="60">
        <f t="shared" ca="1" si="47"/>
        <v>11.768791666666665</v>
      </c>
      <c r="C1103" s="60">
        <f t="shared" ca="1" si="47"/>
        <v>11.768791666666665</v>
      </c>
      <c r="D1103" s="60">
        <f t="shared" ca="1" si="47"/>
        <v>11.793816666666666</v>
      </c>
      <c r="E1103" s="60">
        <f t="shared" ca="1" si="47"/>
        <v>14.133525000000001</v>
      </c>
      <c r="F1103" s="60">
        <f t="shared" ca="1" si="47"/>
        <v>14.133525000000001</v>
      </c>
      <c r="G1103" s="60">
        <f t="shared" ca="1" si="47"/>
        <v>14.134541666666669</v>
      </c>
      <c r="H1103" s="60">
        <f t="shared" ca="1" si="47"/>
        <v>24.180391666666669</v>
      </c>
      <c r="I1103" s="60">
        <f t="shared" ca="1" si="47"/>
        <v>24.181425000000001</v>
      </c>
      <c r="J1103" s="60">
        <f t="shared" ca="1" si="47"/>
        <v>14.133525000000001</v>
      </c>
      <c r="K1103" s="60">
        <f t="shared" ca="1" si="47"/>
        <v>14.134541666666669</v>
      </c>
    </row>
    <row r="1104" spans="1:11" ht="15">
      <c r="A1104" s="3">
        <v>2082</v>
      </c>
      <c r="B1104" s="60">
        <f t="shared" ref="B1104:K1113" ca="1" si="48">AVERAGE(OFFSET(B$569,($A1104-$A$1084)*12,0,12,1))</f>
        <v>11.967008333333334</v>
      </c>
      <c r="C1104" s="60">
        <f t="shared" ca="1" si="48"/>
        <v>11.967008333333334</v>
      </c>
      <c r="D1104" s="60">
        <f t="shared" ca="1" si="48"/>
        <v>11.992025</v>
      </c>
      <c r="E1104" s="60">
        <f t="shared" ca="1" si="48"/>
        <v>14.387866666666666</v>
      </c>
      <c r="F1104" s="60">
        <f t="shared" ca="1" si="48"/>
        <v>14.387866666666666</v>
      </c>
      <c r="G1104" s="60">
        <f t="shared" ca="1" si="48"/>
        <v>14.388891666666668</v>
      </c>
      <c r="H1104" s="60">
        <f t="shared" ca="1" si="48"/>
        <v>24.586491666666671</v>
      </c>
      <c r="I1104" s="60">
        <f t="shared" ca="1" si="48"/>
        <v>24.587516666666662</v>
      </c>
      <c r="J1104" s="60">
        <f t="shared" ca="1" si="48"/>
        <v>14.387866666666666</v>
      </c>
      <c r="K1104" s="60">
        <f t="shared" ca="1" si="48"/>
        <v>14.388891666666668</v>
      </c>
    </row>
    <row r="1105" spans="1:11" ht="15">
      <c r="A1105" s="3">
        <v>2083</v>
      </c>
      <c r="B1105" s="60">
        <f t="shared" ca="1" si="48"/>
        <v>12.165199999999999</v>
      </c>
      <c r="C1105" s="60">
        <f t="shared" ca="1" si="48"/>
        <v>12.165199999999999</v>
      </c>
      <c r="D1105" s="60">
        <f t="shared" ca="1" si="48"/>
        <v>12.190216666666664</v>
      </c>
      <c r="E1105" s="60">
        <f t="shared" ca="1" si="48"/>
        <v>14.642216666666664</v>
      </c>
      <c r="F1105" s="60">
        <f t="shared" ca="1" si="48"/>
        <v>14.642216666666664</v>
      </c>
      <c r="G1105" s="60">
        <f t="shared" ca="1" si="48"/>
        <v>14.643233333333333</v>
      </c>
      <c r="H1105" s="60">
        <f t="shared" ca="1" si="48"/>
        <v>24.992608333333333</v>
      </c>
      <c r="I1105" s="60">
        <f t="shared" ca="1" si="48"/>
        <v>24.993591666666671</v>
      </c>
      <c r="J1105" s="60">
        <f t="shared" ca="1" si="48"/>
        <v>14.642216666666664</v>
      </c>
      <c r="K1105" s="60">
        <f t="shared" ca="1" si="48"/>
        <v>14.643233333333333</v>
      </c>
    </row>
    <row r="1106" spans="1:11" ht="15">
      <c r="A1106" s="3">
        <v>2084</v>
      </c>
      <c r="B1106" s="60">
        <f t="shared" ca="1" si="48"/>
        <v>12.363408333333332</v>
      </c>
      <c r="C1106" s="60">
        <f t="shared" ca="1" si="48"/>
        <v>12.363408333333332</v>
      </c>
      <c r="D1106" s="60">
        <f t="shared" ca="1" si="48"/>
        <v>12.388441666666667</v>
      </c>
      <c r="E1106" s="60">
        <f t="shared" ca="1" si="48"/>
        <v>14.896574999999999</v>
      </c>
      <c r="F1106" s="60">
        <f t="shared" ca="1" si="48"/>
        <v>14.896574999999999</v>
      </c>
      <c r="G1106" s="60">
        <f t="shared" ca="1" si="48"/>
        <v>14.897583333333335</v>
      </c>
      <c r="H1106" s="60">
        <f t="shared" ca="1" si="48"/>
        <v>25.398683333333334</v>
      </c>
      <c r="I1106" s="60">
        <f t="shared" ca="1" si="48"/>
        <v>25.399699999999999</v>
      </c>
      <c r="J1106" s="60">
        <f t="shared" ca="1" si="48"/>
        <v>14.896574999999999</v>
      </c>
      <c r="K1106" s="60">
        <f t="shared" ca="1" si="48"/>
        <v>14.897583333333335</v>
      </c>
    </row>
    <row r="1107" spans="1:11" ht="15">
      <c r="A1107" s="3">
        <v>2085</v>
      </c>
      <c r="B1107" s="60">
        <f t="shared" ca="1" si="48"/>
        <v>12.561633333333333</v>
      </c>
      <c r="C1107" s="60">
        <f t="shared" ca="1" si="48"/>
        <v>12.561633333333333</v>
      </c>
      <c r="D1107" s="60">
        <f t="shared" ca="1" si="48"/>
        <v>12.586633333333333</v>
      </c>
      <c r="E1107" s="60">
        <f t="shared" ca="1" si="48"/>
        <v>15.150924999999999</v>
      </c>
      <c r="F1107" s="60">
        <f t="shared" ca="1" si="48"/>
        <v>15.150924999999999</v>
      </c>
      <c r="G1107" s="60">
        <f t="shared" ca="1" si="48"/>
        <v>15.151925</v>
      </c>
      <c r="H1107" s="60">
        <f t="shared" ca="1" si="48"/>
        <v>25.804783333333333</v>
      </c>
      <c r="I1107" s="60">
        <f t="shared" ca="1" si="48"/>
        <v>25.805808333333335</v>
      </c>
      <c r="J1107" s="60">
        <f t="shared" ca="1" si="48"/>
        <v>15.150924999999999</v>
      </c>
      <c r="K1107" s="60">
        <f t="shared" ca="1" si="48"/>
        <v>15.151925</v>
      </c>
    </row>
    <row r="1108" spans="1:11" ht="15">
      <c r="A1108" s="3">
        <v>2086</v>
      </c>
      <c r="B1108" s="60">
        <f t="shared" ca="1" si="48"/>
        <v>12.759825000000001</v>
      </c>
      <c r="C1108" s="60">
        <f t="shared" ca="1" si="48"/>
        <v>12.759825000000001</v>
      </c>
      <c r="D1108" s="60">
        <f t="shared" ca="1" si="48"/>
        <v>12.784824999999998</v>
      </c>
      <c r="E1108" s="60">
        <f t="shared" ca="1" si="48"/>
        <v>15.405266666666668</v>
      </c>
      <c r="F1108" s="60">
        <f t="shared" ca="1" si="48"/>
        <v>15.405266666666668</v>
      </c>
      <c r="G1108" s="60">
        <f t="shared" ca="1" si="48"/>
        <v>15.406283333333333</v>
      </c>
      <c r="H1108" s="60">
        <f t="shared" ca="1" si="48"/>
        <v>26.210866666666671</v>
      </c>
      <c r="I1108" s="60">
        <f t="shared" ca="1" si="48"/>
        <v>26.211899999999996</v>
      </c>
      <c r="J1108" s="60">
        <f t="shared" ca="1" si="48"/>
        <v>15.405266666666668</v>
      </c>
      <c r="K1108" s="60">
        <f t="shared" ca="1" si="48"/>
        <v>15.406283333333333</v>
      </c>
    </row>
    <row r="1109" spans="1:11" ht="15">
      <c r="A1109" s="3">
        <v>2087</v>
      </c>
      <c r="B1109" s="60">
        <f t="shared" ca="1" si="48"/>
        <v>12.958016666666666</v>
      </c>
      <c r="C1109" s="60">
        <f t="shared" ca="1" si="48"/>
        <v>12.958016666666666</v>
      </c>
      <c r="D1109" s="60">
        <f t="shared" ca="1" si="48"/>
        <v>12.98305</v>
      </c>
      <c r="E1109" s="60">
        <f t="shared" ca="1" si="48"/>
        <v>15.659599999999998</v>
      </c>
      <c r="F1109" s="60">
        <f t="shared" ca="1" si="48"/>
        <v>15.659599999999998</v>
      </c>
      <c r="G1109" s="60">
        <f t="shared" ca="1" si="48"/>
        <v>15.660633333333335</v>
      </c>
      <c r="H1109" s="60">
        <f t="shared" ca="1" si="48"/>
        <v>26.616975</v>
      </c>
      <c r="I1109" s="60">
        <f t="shared" ca="1" si="48"/>
        <v>26.617983333333331</v>
      </c>
      <c r="J1109" s="60">
        <f t="shared" ca="1" si="48"/>
        <v>15.659599999999998</v>
      </c>
      <c r="K1109" s="60">
        <f t="shared" ca="1" si="48"/>
        <v>15.660633333333335</v>
      </c>
    </row>
    <row r="1110" spans="1:11" ht="15">
      <c r="A1110" s="3">
        <v>2088</v>
      </c>
      <c r="B1110" s="60">
        <f t="shared" ca="1" si="48"/>
        <v>13.156224999999997</v>
      </c>
      <c r="C1110" s="60">
        <f t="shared" ca="1" si="48"/>
        <v>13.156224999999997</v>
      </c>
      <c r="D1110" s="60">
        <f t="shared" ca="1" si="48"/>
        <v>13.18125</v>
      </c>
      <c r="E1110" s="60">
        <f t="shared" ca="1" si="48"/>
        <v>15.913966666666667</v>
      </c>
      <c r="F1110" s="60">
        <f t="shared" ca="1" si="48"/>
        <v>15.913966666666667</v>
      </c>
      <c r="G1110" s="60">
        <f t="shared" ca="1" si="48"/>
        <v>15.91496666666667</v>
      </c>
      <c r="H1110" s="60">
        <f t="shared" ca="1" si="48"/>
        <v>27.023058333333335</v>
      </c>
      <c r="I1110" s="60">
        <f t="shared" ca="1" si="48"/>
        <v>27.024066666666666</v>
      </c>
      <c r="J1110" s="60">
        <f t="shared" ca="1" si="48"/>
        <v>15.913966666666667</v>
      </c>
      <c r="K1110" s="60">
        <f t="shared" ca="1" si="48"/>
        <v>15.91496666666667</v>
      </c>
    </row>
    <row r="1111" spans="1:11" ht="15">
      <c r="A1111" s="3">
        <v>2089</v>
      </c>
      <c r="B1111" s="60">
        <f t="shared" ca="1" si="48"/>
        <v>13.354433333333334</v>
      </c>
      <c r="C1111" s="60">
        <f t="shared" ca="1" si="48"/>
        <v>13.354433333333334</v>
      </c>
      <c r="D1111" s="60">
        <f t="shared" ca="1" si="48"/>
        <v>13.379441666666667</v>
      </c>
      <c r="E1111" s="60">
        <f t="shared" ca="1" si="48"/>
        <v>16.168316666666669</v>
      </c>
      <c r="F1111" s="60">
        <f t="shared" ca="1" si="48"/>
        <v>16.168316666666669</v>
      </c>
      <c r="G1111" s="60">
        <f t="shared" ca="1" si="48"/>
        <v>16.169324999999997</v>
      </c>
      <c r="H1111" s="60">
        <f t="shared" ca="1" si="48"/>
        <v>27.429158333333334</v>
      </c>
      <c r="I1111" s="60">
        <f t="shared" ca="1" si="48"/>
        <v>27.430174999999995</v>
      </c>
      <c r="J1111" s="60">
        <f t="shared" ca="1" si="48"/>
        <v>16.168316666666669</v>
      </c>
      <c r="K1111" s="60">
        <f t="shared" ca="1" si="48"/>
        <v>16.169324999999997</v>
      </c>
    </row>
    <row r="1112" spans="1:11" ht="15">
      <c r="A1112" s="3">
        <v>2090</v>
      </c>
      <c r="B1112" s="60">
        <f t="shared" ca="1" si="48"/>
        <v>13.552641666666666</v>
      </c>
      <c r="C1112" s="60">
        <f t="shared" ca="1" si="48"/>
        <v>13.552641666666666</v>
      </c>
      <c r="D1112" s="60">
        <f t="shared" ca="1" si="48"/>
        <v>13.577641666666665</v>
      </c>
      <c r="E1112" s="60">
        <f t="shared" ca="1" si="48"/>
        <v>16.422641666666667</v>
      </c>
      <c r="F1112" s="60">
        <f t="shared" ca="1" si="48"/>
        <v>16.422641666666667</v>
      </c>
      <c r="G1112" s="60">
        <f t="shared" ca="1" si="48"/>
        <v>16.423658333333332</v>
      </c>
      <c r="H1112" s="60">
        <f t="shared" ca="1" si="48"/>
        <v>27.835250000000002</v>
      </c>
      <c r="I1112" s="60">
        <f t="shared" ca="1" si="48"/>
        <v>27.83626666666667</v>
      </c>
      <c r="J1112" s="60">
        <f t="shared" ca="1" si="48"/>
        <v>16.422641666666667</v>
      </c>
      <c r="K1112" s="60">
        <f t="shared" ca="1" si="48"/>
        <v>16.423658333333332</v>
      </c>
    </row>
    <row r="1113" spans="1:11" ht="15">
      <c r="A1113" s="3">
        <v>2091</v>
      </c>
      <c r="B1113" s="60">
        <f t="shared" ca="1" si="48"/>
        <v>13.750824999999999</v>
      </c>
      <c r="C1113" s="60">
        <f t="shared" ca="1" si="48"/>
        <v>13.750824999999999</v>
      </c>
      <c r="D1113" s="60">
        <f t="shared" ca="1" si="48"/>
        <v>13.77585</v>
      </c>
      <c r="E1113" s="60">
        <f t="shared" ca="1" si="48"/>
        <v>16.677</v>
      </c>
      <c r="F1113" s="60">
        <f t="shared" ca="1" si="48"/>
        <v>16.677</v>
      </c>
      <c r="G1113" s="60">
        <f t="shared" ca="1" si="48"/>
        <v>16.678008333333334</v>
      </c>
      <c r="H1113" s="60">
        <f t="shared" ca="1" si="48"/>
        <v>28.241341666666667</v>
      </c>
      <c r="I1113" s="60">
        <f t="shared" ca="1" si="48"/>
        <v>28.242350000000002</v>
      </c>
      <c r="J1113" s="60">
        <f t="shared" ca="1" si="48"/>
        <v>16.677</v>
      </c>
      <c r="K1113" s="60">
        <f t="shared" ca="1" si="48"/>
        <v>16.678008333333334</v>
      </c>
    </row>
    <row r="1114" spans="1:11" ht="15">
      <c r="A1114" s="3">
        <v>2092</v>
      </c>
      <c r="B1114" s="60">
        <f t="shared" ref="B1114:K1122" ca="1" si="49">AVERAGE(OFFSET(B$569,($A1114-$A$1084)*12,0,12,1))</f>
        <v>13.949050000000002</v>
      </c>
      <c r="C1114" s="60">
        <f t="shared" ca="1" si="49"/>
        <v>13.949050000000002</v>
      </c>
      <c r="D1114" s="60">
        <f t="shared" ca="1" si="49"/>
        <v>13.97405</v>
      </c>
      <c r="E1114" s="60">
        <f t="shared" ca="1" si="49"/>
        <v>16.931341666666665</v>
      </c>
      <c r="F1114" s="60">
        <f t="shared" ca="1" si="49"/>
        <v>16.931341666666665</v>
      </c>
      <c r="G1114" s="60">
        <f t="shared" ca="1" si="49"/>
        <v>16.93235833333333</v>
      </c>
      <c r="H1114" s="60">
        <f t="shared" ca="1" si="49"/>
        <v>28.647433333333339</v>
      </c>
      <c r="I1114" s="60">
        <f t="shared" ca="1" si="49"/>
        <v>28.648449999999997</v>
      </c>
      <c r="J1114" s="60">
        <f t="shared" ca="1" si="49"/>
        <v>16.931341666666665</v>
      </c>
      <c r="K1114" s="60">
        <f t="shared" ca="1" si="49"/>
        <v>16.93235833333333</v>
      </c>
    </row>
    <row r="1115" spans="1:11" ht="15">
      <c r="A1115" s="3">
        <v>2093</v>
      </c>
      <c r="B1115" s="60">
        <f t="shared" ca="1" si="49"/>
        <v>14.147258333333333</v>
      </c>
      <c r="C1115" s="60">
        <f t="shared" ca="1" si="49"/>
        <v>14.147258333333333</v>
      </c>
      <c r="D1115" s="60">
        <f t="shared" ca="1" si="49"/>
        <v>14.172258333333332</v>
      </c>
      <c r="E1115" s="60">
        <f t="shared" ca="1" si="49"/>
        <v>17.185691666666667</v>
      </c>
      <c r="F1115" s="60">
        <f t="shared" ca="1" si="49"/>
        <v>17.185691666666667</v>
      </c>
      <c r="G1115" s="60">
        <f t="shared" ca="1" si="49"/>
        <v>17.186691666666668</v>
      </c>
      <c r="H1115" s="60">
        <f t="shared" ca="1" si="49"/>
        <v>29.053524999999997</v>
      </c>
      <c r="I1115" s="60">
        <f t="shared" ca="1" si="49"/>
        <v>29.054541666666669</v>
      </c>
      <c r="J1115" s="60">
        <f t="shared" ca="1" si="49"/>
        <v>17.185691666666667</v>
      </c>
      <c r="K1115" s="60">
        <f t="shared" ca="1" si="49"/>
        <v>17.186691666666668</v>
      </c>
    </row>
    <row r="1116" spans="1:11" ht="15">
      <c r="A1116" s="3">
        <v>2094</v>
      </c>
      <c r="B1116" s="60">
        <f t="shared" ca="1" si="49"/>
        <v>14.345441666666664</v>
      </c>
      <c r="C1116" s="60">
        <f t="shared" ca="1" si="49"/>
        <v>14.345441666666664</v>
      </c>
      <c r="D1116" s="60">
        <f t="shared" ca="1" si="49"/>
        <v>14.370458333333334</v>
      </c>
      <c r="E1116" s="60">
        <f t="shared" ca="1" si="49"/>
        <v>17.440033333333336</v>
      </c>
      <c r="F1116" s="60">
        <f t="shared" ca="1" si="49"/>
        <v>17.440033333333336</v>
      </c>
      <c r="G1116" s="60">
        <f t="shared" ca="1" si="49"/>
        <v>17.441058333333334</v>
      </c>
      <c r="H1116" s="60">
        <f t="shared" ca="1" si="49"/>
        <v>29.459633333333333</v>
      </c>
      <c r="I1116" s="60">
        <f t="shared" ca="1" si="49"/>
        <v>29.460633333333334</v>
      </c>
      <c r="J1116" s="60">
        <f t="shared" ca="1" si="49"/>
        <v>17.440033333333336</v>
      </c>
      <c r="K1116" s="60">
        <f t="shared" ca="1" si="49"/>
        <v>17.441058333333334</v>
      </c>
    </row>
    <row r="1117" spans="1:11" ht="15">
      <c r="A1117" s="3">
        <v>2095</v>
      </c>
      <c r="B1117" s="60">
        <f t="shared" ca="1" si="49"/>
        <v>14.543658333333335</v>
      </c>
      <c r="C1117" s="60">
        <f t="shared" ca="1" si="49"/>
        <v>14.543658333333335</v>
      </c>
      <c r="D1117" s="60">
        <f t="shared" ca="1" si="49"/>
        <v>14.568683333333333</v>
      </c>
      <c r="E1117" s="60">
        <f t="shared" ca="1" si="49"/>
        <v>17.694366666666667</v>
      </c>
      <c r="F1117" s="60">
        <f t="shared" ca="1" si="49"/>
        <v>17.694366666666667</v>
      </c>
      <c r="G1117" s="60">
        <f t="shared" ca="1" si="49"/>
        <v>17.695391666666662</v>
      </c>
      <c r="H1117" s="60">
        <f t="shared" ca="1" si="49"/>
        <v>29.865733333333335</v>
      </c>
      <c r="I1117" s="60">
        <f t="shared" ca="1" si="49"/>
        <v>29.866733333333332</v>
      </c>
      <c r="J1117" s="60">
        <f t="shared" ca="1" si="49"/>
        <v>17.694366666666667</v>
      </c>
      <c r="K1117" s="60">
        <f t="shared" ca="1" si="49"/>
        <v>17.695391666666662</v>
      </c>
    </row>
    <row r="1118" spans="1:11" ht="15">
      <c r="A1118" s="3">
        <v>2096</v>
      </c>
      <c r="B1118" s="60">
        <f t="shared" ca="1" si="49"/>
        <v>14.741866666666667</v>
      </c>
      <c r="C1118" s="60">
        <f t="shared" ca="1" si="49"/>
        <v>14.741866666666667</v>
      </c>
      <c r="D1118" s="60">
        <f t="shared" ca="1" si="49"/>
        <v>14.766866666666665</v>
      </c>
      <c r="E1118" s="60">
        <f t="shared" ca="1" si="49"/>
        <v>17.948741666666663</v>
      </c>
      <c r="F1118" s="60">
        <f t="shared" ca="1" si="49"/>
        <v>17.948741666666663</v>
      </c>
      <c r="G1118" s="60">
        <f t="shared" ca="1" si="49"/>
        <v>17.949750000000002</v>
      </c>
      <c r="H1118" s="60">
        <f t="shared" ca="1" si="49"/>
        <v>30.271825000000003</v>
      </c>
      <c r="I1118" s="60">
        <f t="shared" ca="1" si="49"/>
        <v>30.272816666666667</v>
      </c>
      <c r="J1118" s="60">
        <f t="shared" ca="1" si="49"/>
        <v>17.948741666666663</v>
      </c>
      <c r="K1118" s="60">
        <f t="shared" ca="1" si="49"/>
        <v>17.949750000000002</v>
      </c>
    </row>
    <row r="1119" spans="1:11" ht="15">
      <c r="A1119" s="3">
        <v>2097</v>
      </c>
      <c r="B1119" s="60">
        <f t="shared" ca="1" si="49"/>
        <v>14.940049999999999</v>
      </c>
      <c r="C1119" s="60">
        <f t="shared" ca="1" si="49"/>
        <v>14.940049999999999</v>
      </c>
      <c r="D1119" s="60">
        <f t="shared" ca="1" si="49"/>
        <v>14.965075000000001</v>
      </c>
      <c r="E1119" s="60">
        <f t="shared" ca="1" si="49"/>
        <v>18.203083333333332</v>
      </c>
      <c r="F1119" s="60">
        <f t="shared" ca="1" si="49"/>
        <v>18.203083333333332</v>
      </c>
      <c r="G1119" s="60">
        <f t="shared" ca="1" si="49"/>
        <v>18.204083333333333</v>
      </c>
      <c r="H1119" s="60">
        <f t="shared" ca="1" si="49"/>
        <v>30.677925000000002</v>
      </c>
      <c r="I1119" s="60">
        <f t="shared" ca="1" si="49"/>
        <v>30.678924999999996</v>
      </c>
      <c r="J1119" s="60">
        <f t="shared" ca="1" si="49"/>
        <v>18.203083333333332</v>
      </c>
      <c r="K1119" s="60">
        <f t="shared" ca="1" si="49"/>
        <v>18.204083333333333</v>
      </c>
    </row>
    <row r="1120" spans="1:11" ht="15">
      <c r="A1120" s="3">
        <v>2098</v>
      </c>
      <c r="B1120" s="60">
        <f t="shared" ca="1" si="49"/>
        <v>15.138258333333333</v>
      </c>
      <c r="C1120" s="60">
        <f t="shared" ca="1" si="49"/>
        <v>15.138258333333333</v>
      </c>
      <c r="D1120" s="60">
        <f t="shared" ca="1" si="49"/>
        <v>15.163283333333332</v>
      </c>
      <c r="E1120" s="60">
        <f t="shared" ca="1" si="49"/>
        <v>18.457425000000004</v>
      </c>
      <c r="F1120" s="60">
        <f t="shared" ca="1" si="49"/>
        <v>18.457425000000004</v>
      </c>
      <c r="G1120" s="60">
        <f t="shared" ca="1" si="49"/>
        <v>18.458433333333335</v>
      </c>
      <c r="H1120" s="60">
        <f t="shared" ca="1" si="49"/>
        <v>31.084008333333333</v>
      </c>
      <c r="I1120" s="60">
        <f t="shared" ca="1" si="49"/>
        <v>31.085024999999998</v>
      </c>
      <c r="J1120" s="60">
        <f t="shared" ca="1" si="49"/>
        <v>18.457425000000004</v>
      </c>
      <c r="K1120" s="60">
        <f t="shared" ca="1" si="49"/>
        <v>18.458433333333335</v>
      </c>
    </row>
    <row r="1121" spans="1:11" ht="15">
      <c r="A1121" s="3">
        <v>2099</v>
      </c>
      <c r="B1121" s="60">
        <f t="shared" ca="1" si="49"/>
        <v>15.336458333333335</v>
      </c>
      <c r="C1121" s="60">
        <f t="shared" ca="1" si="49"/>
        <v>15.336458333333335</v>
      </c>
      <c r="D1121" s="60">
        <f t="shared" ca="1" si="49"/>
        <v>15.361474999999999</v>
      </c>
      <c r="E1121" s="60">
        <f t="shared" ca="1" si="49"/>
        <v>18.711774999999996</v>
      </c>
      <c r="F1121" s="60">
        <f t="shared" ca="1" si="49"/>
        <v>18.711774999999996</v>
      </c>
      <c r="G1121" s="60">
        <f t="shared" ca="1" si="49"/>
        <v>18.712791666666668</v>
      </c>
      <c r="H1121" s="60">
        <f t="shared" ca="1" si="49"/>
        <v>31.490108333333335</v>
      </c>
      <c r="I1121" s="60">
        <f t="shared" ca="1" si="49"/>
        <v>31.491116666666667</v>
      </c>
      <c r="J1121" s="60">
        <f t="shared" ca="1" si="49"/>
        <v>18.711774999999996</v>
      </c>
      <c r="K1121" s="60">
        <f t="shared" ca="1" si="49"/>
        <v>18.712791666666668</v>
      </c>
    </row>
    <row r="1122" spans="1:11" ht="15">
      <c r="A1122" s="3">
        <v>2100</v>
      </c>
      <c r="B1122" s="60">
        <f t="shared" ca="1" si="49"/>
        <v>15.534666666666666</v>
      </c>
      <c r="C1122" s="60">
        <f t="shared" ca="1" si="49"/>
        <v>15.534666666666666</v>
      </c>
      <c r="D1122" s="60">
        <f t="shared" ca="1" si="49"/>
        <v>15.559691666666668</v>
      </c>
      <c r="E1122" s="60">
        <f t="shared" ca="1" si="49"/>
        <v>18.966125000000002</v>
      </c>
      <c r="F1122" s="60">
        <f t="shared" ca="1" si="49"/>
        <v>18.966125000000002</v>
      </c>
      <c r="G1122" s="60">
        <f t="shared" ca="1" si="49"/>
        <v>18.967133333333333</v>
      </c>
      <c r="H1122" s="60">
        <f t="shared" ca="1" si="49"/>
        <v>31.896225000000001</v>
      </c>
      <c r="I1122" s="60">
        <f t="shared" ca="1" si="49"/>
        <v>31.897199999999998</v>
      </c>
      <c r="J1122" s="60">
        <f t="shared" ca="1" si="49"/>
        <v>18.966125000000002</v>
      </c>
      <c r="K1122" s="60">
        <f t="shared" ca="1" si="49"/>
        <v>18.967133333333333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zoomScale="70" zoomScaleNormal="70" workbookViewId="0">
      <selection activeCell="A7" sqref="A7"/>
    </sheetView>
  </sheetViews>
  <sheetFormatPr defaultColWidth="8.88671875" defaultRowHeight="15.75"/>
  <cols>
    <col min="1" max="1" width="8.88671875" style="73"/>
    <col min="2" max="2" width="15.5546875" style="73" bestFit="1" customWidth="1"/>
    <col min="3" max="3" width="9.5546875" style="73" bestFit="1" customWidth="1"/>
    <col min="4" max="16384" width="8.88671875" style="73"/>
  </cols>
  <sheetData>
    <row r="1" spans="1:3">
      <c r="A1" s="81" t="s">
        <v>64</v>
      </c>
    </row>
    <row r="2" spans="1:3">
      <c r="A2" s="81" t="s">
        <v>65</v>
      </c>
    </row>
    <row r="3" spans="1:3">
      <c r="A3" s="81" t="s">
        <v>66</v>
      </c>
    </row>
    <row r="4" spans="1:3">
      <c r="A4" s="81" t="s">
        <v>67</v>
      </c>
    </row>
    <row r="5" spans="1:3">
      <c r="A5" s="81" t="s">
        <v>69</v>
      </c>
    </row>
    <row r="6" spans="1:3">
      <c r="A6" s="81" t="s">
        <v>73</v>
      </c>
    </row>
    <row r="8" spans="1:3">
      <c r="B8" s="78" t="s">
        <v>63</v>
      </c>
      <c r="C8" s="78" t="s">
        <v>54</v>
      </c>
    </row>
    <row r="9" spans="1:3">
      <c r="B9" s="80" t="s">
        <v>61</v>
      </c>
      <c r="C9" s="90">
        <v>2</v>
      </c>
    </row>
    <row r="10" spans="1:3">
      <c r="B10" s="80" t="s">
        <v>60</v>
      </c>
      <c r="C10" s="92"/>
    </row>
    <row r="11" spans="1:3">
      <c r="B11" s="79" t="s">
        <v>59</v>
      </c>
      <c r="C11" s="91"/>
    </row>
    <row r="14" spans="1:3">
      <c r="B14" s="78" t="s">
        <v>55</v>
      </c>
      <c r="C14" s="78" t="s">
        <v>54</v>
      </c>
    </row>
    <row r="15" spans="1:3">
      <c r="B15" s="80" t="s">
        <v>61</v>
      </c>
      <c r="C15" s="90">
        <v>2</v>
      </c>
    </row>
    <row r="16" spans="1:3">
      <c r="B16" s="80" t="s">
        <v>60</v>
      </c>
      <c r="C16" s="92"/>
    </row>
    <row r="17" spans="2:3">
      <c r="B17" s="79" t="s">
        <v>59</v>
      </c>
      <c r="C17" s="91"/>
    </row>
    <row r="21" spans="2:3">
      <c r="B21" s="78" t="s">
        <v>62</v>
      </c>
      <c r="C21" s="78" t="s">
        <v>54</v>
      </c>
    </row>
    <row r="22" spans="2:3">
      <c r="B22" s="80" t="s">
        <v>61</v>
      </c>
      <c r="C22" s="90">
        <v>2</v>
      </c>
    </row>
    <row r="23" spans="2:3">
      <c r="B23" s="80" t="s">
        <v>60</v>
      </c>
      <c r="C23" s="92"/>
    </row>
    <row r="24" spans="2:3">
      <c r="B24" s="79" t="s">
        <v>59</v>
      </c>
      <c r="C24" s="91"/>
    </row>
    <row r="27" spans="2:3">
      <c r="B27" s="78" t="s">
        <v>58</v>
      </c>
      <c r="C27" s="78" t="s">
        <v>54</v>
      </c>
    </row>
    <row r="28" spans="2:3">
      <c r="B28" s="77" t="s">
        <v>57</v>
      </c>
      <c r="C28" s="90">
        <v>1</v>
      </c>
    </row>
    <row r="29" spans="2:3">
      <c r="B29" s="76" t="s">
        <v>56</v>
      </c>
      <c r="C29" s="91"/>
    </row>
    <row r="31" spans="2:3">
      <c r="B31" s="78" t="s">
        <v>55</v>
      </c>
      <c r="C31" s="78" t="s">
        <v>54</v>
      </c>
    </row>
    <row r="32" spans="2:3">
      <c r="B32" s="77" t="s">
        <v>53</v>
      </c>
      <c r="C32" s="90">
        <v>1</v>
      </c>
    </row>
    <row r="33" spans="2:5">
      <c r="B33" s="76" t="s">
        <v>52</v>
      </c>
      <c r="C33" s="91"/>
    </row>
    <row r="37" spans="2:5">
      <c r="C37" s="75"/>
      <c r="E37" s="74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orientation="portrait" horizontalDpi="1200" verticalDpi="120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2016-07-29T16:28:01Z</dcterms:created>
  <dcterms:modified xsi:type="dcterms:W3CDTF">2016-07-29T16:28:05Z</dcterms:modified>
</cp:coreProperties>
</file>