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9200" windowHeight="8745" tabRatio="831" activeTab="5"/>
  </bookViews>
  <sheets>
    <sheet name="SF Study RM" sheetId="1" r:id="rId1"/>
    <sheet name="SF Study RM New Solar Rollout" sheetId="2" r:id="rId2"/>
    <sheet name="SF Study RM PFL Retire" sheetId="3" r:id="rId3"/>
    <sheet name="SF Study RM PFL Retire RP" sheetId="4" r:id="rId4"/>
    <sheet name="SF Study RM PMR 1&amp;2 Retire" sheetId="5" r:id="rId5"/>
    <sheet name="SF Study RM PMR 1&amp;2 Retire RP" sheetId="6" r:id="rId6"/>
    <sheet name="IT3 Plan 1" sheetId="7" state="hidden" r:id="rId7"/>
    <sheet name="IT3 Plan 2" sheetId="8" state="hidden" r:id="rId8"/>
    <sheet name="IT3 Plan 3" sheetId="9" state="hidden" r:id="rId9"/>
    <sheet name="IT3 Plan 4" sheetId="10" state="hidden" r:id="rId10"/>
    <sheet name="IT3 Plan 5" sheetId="11" state="hidden" r:id="rId11"/>
  </sheets>
  <externalReferences>
    <externalReference r:id="rId14"/>
    <externalReference r:id="rId15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7" hidden="1">'[2]ST Corrections'!#REF!</definedName>
    <definedName name="_ATPRegress_Range1" localSheetId="8" hidden="1">'[2]ST Corrections'!#REF!</definedName>
    <definedName name="_ATPRegress_Range1" localSheetId="9" hidden="1">'[2]ST Corrections'!#REF!</definedName>
    <definedName name="_ATPRegress_Range1" localSheetId="10" hidden="1">'[2]ST Corrections'!#REF!</definedName>
    <definedName name="_ATPRegress_Range1" localSheetId="0" hidden="1">'[2]ST Corrections'!#REF!</definedName>
    <definedName name="_ATPRegress_Range1" localSheetId="1" hidden="1">'[2]ST Corrections'!#REF!</definedName>
    <definedName name="_ATPRegress_Range1" localSheetId="2" hidden="1">'[2]ST Corrections'!#REF!</definedName>
    <definedName name="_ATPRegress_Range1" localSheetId="3" hidden="1">'[2]ST Corrections'!#REF!</definedName>
    <definedName name="_ATPRegress_Range1" localSheetId="4" hidden="1">'[2]ST Corrections'!#REF!</definedName>
    <definedName name="_ATPRegress_Range1" localSheetId="5" hidden="1">'[2]ST Corrections'!#REF!</definedName>
    <definedName name="_ATPRegress_Range1" hidden="1">'[2]ST Corrections'!#REF!</definedName>
    <definedName name="_ATPRegress_Range2" localSheetId="7" hidden="1">'[2]ST Corrections'!#REF!</definedName>
    <definedName name="_ATPRegress_Range2" localSheetId="8" hidden="1">'[2]ST Corrections'!#REF!</definedName>
    <definedName name="_ATPRegress_Range2" localSheetId="9" hidden="1">'[2]ST Corrections'!#REF!</definedName>
    <definedName name="_ATPRegress_Range2" localSheetId="10" hidden="1">'[2]ST Corrections'!#REF!</definedName>
    <definedName name="_ATPRegress_Range2" localSheetId="0" hidden="1">'[2]ST Corrections'!#REF!</definedName>
    <definedName name="_ATPRegress_Range2" localSheetId="1" hidden="1">'[2]ST Corrections'!#REF!</definedName>
    <definedName name="_ATPRegress_Range2" localSheetId="2" hidden="1">'[2]ST Corrections'!#REF!</definedName>
    <definedName name="_ATPRegress_Range2" localSheetId="3" hidden="1">'[2]ST Corrections'!#REF!</definedName>
    <definedName name="_ATPRegress_Range2" localSheetId="4" hidden="1">'[2]ST Corrections'!#REF!</definedName>
    <definedName name="_ATPRegress_Range2" localSheetId="5" hidden="1">'[2]ST Corrections'!#REF!</definedName>
    <definedName name="_ATPRegress_Range2" hidden="1">'[2]ST Corrections'!#REF!</definedName>
    <definedName name="_ATPRegress_Range3" localSheetId="7" hidden="1">'[2]ST Corrections'!#REF!</definedName>
    <definedName name="_ATPRegress_Range3" localSheetId="8" hidden="1">'[2]ST Corrections'!#REF!</definedName>
    <definedName name="_ATPRegress_Range3" localSheetId="9" hidden="1">'[2]ST Corrections'!#REF!</definedName>
    <definedName name="_ATPRegress_Range3" localSheetId="10" hidden="1">'[2]ST Corrections'!#REF!</definedName>
    <definedName name="_ATPRegress_Range3" localSheetId="0" hidden="1">'[2]ST Corrections'!#REF!</definedName>
    <definedName name="_ATPRegress_Range3" localSheetId="1" hidden="1">'[2]ST Corrections'!#REF!</definedName>
    <definedName name="_ATPRegress_Range3" localSheetId="2" hidden="1">'[2]ST Corrections'!#REF!</definedName>
    <definedName name="_ATPRegress_Range3" localSheetId="3" hidden="1">'[2]ST Corrections'!#REF!</definedName>
    <definedName name="_ATPRegress_Range3" localSheetId="4" hidden="1">'[2]ST Corrections'!#REF!</definedName>
    <definedName name="_ATPRegress_Range3" localSheetId="5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Fill" hidden="1">#REF!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dd_Eq_Filler">#REF!</definedName>
    <definedName name="Add_small_filler_MW">#REF!</definedName>
    <definedName name="End_Year">#REF!</definedName>
    <definedName name="Eq_filler_Year">#REF!</definedName>
    <definedName name="EqFiller_Size">#REF!</definedName>
    <definedName name="eqfillersizetest">#REF!</definedName>
    <definedName name="Large_filler_End_Year">#REF!</definedName>
    <definedName name="Large_filler_MW">#REF!</definedName>
    <definedName name="Large_Filler_Start_Year">#REF!</definedName>
    <definedName name="NewUnit_Table">#REF!</definedName>
    <definedName name="No_of_PPAs">#REF!</definedName>
    <definedName name="No_Other_PPA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PA_ONLYOPTION_YR">#REF!</definedName>
    <definedName name="PPA_TRIGGER">#REF!</definedName>
    <definedName name="_xlnm.Print_Area" localSheetId="6">'IT3 Plan 1'!$A$1:$N$60</definedName>
    <definedName name="_xlnm.Print_Area" localSheetId="7">'IT3 Plan 2'!$A$1:$N$60</definedName>
    <definedName name="_xlnm.Print_Area" localSheetId="8">'IT3 Plan 3'!$A$1:$N$60</definedName>
    <definedName name="_xlnm.Print_Area" localSheetId="9">'IT3 Plan 4'!$A$1:$N$60</definedName>
    <definedName name="_xlnm.Print_Area" localSheetId="10">'IT3 Plan 5'!$A$1:$N$60</definedName>
    <definedName name="_xlnm.Print_Area" localSheetId="0">'SF Study RM'!$A$3:$N$33</definedName>
    <definedName name="_xlnm.Print_Area" localSheetId="1">'SF Study RM New Solar Rollout'!$A$3:$N$33</definedName>
    <definedName name="_xlnm.Print_Area" localSheetId="2">'SF Study RM PFL Retire'!$A$3:$O$33</definedName>
    <definedName name="_xlnm.Print_Area" localSheetId="3">'SF Study RM PFL Retire RP'!$A$3:$O$35</definedName>
    <definedName name="_xlnm.Print_Area" localSheetId="4">'SF Study RM PMR 1&amp;2 Retire'!$A$3:$O$33</definedName>
    <definedName name="_xlnm.Print_Area" localSheetId="5">'SF Study RM PMR 1&amp;2 Retire RP'!$A$3:$O$33</definedName>
    <definedName name="Print_Area_MI" localSheetId="6">'IT3 Plan 1'!$A$4:$M$31</definedName>
    <definedName name="Print_Area_MI" localSheetId="7">'IT3 Plan 2'!$A$4:$M$31</definedName>
    <definedName name="Print_Area_MI" localSheetId="8">'IT3 Plan 3'!$A$4:$M$31</definedName>
    <definedName name="Print_Area_MI" localSheetId="9">'IT3 Plan 4'!$A$4:$M$31</definedName>
    <definedName name="Print_Area_MI" localSheetId="10">'IT3 Plan 5'!$A$4:$M$31</definedName>
    <definedName name="Print_Area_MI" localSheetId="0">'SF Study RM'!$A$5:$M$33</definedName>
    <definedName name="Print_Area_MI" localSheetId="1">'SF Study RM New Solar Rollout'!$A$5:$M$33</definedName>
    <definedName name="Print_Area_MI" localSheetId="2">'SF Study RM PFL Retire'!$A$5:$N$33</definedName>
    <definedName name="Print_Area_MI" localSheetId="3">'SF Study RM PFL Retire RP'!$A$5:$N$35</definedName>
    <definedName name="Print_Area_MI" localSheetId="4">'SF Study RM PMR 1&amp;2 Retire'!$A$5:$N$33</definedName>
    <definedName name="Print_Area_MI" localSheetId="5">'SF Study RM PMR 1&amp;2 Retire RP'!$A$5:$N$33</definedName>
    <definedName name="Reserve_Margin">#REF!</definedName>
    <definedName name="Reserve_Margin_Gen_Only">#REF!</definedName>
    <definedName name="Small_Filler_Start_Year">#REF!</definedName>
    <definedName name="Solar_add_Table">#REF!</definedName>
    <definedName name="Solar_Degradation">#REF!</definedName>
    <definedName name="Start_Year">#REF!</definedName>
    <definedName name="Start_Year_GenOnlyRM">#REF!</definedName>
    <definedName name="Title_Description">#REF!</definedName>
    <definedName name="wrn.ACTUAL._.ALL._.PAGES." hidden="1">{"ACTUAL",#N/A,FALSE,"OVER_UND"}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</definedNames>
  <calcPr fullCalcOnLoad="1"/>
</workbook>
</file>

<file path=xl/sharedStrings.xml><?xml version="1.0" encoding="utf-8"?>
<sst xmlns="http://schemas.openxmlformats.org/spreadsheetml/2006/main" count="805" uniqueCount="88">
  <si>
    <t>Summer</t>
  </si>
  <si>
    <t>Peak</t>
  </si>
  <si>
    <t>DSM</t>
  </si>
  <si>
    <t>Additions</t>
  </si>
  <si>
    <t>Capacity</t>
  </si>
  <si>
    <t>Year</t>
  </si>
  <si>
    <t>Unit</t>
  </si>
  <si>
    <t>Total</t>
  </si>
  <si>
    <t>MW</t>
  </si>
  <si>
    <t>%</t>
  </si>
  <si>
    <t>Firm</t>
  </si>
  <si>
    <t>Available</t>
  </si>
  <si>
    <t>Demand</t>
  </si>
  <si>
    <t xml:space="preserve">MW </t>
  </si>
  <si>
    <t/>
  </si>
  <si>
    <t xml:space="preserve"> OCEC</t>
  </si>
  <si>
    <t>300 MW Solar</t>
  </si>
  <si>
    <t xml:space="preserve">% </t>
  </si>
  <si>
    <t>Total Reserve Margin</t>
  </si>
  <si>
    <t>MWs</t>
  </si>
  <si>
    <t>Above /</t>
  </si>
  <si>
    <t>(Below)</t>
  </si>
  <si>
    <t>Total RM</t>
  </si>
  <si>
    <t>10% Gen-Only</t>
  </si>
  <si>
    <t>Generation Only Reserve Margin</t>
  </si>
  <si>
    <t>Reserves</t>
  </si>
  <si>
    <t>Southeastern Florida Study</t>
  </si>
  <si>
    <t>Reserve Margin Projection</t>
  </si>
  <si>
    <t>Cumulative</t>
  </si>
  <si>
    <t>DRAFT Privileged &amp; Confidential, Attorney-Client Work Product</t>
  </si>
  <si>
    <t>Plan 1: Battery Intensive (Large Batteries)</t>
  </si>
  <si>
    <t>Battery</t>
  </si>
  <si>
    <t>Solar</t>
  </si>
  <si>
    <t>Nameplate</t>
  </si>
  <si>
    <t>CC</t>
  </si>
  <si>
    <t>MW (Nameplate) =</t>
  </si>
  <si>
    <t>MW (Firm) =</t>
  </si>
  <si>
    <t>Total MW (Firm) =</t>
  </si>
  <si>
    <t>Firm Cap %</t>
  </si>
  <si>
    <t>Starting PV</t>
  </si>
  <si>
    <t>Total PV</t>
  </si>
  <si>
    <t>for Incre.</t>
  </si>
  <si>
    <t>New PV</t>
  </si>
  <si>
    <t>MW nameplate</t>
  </si>
  <si>
    <t>PV</t>
  </si>
  <si>
    <t>Firm MW</t>
  </si>
  <si>
    <t>Incremental PV Firm Capacity Percentage Values per Total Nameplate MW:</t>
  </si>
  <si>
    <t>0 to 500 MW:</t>
  </si>
  <si>
    <t>501 to 1000 MW:</t>
  </si>
  <si>
    <t>1001 to 1500 MW:</t>
  </si>
  <si>
    <t>1501 to 2000 MW:</t>
  </si>
  <si>
    <t>2001 to 2500 MW:</t>
  </si>
  <si>
    <t>2501 to 3000 MW:</t>
  </si>
  <si>
    <t>Iteration 3 Plan 1</t>
  </si>
  <si>
    <t>Iteration 3 Plan 2</t>
  </si>
  <si>
    <t>Plan 2: Battery Only (Small Batteries)</t>
  </si>
  <si>
    <t>Iteration 3 Plan 3</t>
  </si>
  <si>
    <t>Plan 3: Solar Only (Small &amp; Large Solar)</t>
  </si>
  <si>
    <t>Iteration 3 Plan 4</t>
  </si>
  <si>
    <t>Plan 4: Solar and Batteries</t>
  </si>
  <si>
    <t>Plan 5: Solar and Batteries</t>
  </si>
  <si>
    <t>Iteration 3 Plan 5</t>
  </si>
  <si>
    <t>1,414 MW Solar *</t>
  </si>
  <si>
    <t xml:space="preserve"> OCEC Inc MW *</t>
  </si>
  <si>
    <t>* These capacity changes are presented in a way to facilitate comparison to FPL's 2016 TYSP</t>
  </si>
  <si>
    <t xml:space="preserve">Additions / </t>
  </si>
  <si>
    <t>(Retirements)</t>
  </si>
  <si>
    <t>300 MW Solar *</t>
  </si>
  <si>
    <t xml:space="preserve"> OCEC; 300 MW Solar *</t>
  </si>
  <si>
    <t>Ft. Laud 2x1 CC</t>
  </si>
  <si>
    <t>Okeechobee CC</t>
  </si>
  <si>
    <t>Martin CC</t>
  </si>
  <si>
    <t>250 MW PPA; 300 MW Solar *</t>
  </si>
  <si>
    <t>Ft. Laud CC summer capacity =</t>
  </si>
  <si>
    <t>Okeechobee &amp; Martin summer capacity =</t>
  </si>
  <si>
    <t xml:space="preserve">Retirement of Ft Lauderdale Units </t>
  </si>
  <si>
    <r>
      <t xml:space="preserve">Additions </t>
    </r>
    <r>
      <rPr>
        <vertAlign val="superscript"/>
        <sz val="10"/>
        <rFont val="Times New Roman"/>
        <family val="1"/>
      </rPr>
      <t>1</t>
    </r>
  </si>
  <si>
    <t>Martin CC #2</t>
  </si>
  <si>
    <r>
      <t xml:space="preserve">Retirement of Ft. Lauderdale Units </t>
    </r>
    <r>
      <rPr>
        <b/>
        <u val="single"/>
        <sz val="12"/>
        <rFont val="Times New Roman"/>
        <family val="1"/>
      </rPr>
      <t>Resource Need</t>
    </r>
  </si>
  <si>
    <r>
      <t xml:space="preserve">Retirement of Ft. Lauderdale Units </t>
    </r>
    <r>
      <rPr>
        <b/>
        <u val="single"/>
        <sz val="12"/>
        <rFont val="Times New Roman"/>
        <family val="1"/>
      </rPr>
      <t>Resource Plan</t>
    </r>
  </si>
  <si>
    <r>
      <t xml:space="preserve">Retirement of Martin 1 &amp; 2 Units </t>
    </r>
    <r>
      <rPr>
        <b/>
        <u val="single"/>
        <sz val="12"/>
        <rFont val="Times New Roman"/>
        <family val="1"/>
      </rPr>
      <t>Resource Need</t>
    </r>
  </si>
  <si>
    <r>
      <t xml:space="preserve">Retirement of Martin 1 &amp; 2 Units </t>
    </r>
    <r>
      <rPr>
        <b/>
        <u val="single"/>
        <sz val="12"/>
        <rFont val="Times New Roman"/>
        <family val="1"/>
      </rPr>
      <t>Resource Plan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</si>
  <si>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600 MWs of Solar is added in 2018</t>
    </r>
  </si>
  <si>
    <t>214 MW Solar; OCEC Inc MW *</t>
  </si>
  <si>
    <t>100 MW PPA; 300 MW Solar *</t>
  </si>
  <si>
    <t>100 MW PPA</t>
  </si>
  <si>
    <t>Ft. Laud 2x1 CC; 214 MW Solar; OCEC Inc MW *</t>
  </si>
  <si>
    <t>Martin CC # 1; 300 MW Solar *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</si>
</sst>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.00000"/>
    <numFmt numFmtId="167" formatCode="0.000%"/>
    <numFmt numFmtId="168" formatCode="#,##0.0"/>
    <numFmt numFmtId="169" formatCode="0.000000"/>
    <numFmt numFmtId="170" formatCode="0.0"/>
    <numFmt numFmtId="171" formatCode="m/d/yy;@"/>
    <numFmt numFmtId="172" formatCode="mm/dd/yy;@"/>
    <numFmt numFmtId="173" formatCode="_(* #,##0_);_(* \(#,##0\);_(* &quot;-&quot;??_);_(@_)"/>
    <numFmt numFmtId="174" formatCode="_(* #,##0.0_);_(* \(#,##0.0\);_(* &quot;-&quot;??_);_(@_)"/>
    <numFmt numFmtId="175" formatCode="General_)"/>
    <numFmt numFmtId="176" formatCode="#,##0.0_);\(#,##0.0\)"/>
    <numFmt numFmtId="177" formatCode="0.000_)"/>
    <numFmt numFmtId="178" formatCode="0.00_)"/>
    <numFmt numFmtId="179" formatCode="_(* #,##0.0_);_(* \(#,##0.0\);_(* &quot;-&quot;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000000"/>
    <numFmt numFmtId="185" formatCode="#,##0.0_);[Red]\(#,##0.0\)"/>
    <numFmt numFmtId="186" formatCode="#,##0.000_);[Red]\(#,##0.000\)"/>
    <numFmt numFmtId="187" formatCode="#,##0.0000_);[Red]\(#,##0.0000\)"/>
    <numFmt numFmtId="188" formatCode="[$-409]dddd\,\ mmmm\ dd\,\ yyyy"/>
    <numFmt numFmtId="189" formatCode="0_);[Red]\(0\)"/>
    <numFmt numFmtId="190" formatCode="0.00_);[Red]\(0.00\)"/>
    <numFmt numFmtId="191" formatCode="0.0_);[Red]\(0.0\)"/>
    <numFmt numFmtId="192" formatCode="0.0000"/>
    <numFmt numFmtId="193" formatCode="0.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Courier"/>
      <family val="3"/>
    </font>
    <font>
      <sz val="11"/>
      <name val="Times"/>
      <family val="1"/>
    </font>
    <font>
      <b/>
      <i/>
      <sz val="16"/>
      <name val="Helv"/>
      <family val="0"/>
    </font>
    <font>
      <sz val="8"/>
      <name val="Arial"/>
      <family val="2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i/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</font>
    <font>
      <b/>
      <i/>
      <sz val="10"/>
      <color theme="4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69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78" fontId="7" fillId="0" borderId="0">
      <alignment/>
      <protection/>
    </xf>
    <xf numFmtId="169" fontId="0" fillId="0" borderId="0">
      <alignment horizontal="left" wrapText="1"/>
      <protection/>
    </xf>
    <xf numFmtId="169" fontId="5" fillId="0" borderId="0">
      <alignment horizontal="left" wrapText="1"/>
      <protection/>
    </xf>
    <xf numFmtId="169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NumberFormat="1" applyAlignment="1">
      <alignment/>
    </xf>
    <xf numFmtId="175" fontId="3" fillId="0" borderId="0" xfId="68" applyNumberFormat="1" applyFont="1" applyAlignment="1">
      <alignment horizontal="center"/>
      <protection/>
    </xf>
    <xf numFmtId="175" fontId="3" fillId="0" borderId="0" xfId="68" applyNumberFormat="1" applyFont="1" applyAlignment="1">
      <alignment/>
      <protection/>
    </xf>
    <xf numFmtId="165" fontId="3" fillId="0" borderId="0" xfId="68" applyNumberFormat="1" applyFont="1" applyAlignment="1" applyProtection="1">
      <alignment horizontal="center"/>
      <protection/>
    </xf>
    <xf numFmtId="175" fontId="3" fillId="0" borderId="0" xfId="68" applyNumberFormat="1" applyFont="1" applyFill="1" applyAlignment="1">
      <alignment/>
      <protection/>
    </xf>
    <xf numFmtId="175" fontId="3" fillId="0" borderId="0" xfId="68" applyNumberFormat="1" applyFont="1" applyFill="1" applyAlignment="1" applyProtection="1">
      <alignment horizontal="left"/>
      <protection/>
    </xf>
    <xf numFmtId="169" fontId="3" fillId="0" borderId="0" xfId="68" applyFont="1" applyFill="1" applyAlignment="1" applyProtection="1">
      <alignment horizontal="left"/>
      <protection/>
    </xf>
    <xf numFmtId="169" fontId="3" fillId="0" borderId="0" xfId="68" applyFont="1">
      <alignment horizontal="left" wrapText="1"/>
      <protection/>
    </xf>
    <xf numFmtId="175" fontId="3" fillId="0" borderId="10" xfId="68" applyNumberFormat="1" applyFont="1" applyBorder="1" applyAlignment="1">
      <alignment horizontal="center"/>
      <protection/>
    </xf>
    <xf numFmtId="175" fontId="3" fillId="0" borderId="11" xfId="68" applyNumberFormat="1" applyFont="1" applyBorder="1" applyAlignment="1">
      <alignment horizontal="center"/>
      <protection/>
    </xf>
    <xf numFmtId="175" fontId="52" fillId="0" borderId="11" xfId="68" applyNumberFormat="1" applyFont="1" applyBorder="1" applyAlignment="1">
      <alignment horizontal="center"/>
      <protection/>
    </xf>
    <xf numFmtId="175" fontId="3" fillId="0" borderId="11" xfId="68" applyNumberFormat="1" applyFont="1" applyBorder="1" applyAlignment="1" applyProtection="1">
      <alignment horizontal="center"/>
      <protection/>
    </xf>
    <xf numFmtId="165" fontId="3" fillId="0" borderId="12" xfId="68" applyNumberFormat="1" applyFont="1" applyBorder="1" applyAlignment="1" applyProtection="1">
      <alignment horizontal="center"/>
      <protection/>
    </xf>
    <xf numFmtId="175" fontId="3" fillId="0" borderId="13" xfId="68" applyNumberFormat="1" applyFont="1" applyBorder="1" applyAlignment="1" applyProtection="1">
      <alignment horizontal="center"/>
      <protection/>
    </xf>
    <xf numFmtId="175" fontId="3" fillId="0" borderId="13" xfId="68" applyNumberFormat="1" applyFont="1" applyBorder="1" applyAlignment="1">
      <alignment horizontal="center"/>
      <protection/>
    </xf>
    <xf numFmtId="165" fontId="3" fillId="0" borderId="12" xfId="68" applyNumberFormat="1" applyFont="1" applyBorder="1" applyAlignment="1">
      <alignment horizontal="center"/>
      <protection/>
    </xf>
    <xf numFmtId="175" fontId="3" fillId="0" borderId="12" xfId="68" applyNumberFormat="1" applyFont="1" applyBorder="1" applyAlignment="1">
      <alignment/>
      <protection/>
    </xf>
    <xf numFmtId="175" fontId="3" fillId="0" borderId="13" xfId="68" applyNumberFormat="1" applyFont="1" applyFill="1" applyBorder="1" applyAlignment="1" applyProtection="1">
      <alignment horizontal="center"/>
      <protection/>
    </xf>
    <xf numFmtId="175" fontId="3" fillId="0" borderId="14" xfId="68" applyNumberFormat="1" applyFont="1" applyFill="1" applyBorder="1" applyAlignment="1" applyProtection="1">
      <alignment horizontal="center"/>
      <protection/>
    </xf>
    <xf numFmtId="175" fontId="3" fillId="0" borderId="12" xfId="68" applyNumberFormat="1" applyFont="1" applyBorder="1" applyAlignment="1" applyProtection="1">
      <alignment horizontal="center"/>
      <protection/>
    </xf>
    <xf numFmtId="175" fontId="3" fillId="0" borderId="14" xfId="68" applyNumberFormat="1" applyFont="1" applyBorder="1" applyAlignment="1" applyProtection="1">
      <alignment horizontal="center"/>
      <protection/>
    </xf>
    <xf numFmtId="175" fontId="3" fillId="0" borderId="15" xfId="68" applyNumberFormat="1" applyFont="1" applyBorder="1" applyAlignment="1" applyProtection="1">
      <alignment horizontal="center"/>
      <protection/>
    </xf>
    <xf numFmtId="175" fontId="3" fillId="0" borderId="16" xfId="68" applyNumberFormat="1" applyFont="1" applyBorder="1" applyAlignment="1" applyProtection="1">
      <alignment horizontal="center"/>
      <protection/>
    </xf>
    <xf numFmtId="175" fontId="3" fillId="0" borderId="17" xfId="68" applyNumberFormat="1" applyFont="1" applyBorder="1" applyAlignment="1" applyProtection="1">
      <alignment horizontal="center"/>
      <protection/>
    </xf>
    <xf numFmtId="175" fontId="3" fillId="0" borderId="15" xfId="67" applyNumberFormat="1" applyFont="1" applyBorder="1" applyAlignment="1" applyProtection="1">
      <alignment horizontal="center"/>
      <protection/>
    </xf>
    <xf numFmtId="175" fontId="3" fillId="0" borderId="16" xfId="67" applyNumberFormat="1" applyFont="1" applyBorder="1" applyAlignment="1" applyProtection="1">
      <alignment horizontal="center"/>
      <protection/>
    </xf>
    <xf numFmtId="175" fontId="3" fillId="0" borderId="18" xfId="67" applyNumberFormat="1" applyFont="1" applyBorder="1" applyAlignment="1" applyProtection="1">
      <alignment horizontal="center"/>
      <protection/>
    </xf>
    <xf numFmtId="175" fontId="3" fillId="0" borderId="18" xfId="68" applyNumberFormat="1" applyFont="1" applyBorder="1" applyAlignment="1" applyProtection="1">
      <alignment horizontal="center"/>
      <protection/>
    </xf>
    <xf numFmtId="175" fontId="3" fillId="0" borderId="0" xfId="68" applyNumberFormat="1" applyFont="1" applyBorder="1" applyAlignment="1" applyProtection="1">
      <alignment horizontal="center"/>
      <protection/>
    </xf>
    <xf numFmtId="175" fontId="3" fillId="0" borderId="0" xfId="67" applyNumberFormat="1" applyFont="1" applyBorder="1" applyAlignment="1" applyProtection="1">
      <alignment/>
      <protection/>
    </xf>
    <xf numFmtId="37" fontId="3" fillId="0" borderId="18" xfId="68" applyNumberFormat="1" applyFont="1" applyFill="1" applyBorder="1" applyAlignment="1" applyProtection="1">
      <alignment horizontal="center"/>
      <protection/>
    </xf>
    <xf numFmtId="37" fontId="3" fillId="0" borderId="15" xfId="68" applyNumberFormat="1" applyFont="1" applyFill="1" applyBorder="1" applyAlignment="1" applyProtection="1">
      <alignment horizontal="center"/>
      <protection/>
    </xf>
    <xf numFmtId="176" fontId="3" fillId="0" borderId="0" xfId="68" applyNumberFormat="1" applyFont="1" applyFill="1" applyBorder="1" applyAlignment="1" applyProtection="1">
      <alignment horizontal="center"/>
      <protection/>
    </xf>
    <xf numFmtId="176" fontId="3" fillId="0" borderId="16" xfId="68" applyNumberFormat="1" applyFont="1" applyFill="1" applyBorder="1" applyAlignment="1" applyProtection="1">
      <alignment horizontal="center"/>
      <protection/>
    </xf>
    <xf numFmtId="170" fontId="3" fillId="0" borderId="0" xfId="67" applyNumberFormat="1" applyFont="1" applyBorder="1" applyAlignment="1" applyProtection="1">
      <alignment horizontal="center"/>
      <protection/>
    </xf>
    <xf numFmtId="170" fontId="3" fillId="0" borderId="16" xfId="67" applyNumberFormat="1" applyFont="1" applyBorder="1" applyAlignment="1" applyProtection="1">
      <alignment horizontal="center"/>
      <protection/>
    </xf>
    <xf numFmtId="38" fontId="3" fillId="0" borderId="11" xfId="68" applyNumberFormat="1" applyFont="1" applyFill="1" applyBorder="1" applyAlignment="1" applyProtection="1">
      <alignment horizontal="center"/>
      <protection/>
    </xf>
    <xf numFmtId="38" fontId="3" fillId="0" borderId="17" xfId="68" applyNumberFormat="1" applyFont="1" applyFill="1" applyBorder="1" applyAlignment="1" applyProtection="1">
      <alignment horizontal="center"/>
      <protection/>
    </xf>
    <xf numFmtId="38" fontId="3" fillId="0" borderId="11" xfId="68" applyNumberFormat="1" applyFont="1" applyFill="1" applyBorder="1" applyAlignment="1">
      <alignment horizontal="center"/>
      <protection/>
    </xf>
    <xf numFmtId="38" fontId="3" fillId="0" borderId="17" xfId="68" applyNumberFormat="1" applyFont="1" applyFill="1" applyBorder="1" applyAlignment="1">
      <alignment horizontal="center"/>
      <protection/>
    </xf>
    <xf numFmtId="165" fontId="3" fillId="0" borderId="0" xfId="68" applyNumberFormat="1" applyFont="1" applyAlignment="1">
      <alignment horizontal="center"/>
      <protection/>
    </xf>
    <xf numFmtId="175" fontId="3" fillId="0" borderId="0" xfId="68" applyNumberFormat="1" applyFont="1" applyAlignment="1">
      <alignment horizontal="right"/>
      <protection/>
    </xf>
    <xf numFmtId="175" fontId="53" fillId="0" borderId="0" xfId="68" applyNumberFormat="1" applyFont="1" applyAlignment="1">
      <alignment horizontal="left"/>
      <protection/>
    </xf>
    <xf numFmtId="37" fontId="3" fillId="0" borderId="13" xfId="68" applyNumberFormat="1" applyFont="1" applyFill="1" applyBorder="1" applyAlignment="1" applyProtection="1">
      <alignment horizontal="center"/>
      <protection/>
    </xf>
    <xf numFmtId="37" fontId="3" fillId="0" borderId="14" xfId="68" applyNumberFormat="1" applyFont="1" applyFill="1" applyBorder="1" applyAlignment="1" applyProtection="1">
      <alignment horizontal="center"/>
      <protection/>
    </xf>
    <xf numFmtId="175" fontId="3" fillId="33" borderId="12" xfId="68" applyNumberFormat="1" applyFont="1" applyFill="1" applyBorder="1" applyAlignment="1">
      <alignment/>
      <protection/>
    </xf>
    <xf numFmtId="175" fontId="3" fillId="33" borderId="13" xfId="68" applyNumberFormat="1" applyFont="1" applyFill="1" applyBorder="1" applyAlignment="1">
      <alignment horizontal="center"/>
      <protection/>
    </xf>
    <xf numFmtId="175" fontId="3" fillId="33" borderId="14" xfId="68" applyNumberFormat="1" applyFont="1" applyFill="1" applyBorder="1" applyAlignment="1" applyProtection="1">
      <alignment horizontal="center"/>
      <protection/>
    </xf>
    <xf numFmtId="175" fontId="3" fillId="33" borderId="13" xfId="68" applyNumberFormat="1" applyFont="1" applyFill="1" applyBorder="1" applyAlignment="1" applyProtection="1">
      <alignment horizontal="center"/>
      <protection/>
    </xf>
    <xf numFmtId="175" fontId="3" fillId="0" borderId="19" xfId="68" applyNumberFormat="1" applyFont="1" applyFill="1" applyBorder="1" applyAlignment="1" applyProtection="1">
      <alignment horizontal="center"/>
      <protection/>
    </xf>
    <xf numFmtId="37" fontId="3" fillId="0" borderId="19" xfId="68" applyNumberFormat="1" applyFont="1" applyFill="1" applyBorder="1" applyAlignment="1" applyProtection="1">
      <alignment horizontal="center"/>
      <protection/>
    </xf>
    <xf numFmtId="37" fontId="3" fillId="0" borderId="20" xfId="68" applyNumberFormat="1" applyFont="1" applyFill="1" applyBorder="1" applyAlignment="1" applyProtection="1">
      <alignment horizontal="center"/>
      <protection/>
    </xf>
    <xf numFmtId="176" fontId="3" fillId="0" borderId="21" xfId="68" applyNumberFormat="1" applyFont="1" applyFill="1" applyBorder="1" applyAlignment="1" applyProtection="1">
      <alignment horizontal="center"/>
      <protection/>
    </xf>
    <xf numFmtId="38" fontId="3" fillId="0" borderId="22" xfId="68" applyNumberFormat="1" applyFont="1" applyFill="1" applyBorder="1" applyAlignment="1" applyProtection="1">
      <alignment horizontal="center"/>
      <protection/>
    </xf>
    <xf numFmtId="170" fontId="3" fillId="0" borderId="21" xfId="67" applyNumberFormat="1" applyFont="1" applyBorder="1" applyAlignment="1" applyProtection="1">
      <alignment horizontal="center"/>
      <protection/>
    </xf>
    <xf numFmtId="38" fontId="3" fillId="0" borderId="22" xfId="68" applyNumberFormat="1" applyFont="1" applyFill="1" applyBorder="1" applyAlignment="1">
      <alignment horizontal="center"/>
      <protection/>
    </xf>
    <xf numFmtId="169" fontId="54" fillId="0" borderId="23" xfId="0" applyFont="1" applyBorder="1" applyAlignment="1">
      <alignment/>
    </xf>
    <xf numFmtId="169" fontId="54" fillId="0" borderId="12" xfId="0" applyFont="1" applyBorder="1" applyAlignment="1">
      <alignment horizontal="center"/>
    </xf>
    <xf numFmtId="169" fontId="54" fillId="0" borderId="10" xfId="0" applyFont="1" applyBorder="1" applyAlignment="1">
      <alignment horizontal="center"/>
    </xf>
    <xf numFmtId="169" fontId="54" fillId="0" borderId="18" xfId="0" applyFont="1" applyBorder="1" applyAlignment="1">
      <alignment/>
    </xf>
    <xf numFmtId="169" fontId="54" fillId="0" borderId="13" xfId="0" applyFont="1" applyBorder="1" applyAlignment="1">
      <alignment horizontal="center"/>
    </xf>
    <xf numFmtId="169" fontId="54" fillId="0" borderId="11" xfId="0" applyFont="1" applyBorder="1" applyAlignment="1">
      <alignment horizontal="center"/>
    </xf>
    <xf numFmtId="169" fontId="54" fillId="0" borderId="18" xfId="0" applyFont="1" applyBorder="1" applyAlignment="1">
      <alignment horizontal="center"/>
    </xf>
    <xf numFmtId="169" fontId="54" fillId="0" borderId="14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69" fontId="54" fillId="0" borderId="24" xfId="0" applyFont="1" applyBorder="1" applyAlignment="1">
      <alignment horizontal="center" wrapText="1"/>
    </xf>
    <xf numFmtId="3" fontId="54" fillId="0" borderId="24" xfId="0" applyNumberFormat="1" applyFont="1" applyBorder="1" applyAlignment="1">
      <alignment horizontal="center" vertical="center"/>
    </xf>
    <xf numFmtId="169" fontId="54" fillId="0" borderId="24" xfId="0" applyFont="1" applyBorder="1" applyAlignment="1">
      <alignment horizontal="center" vertical="center" wrapText="1"/>
    </xf>
    <xf numFmtId="169" fontId="54" fillId="0" borderId="0" xfId="0" applyFont="1" applyFill="1" applyBorder="1" applyAlignment="1">
      <alignment/>
    </xf>
    <xf numFmtId="1" fontId="0" fillId="0" borderId="24" xfId="0" applyNumberFormat="1" applyBorder="1" applyAlignment="1">
      <alignment horizontal="center"/>
    </xf>
    <xf numFmtId="169" fontId="0" fillId="0" borderId="0" xfId="0" applyAlignment="1">
      <alignment/>
    </xf>
    <xf numFmtId="169" fontId="54" fillId="0" borderId="0" xfId="0" applyFont="1" applyAlignment="1">
      <alignment horizontal="center"/>
    </xf>
    <xf numFmtId="169" fontId="54" fillId="0" borderId="0" xfId="0" applyFont="1" applyBorder="1" applyAlignment="1">
      <alignment horizontal="center"/>
    </xf>
    <xf numFmtId="169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54" fillId="33" borderId="23" xfId="0" applyFont="1" applyFill="1" applyBorder="1" applyAlignment="1">
      <alignment/>
    </xf>
    <xf numFmtId="169" fontId="0" fillId="33" borderId="25" xfId="0" applyFill="1" applyBorder="1" applyAlignment="1">
      <alignment/>
    </xf>
    <xf numFmtId="169" fontId="0" fillId="33" borderId="10" xfId="0" applyFill="1" applyBorder="1" applyAlignment="1">
      <alignment/>
    </xf>
    <xf numFmtId="169" fontId="0" fillId="33" borderId="18" xfId="0" applyFill="1" applyBorder="1" applyAlignment="1">
      <alignment/>
    </xf>
    <xf numFmtId="169" fontId="0" fillId="33" borderId="0" xfId="0" applyFill="1" applyBorder="1" applyAlignment="1">
      <alignment/>
    </xf>
    <xf numFmtId="169" fontId="0" fillId="33" borderId="11" xfId="0" applyFill="1" applyBorder="1" applyAlignment="1">
      <alignment/>
    </xf>
    <xf numFmtId="9" fontId="0" fillId="33" borderId="0" xfId="0" applyNumberFormat="1" applyFill="1" applyBorder="1" applyAlignment="1">
      <alignment horizontal="center"/>
    </xf>
    <xf numFmtId="169" fontId="0" fillId="33" borderId="15" xfId="0" applyFill="1" applyBorder="1" applyAlignment="1">
      <alignment/>
    </xf>
    <xf numFmtId="169" fontId="0" fillId="33" borderId="16" xfId="0" applyFill="1" applyBorder="1" applyAlignment="1">
      <alignment/>
    </xf>
    <xf numFmtId="9" fontId="0" fillId="33" borderId="16" xfId="0" applyNumberFormat="1" applyFill="1" applyBorder="1" applyAlignment="1">
      <alignment horizontal="center"/>
    </xf>
    <xf numFmtId="169" fontId="0" fillId="33" borderId="17" xfId="0" applyFill="1" applyBorder="1" applyAlignment="1">
      <alignment/>
    </xf>
    <xf numFmtId="37" fontId="3" fillId="33" borderId="13" xfId="68" applyNumberFormat="1" applyFont="1" applyFill="1" applyBorder="1" applyAlignment="1" applyProtection="1">
      <alignment horizontal="center"/>
      <protection/>
    </xf>
    <xf numFmtId="37" fontId="3" fillId="33" borderId="14" xfId="68" applyNumberFormat="1" applyFont="1" applyFill="1" applyBorder="1" applyAlignment="1" applyProtection="1">
      <alignment horizontal="center"/>
      <protection/>
    </xf>
    <xf numFmtId="169" fontId="3" fillId="0" borderId="11" xfId="68" applyFont="1" applyBorder="1" applyAlignment="1" quotePrefix="1">
      <alignment horizontal="left"/>
      <protection/>
    </xf>
    <xf numFmtId="175" fontId="3" fillId="2" borderId="0" xfId="68" applyNumberFormat="1" applyFont="1" applyFill="1" applyAlignment="1">
      <alignment horizontal="center"/>
      <protection/>
    </xf>
    <xf numFmtId="37" fontId="3" fillId="33" borderId="19" xfId="68" applyNumberFormat="1" applyFont="1" applyFill="1" applyBorder="1" applyAlignment="1" applyProtection="1">
      <alignment horizontal="center"/>
      <protection/>
    </xf>
    <xf numFmtId="175" fontId="55" fillId="2" borderId="0" xfId="68" applyNumberFormat="1" applyFont="1" applyFill="1" applyAlignment="1">
      <alignment horizontal="center"/>
      <protection/>
    </xf>
    <xf numFmtId="175" fontId="56" fillId="2" borderId="0" xfId="68" applyNumberFormat="1" applyFont="1" applyFill="1" applyAlignment="1">
      <alignment horizontal="left"/>
      <protection/>
    </xf>
    <xf numFmtId="169" fontId="54" fillId="0" borderId="0" xfId="0" applyFont="1" applyBorder="1" applyAlignment="1">
      <alignment horizontal="right"/>
    </xf>
    <xf numFmtId="170" fontId="54" fillId="32" borderId="0" xfId="0" applyNumberFormat="1" applyFont="1" applyFill="1" applyAlignment="1">
      <alignment horizontal="center"/>
    </xf>
    <xf numFmtId="1" fontId="54" fillId="32" borderId="0" xfId="0" applyNumberFormat="1" applyFont="1" applyFill="1" applyAlignment="1">
      <alignment horizontal="center"/>
    </xf>
    <xf numFmtId="3" fontId="54" fillId="32" borderId="24" xfId="0" applyNumberFormat="1" applyFont="1" applyFill="1" applyBorder="1" applyAlignment="1">
      <alignment horizontal="center" vertical="center"/>
    </xf>
    <xf numFmtId="173" fontId="3" fillId="0" borderId="0" xfId="42" applyNumberFormat="1" applyFont="1" applyFill="1" applyAlignment="1">
      <alignment/>
    </xf>
    <xf numFmtId="175" fontId="3" fillId="33" borderId="12" xfId="68" applyNumberFormat="1" applyFont="1" applyFill="1" applyBorder="1" applyAlignment="1">
      <alignment horizontal="center"/>
      <protection/>
    </xf>
    <xf numFmtId="169" fontId="3" fillId="0" borderId="0" xfId="68" applyFont="1" applyFill="1" applyAlignment="1" applyProtection="1">
      <alignment horizontal="right"/>
      <protection/>
    </xf>
    <xf numFmtId="37" fontId="3" fillId="0" borderId="0" xfId="68" applyNumberFormat="1" applyFont="1" applyFill="1" applyBorder="1" applyAlignment="1" applyProtection="1">
      <alignment horizontal="center"/>
      <protection/>
    </xf>
    <xf numFmtId="175" fontId="3" fillId="0" borderId="13" xfId="68" applyNumberFormat="1" applyFont="1" applyFill="1" applyBorder="1" applyAlignment="1" applyProtection="1">
      <alignment horizontal="center" vertical="center"/>
      <protection/>
    </xf>
    <xf numFmtId="175" fontId="3" fillId="0" borderId="13" xfId="68" applyNumberFormat="1" applyFont="1" applyFill="1" applyBorder="1" applyAlignment="1" applyProtection="1">
      <alignment horizontal="center" vertical="center" wrapText="1"/>
      <protection/>
    </xf>
    <xf numFmtId="37" fontId="3" fillId="0" borderId="13" xfId="68" applyNumberFormat="1" applyFont="1" applyFill="1" applyBorder="1" applyAlignment="1" applyProtection="1">
      <alignment horizontal="center" vertical="center"/>
      <protection/>
    </xf>
    <xf numFmtId="37" fontId="3" fillId="33" borderId="13" xfId="68" applyNumberFormat="1" applyFont="1" applyFill="1" applyBorder="1" applyAlignment="1" applyProtection="1">
      <alignment horizontal="center" vertical="center"/>
      <protection/>
    </xf>
    <xf numFmtId="37" fontId="3" fillId="0" borderId="18" xfId="68" applyNumberFormat="1" applyFont="1" applyFill="1" applyBorder="1" applyAlignment="1" applyProtection="1">
      <alignment horizontal="center" vertical="center"/>
      <protection/>
    </xf>
    <xf numFmtId="176" fontId="3" fillId="0" borderId="0" xfId="68" applyNumberFormat="1" applyFont="1" applyFill="1" applyBorder="1" applyAlignment="1" applyProtection="1">
      <alignment horizontal="center" vertical="center"/>
      <protection/>
    </xf>
    <xf numFmtId="38" fontId="3" fillId="0" borderId="11" xfId="68" applyNumberFormat="1" applyFont="1" applyFill="1" applyBorder="1" applyAlignment="1" applyProtection="1">
      <alignment horizontal="center" vertical="center"/>
      <protection/>
    </xf>
    <xf numFmtId="170" fontId="3" fillId="0" borderId="0" xfId="67" applyNumberFormat="1" applyFont="1" applyBorder="1" applyAlignment="1" applyProtection="1">
      <alignment horizontal="center" vertical="center"/>
      <protection/>
    </xf>
    <xf numFmtId="38" fontId="3" fillId="0" borderId="11" xfId="68" applyNumberFormat="1" applyFont="1" applyFill="1" applyBorder="1" applyAlignment="1">
      <alignment horizontal="center" vertical="center"/>
      <protection/>
    </xf>
    <xf numFmtId="175" fontId="3" fillId="0" borderId="18" xfId="68" applyNumberFormat="1" applyFont="1" applyBorder="1" applyAlignment="1">
      <alignment horizontal="center"/>
      <protection/>
    </xf>
    <xf numFmtId="175" fontId="3" fillId="0" borderId="0" xfId="68" applyNumberFormat="1" applyFont="1" applyBorder="1" applyAlignment="1">
      <alignment horizontal="center"/>
      <protection/>
    </xf>
    <xf numFmtId="175" fontId="3" fillId="0" borderId="18" xfId="67" applyNumberFormat="1" applyFont="1" applyBorder="1" applyAlignment="1">
      <alignment horizontal="center"/>
      <protection/>
    </xf>
    <xf numFmtId="175" fontId="3" fillId="0" borderId="0" xfId="67" applyNumberFormat="1" applyFont="1" applyBorder="1" applyAlignment="1">
      <alignment horizontal="center"/>
      <protection/>
    </xf>
    <xf numFmtId="175" fontId="9" fillId="0" borderId="0" xfId="68" applyNumberFormat="1" applyFont="1" applyAlignment="1" applyProtection="1">
      <alignment horizontal="center"/>
      <protection/>
    </xf>
    <xf numFmtId="165" fontId="3" fillId="0" borderId="26" xfId="68" applyNumberFormat="1" applyFont="1" applyBorder="1" applyAlignment="1" applyProtection="1">
      <alignment horizontal="center"/>
      <protection/>
    </xf>
    <xf numFmtId="165" fontId="3" fillId="0" borderId="27" xfId="68" applyNumberFormat="1" applyFont="1" applyBorder="1" applyAlignment="1" applyProtection="1">
      <alignment horizontal="center"/>
      <protection/>
    </xf>
    <xf numFmtId="165" fontId="3" fillId="0" borderId="28" xfId="68" applyNumberFormat="1" applyFont="1" applyBorder="1" applyAlignment="1" applyProtection="1">
      <alignment horizontal="center"/>
      <protection/>
    </xf>
    <xf numFmtId="175" fontId="3" fillId="0" borderId="26" xfId="68" applyNumberFormat="1" applyFont="1" applyBorder="1" applyAlignment="1">
      <alignment horizontal="center"/>
      <protection/>
    </xf>
    <xf numFmtId="175" fontId="3" fillId="0" borderId="27" xfId="68" applyNumberFormat="1" applyFont="1" applyBorder="1" applyAlignment="1">
      <alignment horizontal="center"/>
      <protection/>
    </xf>
    <xf numFmtId="175" fontId="3" fillId="0" borderId="28" xfId="68" applyNumberFormat="1" applyFont="1" applyBorder="1" applyAlignment="1">
      <alignment horizontal="center"/>
      <protection/>
    </xf>
    <xf numFmtId="175" fontId="3" fillId="0" borderId="23" xfId="68" applyNumberFormat="1" applyFont="1" applyBorder="1" applyAlignment="1">
      <alignment horizontal="center"/>
      <protection/>
    </xf>
    <xf numFmtId="175" fontId="3" fillId="0" borderId="25" xfId="68" applyNumberFormat="1" applyFont="1" applyBorder="1" applyAlignment="1">
      <alignment horizontal="center"/>
      <protection/>
    </xf>
    <xf numFmtId="169" fontId="57" fillId="33" borderId="26" xfId="0" applyFont="1" applyFill="1" applyBorder="1" applyAlignment="1">
      <alignment horizontal="center"/>
    </xf>
    <xf numFmtId="169" fontId="57" fillId="33" borderId="27" xfId="0" applyFont="1" applyFill="1" applyBorder="1" applyAlignment="1">
      <alignment horizontal="center"/>
    </xf>
    <xf numFmtId="169" fontId="57" fillId="33" borderId="28" xfId="0" applyFont="1" applyFill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[0]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- Style1" xfId="65"/>
    <cellStyle name="Normal 2" xfId="66"/>
    <cellStyle name="Normal 3" xfId="67"/>
    <cellStyle name="Normal_schedule 7.1-0826" xfId="68"/>
    <cellStyle name="Note" xfId="69"/>
    <cellStyle name="Output" xfId="70"/>
    <cellStyle name="Percent" xfId="71"/>
    <cellStyle name="Percent 2" xfId="72"/>
    <cellStyle name="Percent 3" xfId="73"/>
    <cellStyle name="Title" xfId="74"/>
    <cellStyle name="Total" xfId="75"/>
    <cellStyle name="Warning Text" xfId="76"/>
  </cellStyles>
  <dxfs count="2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189" formatCode="0_);[Red]\(0\)"/>
      <fill>
        <patternFill>
          <bgColor rgb="FFFFC7CE"/>
        </patternFill>
      </fill>
      <border/>
    </dxf>
    <dxf>
      <font>
        <color rgb="FF006100"/>
      </font>
      <numFmt numFmtId="170" formatCode="0.0"/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2-PPC_2007\TYSP07\RESULTS\checking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BCYC\PMG\performance\UNIT4P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fuel class"/>
      <sheetName val="Char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  <sheetName val="Pick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 transitionEntry="1">
    <tabColor theme="0" tint="-0.4999699890613556"/>
  </sheetPr>
  <dimension ref="A3:O33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14.57421875" style="1" customWidth="1"/>
    <col min="3" max="3" width="10.57421875" style="1" customWidth="1"/>
    <col min="4" max="4" width="11.281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5" width="12.7109375" style="2" customWidth="1"/>
    <col min="16" max="16" width="23.421875" style="2" bestFit="1" customWidth="1"/>
    <col min="17" max="16384" width="12.7109375" style="2" customWidth="1"/>
  </cols>
  <sheetData>
    <row r="3" spans="2:14" ht="12.75">
      <c r="B3" s="42" t="s">
        <v>29</v>
      </c>
      <c r="C3" s="42"/>
      <c r="D3" s="42"/>
      <c r="N3" s="41"/>
    </row>
    <row r="4" spans="5:14" ht="12.75">
      <c r="E4" s="1"/>
      <c r="N4" s="1"/>
    </row>
    <row r="5" spans="1:14" ht="15.75">
      <c r="A5" s="117" t="s">
        <v>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5.75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4" ht="12.75">
      <c r="A7" s="2"/>
      <c r="B7" s="2"/>
      <c r="C7" s="2"/>
      <c r="D7" s="2"/>
    </row>
    <row r="8" spans="1:14" ht="12.75">
      <c r="A8" s="3">
        <v>-1</v>
      </c>
      <c r="B8" s="3">
        <v>-2</v>
      </c>
      <c r="C8" s="3">
        <v>-3</v>
      </c>
      <c r="D8" s="3">
        <v>-4</v>
      </c>
      <c r="E8" s="3">
        <v>-5</v>
      </c>
      <c r="F8" s="3">
        <v>-6</v>
      </c>
      <c r="G8" s="3">
        <v>-7</v>
      </c>
      <c r="H8" s="3">
        <v>-8</v>
      </c>
      <c r="I8" s="3">
        <v>-9</v>
      </c>
      <c r="J8" s="3">
        <v>-10</v>
      </c>
      <c r="K8" s="3">
        <v>-11</v>
      </c>
      <c r="L8" s="3">
        <v>-12</v>
      </c>
      <c r="M8" s="3">
        <v>-13</v>
      </c>
      <c r="N8" s="40">
        <v>-14</v>
      </c>
    </row>
    <row r="9" spans="1:14" ht="12.75" hidden="1">
      <c r="A9" s="3">
        <v>-1</v>
      </c>
      <c r="B9" s="3">
        <v>-2</v>
      </c>
      <c r="C9" s="3"/>
      <c r="D9" s="3"/>
      <c r="E9" s="3">
        <v>-3</v>
      </c>
      <c r="F9" s="3">
        <v>-4</v>
      </c>
      <c r="G9" s="3">
        <v>-5</v>
      </c>
      <c r="H9" s="3">
        <v>-6</v>
      </c>
      <c r="I9" s="3">
        <v>-7</v>
      </c>
      <c r="J9" s="3">
        <v>-8</v>
      </c>
      <c r="K9" s="3">
        <v>-9</v>
      </c>
      <c r="L9" s="3">
        <v>-10</v>
      </c>
      <c r="M9" s="3">
        <v>-11</v>
      </c>
      <c r="N9" s="40">
        <v>-12</v>
      </c>
    </row>
    <row r="10" spans="1:14" ht="12.75">
      <c r="A10" s="19"/>
      <c r="B10" s="16"/>
      <c r="C10" s="12"/>
      <c r="D10" s="101" t="s">
        <v>28</v>
      </c>
      <c r="E10" s="12"/>
      <c r="F10" s="15"/>
      <c r="G10" s="12"/>
      <c r="H10" s="12"/>
      <c r="I10" s="118" t="s">
        <v>18</v>
      </c>
      <c r="J10" s="119"/>
      <c r="K10" s="120"/>
      <c r="L10" s="121" t="s">
        <v>24</v>
      </c>
      <c r="M10" s="122"/>
      <c r="N10" s="123"/>
    </row>
    <row r="11" spans="1:14" ht="12.75">
      <c r="A11" s="14"/>
      <c r="B11" s="14"/>
      <c r="C11" s="13" t="s">
        <v>7</v>
      </c>
      <c r="D11" s="46" t="s">
        <v>10</v>
      </c>
      <c r="E11" s="13" t="s">
        <v>7</v>
      </c>
      <c r="F11" s="14"/>
      <c r="G11" s="14"/>
      <c r="H11" s="13" t="s">
        <v>10</v>
      </c>
      <c r="I11" s="124"/>
      <c r="J11" s="125"/>
      <c r="K11" s="8" t="s">
        <v>19</v>
      </c>
      <c r="L11" s="124"/>
      <c r="M11" s="125"/>
      <c r="N11" s="8" t="s">
        <v>19</v>
      </c>
    </row>
    <row r="12" spans="1:14" ht="12.75">
      <c r="A12" s="14"/>
      <c r="B12" s="14"/>
      <c r="C12" s="14" t="s">
        <v>10</v>
      </c>
      <c r="D12" s="46" t="s">
        <v>4</v>
      </c>
      <c r="E12" s="14" t="s">
        <v>10</v>
      </c>
      <c r="F12" s="13" t="s">
        <v>7</v>
      </c>
      <c r="G12" s="14"/>
      <c r="H12" s="13" t="s">
        <v>0</v>
      </c>
      <c r="I12" s="113"/>
      <c r="J12" s="114"/>
      <c r="K12" s="9" t="s">
        <v>20</v>
      </c>
      <c r="L12" s="113"/>
      <c r="M12" s="114"/>
      <c r="N12" s="9" t="s">
        <v>20</v>
      </c>
    </row>
    <row r="13" spans="1:14" ht="15.75" customHeight="1">
      <c r="A13" s="14"/>
      <c r="B13" s="14"/>
      <c r="C13" s="13" t="s">
        <v>4</v>
      </c>
      <c r="D13" s="46" t="s">
        <v>65</v>
      </c>
      <c r="E13" s="13" t="s">
        <v>4</v>
      </c>
      <c r="F13" s="13" t="s">
        <v>1</v>
      </c>
      <c r="G13" s="13"/>
      <c r="H13" s="13" t="s">
        <v>1</v>
      </c>
      <c r="I13" s="113"/>
      <c r="J13" s="114"/>
      <c r="K13" s="10" t="s">
        <v>21</v>
      </c>
      <c r="L13" s="115"/>
      <c r="M13" s="116"/>
      <c r="N13" s="10" t="s">
        <v>21</v>
      </c>
    </row>
    <row r="14" spans="1:15" ht="15" customHeight="1">
      <c r="A14" s="14"/>
      <c r="B14" s="14" t="s">
        <v>6</v>
      </c>
      <c r="C14" s="13" t="s">
        <v>11</v>
      </c>
      <c r="D14" s="46" t="s">
        <v>66</v>
      </c>
      <c r="E14" s="13" t="s">
        <v>11</v>
      </c>
      <c r="F14" s="13" t="s">
        <v>12</v>
      </c>
      <c r="G14" s="13" t="s">
        <v>2</v>
      </c>
      <c r="H14" s="14" t="s">
        <v>12</v>
      </c>
      <c r="I14" s="27" t="s">
        <v>25</v>
      </c>
      <c r="J14" s="28"/>
      <c r="K14" s="11" t="s">
        <v>22</v>
      </c>
      <c r="L14" s="26" t="s">
        <v>25</v>
      </c>
      <c r="M14" s="29"/>
      <c r="N14" s="11" t="s">
        <v>23</v>
      </c>
      <c r="O14" s="1"/>
    </row>
    <row r="15" spans="1:15" ht="12.75">
      <c r="A15" s="20" t="s">
        <v>5</v>
      </c>
      <c r="B15" s="20" t="s">
        <v>3</v>
      </c>
      <c r="C15" s="20" t="s">
        <v>8</v>
      </c>
      <c r="D15" s="47" t="s">
        <v>8</v>
      </c>
      <c r="E15" s="20" t="s">
        <v>8</v>
      </c>
      <c r="F15" s="20" t="s">
        <v>8</v>
      </c>
      <c r="G15" s="20" t="s">
        <v>8</v>
      </c>
      <c r="H15" s="20" t="s">
        <v>8</v>
      </c>
      <c r="I15" s="21" t="s">
        <v>8</v>
      </c>
      <c r="J15" s="22" t="s">
        <v>9</v>
      </c>
      <c r="K15" s="23" t="s">
        <v>8</v>
      </c>
      <c r="L15" s="24" t="s">
        <v>13</v>
      </c>
      <c r="M15" s="25" t="s">
        <v>17</v>
      </c>
      <c r="N15" s="23" t="s">
        <v>8</v>
      </c>
      <c r="O15" s="1"/>
    </row>
    <row r="16" spans="1:14" s="4" customFormat="1" ht="12.75" hidden="1">
      <c r="A16" s="17">
        <v>2016</v>
      </c>
      <c r="B16" s="17"/>
      <c r="C16" s="43">
        <v>27238.0286375</v>
      </c>
      <c r="D16" s="48">
        <v>0</v>
      </c>
      <c r="E16" s="43">
        <f>C16+D16</f>
        <v>27238.0286375</v>
      </c>
      <c r="F16" s="43">
        <v>24169.686546596025</v>
      </c>
      <c r="G16" s="43">
        <v>1842.4666740400107</v>
      </c>
      <c r="H16" s="43">
        <f aca="true" t="shared" si="0" ref="H16:H25">F16-G16</f>
        <v>22327.219872556016</v>
      </c>
      <c r="I16" s="30">
        <f>E16-H16</f>
        <v>4910.808764943984</v>
      </c>
      <c r="J16" s="32">
        <f aca="true" t="shared" si="1" ref="J16:J25">I16/H16*100</f>
        <v>21.994716731303438</v>
      </c>
      <c r="K16" s="36">
        <f>E16-H16*1.2</f>
        <v>445.36479043278086</v>
      </c>
      <c r="L16" s="30">
        <f>E16-F16</f>
        <v>3068.342090903974</v>
      </c>
      <c r="M16" s="34">
        <f aca="true" t="shared" si="2" ref="M16:M30">L16/F16*100</f>
        <v>12.695001587995804</v>
      </c>
      <c r="N16" s="38">
        <f>E16-F16*1.1</f>
        <v>651.3734362443683</v>
      </c>
    </row>
    <row r="17" spans="1:14" s="4" customFormat="1" ht="12.75" hidden="1">
      <c r="A17" s="17">
        <f aca="true" t="shared" si="3" ref="A17:A30">A16+1</f>
        <v>2017</v>
      </c>
      <c r="B17" s="17"/>
      <c r="C17" s="43">
        <v>26881.95290135625</v>
      </c>
      <c r="D17" s="48">
        <v>0</v>
      </c>
      <c r="E17" s="43">
        <f>C17+D17</f>
        <v>26881.95290135625</v>
      </c>
      <c r="F17" s="43">
        <v>24336.040599945238</v>
      </c>
      <c r="G17" s="43">
        <v>1934.8048828331127</v>
      </c>
      <c r="H17" s="43">
        <f t="shared" si="0"/>
        <v>22401.235717112126</v>
      </c>
      <c r="I17" s="30">
        <f aca="true" t="shared" si="4" ref="I17:I25">E17-H17</f>
        <v>4480.717184244124</v>
      </c>
      <c r="J17" s="32">
        <f t="shared" si="1"/>
        <v>20.002098280771804</v>
      </c>
      <c r="K17" s="36">
        <f aca="true" t="shared" si="5" ref="K17:K30">E17-H17*1.2</f>
        <v>0.4700408216995129</v>
      </c>
      <c r="L17" s="30">
        <f aca="true" t="shared" si="6" ref="L17:L30">E17-F17</f>
        <v>2545.912301411012</v>
      </c>
      <c r="M17" s="34">
        <f t="shared" si="2"/>
        <v>10.461489373981161</v>
      </c>
      <c r="N17" s="38">
        <f aca="true" t="shared" si="7" ref="N17:N30">E17-F17*1.1</f>
        <v>112.30824141648554</v>
      </c>
    </row>
    <row r="18" spans="1:14" s="4" customFormat="1" ht="12.75" hidden="1">
      <c r="A18" s="17">
        <f t="shared" si="3"/>
        <v>2018</v>
      </c>
      <c r="B18" s="17"/>
      <c r="C18" s="43">
        <v>27133.509127497437</v>
      </c>
      <c r="D18" s="48">
        <v>0</v>
      </c>
      <c r="E18" s="43">
        <f aca="true" t="shared" si="8" ref="E18:E29">C18+D18</f>
        <v>27133.509127497437</v>
      </c>
      <c r="F18" s="43">
        <v>24606.278955403854</v>
      </c>
      <c r="G18" s="43">
        <v>1995.2014194263602</v>
      </c>
      <c r="H18" s="43">
        <f t="shared" si="0"/>
        <v>22611.077535977493</v>
      </c>
      <c r="I18" s="30">
        <f t="shared" si="4"/>
        <v>4522.431591519944</v>
      </c>
      <c r="J18" s="32">
        <f t="shared" si="1"/>
        <v>20.000955656907998</v>
      </c>
      <c r="K18" s="36">
        <f t="shared" si="5"/>
        <v>0.21608432444554637</v>
      </c>
      <c r="L18" s="30">
        <f t="shared" si="6"/>
        <v>2527.230172093583</v>
      </c>
      <c r="M18" s="34">
        <f t="shared" si="2"/>
        <v>10.270671874743462</v>
      </c>
      <c r="N18" s="38">
        <f t="shared" si="7"/>
        <v>66.60227655319613</v>
      </c>
    </row>
    <row r="19" spans="1:15" s="4" customFormat="1" ht="12.75">
      <c r="A19" s="17">
        <f t="shared" si="3"/>
        <v>2019</v>
      </c>
      <c r="B19" s="17" t="s">
        <v>15</v>
      </c>
      <c r="C19" s="43">
        <v>28551.067017858702</v>
      </c>
      <c r="D19" s="89">
        <v>0</v>
      </c>
      <c r="E19" s="43">
        <f t="shared" si="8"/>
        <v>28551.067017858702</v>
      </c>
      <c r="F19" s="43">
        <v>24893.09445872483</v>
      </c>
      <c r="G19" s="43">
        <v>2041.4456948504048</v>
      </c>
      <c r="H19" s="43">
        <f t="shared" si="0"/>
        <v>22851.648763874426</v>
      </c>
      <c r="I19" s="30">
        <f t="shared" si="4"/>
        <v>5699.418253984277</v>
      </c>
      <c r="J19" s="32">
        <f t="shared" si="1"/>
        <v>24.940949832006602</v>
      </c>
      <c r="K19" s="36">
        <f t="shared" si="5"/>
        <v>1129.0885012093931</v>
      </c>
      <c r="L19" s="30">
        <f t="shared" si="6"/>
        <v>3657.972559133872</v>
      </c>
      <c r="M19" s="34">
        <f t="shared" si="2"/>
        <v>14.694728151211356</v>
      </c>
      <c r="N19" s="38">
        <f t="shared" si="7"/>
        <v>1168.6631132613875</v>
      </c>
      <c r="O19" s="100"/>
    </row>
    <row r="20" spans="1:15" s="4" customFormat="1" ht="12.75">
      <c r="A20" s="17">
        <f t="shared" si="3"/>
        <v>2020</v>
      </c>
      <c r="B20" s="17" t="s">
        <v>16</v>
      </c>
      <c r="C20" s="43">
        <v>27994.626565283546</v>
      </c>
      <c r="D20" s="89">
        <v>0</v>
      </c>
      <c r="E20" s="43">
        <f t="shared" si="8"/>
        <v>27994.626565283546</v>
      </c>
      <c r="F20" s="43">
        <v>25205.928535800045</v>
      </c>
      <c r="G20" s="43">
        <v>2088.462209365558</v>
      </c>
      <c r="H20" s="43">
        <f t="shared" si="0"/>
        <v>23117.466326434485</v>
      </c>
      <c r="I20" s="30">
        <f t="shared" si="4"/>
        <v>4877.160238849061</v>
      </c>
      <c r="J20" s="32">
        <f t="shared" si="1"/>
        <v>21.09729574158436</v>
      </c>
      <c r="K20" s="36">
        <f t="shared" si="5"/>
        <v>253.66697356216537</v>
      </c>
      <c r="L20" s="30">
        <f t="shared" si="6"/>
        <v>2788.698029483501</v>
      </c>
      <c r="M20" s="34">
        <f t="shared" si="2"/>
        <v>11.06365919241065</v>
      </c>
      <c r="N20" s="38">
        <f t="shared" si="7"/>
        <v>268.10517590349264</v>
      </c>
      <c r="O20" s="100"/>
    </row>
    <row r="21" spans="1:15" s="4" customFormat="1" ht="12.75">
      <c r="A21" s="17">
        <f t="shared" si="3"/>
        <v>2021</v>
      </c>
      <c r="B21" s="17" t="s">
        <v>14</v>
      </c>
      <c r="C21" s="43">
        <v>28141.719762651013</v>
      </c>
      <c r="D21" s="89">
        <v>0</v>
      </c>
      <c r="E21" s="43">
        <f t="shared" si="8"/>
        <v>28141.719762651013</v>
      </c>
      <c r="F21" s="43">
        <v>25316.416253234296</v>
      </c>
      <c r="G21" s="43">
        <v>2136.2343409014484</v>
      </c>
      <c r="H21" s="43">
        <f t="shared" si="0"/>
        <v>23180.181912332846</v>
      </c>
      <c r="I21" s="30">
        <f t="shared" si="4"/>
        <v>4961.537850318167</v>
      </c>
      <c r="J21" s="32">
        <f t="shared" si="1"/>
        <v>21.40422309489477</v>
      </c>
      <c r="K21" s="36">
        <f t="shared" si="5"/>
        <v>325.50146785159814</v>
      </c>
      <c r="L21" s="30">
        <f t="shared" si="6"/>
        <v>2825.303509416717</v>
      </c>
      <c r="M21" s="34">
        <f t="shared" si="2"/>
        <v>11.159966249392706</v>
      </c>
      <c r="N21" s="38">
        <f t="shared" si="7"/>
        <v>293.66188409328606</v>
      </c>
      <c r="O21" s="100"/>
    </row>
    <row r="22" spans="1:15" s="4" customFormat="1" ht="12.75">
      <c r="A22" s="17">
        <f t="shared" si="3"/>
        <v>2022</v>
      </c>
      <c r="B22" s="17" t="s">
        <v>63</v>
      </c>
      <c r="C22" s="43">
        <v>28271.816006875466</v>
      </c>
      <c r="D22" s="89">
        <v>0</v>
      </c>
      <c r="E22" s="43">
        <f t="shared" si="8"/>
        <v>28271.816006875466</v>
      </c>
      <c r="F22" s="43">
        <v>25540.189209268094</v>
      </c>
      <c r="G22" s="43">
        <v>2184.7465153952003</v>
      </c>
      <c r="H22" s="43">
        <f t="shared" si="0"/>
        <v>23355.442693872894</v>
      </c>
      <c r="I22" s="30">
        <f t="shared" si="4"/>
        <v>4916.373313002572</v>
      </c>
      <c r="J22" s="32">
        <f t="shared" si="1"/>
        <v>21.0502253262463</v>
      </c>
      <c r="K22" s="36">
        <f t="shared" si="5"/>
        <v>245.2847742279955</v>
      </c>
      <c r="L22" s="30">
        <f t="shared" si="6"/>
        <v>2731.6267976073723</v>
      </c>
      <c r="M22" s="34">
        <f t="shared" si="2"/>
        <v>10.695405485156359</v>
      </c>
      <c r="N22" s="38">
        <f t="shared" si="7"/>
        <v>177.60787668056219</v>
      </c>
      <c r="O22" s="100"/>
    </row>
    <row r="23" spans="1:15" s="4" customFormat="1" ht="12.75">
      <c r="A23" s="17">
        <f t="shared" si="3"/>
        <v>2023</v>
      </c>
      <c r="B23" s="17" t="s">
        <v>62</v>
      </c>
      <c r="C23" s="43">
        <v>28898</v>
      </c>
      <c r="D23" s="89">
        <v>0</v>
      </c>
      <c r="E23" s="43">
        <f t="shared" si="8"/>
        <v>28898</v>
      </c>
      <c r="F23" s="43">
        <v>25832.903255827194</v>
      </c>
      <c r="G23" s="43">
        <v>2234.0294854316176</v>
      </c>
      <c r="H23" s="43">
        <f t="shared" si="0"/>
        <v>23598.873770395578</v>
      </c>
      <c r="I23" s="30">
        <f t="shared" si="4"/>
        <v>5299.126229604422</v>
      </c>
      <c r="J23" s="32">
        <f t="shared" si="1"/>
        <v>22.454996289916572</v>
      </c>
      <c r="K23" s="36">
        <f t="shared" si="5"/>
        <v>579.3514755253091</v>
      </c>
      <c r="L23" s="30">
        <f t="shared" si="6"/>
        <v>3065.096744172806</v>
      </c>
      <c r="M23" s="34">
        <f t="shared" si="2"/>
        <v>11.865088154508552</v>
      </c>
      <c r="N23" s="38">
        <f t="shared" si="7"/>
        <v>481.8064185900839</v>
      </c>
      <c r="O23" s="100"/>
    </row>
    <row r="24" spans="1:15" s="4" customFormat="1" ht="13.5" thickBot="1">
      <c r="A24" s="49">
        <f t="shared" si="3"/>
        <v>2024</v>
      </c>
      <c r="B24" s="49"/>
      <c r="C24" s="50">
        <v>28895</v>
      </c>
      <c r="D24" s="93">
        <v>0</v>
      </c>
      <c r="E24" s="50">
        <f t="shared" si="8"/>
        <v>28895</v>
      </c>
      <c r="F24" s="50">
        <v>26180.278517781553</v>
      </c>
      <c r="G24" s="50">
        <v>2284.18220399574</v>
      </c>
      <c r="H24" s="50">
        <f t="shared" si="0"/>
        <v>23896.096313785813</v>
      </c>
      <c r="I24" s="51">
        <f t="shared" si="4"/>
        <v>4998.9036862141875</v>
      </c>
      <c r="J24" s="52">
        <f t="shared" si="1"/>
        <v>20.91933184639153</v>
      </c>
      <c r="K24" s="53">
        <f t="shared" si="5"/>
        <v>219.68442345702715</v>
      </c>
      <c r="L24" s="51">
        <f t="shared" si="6"/>
        <v>2714.721482218447</v>
      </c>
      <c r="M24" s="54">
        <f t="shared" si="2"/>
        <v>10.369337669095529</v>
      </c>
      <c r="N24" s="55">
        <f t="shared" si="7"/>
        <v>96.69363044028796</v>
      </c>
      <c r="O24" s="100"/>
    </row>
    <row r="25" spans="1:15" s="4" customFormat="1" ht="12.75">
      <c r="A25" s="17">
        <f t="shared" si="3"/>
        <v>2025</v>
      </c>
      <c r="B25" s="17"/>
      <c r="C25" s="43">
        <v>28892</v>
      </c>
      <c r="D25" s="89">
        <v>0</v>
      </c>
      <c r="E25" s="43">
        <f t="shared" si="8"/>
        <v>28892</v>
      </c>
      <c r="F25" s="43">
        <v>26572.4560211349</v>
      </c>
      <c r="G25" s="43">
        <v>2334</v>
      </c>
      <c r="H25" s="43">
        <f t="shared" si="0"/>
        <v>24238.4560211349</v>
      </c>
      <c r="I25" s="30">
        <f t="shared" si="4"/>
        <v>4653.543978865098</v>
      </c>
      <c r="J25" s="32">
        <f t="shared" si="1"/>
        <v>19.199011582286456</v>
      </c>
      <c r="K25" s="36">
        <f t="shared" si="5"/>
        <v>-194.14722536188128</v>
      </c>
      <c r="L25" s="30">
        <f t="shared" si="6"/>
        <v>2319.5439788650983</v>
      </c>
      <c r="M25" s="34">
        <f t="shared" si="2"/>
        <v>8.729129053860154</v>
      </c>
      <c r="N25" s="38">
        <f t="shared" si="7"/>
        <v>-337.70162324839475</v>
      </c>
      <c r="O25" s="100"/>
    </row>
    <row r="26" spans="1:15" s="4" customFormat="1" ht="12.75">
      <c r="A26" s="17">
        <f t="shared" si="3"/>
        <v>2026</v>
      </c>
      <c r="B26" s="17"/>
      <c r="C26" s="43">
        <v>28889</v>
      </c>
      <c r="D26" s="89">
        <v>0</v>
      </c>
      <c r="E26" s="43">
        <f t="shared" si="8"/>
        <v>28889</v>
      </c>
      <c r="F26" s="43">
        <v>27067.6000853683</v>
      </c>
      <c r="G26" s="43">
        <v>2384</v>
      </c>
      <c r="H26" s="43">
        <f>F26-G26</f>
        <v>24683.6000853683</v>
      </c>
      <c r="I26" s="30">
        <f>E26-H26</f>
        <v>4205.3999146317</v>
      </c>
      <c r="J26" s="32">
        <f>I26/H26*100</f>
        <v>17.03722269072304</v>
      </c>
      <c r="K26" s="36">
        <f t="shared" si="5"/>
        <v>-731.3201024419577</v>
      </c>
      <c r="L26" s="30">
        <f t="shared" si="6"/>
        <v>1821.3999146317</v>
      </c>
      <c r="M26" s="34">
        <f t="shared" si="2"/>
        <v>6.729077971032528</v>
      </c>
      <c r="N26" s="38">
        <f t="shared" si="7"/>
        <v>-885.3600939051321</v>
      </c>
      <c r="O26" s="100"/>
    </row>
    <row r="27" spans="1:15" s="4" customFormat="1" ht="12.75">
      <c r="A27" s="17">
        <f t="shared" si="3"/>
        <v>2027</v>
      </c>
      <c r="B27" s="17"/>
      <c r="C27" s="43">
        <v>28883</v>
      </c>
      <c r="D27" s="89">
        <v>0</v>
      </c>
      <c r="E27" s="43">
        <f t="shared" si="8"/>
        <v>28883</v>
      </c>
      <c r="F27" s="43">
        <v>27665.21915802903</v>
      </c>
      <c r="G27" s="43">
        <v>2434</v>
      </c>
      <c r="H27" s="43">
        <f>F27-G27</f>
        <v>25231.21915802903</v>
      </c>
      <c r="I27" s="30">
        <f>E27-H27</f>
        <v>3651.780841970969</v>
      </c>
      <c r="J27" s="32">
        <f>I27/H27*100</f>
        <v>14.473263535539092</v>
      </c>
      <c r="K27" s="36">
        <f t="shared" si="5"/>
        <v>-1394.4629896348342</v>
      </c>
      <c r="L27" s="30">
        <f t="shared" si="6"/>
        <v>1217.780841970969</v>
      </c>
      <c r="M27" s="34">
        <f t="shared" si="2"/>
        <v>4.401847803969206</v>
      </c>
      <c r="N27" s="38">
        <f t="shared" si="7"/>
        <v>-1548.7410738319377</v>
      </c>
      <c r="O27" s="100"/>
    </row>
    <row r="28" spans="1:15" s="4" customFormat="1" ht="12.75">
      <c r="A28" s="17">
        <f t="shared" si="3"/>
        <v>2028</v>
      </c>
      <c r="B28" s="17"/>
      <c r="C28" s="43">
        <v>28880</v>
      </c>
      <c r="D28" s="89">
        <v>0</v>
      </c>
      <c r="E28" s="43">
        <f t="shared" si="8"/>
        <v>28880</v>
      </c>
      <c r="F28" s="43">
        <v>28224.724306714037</v>
      </c>
      <c r="G28" s="43">
        <v>2484</v>
      </c>
      <c r="H28" s="43">
        <f>F28-G28</f>
        <v>25740.724306714037</v>
      </c>
      <c r="I28" s="30">
        <f>E28-H28</f>
        <v>3139.275693285963</v>
      </c>
      <c r="J28" s="32">
        <f>I28/H28*100</f>
        <v>12.19575508396683</v>
      </c>
      <c r="K28" s="36">
        <f t="shared" si="5"/>
        <v>-2008.8691680568445</v>
      </c>
      <c r="L28" s="30">
        <f t="shared" si="6"/>
        <v>655.2756932859629</v>
      </c>
      <c r="M28" s="34">
        <f t="shared" si="2"/>
        <v>2.3216371793934134</v>
      </c>
      <c r="N28" s="38">
        <f t="shared" si="7"/>
        <v>-2167.1967373854422</v>
      </c>
      <c r="O28" s="100"/>
    </row>
    <row r="29" spans="1:15" s="4" customFormat="1" ht="12.75">
      <c r="A29" s="17">
        <f t="shared" si="3"/>
        <v>2029</v>
      </c>
      <c r="B29" s="13"/>
      <c r="C29" s="43">
        <v>28878</v>
      </c>
      <c r="D29" s="89">
        <v>0</v>
      </c>
      <c r="E29" s="43">
        <f t="shared" si="8"/>
        <v>28878</v>
      </c>
      <c r="F29" s="43">
        <v>28804.814369193406</v>
      </c>
      <c r="G29" s="43">
        <v>2534</v>
      </c>
      <c r="H29" s="43">
        <f>F29-G29</f>
        <v>26270.814369193406</v>
      </c>
      <c r="I29" s="30">
        <f>E29-H29</f>
        <v>2607.1856308065944</v>
      </c>
      <c r="J29" s="32">
        <f>I29/H29*100</f>
        <v>9.924266504139753</v>
      </c>
      <c r="K29" s="36">
        <f t="shared" si="5"/>
        <v>-2646.9772430320845</v>
      </c>
      <c r="L29" s="30">
        <f t="shared" si="6"/>
        <v>73.18563080659442</v>
      </c>
      <c r="M29" s="34">
        <f t="shared" si="2"/>
        <v>0.2540743011517757</v>
      </c>
      <c r="N29" s="38">
        <f t="shared" si="7"/>
        <v>-2807.29580611275</v>
      </c>
      <c r="O29" s="100"/>
    </row>
    <row r="30" spans="1:15" s="4" customFormat="1" ht="12.75">
      <c r="A30" s="18">
        <f t="shared" si="3"/>
        <v>2030</v>
      </c>
      <c r="B30" s="18"/>
      <c r="C30" s="44">
        <v>28875</v>
      </c>
      <c r="D30" s="90">
        <v>0</v>
      </c>
      <c r="E30" s="44">
        <f>C30+D30</f>
        <v>28875</v>
      </c>
      <c r="F30" s="44">
        <v>29397.66178369829</v>
      </c>
      <c r="G30" s="44">
        <v>2584</v>
      </c>
      <c r="H30" s="44">
        <f>F30-G30</f>
        <v>26813.66178369829</v>
      </c>
      <c r="I30" s="31">
        <f>E30-H30</f>
        <v>2061.3382163017086</v>
      </c>
      <c r="J30" s="33">
        <f>I30/H30*100</f>
        <v>7.687641594535684</v>
      </c>
      <c r="K30" s="37">
        <f t="shared" si="5"/>
        <v>-3301.3941404379475</v>
      </c>
      <c r="L30" s="31">
        <f t="shared" si="6"/>
        <v>-522.6617836982914</v>
      </c>
      <c r="M30" s="35">
        <f t="shared" si="2"/>
        <v>-1.7779025677073401</v>
      </c>
      <c r="N30" s="39">
        <f t="shared" si="7"/>
        <v>-3462.4279620681227</v>
      </c>
      <c r="O30" s="100"/>
    </row>
    <row r="31" spans="1:4" ht="12" customHeight="1">
      <c r="A31" s="5"/>
      <c r="B31" s="5" t="s">
        <v>64</v>
      </c>
      <c r="C31" s="5"/>
      <c r="D31" s="5"/>
    </row>
    <row r="32" spans="1:11" ht="12.75">
      <c r="A32" s="6"/>
      <c r="B32" s="6"/>
      <c r="C32" s="6"/>
      <c r="D32" s="6"/>
      <c r="E32" s="7"/>
      <c r="F32" s="7"/>
      <c r="G32" s="7"/>
      <c r="H32" s="7"/>
      <c r="I32" s="7"/>
      <c r="J32" s="7"/>
      <c r="K32" s="7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</sheetData>
  <sheetProtection/>
  <mergeCells count="10">
    <mergeCell ref="I12:J12"/>
    <mergeCell ref="L12:M12"/>
    <mergeCell ref="I13:J13"/>
    <mergeCell ref="L13:M13"/>
    <mergeCell ref="A5:N5"/>
    <mergeCell ref="A6:N6"/>
    <mergeCell ref="I10:K10"/>
    <mergeCell ref="L10:N10"/>
    <mergeCell ref="I11:J11"/>
    <mergeCell ref="L11:M11"/>
  </mergeCells>
  <conditionalFormatting sqref="N19:N30">
    <cfRule type="cellIs" priority="4" dxfId="21" operator="lessThan" stopIfTrue="1">
      <formula>0</formula>
    </cfRule>
  </conditionalFormatting>
  <printOptions horizontalCentered="1"/>
  <pageMargins left="0.25" right="0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 transitionEvaluation="1" transitionEntry="1">
    <tabColor theme="3" tint="-0.24997000396251678"/>
  </sheetPr>
  <dimension ref="A1:N60"/>
  <sheetViews>
    <sheetView showGridLines="0" zoomScalePageLayoutView="0" workbookViewId="0" topLeftCell="A1">
      <selection activeCell="N2" sqref="N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1" spans="2:14" ht="12.75">
      <c r="B1" s="42" t="s">
        <v>29</v>
      </c>
      <c r="C1" s="42"/>
      <c r="D1" s="42"/>
      <c r="N1" s="41"/>
    </row>
    <row r="2" spans="2:14" ht="13.5">
      <c r="B2" s="94" t="s">
        <v>58</v>
      </c>
      <c r="C2" s="92"/>
      <c r="D2" s="92"/>
      <c r="N2" s="1"/>
    </row>
    <row r="3" spans="2:14" ht="12.75">
      <c r="B3" s="95" t="str">
        <f>B33</f>
        <v>Plan 4: Solar and Batteries</v>
      </c>
      <c r="C3" s="92"/>
      <c r="D3" s="92"/>
      <c r="N3" s="1"/>
    </row>
    <row r="4" spans="1:14" ht="15.75">
      <c r="A4" s="117" t="s">
        <v>26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>
      <c r="A5" s="117" t="s">
        <v>27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4" ht="12.75">
      <c r="A6" s="2"/>
      <c r="B6" s="2"/>
      <c r="C6" s="2"/>
      <c r="D6" s="2"/>
    </row>
    <row r="7" spans="1:14" ht="12.75">
      <c r="A7" s="3">
        <v>-1</v>
      </c>
      <c r="B7" s="3">
        <v>-2</v>
      </c>
      <c r="C7" s="3">
        <v>-3</v>
      </c>
      <c r="D7" s="3">
        <v>-4</v>
      </c>
      <c r="E7" s="3">
        <v>-5</v>
      </c>
      <c r="F7" s="3">
        <v>-6</v>
      </c>
      <c r="G7" s="3">
        <v>-7</v>
      </c>
      <c r="H7" s="3">
        <v>-8</v>
      </c>
      <c r="I7" s="3">
        <v>-9</v>
      </c>
      <c r="J7" s="3">
        <v>-10</v>
      </c>
      <c r="K7" s="3">
        <v>-11</v>
      </c>
      <c r="L7" s="3">
        <v>-12</v>
      </c>
      <c r="M7" s="3">
        <v>-13</v>
      </c>
      <c r="N7" s="40">
        <v>-14</v>
      </c>
    </row>
    <row r="8" spans="1:14" ht="12.75" hidden="1">
      <c r="A8" s="3">
        <v>-1</v>
      </c>
      <c r="B8" s="3">
        <v>-2</v>
      </c>
      <c r="C8" s="3"/>
      <c r="D8" s="3"/>
      <c r="E8" s="3">
        <v>-3</v>
      </c>
      <c r="F8" s="3">
        <v>-4</v>
      </c>
      <c r="G8" s="3">
        <v>-5</v>
      </c>
      <c r="H8" s="3">
        <v>-6</v>
      </c>
      <c r="I8" s="3">
        <v>-7</v>
      </c>
      <c r="J8" s="3">
        <v>-8</v>
      </c>
      <c r="K8" s="3">
        <v>-9</v>
      </c>
      <c r="L8" s="3">
        <v>-10</v>
      </c>
      <c r="M8" s="3">
        <v>-11</v>
      </c>
      <c r="N8" s="40">
        <v>-12</v>
      </c>
    </row>
    <row r="9" spans="1:14" ht="12.75">
      <c r="A9" s="19"/>
      <c r="B9" s="16"/>
      <c r="C9" s="12"/>
      <c r="D9" s="45"/>
      <c r="E9" s="12"/>
      <c r="F9" s="15"/>
      <c r="G9" s="12"/>
      <c r="H9" s="12"/>
      <c r="I9" s="118" t="s">
        <v>18</v>
      </c>
      <c r="J9" s="119"/>
      <c r="K9" s="120"/>
      <c r="L9" s="121" t="s">
        <v>24</v>
      </c>
      <c r="M9" s="122"/>
      <c r="N9" s="123"/>
    </row>
    <row r="10" spans="1:14" ht="12.75">
      <c r="A10" s="14"/>
      <c r="B10" s="14"/>
      <c r="C10" s="13" t="s">
        <v>7</v>
      </c>
      <c r="D10" s="46" t="s">
        <v>28</v>
      </c>
      <c r="E10" s="13" t="s">
        <v>7</v>
      </c>
      <c r="F10" s="14"/>
      <c r="G10" s="14"/>
      <c r="H10" s="13" t="s">
        <v>10</v>
      </c>
      <c r="I10" s="124"/>
      <c r="J10" s="125"/>
      <c r="K10" s="8" t="s">
        <v>19</v>
      </c>
      <c r="L10" s="124"/>
      <c r="M10" s="125"/>
      <c r="N10" s="8" t="s">
        <v>19</v>
      </c>
    </row>
    <row r="11" spans="1:14" ht="12.75">
      <c r="A11" s="14"/>
      <c r="B11" s="14"/>
      <c r="C11" s="14" t="s">
        <v>10</v>
      </c>
      <c r="D11" s="46" t="s">
        <v>10</v>
      </c>
      <c r="E11" s="14" t="s">
        <v>10</v>
      </c>
      <c r="F11" s="13" t="s">
        <v>7</v>
      </c>
      <c r="G11" s="14"/>
      <c r="H11" s="13" t="s">
        <v>0</v>
      </c>
      <c r="I11" s="113"/>
      <c r="J11" s="114"/>
      <c r="K11" s="9" t="s">
        <v>20</v>
      </c>
      <c r="L11" s="113"/>
      <c r="M11" s="114"/>
      <c r="N11" s="9" t="s">
        <v>20</v>
      </c>
    </row>
    <row r="12" spans="1:14" ht="15.75" customHeight="1">
      <c r="A12" s="14"/>
      <c r="B12" s="14"/>
      <c r="C12" s="13" t="s">
        <v>4</v>
      </c>
      <c r="D12" s="46" t="s">
        <v>4</v>
      </c>
      <c r="E12" s="13" t="s">
        <v>4</v>
      </c>
      <c r="F12" s="13" t="s">
        <v>1</v>
      </c>
      <c r="G12" s="13"/>
      <c r="H12" s="13" t="s">
        <v>1</v>
      </c>
      <c r="I12" s="113"/>
      <c r="J12" s="114"/>
      <c r="K12" s="10" t="s">
        <v>21</v>
      </c>
      <c r="L12" s="115"/>
      <c r="M12" s="116"/>
      <c r="N12" s="10" t="s">
        <v>21</v>
      </c>
    </row>
    <row r="13" spans="1:14" ht="15" customHeight="1">
      <c r="A13" s="14"/>
      <c r="B13" s="14" t="s">
        <v>6</v>
      </c>
      <c r="C13" s="13" t="s">
        <v>11</v>
      </c>
      <c r="D13" s="46" t="s">
        <v>3</v>
      </c>
      <c r="E13" s="13" t="s">
        <v>11</v>
      </c>
      <c r="F13" s="13" t="s">
        <v>12</v>
      </c>
      <c r="G13" s="13" t="s">
        <v>2</v>
      </c>
      <c r="H13" s="14" t="s">
        <v>12</v>
      </c>
      <c r="I13" s="27" t="s">
        <v>25</v>
      </c>
      <c r="J13" s="28"/>
      <c r="K13" s="11" t="s">
        <v>22</v>
      </c>
      <c r="L13" s="26" t="s">
        <v>25</v>
      </c>
      <c r="M13" s="29"/>
      <c r="N13" s="11" t="s">
        <v>23</v>
      </c>
    </row>
    <row r="14" spans="1:14" ht="12.75">
      <c r="A14" s="20" t="s">
        <v>5</v>
      </c>
      <c r="B14" s="20" t="s">
        <v>3</v>
      </c>
      <c r="C14" s="20" t="s">
        <v>8</v>
      </c>
      <c r="D14" s="47" t="s">
        <v>8</v>
      </c>
      <c r="E14" s="20" t="s">
        <v>8</v>
      </c>
      <c r="F14" s="20" t="s">
        <v>8</v>
      </c>
      <c r="G14" s="20" t="s">
        <v>8</v>
      </c>
      <c r="H14" s="20" t="s">
        <v>8</v>
      </c>
      <c r="I14" s="21" t="s">
        <v>8</v>
      </c>
      <c r="J14" s="22" t="s">
        <v>9</v>
      </c>
      <c r="K14" s="23" t="s">
        <v>8</v>
      </c>
      <c r="L14" s="24" t="s">
        <v>13</v>
      </c>
      <c r="M14" s="25" t="s">
        <v>17</v>
      </c>
      <c r="N14" s="23" t="s">
        <v>8</v>
      </c>
    </row>
    <row r="15" spans="1:14" s="4" customFormat="1" ht="12.75" hidden="1">
      <c r="A15" s="17">
        <v>2016</v>
      </c>
      <c r="B15" s="17"/>
      <c r="C15" s="43">
        <v>27238.0286375</v>
      </c>
      <c r="D15" s="48">
        <v>0</v>
      </c>
      <c r="E15" s="43">
        <f>C15+D15</f>
        <v>27238.0286375</v>
      </c>
      <c r="F15" s="43">
        <v>24169.686546596025</v>
      </c>
      <c r="G15" s="43">
        <v>1842.4666740400107</v>
      </c>
      <c r="H15" s="43">
        <f aca="true" t="shared" si="0" ref="H15:H24">F15-G15</f>
        <v>22327.219872556016</v>
      </c>
      <c r="I15" s="30">
        <f>E15-H15</f>
        <v>4910.808764943984</v>
      </c>
      <c r="J15" s="32">
        <f aca="true" t="shared" si="1" ref="J15:J24">I15/H15*100</f>
        <v>21.994716731303438</v>
      </c>
      <c r="K15" s="36">
        <f>E15-H15*1.2</f>
        <v>445.36479043278086</v>
      </c>
      <c r="L15" s="30">
        <f>E15-F15</f>
        <v>3068.342090903974</v>
      </c>
      <c r="M15" s="34">
        <f aca="true" t="shared" si="2" ref="M15:M29">L15/F15*100</f>
        <v>12.695001587995804</v>
      </c>
      <c r="N15" s="38">
        <f>E15-F15*1.1</f>
        <v>651.3734362443683</v>
      </c>
    </row>
    <row r="16" spans="1:14" s="4" customFormat="1" ht="12.75" hidden="1">
      <c r="A16" s="17">
        <f aca="true" t="shared" si="3" ref="A16:A29">A15+1</f>
        <v>2017</v>
      </c>
      <c r="B16" s="17"/>
      <c r="C16" s="43">
        <v>26881.95290135625</v>
      </c>
      <c r="D16" s="48">
        <v>0</v>
      </c>
      <c r="E16" s="43">
        <f>C16+D16</f>
        <v>26881.95290135625</v>
      </c>
      <c r="F16" s="43">
        <v>24336.040599945238</v>
      </c>
      <c r="G16" s="43">
        <v>1934.8048828331127</v>
      </c>
      <c r="H16" s="43">
        <f t="shared" si="0"/>
        <v>22401.235717112126</v>
      </c>
      <c r="I16" s="30">
        <f aca="true" t="shared" si="4" ref="I16:I24">E16-H16</f>
        <v>4480.717184244124</v>
      </c>
      <c r="J16" s="32">
        <f t="shared" si="1"/>
        <v>20.002098280771804</v>
      </c>
      <c r="K16" s="36">
        <f aca="true" t="shared" si="5" ref="K16:K29">E16-H16*1.2</f>
        <v>0.4700408216995129</v>
      </c>
      <c r="L16" s="30">
        <f aca="true" t="shared" si="6" ref="L16:L29">E16-F16</f>
        <v>2545.912301411012</v>
      </c>
      <c r="M16" s="34">
        <f t="shared" si="2"/>
        <v>10.461489373981161</v>
      </c>
      <c r="N16" s="38">
        <f aca="true" t="shared" si="7" ref="N16:N29">E16-F16*1.1</f>
        <v>112.30824141648554</v>
      </c>
    </row>
    <row r="17" spans="1:14" s="4" customFormat="1" ht="12.75" hidden="1">
      <c r="A17" s="17">
        <f t="shared" si="3"/>
        <v>2018</v>
      </c>
      <c r="B17" s="17"/>
      <c r="C17" s="43">
        <v>27133.509127497437</v>
      </c>
      <c r="D17" s="48">
        <v>0</v>
      </c>
      <c r="E17" s="43">
        <f aca="true" t="shared" si="8" ref="E17:E28">C17+D17</f>
        <v>27133.509127497437</v>
      </c>
      <c r="F17" s="43">
        <v>24606.278955403854</v>
      </c>
      <c r="G17" s="43">
        <v>1995.2014194263602</v>
      </c>
      <c r="H17" s="43">
        <f t="shared" si="0"/>
        <v>22611.077535977493</v>
      </c>
      <c r="I17" s="30">
        <f t="shared" si="4"/>
        <v>4522.431591519944</v>
      </c>
      <c r="J17" s="32">
        <f t="shared" si="1"/>
        <v>20.000955656907998</v>
      </c>
      <c r="K17" s="36">
        <f t="shared" si="5"/>
        <v>0.21608432444554637</v>
      </c>
      <c r="L17" s="30">
        <f t="shared" si="6"/>
        <v>2527.230172093583</v>
      </c>
      <c r="M17" s="34">
        <f t="shared" si="2"/>
        <v>10.270671874743462</v>
      </c>
      <c r="N17" s="38">
        <f t="shared" si="7"/>
        <v>66.60227655319613</v>
      </c>
    </row>
    <row r="18" spans="1:14" s="4" customFormat="1" ht="12.75">
      <c r="A18" s="17">
        <f t="shared" si="3"/>
        <v>2019</v>
      </c>
      <c r="B18" s="17" t="s">
        <v>15</v>
      </c>
      <c r="C18" s="43">
        <v>28551.067017858702</v>
      </c>
      <c r="D18" s="89">
        <v>0</v>
      </c>
      <c r="E18" s="43">
        <f t="shared" si="8"/>
        <v>28551.067017858702</v>
      </c>
      <c r="F18" s="43">
        <v>24893.09445872483</v>
      </c>
      <c r="G18" s="43">
        <v>2041.4456948504048</v>
      </c>
      <c r="H18" s="43">
        <f t="shared" si="0"/>
        <v>22851.648763874426</v>
      </c>
      <c r="I18" s="30">
        <f t="shared" si="4"/>
        <v>5699.418253984277</v>
      </c>
      <c r="J18" s="32">
        <f t="shared" si="1"/>
        <v>24.940949832006602</v>
      </c>
      <c r="K18" s="36">
        <f t="shared" si="5"/>
        <v>1129.0885012093931</v>
      </c>
      <c r="L18" s="30">
        <f t="shared" si="6"/>
        <v>3657.972559133872</v>
      </c>
      <c r="M18" s="34">
        <f t="shared" si="2"/>
        <v>14.694728151211356</v>
      </c>
      <c r="N18" s="38">
        <f t="shared" si="7"/>
        <v>1168.6631132613875</v>
      </c>
    </row>
    <row r="19" spans="1:14" s="4" customFormat="1" ht="12.75">
      <c r="A19" s="17">
        <f t="shared" si="3"/>
        <v>2020</v>
      </c>
      <c r="B19" s="17" t="s">
        <v>16</v>
      </c>
      <c r="C19" s="43">
        <v>27994.626565283546</v>
      </c>
      <c r="D19" s="89">
        <f aca="true" t="shared" si="9" ref="D19:D29">D18+C37+E37+K37</f>
        <v>20.5</v>
      </c>
      <c r="E19" s="43">
        <f t="shared" si="8"/>
        <v>28015.126565283546</v>
      </c>
      <c r="F19" s="43">
        <v>25205.928535800045</v>
      </c>
      <c r="G19" s="43">
        <v>2088.462209365558</v>
      </c>
      <c r="H19" s="43">
        <f t="shared" si="0"/>
        <v>23117.466326434485</v>
      </c>
      <c r="I19" s="30">
        <f t="shared" si="4"/>
        <v>4897.660238849061</v>
      </c>
      <c r="J19" s="32">
        <f t="shared" si="1"/>
        <v>21.18597327964379</v>
      </c>
      <c r="K19" s="36">
        <f t="shared" si="5"/>
        <v>274.16697356216537</v>
      </c>
      <c r="L19" s="30">
        <f t="shared" si="6"/>
        <v>2809.198029483501</v>
      </c>
      <c r="M19" s="34">
        <f t="shared" si="2"/>
        <v>11.144989265099241</v>
      </c>
      <c r="N19" s="38">
        <f t="shared" si="7"/>
        <v>288.60517590349264</v>
      </c>
    </row>
    <row r="20" spans="1:14" s="4" customFormat="1" ht="12.75">
      <c r="A20" s="17">
        <f t="shared" si="3"/>
        <v>2021</v>
      </c>
      <c r="B20" s="17" t="s">
        <v>14</v>
      </c>
      <c r="C20" s="43">
        <v>28141.719762651013</v>
      </c>
      <c r="D20" s="89">
        <f t="shared" si="9"/>
        <v>71.54499999999999</v>
      </c>
      <c r="E20" s="43">
        <f t="shared" si="8"/>
        <v>28213.26476265101</v>
      </c>
      <c r="F20" s="43">
        <v>25316.416253234296</v>
      </c>
      <c r="G20" s="43">
        <v>2136.2343409014484</v>
      </c>
      <c r="H20" s="43">
        <f t="shared" si="0"/>
        <v>23180.181912332846</v>
      </c>
      <c r="I20" s="30">
        <f t="shared" si="4"/>
        <v>5033.082850318166</v>
      </c>
      <c r="J20" s="32">
        <f t="shared" si="1"/>
        <v>21.712870370703826</v>
      </c>
      <c r="K20" s="36">
        <f t="shared" si="5"/>
        <v>397.0464678515964</v>
      </c>
      <c r="L20" s="30">
        <f t="shared" si="6"/>
        <v>2896.8485094167154</v>
      </c>
      <c r="M20" s="34">
        <f t="shared" si="2"/>
        <v>11.442569439687691</v>
      </c>
      <c r="N20" s="38">
        <f t="shared" si="7"/>
        <v>365.2068840932843</v>
      </c>
    </row>
    <row r="21" spans="1:14" s="4" customFormat="1" ht="12.75">
      <c r="A21" s="17">
        <f t="shared" si="3"/>
        <v>2022</v>
      </c>
      <c r="B21" s="17" t="s">
        <v>63</v>
      </c>
      <c r="C21" s="43">
        <v>28271.816006875466</v>
      </c>
      <c r="D21" s="89">
        <f t="shared" si="9"/>
        <v>116.64499999999998</v>
      </c>
      <c r="E21" s="43">
        <f t="shared" si="8"/>
        <v>28388.461006875466</v>
      </c>
      <c r="F21" s="43">
        <v>25540.189209268094</v>
      </c>
      <c r="G21" s="43">
        <v>2184.7465153952003</v>
      </c>
      <c r="H21" s="43">
        <f t="shared" si="0"/>
        <v>23355.442693872894</v>
      </c>
      <c r="I21" s="30">
        <f t="shared" si="4"/>
        <v>5033.0183130025725</v>
      </c>
      <c r="J21" s="32">
        <f t="shared" si="1"/>
        <v>21.549659233489688</v>
      </c>
      <c r="K21" s="36">
        <f t="shared" si="5"/>
        <v>361.92977422799595</v>
      </c>
      <c r="L21" s="30">
        <f t="shared" si="6"/>
        <v>2848.2717976073727</v>
      </c>
      <c r="M21" s="34">
        <f t="shared" si="2"/>
        <v>11.152117058607319</v>
      </c>
      <c r="N21" s="38">
        <f t="shared" si="7"/>
        <v>294.2528766805626</v>
      </c>
    </row>
    <row r="22" spans="1:14" s="4" customFormat="1" ht="12.75">
      <c r="A22" s="17">
        <f t="shared" si="3"/>
        <v>2023</v>
      </c>
      <c r="B22" s="17" t="s">
        <v>62</v>
      </c>
      <c r="C22" s="43">
        <v>28898</v>
      </c>
      <c r="D22" s="89">
        <f t="shared" si="9"/>
        <v>135.74499999999998</v>
      </c>
      <c r="E22" s="43">
        <f t="shared" si="8"/>
        <v>29033.745</v>
      </c>
      <c r="F22" s="43">
        <v>25832.903255827194</v>
      </c>
      <c r="G22" s="43">
        <v>2234.0294854316176</v>
      </c>
      <c r="H22" s="43">
        <f t="shared" si="0"/>
        <v>23598.873770395578</v>
      </c>
      <c r="I22" s="30">
        <f t="shared" si="4"/>
        <v>5434.871229604421</v>
      </c>
      <c r="J22" s="32">
        <f t="shared" si="1"/>
        <v>23.03021441820831</v>
      </c>
      <c r="K22" s="36">
        <f t="shared" si="5"/>
        <v>715.096475525308</v>
      </c>
      <c r="L22" s="30">
        <f t="shared" si="6"/>
        <v>3200.841744172805</v>
      </c>
      <c r="M22" s="34">
        <f t="shared" si="2"/>
        <v>12.390561418801362</v>
      </c>
      <c r="N22" s="38">
        <f t="shared" si="7"/>
        <v>617.5514185900829</v>
      </c>
    </row>
    <row r="23" spans="1:14" s="4" customFormat="1" ht="13.5" thickBot="1">
      <c r="A23" s="49">
        <f t="shared" si="3"/>
        <v>2024</v>
      </c>
      <c r="B23" s="49"/>
      <c r="C23" s="50">
        <v>28895</v>
      </c>
      <c r="D23" s="93">
        <f t="shared" si="9"/>
        <v>154.24499999999998</v>
      </c>
      <c r="E23" s="50">
        <f t="shared" si="8"/>
        <v>29049.245</v>
      </c>
      <c r="F23" s="50">
        <v>26180.278517781553</v>
      </c>
      <c r="G23" s="50">
        <v>2284.18220399574</v>
      </c>
      <c r="H23" s="50">
        <f t="shared" si="0"/>
        <v>23896.096313785813</v>
      </c>
      <c r="I23" s="51">
        <f t="shared" si="4"/>
        <v>5153.1486862141865</v>
      </c>
      <c r="J23" s="52">
        <f t="shared" si="1"/>
        <v>21.5648138446835</v>
      </c>
      <c r="K23" s="53">
        <f t="shared" si="5"/>
        <v>373.92942345702613</v>
      </c>
      <c r="L23" s="51">
        <f t="shared" si="6"/>
        <v>2868.966482218446</v>
      </c>
      <c r="M23" s="54">
        <f t="shared" si="2"/>
        <v>10.958502524218197</v>
      </c>
      <c r="N23" s="55">
        <f t="shared" si="7"/>
        <v>250.93863044028694</v>
      </c>
    </row>
    <row r="24" spans="1:14" s="4" customFormat="1" ht="12.75">
      <c r="A24" s="17">
        <f t="shared" si="3"/>
        <v>2025</v>
      </c>
      <c r="B24" s="17"/>
      <c r="C24" s="43">
        <v>28892</v>
      </c>
      <c r="D24" s="89">
        <f t="shared" si="9"/>
        <v>334.855</v>
      </c>
      <c r="E24" s="43">
        <f t="shared" si="8"/>
        <v>29226.855</v>
      </c>
      <c r="F24" s="43">
        <v>26572.4560211349</v>
      </c>
      <c r="G24" s="43">
        <v>2334</v>
      </c>
      <c r="H24" s="43">
        <f t="shared" si="0"/>
        <v>24238.4560211349</v>
      </c>
      <c r="I24" s="30">
        <f t="shared" si="4"/>
        <v>4988.398978865098</v>
      </c>
      <c r="J24" s="32">
        <f t="shared" si="1"/>
        <v>20.580514594310078</v>
      </c>
      <c r="K24" s="36">
        <f t="shared" si="5"/>
        <v>140.70777463811828</v>
      </c>
      <c r="L24" s="30">
        <f t="shared" si="6"/>
        <v>2654.398978865098</v>
      </c>
      <c r="M24" s="34">
        <f t="shared" si="2"/>
        <v>9.989287315985665</v>
      </c>
      <c r="N24" s="38">
        <f t="shared" si="7"/>
        <v>-2.84662324839519</v>
      </c>
    </row>
    <row r="25" spans="1:14" s="4" customFormat="1" ht="12.75">
      <c r="A25" s="17">
        <f t="shared" si="3"/>
        <v>2026</v>
      </c>
      <c r="B25" s="17"/>
      <c r="C25" s="43">
        <v>28889</v>
      </c>
      <c r="D25" s="89">
        <f t="shared" si="9"/>
        <v>951.355</v>
      </c>
      <c r="E25" s="43">
        <f t="shared" si="8"/>
        <v>29840.355</v>
      </c>
      <c r="F25" s="43">
        <v>27067.6000853683</v>
      </c>
      <c r="G25" s="43">
        <v>2384</v>
      </c>
      <c r="H25" s="43">
        <f>F25-G25</f>
        <v>24683.6000853683</v>
      </c>
      <c r="I25" s="30">
        <f>E25-H25</f>
        <v>5156.7549146317</v>
      </c>
      <c r="J25" s="32">
        <f>I25/H25*100</f>
        <v>20.891421416637154</v>
      </c>
      <c r="K25" s="36">
        <f t="shared" si="5"/>
        <v>220.03489755804185</v>
      </c>
      <c r="L25" s="30">
        <f t="shared" si="6"/>
        <v>2772.7549146316996</v>
      </c>
      <c r="M25" s="34">
        <f t="shared" si="2"/>
        <v>10.243815136497986</v>
      </c>
      <c r="N25" s="38">
        <f t="shared" si="7"/>
        <v>65.99490609486747</v>
      </c>
    </row>
    <row r="26" spans="1:14" s="4" customFormat="1" ht="12.75">
      <c r="A26" s="17">
        <f t="shared" si="3"/>
        <v>2027</v>
      </c>
      <c r="B26" s="17"/>
      <c r="C26" s="43">
        <v>28883</v>
      </c>
      <c r="D26" s="89">
        <f t="shared" si="9"/>
        <v>1567.855</v>
      </c>
      <c r="E26" s="43">
        <f t="shared" si="8"/>
        <v>30450.855</v>
      </c>
      <c r="F26" s="43">
        <v>27665.21915802903</v>
      </c>
      <c r="G26" s="43">
        <v>2434</v>
      </c>
      <c r="H26" s="43">
        <f>F26-G26</f>
        <v>25231.21915802903</v>
      </c>
      <c r="I26" s="30">
        <f>E26-H26</f>
        <v>5219.635841970969</v>
      </c>
      <c r="J26" s="32">
        <f>I26/H26*100</f>
        <v>20.68721217662598</v>
      </c>
      <c r="K26" s="36">
        <f t="shared" si="5"/>
        <v>173.39201036516533</v>
      </c>
      <c r="L26" s="30">
        <f t="shared" si="6"/>
        <v>2785.6358419709686</v>
      </c>
      <c r="M26" s="34">
        <f t="shared" si="2"/>
        <v>10.069090094890928</v>
      </c>
      <c r="N26" s="38">
        <f t="shared" si="7"/>
        <v>19.11392616806188</v>
      </c>
    </row>
    <row r="27" spans="1:14" s="4" customFormat="1" ht="12.75">
      <c r="A27" s="17">
        <f t="shared" si="3"/>
        <v>2028</v>
      </c>
      <c r="B27" s="17"/>
      <c r="C27" s="43">
        <v>28880</v>
      </c>
      <c r="D27" s="89">
        <f t="shared" si="9"/>
        <v>2184.355</v>
      </c>
      <c r="E27" s="43">
        <f t="shared" si="8"/>
        <v>31064.355</v>
      </c>
      <c r="F27" s="43">
        <v>28224.724306714037</v>
      </c>
      <c r="G27" s="43">
        <v>2484</v>
      </c>
      <c r="H27" s="43">
        <f>F27-G27</f>
        <v>25740.724306714037</v>
      </c>
      <c r="I27" s="30">
        <f>E27-H27</f>
        <v>5323.6306932859625</v>
      </c>
      <c r="J27" s="32">
        <f>I27/H27*100</f>
        <v>20.68174395503464</v>
      </c>
      <c r="K27" s="36">
        <f t="shared" si="5"/>
        <v>175.48583194315506</v>
      </c>
      <c r="L27" s="30">
        <f t="shared" si="6"/>
        <v>2839.6306932859625</v>
      </c>
      <c r="M27" s="34">
        <f t="shared" si="2"/>
        <v>10.060791603943061</v>
      </c>
      <c r="N27" s="38">
        <f t="shared" si="7"/>
        <v>17.158262614557316</v>
      </c>
    </row>
    <row r="28" spans="1:14" s="4" customFormat="1" ht="12.75">
      <c r="A28" s="17">
        <f t="shared" si="3"/>
        <v>2029</v>
      </c>
      <c r="B28" s="13"/>
      <c r="C28" s="43">
        <v>28878</v>
      </c>
      <c r="D28" s="89">
        <f t="shared" si="9"/>
        <v>2800.855</v>
      </c>
      <c r="E28" s="43">
        <f t="shared" si="8"/>
        <v>31678.855</v>
      </c>
      <c r="F28" s="43">
        <v>28804.814369193406</v>
      </c>
      <c r="G28" s="43">
        <v>2534</v>
      </c>
      <c r="H28" s="43">
        <f>F28-G28</f>
        <v>26270.814369193406</v>
      </c>
      <c r="I28" s="30">
        <f>E28-H28</f>
        <v>5408.040630806594</v>
      </c>
      <c r="J28" s="32">
        <f>I28/H28*100</f>
        <v>20.585736531823535</v>
      </c>
      <c r="K28" s="36">
        <f t="shared" si="5"/>
        <v>153.87775696791505</v>
      </c>
      <c r="L28" s="30">
        <f t="shared" si="6"/>
        <v>2874.040630806594</v>
      </c>
      <c r="M28" s="34">
        <f t="shared" si="2"/>
        <v>9.97763982773784</v>
      </c>
      <c r="N28" s="38">
        <f t="shared" si="7"/>
        <v>-6.440806112750579</v>
      </c>
    </row>
    <row r="29" spans="1:14" s="4" customFormat="1" ht="12.75">
      <c r="A29" s="18">
        <f t="shared" si="3"/>
        <v>2030</v>
      </c>
      <c r="B29" s="18"/>
      <c r="C29" s="44">
        <v>28875</v>
      </c>
      <c r="D29" s="90">
        <f t="shared" si="9"/>
        <v>3417.355</v>
      </c>
      <c r="E29" s="44">
        <f>C29+D29</f>
        <v>32292.355</v>
      </c>
      <c r="F29" s="44">
        <v>29397.66178369829</v>
      </c>
      <c r="G29" s="44">
        <v>2584</v>
      </c>
      <c r="H29" s="44">
        <f>F29-G29</f>
        <v>26813.66178369829</v>
      </c>
      <c r="I29" s="31">
        <f>E29-H29</f>
        <v>5478.693216301708</v>
      </c>
      <c r="J29" s="33">
        <f>I29/H29*100</f>
        <v>20.432469315446316</v>
      </c>
      <c r="K29" s="37">
        <f t="shared" si="5"/>
        <v>115.96085956205206</v>
      </c>
      <c r="L29" s="31">
        <f t="shared" si="6"/>
        <v>2894.693216301708</v>
      </c>
      <c r="M29" s="35">
        <f t="shared" si="2"/>
        <v>9.846678411365644</v>
      </c>
      <c r="N29" s="39">
        <f t="shared" si="7"/>
        <v>-45.07296206812316</v>
      </c>
    </row>
    <row r="30" spans="1:4" ht="12" customHeight="1">
      <c r="A30" s="5"/>
      <c r="B30" s="5" t="s">
        <v>64</v>
      </c>
      <c r="C30" s="5"/>
      <c r="D30" s="5"/>
    </row>
    <row r="31" spans="1:11" ht="12.75">
      <c r="A31" s="6"/>
      <c r="B31" s="6"/>
      <c r="C31" s="6"/>
      <c r="D31" s="6"/>
      <c r="E31" s="4"/>
      <c r="F31" s="4"/>
      <c r="G31" s="4"/>
      <c r="H31" s="4"/>
      <c r="I31" s="4"/>
      <c r="J31" s="4"/>
      <c r="K31" s="4"/>
    </row>
    <row r="32" spans="1:4" ht="12.75">
      <c r="A32" s="2"/>
      <c r="B32" s="2"/>
      <c r="C32" s="2"/>
      <c r="D32" s="2"/>
    </row>
    <row r="33" spans="1:11" ht="15.75">
      <c r="A33" s="91"/>
      <c r="B33" s="126" t="s">
        <v>59</v>
      </c>
      <c r="C33" s="127"/>
      <c r="D33" s="127"/>
      <c r="E33" s="128"/>
      <c r="H33" s="70"/>
      <c r="I33" s="70"/>
      <c r="J33" s="71" t="s">
        <v>38</v>
      </c>
      <c r="K33" s="70"/>
    </row>
    <row r="34" spans="1:11" ht="15">
      <c r="A34" s="91"/>
      <c r="B34" s="56"/>
      <c r="C34" s="57" t="s">
        <v>31</v>
      </c>
      <c r="D34" s="57" t="s">
        <v>32</v>
      </c>
      <c r="E34" s="58"/>
      <c r="H34" s="96" t="s">
        <v>39</v>
      </c>
      <c r="I34" s="72" t="s">
        <v>40</v>
      </c>
      <c r="J34" s="72" t="s">
        <v>41</v>
      </c>
      <c r="K34" s="72" t="s">
        <v>42</v>
      </c>
    </row>
    <row r="35" spans="1:11" ht="15">
      <c r="A35" s="91"/>
      <c r="B35" s="59"/>
      <c r="C35" s="60" t="s">
        <v>33</v>
      </c>
      <c r="D35" s="60" t="s">
        <v>33</v>
      </c>
      <c r="E35" s="61" t="s">
        <v>34</v>
      </c>
      <c r="H35" s="96" t="s">
        <v>43</v>
      </c>
      <c r="I35" s="72" t="s">
        <v>8</v>
      </c>
      <c r="J35" s="72" t="s">
        <v>44</v>
      </c>
      <c r="K35" s="72" t="s">
        <v>45</v>
      </c>
    </row>
    <row r="36" spans="1:5" ht="15">
      <c r="A36" s="9"/>
      <c r="B36" s="62" t="s">
        <v>5</v>
      </c>
      <c r="C36" s="63" t="s">
        <v>8</v>
      </c>
      <c r="D36" s="63" t="s">
        <v>8</v>
      </c>
      <c r="E36" s="61" t="s">
        <v>8</v>
      </c>
    </row>
    <row r="37" spans="1:11" ht="12.75">
      <c r="A37" s="9"/>
      <c r="B37" s="69">
        <v>2020</v>
      </c>
      <c r="C37" s="64">
        <v>0</v>
      </c>
      <c r="D37" s="64">
        <v>50</v>
      </c>
      <c r="E37" s="64">
        <v>0</v>
      </c>
      <c r="H37" s="77">
        <v>1700</v>
      </c>
      <c r="I37" s="74">
        <f>H37+D37</f>
        <v>1750</v>
      </c>
      <c r="J37" s="76">
        <v>0.41</v>
      </c>
      <c r="K37" s="75">
        <f>D37*J37</f>
        <v>20.5</v>
      </c>
    </row>
    <row r="38" spans="1:11" ht="12.75">
      <c r="A38" s="9"/>
      <c r="B38" s="69">
        <v>2021</v>
      </c>
      <c r="C38" s="64">
        <v>0</v>
      </c>
      <c r="D38" s="64">
        <v>124.5</v>
      </c>
      <c r="E38" s="64">
        <v>0</v>
      </c>
      <c r="H38" s="73"/>
      <c r="I38" s="74">
        <f>I37+D38</f>
        <v>1874.5</v>
      </c>
      <c r="J38" s="76">
        <v>0.41</v>
      </c>
      <c r="K38" s="75">
        <f aca="true" t="shared" si="10" ref="K38:K47">D38*J38</f>
        <v>51.044999999999995</v>
      </c>
    </row>
    <row r="39" spans="1:11" ht="12.75">
      <c r="A39" s="9"/>
      <c r="B39" s="69">
        <v>2022</v>
      </c>
      <c r="C39" s="64">
        <v>0</v>
      </c>
      <c r="D39" s="64">
        <v>110</v>
      </c>
      <c r="E39" s="64">
        <v>0</v>
      </c>
      <c r="H39" s="73"/>
      <c r="I39" s="74">
        <f aca="true" t="shared" si="11" ref="I39:I47">I38+D39</f>
        <v>1984.5</v>
      </c>
      <c r="J39" s="76">
        <v>0.41</v>
      </c>
      <c r="K39" s="75">
        <f t="shared" si="10"/>
        <v>45.099999999999994</v>
      </c>
    </row>
    <row r="40" spans="1:11" ht="12.75">
      <c r="A40" s="9"/>
      <c r="B40" s="69">
        <v>2023</v>
      </c>
      <c r="C40" s="64">
        <v>0</v>
      </c>
      <c r="D40" s="64">
        <v>50</v>
      </c>
      <c r="E40" s="64">
        <v>0</v>
      </c>
      <c r="H40" s="73"/>
      <c r="I40" s="74">
        <f t="shared" si="11"/>
        <v>2034.5</v>
      </c>
      <c r="J40" s="76">
        <f>((15*0.41)+(35*0.37))/50</f>
        <v>0.38199999999999995</v>
      </c>
      <c r="K40" s="75">
        <f t="shared" si="10"/>
        <v>19.099999999999998</v>
      </c>
    </row>
    <row r="41" spans="2:11" ht="12.75">
      <c r="B41" s="69">
        <v>2024</v>
      </c>
      <c r="C41" s="64">
        <v>0</v>
      </c>
      <c r="D41" s="64">
        <v>50</v>
      </c>
      <c r="E41" s="64">
        <v>0</v>
      </c>
      <c r="H41" s="73"/>
      <c r="I41" s="74">
        <f t="shared" si="11"/>
        <v>2084.5</v>
      </c>
      <c r="J41" s="76">
        <v>0.37</v>
      </c>
      <c r="K41" s="75">
        <f t="shared" si="10"/>
        <v>18.5</v>
      </c>
    </row>
    <row r="42" spans="2:11" ht="12.75">
      <c r="B42" s="69">
        <v>2025</v>
      </c>
      <c r="C42" s="64">
        <v>0</v>
      </c>
      <c r="D42" s="64">
        <v>497</v>
      </c>
      <c r="E42" s="64">
        <v>0</v>
      </c>
      <c r="H42" s="73"/>
      <c r="I42" s="74">
        <f t="shared" si="11"/>
        <v>2581.5</v>
      </c>
      <c r="J42" s="76">
        <f>((415*0.37)+(82*0.33))/497</f>
        <v>0.36340040241448696</v>
      </c>
      <c r="K42" s="75">
        <f t="shared" si="10"/>
        <v>180.61</v>
      </c>
    </row>
    <row r="43" spans="2:11" ht="12.75">
      <c r="B43" s="69">
        <v>2026</v>
      </c>
      <c r="C43" s="64">
        <v>600</v>
      </c>
      <c r="D43" s="64">
        <v>50</v>
      </c>
      <c r="E43" s="64">
        <v>0</v>
      </c>
      <c r="H43" s="73"/>
      <c r="I43" s="74">
        <f t="shared" si="11"/>
        <v>2631.5</v>
      </c>
      <c r="J43" s="76">
        <v>0.33</v>
      </c>
      <c r="K43" s="75">
        <f t="shared" si="10"/>
        <v>16.5</v>
      </c>
    </row>
    <row r="44" spans="2:11" ht="12.75">
      <c r="B44" s="69">
        <v>2027</v>
      </c>
      <c r="C44" s="64">
        <v>600</v>
      </c>
      <c r="D44" s="64">
        <v>50</v>
      </c>
      <c r="E44" s="64">
        <v>0</v>
      </c>
      <c r="H44" s="73"/>
      <c r="I44" s="74">
        <f t="shared" si="11"/>
        <v>2681.5</v>
      </c>
      <c r="J44" s="76">
        <v>0.33</v>
      </c>
      <c r="K44" s="75">
        <f t="shared" si="10"/>
        <v>16.5</v>
      </c>
    </row>
    <row r="45" spans="2:11" ht="12.75">
      <c r="B45" s="69">
        <v>2028</v>
      </c>
      <c r="C45" s="64">
        <v>600</v>
      </c>
      <c r="D45" s="64">
        <v>50</v>
      </c>
      <c r="E45" s="64">
        <v>0</v>
      </c>
      <c r="H45" s="73"/>
      <c r="I45" s="74">
        <f t="shared" si="11"/>
        <v>2731.5</v>
      </c>
      <c r="J45" s="76">
        <v>0.33</v>
      </c>
      <c r="K45" s="75">
        <f t="shared" si="10"/>
        <v>16.5</v>
      </c>
    </row>
    <row r="46" spans="2:11" ht="12.75">
      <c r="B46" s="69">
        <v>2029</v>
      </c>
      <c r="C46" s="64">
        <v>600</v>
      </c>
      <c r="D46" s="64">
        <v>50</v>
      </c>
      <c r="E46" s="64">
        <v>0</v>
      </c>
      <c r="H46" s="73"/>
      <c r="I46" s="74">
        <f t="shared" si="11"/>
        <v>2781.5</v>
      </c>
      <c r="J46" s="76">
        <v>0.33</v>
      </c>
      <c r="K46" s="75">
        <f t="shared" si="10"/>
        <v>16.5</v>
      </c>
    </row>
    <row r="47" spans="2:11" ht="12.75">
      <c r="B47" s="69">
        <v>2030</v>
      </c>
      <c r="C47" s="64">
        <v>600</v>
      </c>
      <c r="D47" s="64">
        <v>50</v>
      </c>
      <c r="E47" s="64">
        <v>0</v>
      </c>
      <c r="H47" s="73"/>
      <c r="I47" s="74">
        <f t="shared" si="11"/>
        <v>2831.5</v>
      </c>
      <c r="J47" s="76">
        <v>0.33</v>
      </c>
      <c r="K47" s="75">
        <f t="shared" si="10"/>
        <v>16.5</v>
      </c>
    </row>
    <row r="48" spans="2:11" ht="28.5" customHeight="1">
      <c r="B48" s="65" t="s">
        <v>35</v>
      </c>
      <c r="C48" s="66">
        <f>SUM(C37:C47)</f>
        <v>3000</v>
      </c>
      <c r="D48" s="66">
        <f>SUM(D37:D47)</f>
        <v>1131.5</v>
      </c>
      <c r="E48" s="66">
        <f>SUM(E37:E47)</f>
        <v>0</v>
      </c>
      <c r="H48" s="73"/>
      <c r="I48" s="73"/>
      <c r="J48" s="73"/>
      <c r="K48" s="97">
        <f>SUM(K37:K47)</f>
        <v>417.355</v>
      </c>
    </row>
    <row r="49" spans="2:5" ht="15">
      <c r="B49" s="67" t="s">
        <v>36</v>
      </c>
      <c r="C49" s="66">
        <f>C48</f>
        <v>3000</v>
      </c>
      <c r="D49" s="99">
        <f>K48</f>
        <v>417.355</v>
      </c>
      <c r="E49" s="66">
        <f>E48</f>
        <v>0</v>
      </c>
    </row>
    <row r="50" spans="2:5" ht="30">
      <c r="B50" s="67" t="s">
        <v>37</v>
      </c>
      <c r="C50" s="66">
        <f>SUM(C49:E49)</f>
        <v>3417.355</v>
      </c>
      <c r="D50" s="68"/>
      <c r="E50" s="68"/>
    </row>
    <row r="53" spans="2:7" ht="15">
      <c r="B53" s="78" t="s">
        <v>46</v>
      </c>
      <c r="C53" s="79"/>
      <c r="D53" s="79"/>
      <c r="E53" s="79"/>
      <c r="F53" s="79"/>
      <c r="G53" s="80"/>
    </row>
    <row r="54" spans="2:7" ht="12.75">
      <c r="B54" s="81"/>
      <c r="C54" s="82"/>
      <c r="D54" s="82"/>
      <c r="E54" s="82"/>
      <c r="F54" s="82"/>
      <c r="G54" s="83"/>
    </row>
    <row r="55" spans="2:7" ht="12.75">
      <c r="B55" s="81" t="s">
        <v>47</v>
      </c>
      <c r="C55" s="82"/>
      <c r="D55" s="84">
        <v>0.52</v>
      </c>
      <c r="E55" s="82"/>
      <c r="F55" s="82"/>
      <c r="G55" s="83"/>
    </row>
    <row r="56" spans="2:7" ht="12.75">
      <c r="B56" s="81" t="s">
        <v>48</v>
      </c>
      <c r="C56" s="82"/>
      <c r="D56" s="84">
        <v>0.48</v>
      </c>
      <c r="E56" s="82"/>
      <c r="F56" s="82"/>
      <c r="G56" s="83"/>
    </row>
    <row r="57" spans="2:7" ht="12.75">
      <c r="B57" s="81" t="s">
        <v>49</v>
      </c>
      <c r="C57" s="82"/>
      <c r="D57" s="84">
        <v>0.44</v>
      </c>
      <c r="E57" s="82"/>
      <c r="F57" s="82"/>
      <c r="G57" s="83"/>
    </row>
    <row r="58" spans="2:7" ht="12.75">
      <c r="B58" s="81" t="s">
        <v>50</v>
      </c>
      <c r="C58" s="82"/>
      <c r="D58" s="84">
        <v>0.41</v>
      </c>
      <c r="E58" s="82"/>
      <c r="F58" s="82"/>
      <c r="G58" s="83"/>
    </row>
    <row r="59" spans="2:7" ht="12.75">
      <c r="B59" s="81" t="s">
        <v>51</v>
      </c>
      <c r="C59" s="82"/>
      <c r="D59" s="84">
        <v>0.37</v>
      </c>
      <c r="E59" s="82"/>
      <c r="F59" s="82"/>
      <c r="G59" s="83"/>
    </row>
    <row r="60" spans="2:7" ht="12.75">
      <c r="B60" s="85" t="s">
        <v>52</v>
      </c>
      <c r="C60" s="86"/>
      <c r="D60" s="87">
        <v>0.33</v>
      </c>
      <c r="E60" s="86"/>
      <c r="F60" s="86"/>
      <c r="G60" s="88"/>
    </row>
  </sheetData>
  <sheetProtection/>
  <mergeCells count="11">
    <mergeCell ref="A4:N4"/>
    <mergeCell ref="A5:N5"/>
    <mergeCell ref="I9:K9"/>
    <mergeCell ref="L9:N9"/>
    <mergeCell ref="I10:J10"/>
    <mergeCell ref="L10:M10"/>
    <mergeCell ref="I11:J11"/>
    <mergeCell ref="L11:M11"/>
    <mergeCell ref="I12:J12"/>
    <mergeCell ref="L12:M12"/>
    <mergeCell ref="B33:E33"/>
  </mergeCells>
  <conditionalFormatting sqref="N18:N29">
    <cfRule type="cellIs" priority="3" dxfId="21" operator="lessThan" stopIfTrue="1">
      <formula>0</formula>
    </cfRule>
  </conditionalFormatting>
  <conditionalFormatting sqref="C37:E47">
    <cfRule type="cellIs" priority="2" dxfId="0" operator="greaterThan" stopIfTrue="1">
      <formula>0</formula>
    </cfRule>
  </conditionalFormatting>
  <conditionalFormatting sqref="K37:K47">
    <cfRule type="cellIs" priority="1" dxfId="22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 transitionEvaluation="1" transitionEntry="1">
    <tabColor theme="3" tint="-0.4999699890613556"/>
  </sheetPr>
  <dimension ref="A1:N60"/>
  <sheetViews>
    <sheetView showGridLines="0" zoomScalePageLayoutView="0" workbookViewId="0" topLeftCell="A1">
      <selection activeCell="N2" sqref="N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1" spans="2:14" ht="12.75">
      <c r="B1" s="42" t="s">
        <v>29</v>
      </c>
      <c r="C1" s="42"/>
      <c r="D1" s="42"/>
      <c r="N1" s="41"/>
    </row>
    <row r="2" spans="2:14" ht="13.5">
      <c r="B2" s="94" t="s">
        <v>61</v>
      </c>
      <c r="C2" s="92"/>
      <c r="D2" s="92"/>
      <c r="N2" s="1"/>
    </row>
    <row r="3" spans="2:14" ht="12.75">
      <c r="B3" s="95" t="str">
        <f>B33</f>
        <v>Plan 5: Solar and Batteries</v>
      </c>
      <c r="C3" s="92"/>
      <c r="D3" s="92"/>
      <c r="N3" s="1"/>
    </row>
    <row r="4" spans="1:14" ht="15.75">
      <c r="A4" s="117" t="s">
        <v>26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>
      <c r="A5" s="117" t="s">
        <v>27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4" ht="12.75">
      <c r="A6" s="2"/>
      <c r="B6" s="2"/>
      <c r="C6" s="2"/>
      <c r="D6" s="2"/>
    </row>
    <row r="7" spans="1:14" ht="12.75">
      <c r="A7" s="3">
        <v>-1</v>
      </c>
      <c r="B7" s="3">
        <v>-2</v>
      </c>
      <c r="C7" s="3">
        <v>-3</v>
      </c>
      <c r="D7" s="3">
        <v>-4</v>
      </c>
      <c r="E7" s="3">
        <v>-5</v>
      </c>
      <c r="F7" s="3">
        <v>-6</v>
      </c>
      <c r="G7" s="3">
        <v>-7</v>
      </c>
      <c r="H7" s="3">
        <v>-8</v>
      </c>
      <c r="I7" s="3">
        <v>-9</v>
      </c>
      <c r="J7" s="3">
        <v>-10</v>
      </c>
      <c r="K7" s="3">
        <v>-11</v>
      </c>
      <c r="L7" s="3">
        <v>-12</v>
      </c>
      <c r="M7" s="3">
        <v>-13</v>
      </c>
      <c r="N7" s="40">
        <v>-14</v>
      </c>
    </row>
    <row r="8" spans="1:14" ht="12.75" hidden="1">
      <c r="A8" s="3">
        <v>-1</v>
      </c>
      <c r="B8" s="3">
        <v>-2</v>
      </c>
      <c r="C8" s="3"/>
      <c r="D8" s="3"/>
      <c r="E8" s="3">
        <v>-3</v>
      </c>
      <c r="F8" s="3">
        <v>-4</v>
      </c>
      <c r="G8" s="3">
        <v>-5</v>
      </c>
      <c r="H8" s="3">
        <v>-6</v>
      </c>
      <c r="I8" s="3">
        <v>-7</v>
      </c>
      <c r="J8" s="3">
        <v>-8</v>
      </c>
      <c r="K8" s="3">
        <v>-9</v>
      </c>
      <c r="L8" s="3">
        <v>-10</v>
      </c>
      <c r="M8" s="3">
        <v>-11</v>
      </c>
      <c r="N8" s="40">
        <v>-12</v>
      </c>
    </row>
    <row r="9" spans="1:14" ht="12.75">
      <c r="A9" s="19"/>
      <c r="B9" s="16"/>
      <c r="C9" s="12"/>
      <c r="D9" s="45"/>
      <c r="E9" s="12"/>
      <c r="F9" s="15"/>
      <c r="G9" s="12"/>
      <c r="H9" s="12"/>
      <c r="I9" s="118" t="s">
        <v>18</v>
      </c>
      <c r="J9" s="119"/>
      <c r="K9" s="120"/>
      <c r="L9" s="121" t="s">
        <v>24</v>
      </c>
      <c r="M9" s="122"/>
      <c r="N9" s="123"/>
    </row>
    <row r="10" spans="1:14" ht="12.75">
      <c r="A10" s="14"/>
      <c r="B10" s="14"/>
      <c r="C10" s="13" t="s">
        <v>7</v>
      </c>
      <c r="D10" s="46" t="s">
        <v>28</v>
      </c>
      <c r="E10" s="13" t="s">
        <v>7</v>
      </c>
      <c r="F10" s="14"/>
      <c r="G10" s="14"/>
      <c r="H10" s="13" t="s">
        <v>10</v>
      </c>
      <c r="I10" s="124"/>
      <c r="J10" s="125"/>
      <c r="K10" s="8" t="s">
        <v>19</v>
      </c>
      <c r="L10" s="124"/>
      <c r="M10" s="125"/>
      <c r="N10" s="8" t="s">
        <v>19</v>
      </c>
    </row>
    <row r="11" spans="1:14" ht="12.75">
      <c r="A11" s="14"/>
      <c r="B11" s="14"/>
      <c r="C11" s="14" t="s">
        <v>10</v>
      </c>
      <c r="D11" s="46" t="s">
        <v>10</v>
      </c>
      <c r="E11" s="14" t="s">
        <v>10</v>
      </c>
      <c r="F11" s="13" t="s">
        <v>7</v>
      </c>
      <c r="G11" s="14"/>
      <c r="H11" s="13" t="s">
        <v>0</v>
      </c>
      <c r="I11" s="113"/>
      <c r="J11" s="114"/>
      <c r="K11" s="9" t="s">
        <v>20</v>
      </c>
      <c r="L11" s="113"/>
      <c r="M11" s="114"/>
      <c r="N11" s="9" t="s">
        <v>20</v>
      </c>
    </row>
    <row r="12" spans="1:14" ht="15.75" customHeight="1">
      <c r="A12" s="14"/>
      <c r="B12" s="14"/>
      <c r="C12" s="13" t="s">
        <v>4</v>
      </c>
      <c r="D12" s="46" t="s">
        <v>4</v>
      </c>
      <c r="E12" s="13" t="s">
        <v>4</v>
      </c>
      <c r="F12" s="13" t="s">
        <v>1</v>
      </c>
      <c r="G12" s="13"/>
      <c r="H12" s="13" t="s">
        <v>1</v>
      </c>
      <c r="I12" s="113"/>
      <c r="J12" s="114"/>
      <c r="K12" s="10" t="s">
        <v>21</v>
      </c>
      <c r="L12" s="115"/>
      <c r="M12" s="116"/>
      <c r="N12" s="10" t="s">
        <v>21</v>
      </c>
    </row>
    <row r="13" spans="1:14" ht="15" customHeight="1">
      <c r="A13" s="14"/>
      <c r="B13" s="14" t="s">
        <v>6</v>
      </c>
      <c r="C13" s="13" t="s">
        <v>11</v>
      </c>
      <c r="D13" s="46" t="s">
        <v>3</v>
      </c>
      <c r="E13" s="13" t="s">
        <v>11</v>
      </c>
      <c r="F13" s="13" t="s">
        <v>12</v>
      </c>
      <c r="G13" s="13" t="s">
        <v>2</v>
      </c>
      <c r="H13" s="14" t="s">
        <v>12</v>
      </c>
      <c r="I13" s="27" t="s">
        <v>25</v>
      </c>
      <c r="J13" s="28"/>
      <c r="K13" s="11" t="s">
        <v>22</v>
      </c>
      <c r="L13" s="26" t="s">
        <v>25</v>
      </c>
      <c r="M13" s="29"/>
      <c r="N13" s="11" t="s">
        <v>23</v>
      </c>
    </row>
    <row r="14" spans="1:14" ht="12.75">
      <c r="A14" s="20" t="s">
        <v>5</v>
      </c>
      <c r="B14" s="20" t="s">
        <v>3</v>
      </c>
      <c r="C14" s="20" t="s">
        <v>8</v>
      </c>
      <c r="D14" s="47" t="s">
        <v>8</v>
      </c>
      <c r="E14" s="20" t="s">
        <v>8</v>
      </c>
      <c r="F14" s="20" t="s">
        <v>8</v>
      </c>
      <c r="G14" s="20" t="s">
        <v>8</v>
      </c>
      <c r="H14" s="20" t="s">
        <v>8</v>
      </c>
      <c r="I14" s="21" t="s">
        <v>8</v>
      </c>
      <c r="J14" s="22" t="s">
        <v>9</v>
      </c>
      <c r="K14" s="23" t="s">
        <v>8</v>
      </c>
      <c r="L14" s="24" t="s">
        <v>13</v>
      </c>
      <c r="M14" s="25" t="s">
        <v>17</v>
      </c>
      <c r="N14" s="23" t="s">
        <v>8</v>
      </c>
    </row>
    <row r="15" spans="1:14" s="4" customFormat="1" ht="12.75" hidden="1">
      <c r="A15" s="17">
        <v>2016</v>
      </c>
      <c r="B15" s="17"/>
      <c r="C15" s="43">
        <v>27238.0286375</v>
      </c>
      <c r="D15" s="48">
        <v>0</v>
      </c>
      <c r="E15" s="43">
        <f>C15+D15</f>
        <v>27238.0286375</v>
      </c>
      <c r="F15" s="43">
        <v>24169.686546596025</v>
      </c>
      <c r="G15" s="43">
        <v>1842.4666740400107</v>
      </c>
      <c r="H15" s="43">
        <f aca="true" t="shared" si="0" ref="H15:H24">F15-G15</f>
        <v>22327.219872556016</v>
      </c>
      <c r="I15" s="30">
        <f>E15-H15</f>
        <v>4910.808764943984</v>
      </c>
      <c r="J15" s="32">
        <f aca="true" t="shared" si="1" ref="J15:J24">I15/H15*100</f>
        <v>21.994716731303438</v>
      </c>
      <c r="K15" s="36">
        <f>E15-H15*1.2</f>
        <v>445.36479043278086</v>
      </c>
      <c r="L15" s="30">
        <f>E15-F15</f>
        <v>3068.342090903974</v>
      </c>
      <c r="M15" s="34">
        <f aca="true" t="shared" si="2" ref="M15:M29">L15/F15*100</f>
        <v>12.695001587995804</v>
      </c>
      <c r="N15" s="38">
        <f>E15-F15*1.1</f>
        <v>651.3734362443683</v>
      </c>
    </row>
    <row r="16" spans="1:14" s="4" customFormat="1" ht="12.75" hidden="1">
      <c r="A16" s="17">
        <f aca="true" t="shared" si="3" ref="A16:A29">A15+1</f>
        <v>2017</v>
      </c>
      <c r="B16" s="17"/>
      <c r="C16" s="43">
        <v>26881.95290135625</v>
      </c>
      <c r="D16" s="48">
        <v>0</v>
      </c>
      <c r="E16" s="43">
        <f>C16+D16</f>
        <v>26881.95290135625</v>
      </c>
      <c r="F16" s="43">
        <v>24336.040599945238</v>
      </c>
      <c r="G16" s="43">
        <v>1934.8048828331127</v>
      </c>
      <c r="H16" s="43">
        <f t="shared" si="0"/>
        <v>22401.235717112126</v>
      </c>
      <c r="I16" s="30">
        <f aca="true" t="shared" si="4" ref="I16:I24">E16-H16</f>
        <v>4480.717184244124</v>
      </c>
      <c r="J16" s="32">
        <f t="shared" si="1"/>
        <v>20.002098280771804</v>
      </c>
      <c r="K16" s="36">
        <f aca="true" t="shared" si="5" ref="K16:K29">E16-H16*1.2</f>
        <v>0.4700408216995129</v>
      </c>
      <c r="L16" s="30">
        <f aca="true" t="shared" si="6" ref="L16:L29">E16-F16</f>
        <v>2545.912301411012</v>
      </c>
      <c r="M16" s="34">
        <f t="shared" si="2"/>
        <v>10.461489373981161</v>
      </c>
      <c r="N16" s="38">
        <f aca="true" t="shared" si="7" ref="N16:N29">E16-F16*1.1</f>
        <v>112.30824141648554</v>
      </c>
    </row>
    <row r="17" spans="1:14" s="4" customFormat="1" ht="12.75" hidden="1">
      <c r="A17" s="17">
        <f t="shared" si="3"/>
        <v>2018</v>
      </c>
      <c r="B17" s="17"/>
      <c r="C17" s="43">
        <v>27133.509127497437</v>
      </c>
      <c r="D17" s="48">
        <v>0</v>
      </c>
      <c r="E17" s="43">
        <f aca="true" t="shared" si="8" ref="E17:E28">C17+D17</f>
        <v>27133.509127497437</v>
      </c>
      <c r="F17" s="43">
        <v>24606.278955403854</v>
      </c>
      <c r="G17" s="43">
        <v>1995.2014194263602</v>
      </c>
      <c r="H17" s="43">
        <f t="shared" si="0"/>
        <v>22611.077535977493</v>
      </c>
      <c r="I17" s="30">
        <f t="shared" si="4"/>
        <v>4522.431591519944</v>
      </c>
      <c r="J17" s="32">
        <f t="shared" si="1"/>
        <v>20.000955656907998</v>
      </c>
      <c r="K17" s="36">
        <f t="shared" si="5"/>
        <v>0.21608432444554637</v>
      </c>
      <c r="L17" s="30">
        <f t="shared" si="6"/>
        <v>2527.230172093583</v>
      </c>
      <c r="M17" s="34">
        <f t="shared" si="2"/>
        <v>10.270671874743462</v>
      </c>
      <c r="N17" s="38">
        <f t="shared" si="7"/>
        <v>66.60227655319613</v>
      </c>
    </row>
    <row r="18" spans="1:14" s="4" customFormat="1" ht="12.75">
      <c r="A18" s="17">
        <f t="shared" si="3"/>
        <v>2019</v>
      </c>
      <c r="B18" s="17" t="s">
        <v>15</v>
      </c>
      <c r="C18" s="43">
        <v>28551.067017858702</v>
      </c>
      <c r="D18" s="89">
        <v>0</v>
      </c>
      <c r="E18" s="43">
        <f t="shared" si="8"/>
        <v>28551.067017858702</v>
      </c>
      <c r="F18" s="43">
        <v>24893.09445872483</v>
      </c>
      <c r="G18" s="43">
        <v>2041.4456948504048</v>
      </c>
      <c r="H18" s="43">
        <f t="shared" si="0"/>
        <v>22851.648763874426</v>
      </c>
      <c r="I18" s="30">
        <f t="shared" si="4"/>
        <v>5699.418253984277</v>
      </c>
      <c r="J18" s="32">
        <f t="shared" si="1"/>
        <v>24.940949832006602</v>
      </c>
      <c r="K18" s="36">
        <f t="shared" si="5"/>
        <v>1129.0885012093931</v>
      </c>
      <c r="L18" s="30">
        <f t="shared" si="6"/>
        <v>3657.972559133872</v>
      </c>
      <c r="M18" s="34">
        <f t="shared" si="2"/>
        <v>14.694728151211356</v>
      </c>
      <c r="N18" s="38">
        <f t="shared" si="7"/>
        <v>1168.6631132613875</v>
      </c>
    </row>
    <row r="19" spans="1:14" s="4" customFormat="1" ht="12.75">
      <c r="A19" s="17">
        <f t="shared" si="3"/>
        <v>2020</v>
      </c>
      <c r="B19" s="17" t="s">
        <v>16</v>
      </c>
      <c r="C19" s="43">
        <v>27994.626565283546</v>
      </c>
      <c r="D19" s="89">
        <f aca="true" t="shared" si="9" ref="D19:D29">D18+C37+E37+K37</f>
        <v>0</v>
      </c>
      <c r="E19" s="43">
        <f t="shared" si="8"/>
        <v>27994.626565283546</v>
      </c>
      <c r="F19" s="43">
        <v>25205.928535800045</v>
      </c>
      <c r="G19" s="43">
        <v>2088.462209365558</v>
      </c>
      <c r="H19" s="43">
        <f t="shared" si="0"/>
        <v>23117.466326434485</v>
      </c>
      <c r="I19" s="30">
        <f t="shared" si="4"/>
        <v>4877.160238849061</v>
      </c>
      <c r="J19" s="32">
        <f t="shared" si="1"/>
        <v>21.09729574158436</v>
      </c>
      <c r="K19" s="36">
        <f t="shared" si="5"/>
        <v>253.66697356216537</v>
      </c>
      <c r="L19" s="30">
        <f t="shared" si="6"/>
        <v>2788.698029483501</v>
      </c>
      <c r="M19" s="34">
        <f t="shared" si="2"/>
        <v>11.06365919241065</v>
      </c>
      <c r="N19" s="38">
        <f t="shared" si="7"/>
        <v>268.10517590349264</v>
      </c>
    </row>
    <row r="20" spans="1:14" s="4" customFormat="1" ht="12.75">
      <c r="A20" s="17">
        <f t="shared" si="3"/>
        <v>2021</v>
      </c>
      <c r="B20" s="17" t="s">
        <v>14</v>
      </c>
      <c r="C20" s="43">
        <v>28141.719762651013</v>
      </c>
      <c r="D20" s="89">
        <f t="shared" si="9"/>
        <v>0</v>
      </c>
      <c r="E20" s="43">
        <f t="shared" si="8"/>
        <v>28141.719762651013</v>
      </c>
      <c r="F20" s="43">
        <v>25316.416253234296</v>
      </c>
      <c r="G20" s="43">
        <v>2136.2343409014484</v>
      </c>
      <c r="H20" s="43">
        <f t="shared" si="0"/>
        <v>23180.181912332846</v>
      </c>
      <c r="I20" s="30">
        <f t="shared" si="4"/>
        <v>4961.537850318167</v>
      </c>
      <c r="J20" s="32">
        <f t="shared" si="1"/>
        <v>21.40422309489477</v>
      </c>
      <c r="K20" s="36">
        <f t="shared" si="5"/>
        <v>325.50146785159814</v>
      </c>
      <c r="L20" s="30">
        <f t="shared" si="6"/>
        <v>2825.303509416717</v>
      </c>
      <c r="M20" s="34">
        <f t="shared" si="2"/>
        <v>11.159966249392706</v>
      </c>
      <c r="N20" s="38">
        <f t="shared" si="7"/>
        <v>293.66188409328606</v>
      </c>
    </row>
    <row r="21" spans="1:14" s="4" customFormat="1" ht="12.75">
      <c r="A21" s="17">
        <f t="shared" si="3"/>
        <v>2022</v>
      </c>
      <c r="B21" s="17" t="s">
        <v>63</v>
      </c>
      <c r="C21" s="43">
        <v>28271.816006875466</v>
      </c>
      <c r="D21" s="89">
        <f t="shared" si="9"/>
        <v>0</v>
      </c>
      <c r="E21" s="43">
        <f t="shared" si="8"/>
        <v>28271.816006875466</v>
      </c>
      <c r="F21" s="43">
        <v>25540.189209268094</v>
      </c>
      <c r="G21" s="43">
        <v>2184.7465153952003</v>
      </c>
      <c r="H21" s="43">
        <f t="shared" si="0"/>
        <v>23355.442693872894</v>
      </c>
      <c r="I21" s="30">
        <f t="shared" si="4"/>
        <v>4916.373313002572</v>
      </c>
      <c r="J21" s="32">
        <f t="shared" si="1"/>
        <v>21.0502253262463</v>
      </c>
      <c r="K21" s="36">
        <f t="shared" si="5"/>
        <v>245.2847742279955</v>
      </c>
      <c r="L21" s="30">
        <f t="shared" si="6"/>
        <v>2731.6267976073723</v>
      </c>
      <c r="M21" s="34">
        <f t="shared" si="2"/>
        <v>10.695405485156359</v>
      </c>
      <c r="N21" s="38">
        <f t="shared" si="7"/>
        <v>177.60787668056219</v>
      </c>
    </row>
    <row r="22" spans="1:14" s="4" customFormat="1" ht="12.75">
      <c r="A22" s="17">
        <f t="shared" si="3"/>
        <v>2023</v>
      </c>
      <c r="B22" s="17" t="s">
        <v>62</v>
      </c>
      <c r="C22" s="43">
        <v>28898</v>
      </c>
      <c r="D22" s="89">
        <f t="shared" si="9"/>
        <v>0</v>
      </c>
      <c r="E22" s="43">
        <f t="shared" si="8"/>
        <v>28898</v>
      </c>
      <c r="F22" s="43">
        <v>25832.903255827194</v>
      </c>
      <c r="G22" s="43">
        <v>2234.0294854316176</v>
      </c>
      <c r="H22" s="43">
        <f t="shared" si="0"/>
        <v>23598.873770395578</v>
      </c>
      <c r="I22" s="30">
        <f t="shared" si="4"/>
        <v>5299.126229604422</v>
      </c>
      <c r="J22" s="32">
        <f t="shared" si="1"/>
        <v>22.454996289916572</v>
      </c>
      <c r="K22" s="36">
        <f t="shared" si="5"/>
        <v>579.3514755253091</v>
      </c>
      <c r="L22" s="30">
        <f t="shared" si="6"/>
        <v>3065.096744172806</v>
      </c>
      <c r="M22" s="34">
        <f t="shared" si="2"/>
        <v>11.865088154508552</v>
      </c>
      <c r="N22" s="38">
        <f t="shared" si="7"/>
        <v>481.8064185900839</v>
      </c>
    </row>
    <row r="23" spans="1:14" s="4" customFormat="1" ht="13.5" thickBot="1">
      <c r="A23" s="49">
        <f t="shared" si="3"/>
        <v>2024</v>
      </c>
      <c r="B23" s="49"/>
      <c r="C23" s="50">
        <v>28895</v>
      </c>
      <c r="D23" s="93">
        <f t="shared" si="9"/>
        <v>0</v>
      </c>
      <c r="E23" s="50">
        <f t="shared" si="8"/>
        <v>28895</v>
      </c>
      <c r="F23" s="50">
        <v>26180.278517781553</v>
      </c>
      <c r="G23" s="50">
        <v>2284.18220399574</v>
      </c>
      <c r="H23" s="50">
        <f t="shared" si="0"/>
        <v>23896.096313785813</v>
      </c>
      <c r="I23" s="51">
        <f t="shared" si="4"/>
        <v>4998.9036862141875</v>
      </c>
      <c r="J23" s="52">
        <f t="shared" si="1"/>
        <v>20.91933184639153</v>
      </c>
      <c r="K23" s="53">
        <f t="shared" si="5"/>
        <v>219.68442345702715</v>
      </c>
      <c r="L23" s="51">
        <f t="shared" si="6"/>
        <v>2714.721482218447</v>
      </c>
      <c r="M23" s="54">
        <f t="shared" si="2"/>
        <v>10.369337669095529</v>
      </c>
      <c r="N23" s="55">
        <f t="shared" si="7"/>
        <v>96.69363044028796</v>
      </c>
    </row>
    <row r="24" spans="1:14" s="4" customFormat="1" ht="12.75">
      <c r="A24" s="17">
        <f t="shared" si="3"/>
        <v>2025</v>
      </c>
      <c r="B24" s="17"/>
      <c r="C24" s="43">
        <v>28892</v>
      </c>
      <c r="D24" s="89">
        <f t="shared" si="9"/>
        <v>255.35</v>
      </c>
      <c r="E24" s="43">
        <f t="shared" si="8"/>
        <v>29147.35</v>
      </c>
      <c r="F24" s="43">
        <v>26572.4560211349</v>
      </c>
      <c r="G24" s="43">
        <v>2334</v>
      </c>
      <c r="H24" s="43">
        <f t="shared" si="0"/>
        <v>24238.4560211349</v>
      </c>
      <c r="I24" s="30">
        <f t="shared" si="4"/>
        <v>4908.893978865097</v>
      </c>
      <c r="J24" s="32">
        <f t="shared" si="1"/>
        <v>20.252502777341718</v>
      </c>
      <c r="K24" s="36">
        <f t="shared" si="5"/>
        <v>61.20277463811726</v>
      </c>
      <c r="L24" s="30">
        <f t="shared" si="6"/>
        <v>2574.893978865097</v>
      </c>
      <c r="M24" s="34">
        <f t="shared" si="2"/>
        <v>9.690086519729704</v>
      </c>
      <c r="N24" s="38">
        <f t="shared" si="7"/>
        <v>-82.35162324839621</v>
      </c>
    </row>
    <row r="25" spans="1:14" s="4" customFormat="1" ht="12.75">
      <c r="A25" s="17">
        <f t="shared" si="3"/>
        <v>2026</v>
      </c>
      <c r="B25" s="17"/>
      <c r="C25" s="43">
        <v>28889</v>
      </c>
      <c r="D25" s="89">
        <f t="shared" si="9"/>
        <v>805.35</v>
      </c>
      <c r="E25" s="43">
        <f t="shared" si="8"/>
        <v>29694.35</v>
      </c>
      <c r="F25" s="43">
        <v>27067.6000853683</v>
      </c>
      <c r="G25" s="43">
        <v>2384</v>
      </c>
      <c r="H25" s="43">
        <f>F25-G25</f>
        <v>24683.6000853683</v>
      </c>
      <c r="I25" s="30">
        <f>E25-H25</f>
        <v>5010.749914631699</v>
      </c>
      <c r="J25" s="32">
        <f>I25/H25*100</f>
        <v>20.29991531746587</v>
      </c>
      <c r="K25" s="36">
        <f t="shared" si="5"/>
        <v>74.02989755804083</v>
      </c>
      <c r="L25" s="30">
        <f t="shared" si="6"/>
        <v>2626.7499146316986</v>
      </c>
      <c r="M25" s="34">
        <f t="shared" si="2"/>
        <v>9.704406398599106</v>
      </c>
      <c r="N25" s="38">
        <f t="shared" si="7"/>
        <v>-80.01009390513354</v>
      </c>
    </row>
    <row r="26" spans="1:14" s="4" customFormat="1" ht="12.75">
      <c r="A26" s="17">
        <f t="shared" si="3"/>
        <v>2027</v>
      </c>
      <c r="B26" s="17"/>
      <c r="C26" s="43">
        <v>28883</v>
      </c>
      <c r="D26" s="89">
        <f t="shared" si="9"/>
        <v>2556.35</v>
      </c>
      <c r="E26" s="43">
        <f t="shared" si="8"/>
        <v>31439.35</v>
      </c>
      <c r="F26" s="43">
        <v>27665.21915802903</v>
      </c>
      <c r="G26" s="43">
        <v>2434</v>
      </c>
      <c r="H26" s="43">
        <f>F26-G26</f>
        <v>25231.21915802903</v>
      </c>
      <c r="I26" s="30">
        <f>E26-H26</f>
        <v>6208.130841970968</v>
      </c>
      <c r="J26" s="32">
        <f>I26/H26*100</f>
        <v>24.604957862273682</v>
      </c>
      <c r="K26" s="36">
        <f t="shared" si="5"/>
        <v>1161.8870103651643</v>
      </c>
      <c r="L26" s="30">
        <f t="shared" si="6"/>
        <v>3774.1308419709676</v>
      </c>
      <c r="M26" s="34">
        <f t="shared" si="2"/>
        <v>13.642150529921377</v>
      </c>
      <c r="N26" s="38">
        <f t="shared" si="7"/>
        <v>1007.6089261680609</v>
      </c>
    </row>
    <row r="27" spans="1:14" s="4" customFormat="1" ht="12.75">
      <c r="A27" s="17">
        <f t="shared" si="3"/>
        <v>2028</v>
      </c>
      <c r="B27" s="17"/>
      <c r="C27" s="43">
        <v>28880</v>
      </c>
      <c r="D27" s="89">
        <f t="shared" si="9"/>
        <v>2556.35</v>
      </c>
      <c r="E27" s="43">
        <f t="shared" si="8"/>
        <v>31436.35</v>
      </c>
      <c r="F27" s="43">
        <v>28224.724306714037</v>
      </c>
      <c r="G27" s="43">
        <v>2484</v>
      </c>
      <c r="H27" s="43">
        <f>F27-G27</f>
        <v>25740.724306714037</v>
      </c>
      <c r="I27" s="30">
        <f>E27-H27</f>
        <v>5695.6256932859615</v>
      </c>
      <c r="J27" s="32">
        <f>I27/H27*100</f>
        <v>22.1269053093442</v>
      </c>
      <c r="K27" s="36">
        <f t="shared" si="5"/>
        <v>547.480831943154</v>
      </c>
      <c r="L27" s="30">
        <f t="shared" si="6"/>
        <v>3211.6256932859615</v>
      </c>
      <c r="M27" s="34">
        <f t="shared" si="2"/>
        <v>11.378767276468976</v>
      </c>
      <c r="N27" s="38">
        <f t="shared" si="7"/>
        <v>389.1532626145563</v>
      </c>
    </row>
    <row r="28" spans="1:14" s="4" customFormat="1" ht="12.75">
      <c r="A28" s="17">
        <f t="shared" si="3"/>
        <v>2029</v>
      </c>
      <c r="B28" s="13"/>
      <c r="C28" s="43">
        <v>28878</v>
      </c>
      <c r="D28" s="89">
        <f t="shared" si="9"/>
        <v>2756.35</v>
      </c>
      <c r="E28" s="43">
        <f t="shared" si="8"/>
        <v>31634.35</v>
      </c>
      <c r="F28" s="43">
        <v>28804.814369193406</v>
      </c>
      <c r="G28" s="43">
        <v>2534</v>
      </c>
      <c r="H28" s="43">
        <f>F28-G28</f>
        <v>26270.814369193406</v>
      </c>
      <c r="I28" s="30">
        <f>E28-H28</f>
        <v>5363.535630806593</v>
      </c>
      <c r="J28" s="32">
        <f>I28/H28*100</f>
        <v>20.416328003505548</v>
      </c>
      <c r="K28" s="36">
        <f t="shared" si="5"/>
        <v>109.37275696791403</v>
      </c>
      <c r="L28" s="30">
        <f t="shared" si="6"/>
        <v>2829.535630806593</v>
      </c>
      <c r="M28" s="34">
        <f t="shared" si="2"/>
        <v>9.823134405728947</v>
      </c>
      <c r="N28" s="38">
        <f t="shared" si="7"/>
        <v>-50.9458061127516</v>
      </c>
    </row>
    <row r="29" spans="1:14" s="4" customFormat="1" ht="12.75">
      <c r="A29" s="18">
        <f t="shared" si="3"/>
        <v>2030</v>
      </c>
      <c r="B29" s="18"/>
      <c r="C29" s="44">
        <v>28875</v>
      </c>
      <c r="D29" s="90">
        <f t="shared" si="9"/>
        <v>3478.34</v>
      </c>
      <c r="E29" s="44">
        <f>C29+D29</f>
        <v>32353.34</v>
      </c>
      <c r="F29" s="44">
        <v>29397.66178369829</v>
      </c>
      <c r="G29" s="44">
        <v>2584</v>
      </c>
      <c r="H29" s="44">
        <f>F29-G29</f>
        <v>26813.66178369829</v>
      </c>
      <c r="I29" s="31">
        <f>E29-H29</f>
        <v>5539.678216301709</v>
      </c>
      <c r="J29" s="33">
        <f>I29/H29*100</f>
        <v>20.659909343936107</v>
      </c>
      <c r="K29" s="37">
        <f t="shared" si="5"/>
        <v>176.94585956205265</v>
      </c>
      <c r="L29" s="31">
        <f t="shared" si="6"/>
        <v>2955.6782163017087</v>
      </c>
      <c r="M29" s="35">
        <f t="shared" si="2"/>
        <v>10.054126882773728</v>
      </c>
      <c r="N29" s="39">
        <f t="shared" si="7"/>
        <v>15.912037931877421</v>
      </c>
    </row>
    <row r="30" spans="1:4" ht="12" customHeight="1">
      <c r="A30" s="5"/>
      <c r="B30" s="5" t="s">
        <v>64</v>
      </c>
      <c r="C30" s="5"/>
      <c r="D30" s="5"/>
    </row>
    <row r="31" spans="1:11" ht="12.75">
      <c r="A31" s="6"/>
      <c r="B31" s="6"/>
      <c r="C31" s="6"/>
      <c r="D31" s="6"/>
      <c r="E31" s="4"/>
      <c r="F31" s="4"/>
      <c r="G31" s="4"/>
      <c r="H31" s="4"/>
      <c r="I31" s="4"/>
      <c r="J31" s="4"/>
      <c r="K31" s="4"/>
    </row>
    <row r="32" spans="1:4" ht="12.75">
      <c r="A32" s="2"/>
      <c r="B32" s="2"/>
      <c r="C32" s="2"/>
      <c r="D32" s="2"/>
    </row>
    <row r="33" spans="1:11" ht="15.75">
      <c r="A33" s="91"/>
      <c r="B33" s="126" t="s">
        <v>60</v>
      </c>
      <c r="C33" s="127"/>
      <c r="D33" s="127"/>
      <c r="E33" s="128"/>
      <c r="H33" s="70"/>
      <c r="I33" s="70"/>
      <c r="J33" s="71" t="s">
        <v>38</v>
      </c>
      <c r="K33" s="70"/>
    </row>
    <row r="34" spans="1:11" ht="15">
      <c r="A34" s="91"/>
      <c r="B34" s="56"/>
      <c r="C34" s="57" t="s">
        <v>31</v>
      </c>
      <c r="D34" s="57" t="s">
        <v>32</v>
      </c>
      <c r="E34" s="58"/>
      <c r="H34" s="96" t="s">
        <v>39</v>
      </c>
      <c r="I34" s="72" t="s">
        <v>40</v>
      </c>
      <c r="J34" s="72" t="s">
        <v>41</v>
      </c>
      <c r="K34" s="72" t="s">
        <v>42</v>
      </c>
    </row>
    <row r="35" spans="1:11" ht="15">
      <c r="A35" s="91"/>
      <c r="B35" s="59"/>
      <c r="C35" s="60" t="s">
        <v>33</v>
      </c>
      <c r="D35" s="60" t="s">
        <v>33</v>
      </c>
      <c r="E35" s="61" t="s">
        <v>34</v>
      </c>
      <c r="H35" s="96" t="s">
        <v>43</v>
      </c>
      <c r="I35" s="72" t="s">
        <v>8</v>
      </c>
      <c r="J35" s="72" t="s">
        <v>44</v>
      </c>
      <c r="K35" s="72" t="s">
        <v>45</v>
      </c>
    </row>
    <row r="36" spans="1:5" ht="15">
      <c r="A36" s="9"/>
      <c r="B36" s="62" t="s">
        <v>5</v>
      </c>
      <c r="C36" s="63" t="s">
        <v>8</v>
      </c>
      <c r="D36" s="63" t="s">
        <v>8</v>
      </c>
      <c r="E36" s="61" t="s">
        <v>8</v>
      </c>
    </row>
    <row r="37" spans="1:11" ht="12.75">
      <c r="A37" s="9"/>
      <c r="B37" s="69">
        <v>2020</v>
      </c>
      <c r="C37" s="64">
        <v>0</v>
      </c>
      <c r="D37" s="64">
        <v>0</v>
      </c>
      <c r="E37" s="64">
        <v>0</v>
      </c>
      <c r="H37" s="77">
        <v>1700</v>
      </c>
      <c r="I37" s="74">
        <f>H37+D37</f>
        <v>1700</v>
      </c>
      <c r="J37" s="76">
        <v>0.41</v>
      </c>
      <c r="K37" s="75">
        <f>D37*J37</f>
        <v>0</v>
      </c>
    </row>
    <row r="38" spans="1:11" ht="12.75">
      <c r="A38" s="9"/>
      <c r="B38" s="69">
        <v>2021</v>
      </c>
      <c r="C38" s="64">
        <v>0</v>
      </c>
      <c r="D38" s="64">
        <v>0</v>
      </c>
      <c r="E38" s="64">
        <v>0</v>
      </c>
      <c r="H38" s="73"/>
      <c r="I38" s="74">
        <f>I37+D38</f>
        <v>1700</v>
      </c>
      <c r="J38" s="76">
        <v>0.41</v>
      </c>
      <c r="K38" s="75">
        <f aca="true" t="shared" si="10" ref="K38:K47">D38*J38</f>
        <v>0</v>
      </c>
    </row>
    <row r="39" spans="1:11" ht="12.75">
      <c r="A39" s="9"/>
      <c r="B39" s="69">
        <v>2022</v>
      </c>
      <c r="C39" s="64">
        <v>0</v>
      </c>
      <c r="D39" s="64">
        <v>0</v>
      </c>
      <c r="E39" s="64">
        <v>0</v>
      </c>
      <c r="H39" s="73"/>
      <c r="I39" s="74">
        <f aca="true" t="shared" si="11" ref="I39:I47">I38+D39</f>
        <v>1700</v>
      </c>
      <c r="J39" s="76">
        <v>0.41</v>
      </c>
      <c r="K39" s="75">
        <f t="shared" si="10"/>
        <v>0</v>
      </c>
    </row>
    <row r="40" spans="1:11" ht="12.75">
      <c r="A40" s="9"/>
      <c r="B40" s="69">
        <v>2023</v>
      </c>
      <c r="C40" s="64">
        <v>0</v>
      </c>
      <c r="D40" s="64">
        <v>0</v>
      </c>
      <c r="E40" s="64">
        <v>0</v>
      </c>
      <c r="H40" s="73"/>
      <c r="I40" s="74">
        <f t="shared" si="11"/>
        <v>1700</v>
      </c>
      <c r="J40" s="76">
        <v>0.41</v>
      </c>
      <c r="K40" s="75">
        <f t="shared" si="10"/>
        <v>0</v>
      </c>
    </row>
    <row r="41" spans="2:11" ht="12.75">
      <c r="B41" s="69">
        <v>2024</v>
      </c>
      <c r="C41" s="64">
        <v>0</v>
      </c>
      <c r="D41" s="64">
        <v>0</v>
      </c>
      <c r="E41" s="64">
        <v>0</v>
      </c>
      <c r="H41" s="73"/>
      <c r="I41" s="74">
        <f t="shared" si="11"/>
        <v>1700</v>
      </c>
      <c r="J41" s="76">
        <v>0.41</v>
      </c>
      <c r="K41" s="75">
        <f t="shared" si="10"/>
        <v>0</v>
      </c>
    </row>
    <row r="42" spans="2:11" ht="12.75">
      <c r="B42" s="69">
        <v>2025</v>
      </c>
      <c r="C42" s="64">
        <v>200</v>
      </c>
      <c r="D42" s="64">
        <v>135</v>
      </c>
      <c r="E42" s="64">
        <v>0</v>
      </c>
      <c r="H42" s="73"/>
      <c r="I42" s="74">
        <f t="shared" si="11"/>
        <v>1835</v>
      </c>
      <c r="J42" s="76">
        <v>0.41</v>
      </c>
      <c r="K42" s="75">
        <f t="shared" si="10"/>
        <v>55.349999999999994</v>
      </c>
    </row>
    <row r="43" spans="2:11" ht="12.75">
      <c r="B43" s="69">
        <v>2026</v>
      </c>
      <c r="C43" s="64">
        <v>550</v>
      </c>
      <c r="D43" s="64">
        <v>0</v>
      </c>
      <c r="E43" s="64">
        <v>0</v>
      </c>
      <c r="H43" s="73"/>
      <c r="I43" s="74">
        <f t="shared" si="11"/>
        <v>1835</v>
      </c>
      <c r="J43" s="76">
        <v>0.41</v>
      </c>
      <c r="K43" s="75">
        <f t="shared" si="10"/>
        <v>0</v>
      </c>
    </row>
    <row r="44" spans="2:11" ht="12.75">
      <c r="B44" s="69">
        <v>2027</v>
      </c>
      <c r="C44" s="64">
        <v>0</v>
      </c>
      <c r="D44" s="64">
        <v>0</v>
      </c>
      <c r="E44" s="64">
        <v>1751</v>
      </c>
      <c r="H44" s="73"/>
      <c r="I44" s="74">
        <f t="shared" si="11"/>
        <v>1835</v>
      </c>
      <c r="J44" s="76">
        <v>0.41</v>
      </c>
      <c r="K44" s="75">
        <f t="shared" si="10"/>
        <v>0</v>
      </c>
    </row>
    <row r="45" spans="2:11" ht="12.75">
      <c r="B45" s="69">
        <v>2028</v>
      </c>
      <c r="C45" s="64">
        <v>0</v>
      </c>
      <c r="D45" s="64">
        <v>0</v>
      </c>
      <c r="E45" s="64">
        <v>0</v>
      </c>
      <c r="H45" s="73"/>
      <c r="I45" s="74">
        <f t="shared" si="11"/>
        <v>1835</v>
      </c>
      <c r="J45" s="76">
        <v>0.41</v>
      </c>
      <c r="K45" s="75">
        <f t="shared" si="10"/>
        <v>0</v>
      </c>
    </row>
    <row r="46" spans="2:11" ht="12.75">
      <c r="B46" s="69">
        <v>2029</v>
      </c>
      <c r="C46" s="64">
        <v>200</v>
      </c>
      <c r="D46" s="64">
        <v>0</v>
      </c>
      <c r="E46" s="64">
        <v>0</v>
      </c>
      <c r="H46" s="73"/>
      <c r="I46" s="74">
        <f t="shared" si="11"/>
        <v>1835</v>
      </c>
      <c r="J46" s="76">
        <v>0.41</v>
      </c>
      <c r="K46" s="75">
        <f t="shared" si="10"/>
        <v>0</v>
      </c>
    </row>
    <row r="47" spans="2:11" ht="12.75">
      <c r="B47" s="69">
        <v>2030</v>
      </c>
      <c r="C47" s="64">
        <v>550</v>
      </c>
      <c r="D47" s="64">
        <v>447</v>
      </c>
      <c r="E47" s="64">
        <v>0</v>
      </c>
      <c r="H47" s="73"/>
      <c r="I47" s="74">
        <f t="shared" si="11"/>
        <v>2282</v>
      </c>
      <c r="J47" s="76">
        <f>((165*0.41)+(282*0.37))/447</f>
        <v>0.38476510067114095</v>
      </c>
      <c r="K47" s="75">
        <f t="shared" si="10"/>
        <v>171.99</v>
      </c>
    </row>
    <row r="48" spans="2:11" ht="28.5" customHeight="1">
      <c r="B48" s="65" t="s">
        <v>35</v>
      </c>
      <c r="C48" s="66">
        <f>SUM(C37:C47)</f>
        <v>1500</v>
      </c>
      <c r="D48" s="66">
        <f>SUM(D37:D47)</f>
        <v>582</v>
      </c>
      <c r="E48" s="66">
        <f>SUM(E37:E47)</f>
        <v>1751</v>
      </c>
      <c r="H48" s="73"/>
      <c r="I48" s="73"/>
      <c r="J48" s="73"/>
      <c r="K48" s="97">
        <f>SUM(K37:K47)</f>
        <v>227.34</v>
      </c>
    </row>
    <row r="49" spans="2:5" ht="15">
      <c r="B49" s="67" t="s">
        <v>36</v>
      </c>
      <c r="C49" s="66">
        <f>C48</f>
        <v>1500</v>
      </c>
      <c r="D49" s="99">
        <f>K48</f>
        <v>227.34</v>
      </c>
      <c r="E49" s="66">
        <f>E48</f>
        <v>1751</v>
      </c>
    </row>
    <row r="50" spans="2:5" ht="30">
      <c r="B50" s="67" t="s">
        <v>37</v>
      </c>
      <c r="C50" s="66">
        <f>SUM(C49:E49)</f>
        <v>3478.34</v>
      </c>
      <c r="D50" s="68"/>
      <c r="E50" s="68"/>
    </row>
    <row r="53" spans="2:7" ht="15">
      <c r="B53" s="78" t="s">
        <v>46</v>
      </c>
      <c r="C53" s="79"/>
      <c r="D53" s="79"/>
      <c r="E53" s="79"/>
      <c r="F53" s="79"/>
      <c r="G53" s="80"/>
    </row>
    <row r="54" spans="2:7" ht="12.75">
      <c r="B54" s="81"/>
      <c r="C54" s="82"/>
      <c r="D54" s="82"/>
      <c r="E54" s="82"/>
      <c r="F54" s="82"/>
      <c r="G54" s="83"/>
    </row>
    <row r="55" spans="2:7" ht="12.75">
      <c r="B55" s="81" t="s">
        <v>47</v>
      </c>
      <c r="C55" s="82"/>
      <c r="D55" s="84">
        <v>0.52</v>
      </c>
      <c r="E55" s="82"/>
      <c r="F55" s="82"/>
      <c r="G55" s="83"/>
    </row>
    <row r="56" spans="2:7" ht="12.75">
      <c r="B56" s="81" t="s">
        <v>48</v>
      </c>
      <c r="C56" s="82"/>
      <c r="D56" s="84">
        <v>0.48</v>
      </c>
      <c r="E56" s="82"/>
      <c r="F56" s="82"/>
      <c r="G56" s="83"/>
    </row>
    <row r="57" spans="2:7" ht="12.75">
      <c r="B57" s="81" t="s">
        <v>49</v>
      </c>
      <c r="C57" s="82"/>
      <c r="D57" s="84">
        <v>0.44</v>
      </c>
      <c r="E57" s="82"/>
      <c r="F57" s="82"/>
      <c r="G57" s="83"/>
    </row>
    <row r="58" spans="2:7" ht="12.75">
      <c r="B58" s="81" t="s">
        <v>50</v>
      </c>
      <c r="C58" s="82"/>
      <c r="D58" s="84">
        <v>0.41</v>
      </c>
      <c r="E58" s="82"/>
      <c r="F58" s="82"/>
      <c r="G58" s="83"/>
    </row>
    <row r="59" spans="2:7" ht="12.75">
      <c r="B59" s="81" t="s">
        <v>51</v>
      </c>
      <c r="C59" s="82"/>
      <c r="D59" s="84">
        <v>0.37</v>
      </c>
      <c r="E59" s="82"/>
      <c r="F59" s="82"/>
      <c r="G59" s="83"/>
    </row>
    <row r="60" spans="2:7" ht="12.75">
      <c r="B60" s="85" t="s">
        <v>52</v>
      </c>
      <c r="C60" s="86"/>
      <c r="D60" s="87">
        <v>0.33</v>
      </c>
      <c r="E60" s="86"/>
      <c r="F60" s="86"/>
      <c r="G60" s="88"/>
    </row>
  </sheetData>
  <sheetProtection/>
  <mergeCells count="11">
    <mergeCell ref="L10:M10"/>
    <mergeCell ref="I11:J11"/>
    <mergeCell ref="L11:M11"/>
    <mergeCell ref="I12:J12"/>
    <mergeCell ref="L12:M12"/>
    <mergeCell ref="B33:E33"/>
    <mergeCell ref="A4:N4"/>
    <mergeCell ref="A5:N5"/>
    <mergeCell ref="I9:K9"/>
    <mergeCell ref="L9:N9"/>
    <mergeCell ref="I10:J10"/>
  </mergeCells>
  <conditionalFormatting sqref="N18:N29">
    <cfRule type="cellIs" priority="3" dxfId="21" operator="lessThan" stopIfTrue="1">
      <formula>0</formula>
    </cfRule>
  </conditionalFormatting>
  <conditionalFormatting sqref="C37:E47">
    <cfRule type="cellIs" priority="2" dxfId="0" operator="greaterThan" stopIfTrue="1">
      <formula>0</formula>
    </cfRule>
  </conditionalFormatting>
  <conditionalFormatting sqref="K37:K47">
    <cfRule type="cellIs" priority="1" dxfId="22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 transitionEvaluation="1" transitionEntry="1">
    <tabColor theme="0" tint="-0.4999699890613556"/>
  </sheetPr>
  <dimension ref="A3:O33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25.7109375" style="1" customWidth="1"/>
    <col min="3" max="3" width="10.57421875" style="1" customWidth="1"/>
    <col min="4" max="4" width="11.281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5" width="12.7109375" style="2" customWidth="1"/>
    <col min="16" max="16" width="23.421875" style="2" bestFit="1" customWidth="1"/>
    <col min="17" max="16384" width="12.7109375" style="2" customWidth="1"/>
  </cols>
  <sheetData>
    <row r="3" spans="2:14" ht="12.75">
      <c r="B3" s="42" t="s">
        <v>29</v>
      </c>
      <c r="C3" s="42"/>
      <c r="D3" s="42"/>
      <c r="N3" s="41"/>
    </row>
    <row r="4" spans="5:14" ht="12.75">
      <c r="E4" s="1"/>
      <c r="N4" s="1"/>
    </row>
    <row r="5" spans="1:14" ht="15.75">
      <c r="A5" s="117" t="s">
        <v>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5.75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4" ht="12.75">
      <c r="A7" s="2"/>
      <c r="B7" s="2"/>
      <c r="C7" s="2"/>
      <c r="D7" s="2"/>
    </row>
    <row r="8" spans="1:14" ht="12.75">
      <c r="A8" s="3">
        <v>-1</v>
      </c>
      <c r="B8" s="3">
        <v>-2</v>
      </c>
      <c r="C8" s="3">
        <v>-3</v>
      </c>
      <c r="D8" s="3">
        <v>-4</v>
      </c>
      <c r="E8" s="3">
        <v>-5</v>
      </c>
      <c r="F8" s="3">
        <v>-6</v>
      </c>
      <c r="G8" s="3">
        <v>-7</v>
      </c>
      <c r="H8" s="3">
        <v>-8</v>
      </c>
      <c r="I8" s="3">
        <v>-9</v>
      </c>
      <c r="J8" s="3">
        <v>-10</v>
      </c>
      <c r="K8" s="3">
        <v>-11</v>
      </c>
      <c r="L8" s="3">
        <v>-12</v>
      </c>
      <c r="M8" s="3">
        <v>-13</v>
      </c>
      <c r="N8" s="40">
        <v>-14</v>
      </c>
    </row>
    <row r="9" spans="1:14" ht="12.75" hidden="1">
      <c r="A9" s="3">
        <v>-1</v>
      </c>
      <c r="B9" s="3">
        <v>-2</v>
      </c>
      <c r="C9" s="3"/>
      <c r="D9" s="3"/>
      <c r="E9" s="3">
        <v>-3</v>
      </c>
      <c r="F9" s="3">
        <v>-4</v>
      </c>
      <c r="G9" s="3">
        <v>-5</v>
      </c>
      <c r="H9" s="3">
        <v>-6</v>
      </c>
      <c r="I9" s="3">
        <v>-7</v>
      </c>
      <c r="J9" s="3">
        <v>-8</v>
      </c>
      <c r="K9" s="3">
        <v>-9</v>
      </c>
      <c r="L9" s="3">
        <v>-10</v>
      </c>
      <c r="M9" s="3">
        <v>-11</v>
      </c>
      <c r="N9" s="40">
        <v>-12</v>
      </c>
    </row>
    <row r="10" spans="1:14" ht="12.75">
      <c r="A10" s="19"/>
      <c r="B10" s="16"/>
      <c r="C10" s="12"/>
      <c r="D10" s="101" t="s">
        <v>28</v>
      </c>
      <c r="E10" s="12"/>
      <c r="F10" s="15"/>
      <c r="G10" s="12"/>
      <c r="H10" s="12"/>
      <c r="I10" s="118" t="s">
        <v>18</v>
      </c>
      <c r="J10" s="119"/>
      <c r="K10" s="120"/>
      <c r="L10" s="121" t="s">
        <v>24</v>
      </c>
      <c r="M10" s="122"/>
      <c r="N10" s="123"/>
    </row>
    <row r="11" spans="1:14" ht="12.75">
      <c r="A11" s="14"/>
      <c r="B11" s="14"/>
      <c r="C11" s="13" t="s">
        <v>7</v>
      </c>
      <c r="D11" s="46" t="s">
        <v>10</v>
      </c>
      <c r="E11" s="13" t="s">
        <v>7</v>
      </c>
      <c r="F11" s="14"/>
      <c r="G11" s="14"/>
      <c r="H11" s="13" t="s">
        <v>10</v>
      </c>
      <c r="I11" s="124"/>
      <c r="J11" s="125"/>
      <c r="K11" s="8" t="s">
        <v>19</v>
      </c>
      <c r="L11" s="124"/>
      <c r="M11" s="125"/>
      <c r="N11" s="8" t="s">
        <v>19</v>
      </c>
    </row>
    <row r="12" spans="1:14" ht="12.75">
      <c r="A12" s="14"/>
      <c r="B12" s="14"/>
      <c r="C12" s="14" t="s">
        <v>10</v>
      </c>
      <c r="D12" s="46" t="s">
        <v>4</v>
      </c>
      <c r="E12" s="14" t="s">
        <v>10</v>
      </c>
      <c r="F12" s="13" t="s">
        <v>7</v>
      </c>
      <c r="G12" s="14"/>
      <c r="H12" s="13" t="s">
        <v>0</v>
      </c>
      <c r="I12" s="113"/>
      <c r="J12" s="114"/>
      <c r="K12" s="9" t="s">
        <v>20</v>
      </c>
      <c r="L12" s="113"/>
      <c r="M12" s="114"/>
      <c r="N12" s="9" t="s">
        <v>20</v>
      </c>
    </row>
    <row r="13" spans="1:14" ht="15.75" customHeight="1">
      <c r="A13" s="14"/>
      <c r="B13" s="14"/>
      <c r="C13" s="13" t="s">
        <v>4</v>
      </c>
      <c r="D13" s="46" t="s">
        <v>65</v>
      </c>
      <c r="E13" s="13" t="s">
        <v>4</v>
      </c>
      <c r="F13" s="13" t="s">
        <v>1</v>
      </c>
      <c r="G13" s="13"/>
      <c r="H13" s="13" t="s">
        <v>1</v>
      </c>
      <c r="I13" s="113"/>
      <c r="J13" s="114"/>
      <c r="K13" s="10" t="s">
        <v>21</v>
      </c>
      <c r="L13" s="115"/>
      <c r="M13" s="116"/>
      <c r="N13" s="10" t="s">
        <v>21</v>
      </c>
    </row>
    <row r="14" spans="1:15" ht="15" customHeight="1">
      <c r="A14" s="14"/>
      <c r="B14" s="14" t="s">
        <v>6</v>
      </c>
      <c r="C14" s="13" t="s">
        <v>11</v>
      </c>
      <c r="D14" s="46" t="s">
        <v>66</v>
      </c>
      <c r="E14" s="13" t="s">
        <v>11</v>
      </c>
      <c r="F14" s="13" t="s">
        <v>12</v>
      </c>
      <c r="G14" s="13" t="s">
        <v>2</v>
      </c>
      <c r="H14" s="14" t="s">
        <v>12</v>
      </c>
      <c r="I14" s="27" t="s">
        <v>25</v>
      </c>
      <c r="J14" s="28"/>
      <c r="K14" s="11" t="s">
        <v>22</v>
      </c>
      <c r="L14" s="26" t="s">
        <v>25</v>
      </c>
      <c r="M14" s="29"/>
      <c r="N14" s="11" t="s">
        <v>23</v>
      </c>
      <c r="O14" s="1"/>
    </row>
    <row r="15" spans="1:15" ht="15.75">
      <c r="A15" s="20" t="s">
        <v>5</v>
      </c>
      <c r="B15" s="20" t="s">
        <v>76</v>
      </c>
      <c r="C15" s="20" t="s">
        <v>8</v>
      </c>
      <c r="D15" s="47" t="s">
        <v>8</v>
      </c>
      <c r="E15" s="20" t="s">
        <v>8</v>
      </c>
      <c r="F15" s="20" t="s">
        <v>8</v>
      </c>
      <c r="G15" s="20" t="s">
        <v>8</v>
      </c>
      <c r="H15" s="20" t="s">
        <v>8</v>
      </c>
      <c r="I15" s="21" t="s">
        <v>8</v>
      </c>
      <c r="J15" s="22" t="s">
        <v>9</v>
      </c>
      <c r="K15" s="23" t="s">
        <v>8</v>
      </c>
      <c r="L15" s="24" t="s">
        <v>13</v>
      </c>
      <c r="M15" s="25" t="s">
        <v>17</v>
      </c>
      <c r="N15" s="23" t="s">
        <v>8</v>
      </c>
      <c r="O15" s="1"/>
    </row>
    <row r="16" spans="1:15" s="4" customFormat="1" ht="12.75" hidden="1">
      <c r="A16" s="17">
        <v>2016</v>
      </c>
      <c r="B16" s="17"/>
      <c r="C16" s="43">
        <v>27238.0286375</v>
      </c>
      <c r="D16" s="48">
        <v>0</v>
      </c>
      <c r="E16" s="43">
        <f>C16+D16</f>
        <v>27238.0286375</v>
      </c>
      <c r="F16" s="43">
        <v>24169.686546596025</v>
      </c>
      <c r="G16" s="43">
        <v>1842.4666740400107</v>
      </c>
      <c r="H16" s="43">
        <f aca="true" t="shared" si="0" ref="H16:H25">F16-G16</f>
        <v>22327.219872556016</v>
      </c>
      <c r="I16" s="30">
        <f>E16-H16</f>
        <v>4910.808764943984</v>
      </c>
      <c r="J16" s="32">
        <f aca="true" t="shared" si="1" ref="J16:J25">I16/H16*100</f>
        <v>21.994716731303438</v>
      </c>
      <c r="K16" s="36">
        <f>E16-H16*1.2</f>
        <v>445.36479043278086</v>
      </c>
      <c r="L16" s="30">
        <f>E16-F16</f>
        <v>3068.342090903974</v>
      </c>
      <c r="M16" s="34">
        <f aca="true" t="shared" si="2" ref="M16:M30">L16/F16*100</f>
        <v>12.695001587995804</v>
      </c>
      <c r="N16" s="38">
        <f>E16-F16*1.1</f>
        <v>651.3734362443683</v>
      </c>
      <c r="O16" s="1"/>
    </row>
    <row r="17" spans="1:15" s="4" customFormat="1" ht="12.75" hidden="1">
      <c r="A17" s="17">
        <f aca="true" t="shared" si="3" ref="A17:A30">A16+1</f>
        <v>2017</v>
      </c>
      <c r="B17" s="17"/>
      <c r="C17" s="43">
        <v>26881.95290135625</v>
      </c>
      <c r="D17" s="48">
        <v>0</v>
      </c>
      <c r="E17" s="43">
        <f>C17+D17</f>
        <v>26881.95290135625</v>
      </c>
      <c r="F17" s="43">
        <v>24336.040599945238</v>
      </c>
      <c r="G17" s="43">
        <v>1934.8048828331127</v>
      </c>
      <c r="H17" s="43">
        <f t="shared" si="0"/>
        <v>22401.235717112126</v>
      </c>
      <c r="I17" s="30">
        <f aca="true" t="shared" si="4" ref="I17:I25">E17-H17</f>
        <v>4480.717184244124</v>
      </c>
      <c r="J17" s="32">
        <f t="shared" si="1"/>
        <v>20.002098280771804</v>
      </c>
      <c r="K17" s="36">
        <f aca="true" t="shared" si="5" ref="K17:K30">E17-H17*1.2</f>
        <v>0.4700408216995129</v>
      </c>
      <c r="L17" s="30">
        <f aca="true" t="shared" si="6" ref="L17:L30">E17-F17</f>
        <v>2545.912301411012</v>
      </c>
      <c r="M17" s="34">
        <f t="shared" si="2"/>
        <v>10.461489373981161</v>
      </c>
      <c r="N17" s="38">
        <f aca="true" t="shared" si="7" ref="N17:N30">E17-F17*1.1</f>
        <v>112.30824141648554</v>
      </c>
      <c r="O17" s="1"/>
    </row>
    <row r="18" spans="1:15" s="4" customFormat="1" ht="12.75" hidden="1">
      <c r="A18" s="17">
        <f t="shared" si="3"/>
        <v>2018</v>
      </c>
      <c r="B18" s="17"/>
      <c r="C18" s="43">
        <v>27133.509127497437</v>
      </c>
      <c r="D18" s="48">
        <v>0</v>
      </c>
      <c r="E18" s="43">
        <f aca="true" t="shared" si="8" ref="E18:E29">C18+D18</f>
        <v>27133.509127497437</v>
      </c>
      <c r="F18" s="43">
        <v>24606.278955403854</v>
      </c>
      <c r="G18" s="43">
        <v>1995.2014194263602</v>
      </c>
      <c r="H18" s="43">
        <f t="shared" si="0"/>
        <v>22611.077535977493</v>
      </c>
      <c r="I18" s="30">
        <f t="shared" si="4"/>
        <v>4522.431591519944</v>
      </c>
      <c r="J18" s="32">
        <f t="shared" si="1"/>
        <v>20.000955656907998</v>
      </c>
      <c r="K18" s="36">
        <f t="shared" si="5"/>
        <v>0.21608432444554637</v>
      </c>
      <c r="L18" s="30">
        <f t="shared" si="6"/>
        <v>2527.230172093583</v>
      </c>
      <c r="M18" s="34">
        <f t="shared" si="2"/>
        <v>10.270671874743462</v>
      </c>
      <c r="N18" s="38">
        <f t="shared" si="7"/>
        <v>66.60227655319613</v>
      </c>
      <c r="O18" s="1"/>
    </row>
    <row r="19" spans="1:15" s="4" customFormat="1" ht="12.75">
      <c r="A19" s="17">
        <f t="shared" si="3"/>
        <v>2019</v>
      </c>
      <c r="B19" s="17" t="s">
        <v>68</v>
      </c>
      <c r="C19" s="43">
        <v>28988.249897858703</v>
      </c>
      <c r="D19" s="89">
        <v>0</v>
      </c>
      <c r="E19" s="43">
        <f t="shared" si="8"/>
        <v>28988.249897858703</v>
      </c>
      <c r="F19" s="43">
        <v>24893.09445872483</v>
      </c>
      <c r="G19" s="43">
        <v>2041.4456948504048</v>
      </c>
      <c r="H19" s="43">
        <f t="shared" si="0"/>
        <v>22851.648763874426</v>
      </c>
      <c r="I19" s="30">
        <f t="shared" si="4"/>
        <v>6136.601133984277</v>
      </c>
      <c r="J19" s="32">
        <f t="shared" si="1"/>
        <v>26.854084785713443</v>
      </c>
      <c r="K19" s="36">
        <f t="shared" si="5"/>
        <v>1566.2713812093934</v>
      </c>
      <c r="L19" s="30">
        <f t="shared" si="6"/>
        <v>4095.1554391338723</v>
      </c>
      <c r="M19" s="34">
        <f t="shared" si="2"/>
        <v>16.45096974955861</v>
      </c>
      <c r="N19" s="38">
        <f t="shared" si="7"/>
        <v>1605.8459932613878</v>
      </c>
      <c r="O19" s="1"/>
    </row>
    <row r="20" spans="1:15" s="4" customFormat="1" ht="12.75">
      <c r="A20" s="17">
        <f t="shared" si="3"/>
        <v>2020</v>
      </c>
      <c r="B20" s="17" t="s">
        <v>67</v>
      </c>
      <c r="C20" s="43">
        <v>28406.49789664355</v>
      </c>
      <c r="D20" s="89">
        <v>0</v>
      </c>
      <c r="E20" s="43">
        <f t="shared" si="8"/>
        <v>28406.49789664355</v>
      </c>
      <c r="F20" s="43">
        <v>25205.928535800045</v>
      </c>
      <c r="G20" s="43">
        <v>2088.462209365558</v>
      </c>
      <c r="H20" s="43">
        <f t="shared" si="0"/>
        <v>23117.466326434485</v>
      </c>
      <c r="I20" s="30">
        <f t="shared" si="4"/>
        <v>5289.031570209063</v>
      </c>
      <c r="J20" s="32">
        <f t="shared" si="1"/>
        <v>22.878941383646065</v>
      </c>
      <c r="K20" s="36">
        <f t="shared" si="5"/>
        <v>665.5383049221673</v>
      </c>
      <c r="L20" s="30">
        <f t="shared" si="6"/>
        <v>3200.569360843503</v>
      </c>
      <c r="M20" s="34">
        <f t="shared" si="2"/>
        <v>12.697684817671867</v>
      </c>
      <c r="N20" s="38">
        <f t="shared" si="7"/>
        <v>679.9765072634946</v>
      </c>
      <c r="O20" s="1"/>
    </row>
    <row r="21" spans="1:15" s="4" customFormat="1" ht="12.75">
      <c r="A21" s="17">
        <f t="shared" si="3"/>
        <v>2021</v>
      </c>
      <c r="B21" s="17" t="s">
        <v>67</v>
      </c>
      <c r="C21" s="43">
        <v>28677.635480016936</v>
      </c>
      <c r="D21" s="89">
        <v>0</v>
      </c>
      <c r="E21" s="43">
        <f t="shared" si="8"/>
        <v>28677.635480016936</v>
      </c>
      <c r="F21" s="43">
        <v>25316.416253234296</v>
      </c>
      <c r="G21" s="43">
        <v>2136.2343409014484</v>
      </c>
      <c r="H21" s="43">
        <f t="shared" si="0"/>
        <v>23180.181912332846</v>
      </c>
      <c r="I21" s="30">
        <f t="shared" si="4"/>
        <v>5497.45356768409</v>
      </c>
      <c r="J21" s="32">
        <f t="shared" si="1"/>
        <v>23.716179573030914</v>
      </c>
      <c r="K21" s="36">
        <f t="shared" si="5"/>
        <v>861.4171852175205</v>
      </c>
      <c r="L21" s="30">
        <f t="shared" si="6"/>
        <v>3361.2192267826395</v>
      </c>
      <c r="M21" s="34">
        <f t="shared" si="2"/>
        <v>13.276836631066324</v>
      </c>
      <c r="N21" s="38">
        <f t="shared" si="7"/>
        <v>829.5776014592084</v>
      </c>
      <c r="O21" s="1"/>
    </row>
    <row r="22" spans="1:15" s="4" customFormat="1" ht="12.75">
      <c r="A22" s="17">
        <f t="shared" si="3"/>
        <v>2022</v>
      </c>
      <c r="B22" s="17" t="s">
        <v>83</v>
      </c>
      <c r="C22" s="43">
        <v>28893.863977089288</v>
      </c>
      <c r="D22" s="89">
        <v>0</v>
      </c>
      <c r="E22" s="43">
        <f t="shared" si="8"/>
        <v>28893.863977089288</v>
      </c>
      <c r="F22" s="43">
        <v>25540.189209268094</v>
      </c>
      <c r="G22" s="43">
        <v>2184.7465153952003</v>
      </c>
      <c r="H22" s="43">
        <f t="shared" si="0"/>
        <v>23355.442693872894</v>
      </c>
      <c r="I22" s="30">
        <f t="shared" si="4"/>
        <v>5538.421283216394</v>
      </c>
      <c r="J22" s="32">
        <f t="shared" si="1"/>
        <v>23.71362151345285</v>
      </c>
      <c r="K22" s="36">
        <f t="shared" si="5"/>
        <v>867.3327444418173</v>
      </c>
      <c r="L22" s="30">
        <f t="shared" si="6"/>
        <v>3353.674767821194</v>
      </c>
      <c r="M22" s="34">
        <f t="shared" si="2"/>
        <v>13.130970723600605</v>
      </c>
      <c r="N22" s="38">
        <f t="shared" si="7"/>
        <v>799.655846894384</v>
      </c>
      <c r="O22" s="1"/>
    </row>
    <row r="23" spans="1:15" s="4" customFormat="1" ht="12.75">
      <c r="A23" s="17">
        <f t="shared" si="3"/>
        <v>2023</v>
      </c>
      <c r="B23" s="17"/>
      <c r="C23" s="43">
        <v>28891.09711299759</v>
      </c>
      <c r="D23" s="89">
        <v>0</v>
      </c>
      <c r="E23" s="43">
        <f t="shared" si="8"/>
        <v>28891.09711299759</v>
      </c>
      <c r="F23" s="43">
        <v>25832.903255827194</v>
      </c>
      <c r="G23" s="43">
        <v>2234.0294854316176</v>
      </c>
      <c r="H23" s="43">
        <f t="shared" si="0"/>
        <v>23598.873770395578</v>
      </c>
      <c r="I23" s="30">
        <f t="shared" si="4"/>
        <v>5292.223342602014</v>
      </c>
      <c r="J23" s="32">
        <f t="shared" si="1"/>
        <v>22.425745372819556</v>
      </c>
      <c r="K23" s="36">
        <f t="shared" si="5"/>
        <v>572.4485885229005</v>
      </c>
      <c r="L23" s="30">
        <f t="shared" si="6"/>
        <v>3058.1938571703977</v>
      </c>
      <c r="M23" s="34">
        <f t="shared" si="2"/>
        <v>11.83836685673552</v>
      </c>
      <c r="N23" s="38">
        <f t="shared" si="7"/>
        <v>474.9035315876754</v>
      </c>
      <c r="O23" s="1"/>
    </row>
    <row r="24" spans="1:15" s="4" customFormat="1" ht="13.5" thickBot="1">
      <c r="A24" s="49">
        <f t="shared" si="3"/>
        <v>2024</v>
      </c>
      <c r="B24" s="49"/>
      <c r="C24" s="50">
        <v>28888.338871717213</v>
      </c>
      <c r="D24" s="93">
        <v>0</v>
      </c>
      <c r="E24" s="50">
        <f t="shared" si="8"/>
        <v>28888.338871717213</v>
      </c>
      <c r="F24" s="50">
        <v>26180.278517781553</v>
      </c>
      <c r="G24" s="50">
        <v>2284.18220399574</v>
      </c>
      <c r="H24" s="50">
        <f t="shared" si="0"/>
        <v>23896.096313785813</v>
      </c>
      <c r="I24" s="51">
        <f t="shared" si="4"/>
        <v>4992.2425579314</v>
      </c>
      <c r="J24" s="52">
        <f t="shared" si="1"/>
        <v>20.891456463754473</v>
      </c>
      <c r="K24" s="53">
        <f t="shared" si="5"/>
        <v>213.02329517424005</v>
      </c>
      <c r="L24" s="51">
        <f t="shared" si="6"/>
        <v>2708.06035393566</v>
      </c>
      <c r="M24" s="54">
        <f t="shared" si="2"/>
        <v>10.343894363447488</v>
      </c>
      <c r="N24" s="55">
        <f t="shared" si="7"/>
        <v>90.03250215750086</v>
      </c>
      <c r="O24" s="1"/>
    </row>
    <row r="25" spans="1:15" s="4" customFormat="1" ht="12.75">
      <c r="A25" s="17">
        <f t="shared" si="3"/>
        <v>2025</v>
      </c>
      <c r="B25" s="17"/>
      <c r="C25" s="43">
        <v>28885.589225285297</v>
      </c>
      <c r="D25" s="89">
        <v>0</v>
      </c>
      <c r="E25" s="43">
        <f t="shared" si="8"/>
        <v>28885.589225285297</v>
      </c>
      <c r="F25" s="43">
        <v>26572.4560211349</v>
      </c>
      <c r="G25" s="43">
        <v>2334</v>
      </c>
      <c r="H25" s="43">
        <f t="shared" si="0"/>
        <v>24238.4560211349</v>
      </c>
      <c r="I25" s="30">
        <f t="shared" si="4"/>
        <v>4647.133204150396</v>
      </c>
      <c r="J25" s="32">
        <f t="shared" si="1"/>
        <v>19.17256280721137</v>
      </c>
      <c r="K25" s="36">
        <f t="shared" si="5"/>
        <v>-200.558000076584</v>
      </c>
      <c r="L25" s="30">
        <f t="shared" si="6"/>
        <v>2313.1332041503956</v>
      </c>
      <c r="M25" s="34">
        <f t="shared" si="2"/>
        <v>8.705003415230424</v>
      </c>
      <c r="N25" s="38">
        <f t="shared" si="7"/>
        <v>-344.11239796309746</v>
      </c>
      <c r="O25" s="1"/>
    </row>
    <row r="26" spans="1:15" s="4" customFormat="1" ht="12.75">
      <c r="A26" s="17">
        <f t="shared" si="3"/>
        <v>2026</v>
      </c>
      <c r="B26" s="17"/>
      <c r="C26" s="43">
        <v>28882.848145836484</v>
      </c>
      <c r="D26" s="89">
        <v>0</v>
      </c>
      <c r="E26" s="43">
        <f t="shared" si="8"/>
        <v>28882.848145836484</v>
      </c>
      <c r="F26" s="43">
        <v>27067.6000853683</v>
      </c>
      <c r="G26" s="43">
        <v>2384</v>
      </c>
      <c r="H26" s="43">
        <f>F26-G26</f>
        <v>24683.6000853683</v>
      </c>
      <c r="I26" s="30">
        <f>E26-H26</f>
        <v>4199.248060468184</v>
      </c>
      <c r="J26" s="32">
        <f>I26/H26*100</f>
        <v>17.01229985069063</v>
      </c>
      <c r="K26" s="36">
        <f t="shared" si="5"/>
        <v>-737.4719566054737</v>
      </c>
      <c r="L26" s="30">
        <f t="shared" si="6"/>
        <v>1815.2480604681841</v>
      </c>
      <c r="M26" s="34">
        <f t="shared" si="2"/>
        <v>6.7063502295847695</v>
      </c>
      <c r="N26" s="38">
        <f t="shared" si="7"/>
        <v>-891.511948068648</v>
      </c>
      <c r="O26" s="1"/>
    </row>
    <row r="27" spans="1:15" s="4" customFormat="1" ht="12.75">
      <c r="A27" s="17">
        <f t="shared" si="3"/>
        <v>2027</v>
      </c>
      <c r="B27" s="17"/>
      <c r="C27" s="43">
        <v>28876.615605602543</v>
      </c>
      <c r="D27" s="89">
        <v>0</v>
      </c>
      <c r="E27" s="43">
        <f t="shared" si="8"/>
        <v>28876.615605602543</v>
      </c>
      <c r="F27" s="43">
        <v>27665.21915802903</v>
      </c>
      <c r="G27" s="43">
        <v>2434</v>
      </c>
      <c r="H27" s="43">
        <f>F27-G27</f>
        <v>25231.21915802903</v>
      </c>
      <c r="I27" s="30">
        <f>E27-H27</f>
        <v>3645.396447573512</v>
      </c>
      <c r="J27" s="32">
        <f>I27/H27*100</f>
        <v>14.447959984579187</v>
      </c>
      <c r="K27" s="36">
        <f t="shared" si="5"/>
        <v>-1400.8473840322913</v>
      </c>
      <c r="L27" s="30">
        <f t="shared" si="6"/>
        <v>1211.396447573512</v>
      </c>
      <c r="M27" s="34">
        <f t="shared" si="2"/>
        <v>4.37877047224453</v>
      </c>
      <c r="N27" s="38">
        <f t="shared" si="7"/>
        <v>-1555.1254682293948</v>
      </c>
      <c r="O27" s="1"/>
    </row>
    <row r="28" spans="1:15" s="4" customFormat="1" ht="12.75">
      <c r="A28" s="17">
        <f t="shared" si="3"/>
        <v>2028</v>
      </c>
      <c r="B28" s="17"/>
      <c r="C28" s="43">
        <v>28873.891576911978</v>
      </c>
      <c r="D28" s="89">
        <v>0</v>
      </c>
      <c r="E28" s="43">
        <f t="shared" si="8"/>
        <v>28873.891576911978</v>
      </c>
      <c r="F28" s="43">
        <v>28224.724306714037</v>
      </c>
      <c r="G28" s="43">
        <v>2484</v>
      </c>
      <c r="H28" s="43">
        <f>F28-G28</f>
        <v>25740.724306714037</v>
      </c>
      <c r="I28" s="30">
        <f>E28-H28</f>
        <v>3133.1672701979405</v>
      </c>
      <c r="J28" s="32">
        <f>I28/H28*100</f>
        <v>12.172024504301561</v>
      </c>
      <c r="K28" s="36">
        <f t="shared" si="5"/>
        <v>-2014.977591144867</v>
      </c>
      <c r="L28" s="30">
        <f t="shared" si="6"/>
        <v>649.1672701979405</v>
      </c>
      <c r="M28" s="34">
        <f t="shared" si="2"/>
        <v>2.299995079291237</v>
      </c>
      <c r="N28" s="38">
        <f t="shared" si="7"/>
        <v>-2173.3051604734646</v>
      </c>
      <c r="O28" s="1"/>
    </row>
    <row r="29" spans="1:15" s="4" customFormat="1" ht="12.75">
      <c r="A29" s="17">
        <f t="shared" si="3"/>
        <v>2029</v>
      </c>
      <c r="B29" s="13"/>
      <c r="C29" s="43">
        <v>28871.176032189665</v>
      </c>
      <c r="D29" s="89">
        <v>0</v>
      </c>
      <c r="E29" s="43">
        <f t="shared" si="8"/>
        <v>28871.176032189665</v>
      </c>
      <c r="F29" s="43">
        <v>28804.814369193406</v>
      </c>
      <c r="G29" s="43">
        <v>2534</v>
      </c>
      <c r="H29" s="43">
        <f>F29-G29</f>
        <v>26270.814369193406</v>
      </c>
      <c r="I29" s="30">
        <f>E29-H29</f>
        <v>2600.36166299626</v>
      </c>
      <c r="J29" s="32">
        <f>I29/H29*100</f>
        <v>9.898291032978355</v>
      </c>
      <c r="K29" s="36">
        <f t="shared" si="5"/>
        <v>-2653.801210842419</v>
      </c>
      <c r="L29" s="30">
        <f t="shared" si="6"/>
        <v>66.36166299625984</v>
      </c>
      <c r="M29" s="34">
        <f t="shared" si="2"/>
        <v>0.23038392869225804</v>
      </c>
      <c r="N29" s="38">
        <f t="shared" si="7"/>
        <v>-2814.1197739230847</v>
      </c>
      <c r="O29" s="1"/>
    </row>
    <row r="30" spans="1:15" s="4" customFormat="1" ht="12.75">
      <c r="A30" s="18">
        <f t="shared" si="3"/>
        <v>2030</v>
      </c>
      <c r="B30" s="18"/>
      <c r="C30" s="44">
        <v>28868.468943956468</v>
      </c>
      <c r="D30" s="90">
        <v>0</v>
      </c>
      <c r="E30" s="44">
        <f>C30+D30</f>
        <v>28868.468943956468</v>
      </c>
      <c r="F30" s="44">
        <v>29397.66178369829</v>
      </c>
      <c r="G30" s="44">
        <v>2584</v>
      </c>
      <c r="H30" s="44">
        <f>F30-G30</f>
        <v>26813.66178369829</v>
      </c>
      <c r="I30" s="31">
        <f>E30-H30</f>
        <v>2054.8071602581767</v>
      </c>
      <c r="J30" s="33">
        <f>I30/H30*100</f>
        <v>7.66328439895301</v>
      </c>
      <c r="K30" s="37">
        <f t="shared" si="5"/>
        <v>-3307.9251964814794</v>
      </c>
      <c r="L30" s="31">
        <f t="shared" si="6"/>
        <v>-529.1928397418233</v>
      </c>
      <c r="M30" s="35">
        <f t="shared" si="2"/>
        <v>-1.8001188109296278</v>
      </c>
      <c r="N30" s="39">
        <f t="shared" si="7"/>
        <v>-3468.9590181116546</v>
      </c>
      <c r="O30" s="1"/>
    </row>
    <row r="31" spans="1:15" ht="12" customHeight="1">
      <c r="A31" s="5"/>
      <c r="B31" s="5" t="s">
        <v>64</v>
      </c>
      <c r="C31" s="5"/>
      <c r="D31" s="5"/>
      <c r="O31" s="1"/>
    </row>
    <row r="32" spans="1:15" ht="12.75">
      <c r="A32" s="6"/>
      <c r="B32" s="2"/>
      <c r="C32" s="6"/>
      <c r="D32" s="6"/>
      <c r="E32" s="7"/>
      <c r="F32" s="7"/>
      <c r="G32" s="7"/>
      <c r="H32" s="7"/>
      <c r="I32" s="7"/>
      <c r="J32" s="7"/>
      <c r="K32" s="7"/>
      <c r="O32" s="1"/>
    </row>
    <row r="33" spans="1:15" ht="15.75">
      <c r="A33" s="6"/>
      <c r="B33" s="6" t="s">
        <v>82</v>
      </c>
      <c r="C33" s="6"/>
      <c r="D33" s="6"/>
      <c r="E33" s="4"/>
      <c r="F33" s="4"/>
      <c r="G33" s="4"/>
      <c r="H33" s="4"/>
      <c r="I33" s="4"/>
      <c r="J33" s="4"/>
      <c r="K33" s="4"/>
      <c r="O33" s="1"/>
    </row>
  </sheetData>
  <sheetProtection/>
  <mergeCells count="10">
    <mergeCell ref="I12:J12"/>
    <mergeCell ref="L12:M12"/>
    <mergeCell ref="I13:J13"/>
    <mergeCell ref="L13:M13"/>
    <mergeCell ref="A5:N5"/>
    <mergeCell ref="A6:N6"/>
    <mergeCell ref="I10:K10"/>
    <mergeCell ref="L10:N10"/>
    <mergeCell ref="I11:J11"/>
    <mergeCell ref="L11:M11"/>
  </mergeCells>
  <conditionalFormatting sqref="N19:N30">
    <cfRule type="cellIs" priority="1" dxfId="21" operator="lessThan" stopIfTrue="1">
      <formula>0</formula>
    </cfRule>
  </conditionalFormatting>
  <printOptions horizontalCentered="1"/>
  <pageMargins left="0.25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theme="3" tint="-0.4999699890613556"/>
    <pageSetUpPr fitToPage="1"/>
  </sheetPr>
  <dimension ref="A3:P34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25.8515625" style="1" customWidth="1"/>
    <col min="3" max="3" width="10.57421875" style="1" customWidth="1"/>
    <col min="4" max="5" width="11.28125" style="1" customWidth="1"/>
    <col min="6" max="9" width="8.28125" style="2" customWidth="1"/>
    <col min="10" max="10" width="8.421875" style="2" customWidth="1"/>
    <col min="11" max="11" width="7.421875" style="2" customWidth="1"/>
    <col min="12" max="12" width="9.00390625" style="2" customWidth="1"/>
    <col min="13" max="13" width="8.421875" style="2" customWidth="1"/>
    <col min="14" max="14" width="9.421875" style="2" customWidth="1"/>
    <col min="15" max="15" width="12.00390625" style="2" customWidth="1"/>
    <col min="16" max="16" width="12.7109375" style="2" customWidth="1"/>
    <col min="17" max="17" width="23.421875" style="2" bestFit="1" customWidth="1"/>
    <col min="18" max="16384" width="12.7109375" style="2" customWidth="1"/>
  </cols>
  <sheetData>
    <row r="3" spans="2:15" ht="12.75">
      <c r="B3" s="42" t="s">
        <v>29</v>
      </c>
      <c r="C3" s="42"/>
      <c r="D3" s="42"/>
      <c r="E3" s="42"/>
      <c r="O3" s="41"/>
    </row>
    <row r="4" spans="1:15" ht="15.75">
      <c r="A4" s="117" t="s">
        <v>78</v>
      </c>
      <c r="B4" s="117" t="s">
        <v>75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.75">
      <c r="A5" s="117" t="s">
        <v>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.75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5" ht="12.75">
      <c r="A7" s="2"/>
      <c r="B7" s="2"/>
      <c r="C7" s="2"/>
      <c r="D7" s="2"/>
      <c r="E7" s="2"/>
    </row>
    <row r="8" spans="1:15" ht="12.75">
      <c r="A8" s="3">
        <v>-1</v>
      </c>
      <c r="B8" s="3">
        <v>-2</v>
      </c>
      <c r="C8" s="3">
        <v>-3</v>
      </c>
      <c r="D8" s="3">
        <v>-4</v>
      </c>
      <c r="E8" s="3"/>
      <c r="F8" s="3">
        <v>-5</v>
      </c>
      <c r="G8" s="3">
        <v>-6</v>
      </c>
      <c r="H8" s="3">
        <v>-7</v>
      </c>
      <c r="I8" s="3">
        <v>-8</v>
      </c>
      <c r="J8" s="3">
        <v>-9</v>
      </c>
      <c r="K8" s="3">
        <v>-10</v>
      </c>
      <c r="L8" s="3">
        <v>-11</v>
      </c>
      <c r="M8" s="3">
        <v>-12</v>
      </c>
      <c r="N8" s="3">
        <v>-13</v>
      </c>
      <c r="O8" s="40">
        <v>-14</v>
      </c>
    </row>
    <row r="9" spans="1:15" ht="12.75" hidden="1">
      <c r="A9" s="3">
        <v>-1</v>
      </c>
      <c r="B9" s="3">
        <v>-2</v>
      </c>
      <c r="C9" s="3"/>
      <c r="D9" s="3"/>
      <c r="E9" s="3"/>
      <c r="F9" s="3">
        <v>-3</v>
      </c>
      <c r="G9" s="3">
        <v>-4</v>
      </c>
      <c r="H9" s="3">
        <v>-5</v>
      </c>
      <c r="I9" s="3">
        <v>-6</v>
      </c>
      <c r="J9" s="3">
        <v>-7</v>
      </c>
      <c r="K9" s="3">
        <v>-8</v>
      </c>
      <c r="L9" s="3">
        <v>-9</v>
      </c>
      <c r="M9" s="3">
        <v>-10</v>
      </c>
      <c r="N9" s="3">
        <v>-11</v>
      </c>
      <c r="O9" s="40">
        <v>-12</v>
      </c>
    </row>
    <row r="10" spans="1:15" ht="12.75">
      <c r="A10" s="19"/>
      <c r="B10" s="16"/>
      <c r="C10" s="12"/>
      <c r="D10" s="101"/>
      <c r="E10" s="101"/>
      <c r="F10" s="12"/>
      <c r="G10" s="15"/>
      <c r="H10" s="12"/>
      <c r="I10" s="12"/>
      <c r="J10" s="118" t="s">
        <v>18</v>
      </c>
      <c r="K10" s="119"/>
      <c r="L10" s="120"/>
      <c r="M10" s="121" t="s">
        <v>24</v>
      </c>
      <c r="N10" s="122"/>
      <c r="O10" s="123"/>
    </row>
    <row r="11" spans="1:15" ht="12.75">
      <c r="A11" s="14"/>
      <c r="B11" s="14"/>
      <c r="C11" s="13" t="s">
        <v>7</v>
      </c>
      <c r="D11" s="46" t="s">
        <v>28</v>
      </c>
      <c r="E11" s="46" t="s">
        <v>28</v>
      </c>
      <c r="F11" s="13" t="s">
        <v>7</v>
      </c>
      <c r="G11" s="14"/>
      <c r="H11" s="14"/>
      <c r="I11" s="13" t="s">
        <v>10</v>
      </c>
      <c r="J11" s="124"/>
      <c r="K11" s="125"/>
      <c r="L11" s="8" t="s">
        <v>19</v>
      </c>
      <c r="M11" s="124"/>
      <c r="N11" s="125"/>
      <c r="O11" s="8" t="s">
        <v>19</v>
      </c>
    </row>
    <row r="12" spans="1:15" ht="12.75">
      <c r="A12" s="14"/>
      <c r="B12" s="14"/>
      <c r="C12" s="14" t="s">
        <v>10</v>
      </c>
      <c r="D12" s="46" t="s">
        <v>10</v>
      </c>
      <c r="E12" s="46" t="s">
        <v>10</v>
      </c>
      <c r="F12" s="14" t="s">
        <v>10</v>
      </c>
      <c r="G12" s="13" t="s">
        <v>7</v>
      </c>
      <c r="H12" s="14"/>
      <c r="I12" s="13" t="s">
        <v>0</v>
      </c>
      <c r="J12" s="113"/>
      <c r="K12" s="114"/>
      <c r="L12" s="9" t="s">
        <v>20</v>
      </c>
      <c r="M12" s="113"/>
      <c r="N12" s="114"/>
      <c r="O12" s="9" t="s">
        <v>20</v>
      </c>
    </row>
    <row r="13" spans="1:15" ht="15.75" customHeight="1">
      <c r="A13" s="14"/>
      <c r="B13" s="14"/>
      <c r="C13" s="13" t="s">
        <v>4</v>
      </c>
      <c r="D13" s="46" t="s">
        <v>4</v>
      </c>
      <c r="E13" s="46" t="s">
        <v>4</v>
      </c>
      <c r="F13" s="13" t="s">
        <v>4</v>
      </c>
      <c r="G13" s="13" t="s">
        <v>1</v>
      </c>
      <c r="H13" s="13"/>
      <c r="I13" s="13" t="s">
        <v>1</v>
      </c>
      <c r="J13" s="113"/>
      <c r="K13" s="114"/>
      <c r="L13" s="10" t="s">
        <v>21</v>
      </c>
      <c r="M13" s="115"/>
      <c r="N13" s="116"/>
      <c r="O13" s="10" t="s">
        <v>21</v>
      </c>
    </row>
    <row r="14" spans="1:16" ht="15" customHeight="1">
      <c r="A14" s="14"/>
      <c r="B14" s="14" t="s">
        <v>6</v>
      </c>
      <c r="C14" s="13" t="s">
        <v>11</v>
      </c>
      <c r="D14" s="46" t="s">
        <v>3</v>
      </c>
      <c r="E14" s="46" t="s">
        <v>66</v>
      </c>
      <c r="F14" s="13" t="s">
        <v>11</v>
      </c>
      <c r="G14" s="13" t="s">
        <v>12</v>
      </c>
      <c r="H14" s="13" t="s">
        <v>2</v>
      </c>
      <c r="I14" s="14" t="s">
        <v>12</v>
      </c>
      <c r="J14" s="27" t="s">
        <v>25</v>
      </c>
      <c r="K14" s="28"/>
      <c r="L14" s="11" t="s">
        <v>22</v>
      </c>
      <c r="M14" s="26" t="s">
        <v>25</v>
      </c>
      <c r="N14" s="29"/>
      <c r="O14" s="11" t="s">
        <v>23</v>
      </c>
      <c r="P14" s="1"/>
    </row>
    <row r="15" spans="1:16" ht="15.75">
      <c r="A15" s="20" t="s">
        <v>5</v>
      </c>
      <c r="B15" s="20" t="s">
        <v>76</v>
      </c>
      <c r="C15" s="20" t="s">
        <v>8</v>
      </c>
      <c r="D15" s="47" t="s">
        <v>8</v>
      </c>
      <c r="E15" s="47" t="s">
        <v>8</v>
      </c>
      <c r="F15" s="20" t="s">
        <v>8</v>
      </c>
      <c r="G15" s="20" t="s">
        <v>8</v>
      </c>
      <c r="H15" s="20" t="s">
        <v>8</v>
      </c>
      <c r="I15" s="20" t="s">
        <v>8</v>
      </c>
      <c r="J15" s="21" t="s">
        <v>8</v>
      </c>
      <c r="K15" s="22" t="s">
        <v>9</v>
      </c>
      <c r="L15" s="23" t="s">
        <v>8</v>
      </c>
      <c r="M15" s="24" t="s">
        <v>13</v>
      </c>
      <c r="N15" s="25" t="s">
        <v>17</v>
      </c>
      <c r="O15" s="23" t="s">
        <v>8</v>
      </c>
      <c r="P15" s="1"/>
    </row>
    <row r="16" spans="1:15" s="4" customFormat="1" ht="12.75" hidden="1">
      <c r="A16" s="17">
        <v>2016</v>
      </c>
      <c r="B16" s="17"/>
      <c r="C16" s="43">
        <v>27238.0286375</v>
      </c>
      <c r="D16" s="48">
        <v>0</v>
      </c>
      <c r="E16" s="48"/>
      <c r="F16" s="43">
        <f>C16+D16</f>
        <v>27238.0286375</v>
      </c>
      <c r="G16" s="43">
        <v>24169.686546596025</v>
      </c>
      <c r="H16" s="43">
        <v>1842.4666740400107</v>
      </c>
      <c r="I16" s="43">
        <f aca="true" t="shared" si="0" ref="I16:I25">G16-H16</f>
        <v>22327.219872556016</v>
      </c>
      <c r="J16" s="30">
        <f>F16-I16</f>
        <v>4910.808764943984</v>
      </c>
      <c r="K16" s="32">
        <f aca="true" t="shared" si="1" ref="K16:K25">J16/I16*100</f>
        <v>21.994716731303438</v>
      </c>
      <c r="L16" s="36">
        <f>F16-I16*1.2</f>
        <v>445.36479043278086</v>
      </c>
      <c r="M16" s="30">
        <f>F16-G16</f>
        <v>3068.342090903974</v>
      </c>
      <c r="N16" s="34">
        <f aca="true" t="shared" si="2" ref="N16:N30">M16/G16*100</f>
        <v>12.695001587995804</v>
      </c>
      <c r="O16" s="38">
        <f>F16-G16*1.1</f>
        <v>651.3734362443683</v>
      </c>
    </row>
    <row r="17" spans="1:15" s="4" customFormat="1" ht="12.75" hidden="1">
      <c r="A17" s="17">
        <f aca="true" t="shared" si="3" ref="A17:A30">A16+1</f>
        <v>2017</v>
      </c>
      <c r="B17" s="17"/>
      <c r="C17" s="43">
        <v>26881.95290135625</v>
      </c>
      <c r="D17" s="48">
        <v>0</v>
      </c>
      <c r="E17" s="48"/>
      <c r="F17" s="43">
        <f>C17+D17</f>
        <v>26881.95290135625</v>
      </c>
      <c r="G17" s="43">
        <v>24336.040599945238</v>
      </c>
      <c r="H17" s="43">
        <v>1934.8048828331127</v>
      </c>
      <c r="I17" s="43">
        <f t="shared" si="0"/>
        <v>22401.235717112126</v>
      </c>
      <c r="J17" s="30">
        <f aca="true" t="shared" si="4" ref="J17:J25">F17-I17</f>
        <v>4480.717184244124</v>
      </c>
      <c r="K17" s="32">
        <f t="shared" si="1"/>
        <v>20.002098280771804</v>
      </c>
      <c r="L17" s="36">
        <f aca="true" t="shared" si="5" ref="L17:L30">F17-I17*1.2</f>
        <v>0.4700408216995129</v>
      </c>
      <c r="M17" s="30">
        <f aca="true" t="shared" si="6" ref="M17:M30">F17-G17</f>
        <v>2545.912301411012</v>
      </c>
      <c r="N17" s="34">
        <f t="shared" si="2"/>
        <v>10.461489373981161</v>
      </c>
      <c r="O17" s="38">
        <f aca="true" t="shared" si="7" ref="O17:O30">F17-G17*1.1</f>
        <v>112.30824141648554</v>
      </c>
    </row>
    <row r="18" spans="1:15" s="4" customFormat="1" ht="12.75" hidden="1">
      <c r="A18" s="17">
        <f t="shared" si="3"/>
        <v>2018</v>
      </c>
      <c r="B18" s="17"/>
      <c r="C18" s="43">
        <v>27133.509127497437</v>
      </c>
      <c r="D18" s="48">
        <v>0</v>
      </c>
      <c r="E18" s="48"/>
      <c r="F18" s="43">
        <f>C18+D18</f>
        <v>27133.509127497437</v>
      </c>
      <c r="G18" s="43">
        <v>24606.278955403854</v>
      </c>
      <c r="H18" s="43">
        <v>1995.2014194263602</v>
      </c>
      <c r="I18" s="43">
        <f t="shared" si="0"/>
        <v>22611.077535977493</v>
      </c>
      <c r="J18" s="30">
        <f t="shared" si="4"/>
        <v>4522.431591519944</v>
      </c>
      <c r="K18" s="32">
        <f t="shared" si="1"/>
        <v>20.000955656907998</v>
      </c>
      <c r="L18" s="36">
        <f t="shared" si="5"/>
        <v>0.21608432444554637</v>
      </c>
      <c r="M18" s="30">
        <f t="shared" si="6"/>
        <v>2527.230172093583</v>
      </c>
      <c r="N18" s="34">
        <f t="shared" si="2"/>
        <v>10.270671874743462</v>
      </c>
      <c r="O18" s="38">
        <f t="shared" si="7"/>
        <v>66.60227655319613</v>
      </c>
    </row>
    <row r="19" spans="1:16" s="4" customFormat="1" ht="12.75">
      <c r="A19" s="17">
        <f t="shared" si="3"/>
        <v>2019</v>
      </c>
      <c r="B19" s="17" t="s">
        <v>68</v>
      </c>
      <c r="C19" s="43">
        <v>28988.2498978587</v>
      </c>
      <c r="D19" s="89">
        <v>0</v>
      </c>
      <c r="E19" s="89">
        <v>-884</v>
      </c>
      <c r="F19" s="43">
        <f>C19+D19+E19</f>
        <v>28104.2498978587</v>
      </c>
      <c r="G19" s="43">
        <v>24893.09445872483</v>
      </c>
      <c r="H19" s="43">
        <v>2041.4456948504048</v>
      </c>
      <c r="I19" s="43">
        <f t="shared" si="0"/>
        <v>22851.648763874426</v>
      </c>
      <c r="J19" s="30">
        <f t="shared" si="4"/>
        <v>5252.6011339842735</v>
      </c>
      <c r="K19" s="32">
        <f t="shared" si="1"/>
        <v>22.98565494446061</v>
      </c>
      <c r="L19" s="36">
        <f t="shared" si="5"/>
        <v>682.2713812093898</v>
      </c>
      <c r="M19" s="30">
        <f t="shared" si="6"/>
        <v>3211.1554391338686</v>
      </c>
      <c r="N19" s="34">
        <f t="shared" si="2"/>
        <v>12.899784092565417</v>
      </c>
      <c r="O19" s="38">
        <f t="shared" si="7"/>
        <v>721.8459932613841</v>
      </c>
      <c r="P19" s="100"/>
    </row>
    <row r="20" spans="1:16" s="4" customFormat="1" ht="12.75">
      <c r="A20" s="17">
        <f t="shared" si="3"/>
        <v>2020</v>
      </c>
      <c r="B20" s="17" t="s">
        <v>67</v>
      </c>
      <c r="C20" s="43">
        <v>28406.49789664355</v>
      </c>
      <c r="D20" s="89">
        <v>0</v>
      </c>
      <c r="E20" s="89">
        <v>-884</v>
      </c>
      <c r="F20" s="43">
        <f aca="true" t="shared" si="8" ref="F20:F30">C20+D20+E20</f>
        <v>27522.49789664355</v>
      </c>
      <c r="G20" s="43">
        <v>25205.928535800045</v>
      </c>
      <c r="H20" s="43">
        <v>2088.462209365558</v>
      </c>
      <c r="I20" s="43">
        <f t="shared" si="0"/>
        <v>23117.466326434485</v>
      </c>
      <c r="J20" s="30">
        <f t="shared" si="4"/>
        <v>4405.031570209063</v>
      </c>
      <c r="K20" s="32">
        <f t="shared" si="1"/>
        <v>19.05499291318086</v>
      </c>
      <c r="L20" s="36">
        <f t="shared" si="5"/>
        <v>-218.4616950778327</v>
      </c>
      <c r="M20" s="30">
        <f t="shared" si="6"/>
        <v>2316.569360843503</v>
      </c>
      <c r="N20" s="34">
        <f t="shared" si="2"/>
        <v>9.190573390515148</v>
      </c>
      <c r="O20" s="38">
        <f t="shared" si="7"/>
        <v>-204.02349273650543</v>
      </c>
      <c r="P20" s="100"/>
    </row>
    <row r="21" spans="1:16" s="4" customFormat="1" ht="12.75">
      <c r="A21" s="17">
        <f t="shared" si="3"/>
        <v>2021</v>
      </c>
      <c r="B21" s="17" t="s">
        <v>67</v>
      </c>
      <c r="C21" s="43">
        <v>28677.635480016936</v>
      </c>
      <c r="D21" s="89">
        <v>0</v>
      </c>
      <c r="E21" s="89">
        <f aca="true" t="shared" si="9" ref="E21:E30">E20</f>
        <v>-884</v>
      </c>
      <c r="F21" s="43">
        <f t="shared" si="8"/>
        <v>27793.635480016936</v>
      </c>
      <c r="G21" s="43">
        <v>25316.416253234296</v>
      </c>
      <c r="H21" s="43">
        <v>2136.2343409014484</v>
      </c>
      <c r="I21" s="43">
        <f t="shared" si="0"/>
        <v>23180.181912332846</v>
      </c>
      <c r="J21" s="30">
        <f t="shared" si="4"/>
        <v>4613.45356768409</v>
      </c>
      <c r="K21" s="32">
        <f t="shared" si="1"/>
        <v>19.902577059714684</v>
      </c>
      <c r="L21" s="36">
        <f t="shared" si="5"/>
        <v>-22.582814782479545</v>
      </c>
      <c r="M21" s="30">
        <f t="shared" si="6"/>
        <v>2477.2192267826395</v>
      </c>
      <c r="N21" s="34">
        <f t="shared" si="2"/>
        <v>9.785031190843066</v>
      </c>
      <c r="O21" s="38">
        <f t="shared" si="7"/>
        <v>-54.42239854079162</v>
      </c>
      <c r="P21" s="100"/>
    </row>
    <row r="22" spans="1:16" s="4" customFormat="1" ht="12.75">
      <c r="A22" s="17">
        <f t="shared" si="3"/>
        <v>2022</v>
      </c>
      <c r="B22" s="17" t="s">
        <v>83</v>
      </c>
      <c r="C22" s="43">
        <v>28893.863977089288</v>
      </c>
      <c r="D22" s="89">
        <v>0</v>
      </c>
      <c r="E22" s="89">
        <f t="shared" si="9"/>
        <v>-884</v>
      </c>
      <c r="F22" s="43">
        <f t="shared" si="8"/>
        <v>28009.863977089288</v>
      </c>
      <c r="G22" s="43">
        <v>25540.189209268094</v>
      </c>
      <c r="H22" s="43">
        <v>2184.7465153952003</v>
      </c>
      <c r="I22" s="43">
        <f t="shared" si="0"/>
        <v>23355.442693872894</v>
      </c>
      <c r="J22" s="30">
        <f t="shared" si="4"/>
        <v>4654.421283216394</v>
      </c>
      <c r="K22" s="32">
        <f t="shared" si="1"/>
        <v>19.928636524785045</v>
      </c>
      <c r="L22" s="36">
        <f t="shared" si="5"/>
        <v>-16.66725555818266</v>
      </c>
      <c r="M22" s="30">
        <f t="shared" si="6"/>
        <v>2469.674767821194</v>
      </c>
      <c r="N22" s="34">
        <f t="shared" si="2"/>
        <v>9.669759090606078</v>
      </c>
      <c r="O22" s="38">
        <f t="shared" si="7"/>
        <v>-84.34415310561599</v>
      </c>
      <c r="P22" s="100"/>
    </row>
    <row r="23" spans="1:16" s="4" customFormat="1" ht="12.75">
      <c r="A23" s="17">
        <f t="shared" si="3"/>
        <v>2023</v>
      </c>
      <c r="B23" s="17"/>
      <c r="C23" s="43">
        <v>28891.09711299759</v>
      </c>
      <c r="D23" s="89">
        <v>0</v>
      </c>
      <c r="E23" s="89">
        <f t="shared" si="9"/>
        <v>-884</v>
      </c>
      <c r="F23" s="43">
        <f t="shared" si="8"/>
        <v>28007.09711299759</v>
      </c>
      <c r="G23" s="43">
        <v>25832.903255827194</v>
      </c>
      <c r="H23" s="43">
        <v>2234.0294854316176</v>
      </c>
      <c r="I23" s="43">
        <f t="shared" si="0"/>
        <v>23598.873770395578</v>
      </c>
      <c r="J23" s="30">
        <f t="shared" si="4"/>
        <v>4408.223342602014</v>
      </c>
      <c r="K23" s="32">
        <f t="shared" si="1"/>
        <v>18.679803898659188</v>
      </c>
      <c r="L23" s="36">
        <f t="shared" si="5"/>
        <v>-311.55141147709946</v>
      </c>
      <c r="M23" s="30">
        <f t="shared" si="6"/>
        <v>2174.1938571703977</v>
      </c>
      <c r="N23" s="34">
        <f t="shared" si="2"/>
        <v>8.416374402981434</v>
      </c>
      <c r="O23" s="38">
        <f t="shared" si="7"/>
        <v>-409.0964684123246</v>
      </c>
      <c r="P23" s="100"/>
    </row>
    <row r="24" spans="1:16" s="4" customFormat="1" ht="13.5" thickBot="1">
      <c r="A24" s="49">
        <f t="shared" si="3"/>
        <v>2024</v>
      </c>
      <c r="B24" s="49"/>
      <c r="C24" s="50">
        <v>28888.338871717213</v>
      </c>
      <c r="D24" s="93">
        <v>0</v>
      </c>
      <c r="E24" s="93">
        <f t="shared" si="9"/>
        <v>-884</v>
      </c>
      <c r="F24" s="50">
        <f t="shared" si="8"/>
        <v>28004.338871717213</v>
      </c>
      <c r="G24" s="50">
        <v>26180.278517781553</v>
      </c>
      <c r="H24" s="50">
        <v>2284.18220399574</v>
      </c>
      <c r="I24" s="50">
        <f t="shared" si="0"/>
        <v>23896.096313785813</v>
      </c>
      <c r="J24" s="51">
        <f t="shared" si="4"/>
        <v>4108.2425579314</v>
      </c>
      <c r="K24" s="52">
        <f t="shared" si="1"/>
        <v>17.192107463851023</v>
      </c>
      <c r="L24" s="53">
        <f t="shared" si="5"/>
        <v>-670.97670482576</v>
      </c>
      <c r="M24" s="51">
        <f t="shared" si="6"/>
        <v>1824.0603539356598</v>
      </c>
      <c r="N24" s="54">
        <f t="shared" si="2"/>
        <v>6.967306908888553</v>
      </c>
      <c r="O24" s="55">
        <f t="shared" si="7"/>
        <v>-793.9674978424991</v>
      </c>
      <c r="P24" s="100"/>
    </row>
    <row r="25" spans="1:16" s="4" customFormat="1" ht="12.75">
      <c r="A25" s="17">
        <f t="shared" si="3"/>
        <v>2025</v>
      </c>
      <c r="B25" s="17"/>
      <c r="C25" s="43">
        <v>28885.589225285297</v>
      </c>
      <c r="D25" s="89">
        <v>0</v>
      </c>
      <c r="E25" s="89">
        <f t="shared" si="9"/>
        <v>-884</v>
      </c>
      <c r="F25" s="43">
        <f t="shared" si="8"/>
        <v>28001.589225285297</v>
      </c>
      <c r="G25" s="43">
        <v>26572.4560211349</v>
      </c>
      <c r="H25" s="43">
        <v>2334</v>
      </c>
      <c r="I25" s="43">
        <f t="shared" si="0"/>
        <v>24238.4560211349</v>
      </c>
      <c r="J25" s="30">
        <f t="shared" si="4"/>
        <v>3763.1332041503956</v>
      </c>
      <c r="K25" s="32">
        <f t="shared" si="1"/>
        <v>15.525465817084653</v>
      </c>
      <c r="L25" s="36">
        <f t="shared" si="5"/>
        <v>-1084.558000076584</v>
      </c>
      <c r="M25" s="30">
        <f t="shared" si="6"/>
        <v>1429.1332041503956</v>
      </c>
      <c r="N25" s="34">
        <f t="shared" si="2"/>
        <v>5.37825033189897</v>
      </c>
      <c r="O25" s="38">
        <f t="shared" si="7"/>
        <v>-1228.1123979630975</v>
      </c>
      <c r="P25" s="100"/>
    </row>
    <row r="26" spans="1:16" s="4" customFormat="1" ht="12.75">
      <c r="A26" s="17">
        <f t="shared" si="3"/>
        <v>2026</v>
      </c>
      <c r="B26" s="17"/>
      <c r="C26" s="43">
        <v>28882.848145836484</v>
      </c>
      <c r="D26" s="89">
        <v>0</v>
      </c>
      <c r="E26" s="89">
        <f t="shared" si="9"/>
        <v>-884</v>
      </c>
      <c r="F26" s="43">
        <f t="shared" si="8"/>
        <v>27998.848145836484</v>
      </c>
      <c r="G26" s="43">
        <v>27067.6000853683</v>
      </c>
      <c r="H26" s="43">
        <v>2384</v>
      </c>
      <c r="I26" s="43">
        <f>G26-H26</f>
        <v>24683.6000853683</v>
      </c>
      <c r="J26" s="30">
        <f>F26-I26</f>
        <v>3315.248060468184</v>
      </c>
      <c r="K26" s="32">
        <f>J26/I26*100</f>
        <v>13.430974610682354</v>
      </c>
      <c r="L26" s="36">
        <f t="shared" si="5"/>
        <v>-1621.4719566054737</v>
      </c>
      <c r="M26" s="30">
        <f t="shared" si="6"/>
        <v>931.2480604681841</v>
      </c>
      <c r="N26" s="34">
        <f t="shared" si="2"/>
        <v>3.4404530048143456</v>
      </c>
      <c r="O26" s="38">
        <f t="shared" si="7"/>
        <v>-1775.511948068648</v>
      </c>
      <c r="P26" s="100"/>
    </row>
    <row r="27" spans="1:16" s="4" customFormat="1" ht="12.75">
      <c r="A27" s="17">
        <f t="shared" si="3"/>
        <v>2027</v>
      </c>
      <c r="B27" s="17"/>
      <c r="C27" s="43">
        <v>28876.615605602543</v>
      </c>
      <c r="D27" s="89">
        <v>0</v>
      </c>
      <c r="E27" s="89">
        <f t="shared" si="9"/>
        <v>-884</v>
      </c>
      <c r="F27" s="43">
        <f t="shared" si="8"/>
        <v>27992.615605602543</v>
      </c>
      <c r="G27" s="43">
        <v>27665.21915802903</v>
      </c>
      <c r="H27" s="43">
        <v>2434</v>
      </c>
      <c r="I27" s="43">
        <f>G27-H27</f>
        <v>25231.21915802903</v>
      </c>
      <c r="J27" s="30">
        <f>F27-I27</f>
        <v>2761.396447573512</v>
      </c>
      <c r="K27" s="32">
        <f>J27/I27*100</f>
        <v>10.94436392581048</v>
      </c>
      <c r="L27" s="36">
        <f t="shared" si="5"/>
        <v>-2284.8473840322913</v>
      </c>
      <c r="M27" s="30">
        <f t="shared" si="6"/>
        <v>327.396447573512</v>
      </c>
      <c r="N27" s="34">
        <f t="shared" si="2"/>
        <v>1.183422570063012</v>
      </c>
      <c r="O27" s="38">
        <f t="shared" si="7"/>
        <v>-2439.1254682293948</v>
      </c>
      <c r="P27" s="100"/>
    </row>
    <row r="28" spans="1:16" s="4" customFormat="1" ht="12.75">
      <c r="A28" s="17">
        <f t="shared" si="3"/>
        <v>2028</v>
      </c>
      <c r="B28" s="17"/>
      <c r="C28" s="43">
        <v>28873.891576911978</v>
      </c>
      <c r="D28" s="89">
        <v>0</v>
      </c>
      <c r="E28" s="89">
        <f t="shared" si="9"/>
        <v>-884</v>
      </c>
      <c r="F28" s="43">
        <f t="shared" si="8"/>
        <v>27989.891576911978</v>
      </c>
      <c r="G28" s="43">
        <v>28224.724306714037</v>
      </c>
      <c r="H28" s="43">
        <v>2484</v>
      </c>
      <c r="I28" s="43">
        <f>G28-H28</f>
        <v>25740.724306714037</v>
      </c>
      <c r="J28" s="30">
        <f>F28-I28</f>
        <v>2249.1672701979405</v>
      </c>
      <c r="K28" s="32">
        <f>J28/I28*100</f>
        <v>8.737777707410055</v>
      </c>
      <c r="L28" s="36">
        <f t="shared" si="5"/>
        <v>-2898.977591144867</v>
      </c>
      <c r="M28" s="30">
        <f t="shared" si="6"/>
        <v>-234.83272980205948</v>
      </c>
      <c r="N28" s="34">
        <f t="shared" si="2"/>
        <v>-0.8320107124879798</v>
      </c>
      <c r="O28" s="38">
        <f t="shared" si="7"/>
        <v>-3057.3051604734646</v>
      </c>
      <c r="P28" s="100"/>
    </row>
    <row r="29" spans="1:16" s="4" customFormat="1" ht="12.75">
      <c r="A29" s="17">
        <f t="shared" si="3"/>
        <v>2029</v>
      </c>
      <c r="B29" s="13"/>
      <c r="C29" s="43">
        <v>28871.176032189665</v>
      </c>
      <c r="D29" s="89">
        <v>0</v>
      </c>
      <c r="E29" s="89">
        <f t="shared" si="9"/>
        <v>-884</v>
      </c>
      <c r="F29" s="43">
        <f t="shared" si="8"/>
        <v>27987.176032189665</v>
      </c>
      <c r="G29" s="43">
        <v>28804.814369193406</v>
      </c>
      <c r="H29" s="43">
        <v>2534</v>
      </c>
      <c r="I29" s="43">
        <f>G29-H29</f>
        <v>26270.814369193406</v>
      </c>
      <c r="J29" s="30">
        <f>F29-I29</f>
        <v>1716.3616629962598</v>
      </c>
      <c r="K29" s="32">
        <f>J29/I29*100</f>
        <v>6.533340150311289</v>
      </c>
      <c r="L29" s="36">
        <f t="shared" si="5"/>
        <v>-3537.801210842419</v>
      </c>
      <c r="M29" s="30">
        <f t="shared" si="6"/>
        <v>-817.6383370037402</v>
      </c>
      <c r="N29" s="34">
        <f t="shared" si="2"/>
        <v>-2.838547495998447</v>
      </c>
      <c r="O29" s="38">
        <f t="shared" si="7"/>
        <v>-3698.1197739230847</v>
      </c>
      <c r="P29" s="100"/>
    </row>
    <row r="30" spans="1:16" s="4" customFormat="1" ht="12.75">
      <c r="A30" s="18">
        <f t="shared" si="3"/>
        <v>2030</v>
      </c>
      <c r="B30" s="18"/>
      <c r="C30" s="44">
        <v>28868.468943956468</v>
      </c>
      <c r="D30" s="90">
        <v>0</v>
      </c>
      <c r="E30" s="90">
        <f t="shared" si="9"/>
        <v>-884</v>
      </c>
      <c r="F30" s="44">
        <f t="shared" si="8"/>
        <v>27984.468943956468</v>
      </c>
      <c r="G30" s="44">
        <v>29397.66178369829</v>
      </c>
      <c r="H30" s="44">
        <v>2584</v>
      </c>
      <c r="I30" s="44">
        <f>G30-H30</f>
        <v>26813.66178369829</v>
      </c>
      <c r="J30" s="31">
        <f>F30-I30</f>
        <v>1170.8071602581767</v>
      </c>
      <c r="K30" s="33">
        <f>J30/I30*100</f>
        <v>4.366457553253633</v>
      </c>
      <c r="L30" s="37">
        <f t="shared" si="5"/>
        <v>-4191.925196481479</v>
      </c>
      <c r="M30" s="31">
        <f t="shared" si="6"/>
        <v>-1413.1928397418233</v>
      </c>
      <c r="N30" s="35">
        <f t="shared" si="2"/>
        <v>-4.8071606855667435</v>
      </c>
      <c r="O30" s="39">
        <f t="shared" si="7"/>
        <v>-4352.959018111655</v>
      </c>
      <c r="P30" s="100"/>
    </row>
    <row r="31" spans="1:5" ht="12" customHeight="1">
      <c r="A31" s="5"/>
      <c r="B31" s="5" t="s">
        <v>64</v>
      </c>
      <c r="C31" s="5"/>
      <c r="D31" s="5"/>
      <c r="E31" s="5"/>
    </row>
    <row r="32" spans="1:12" ht="12.75">
      <c r="A32" s="6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</row>
    <row r="33" spans="1:12" ht="15.75">
      <c r="A33" s="6"/>
      <c r="B33" s="6" t="s">
        <v>82</v>
      </c>
      <c r="C33" s="103"/>
      <c r="D33" s="6"/>
      <c r="E33" s="6"/>
      <c r="F33" s="4"/>
      <c r="G33" s="4"/>
      <c r="H33" s="4"/>
      <c r="I33" s="4"/>
      <c r="J33" s="4"/>
      <c r="K33" s="4"/>
      <c r="L33" s="4"/>
    </row>
    <row r="34" spans="2:3" ht="12.75">
      <c r="B34" s="41"/>
      <c r="C34" s="103"/>
    </row>
  </sheetData>
  <sheetProtection/>
  <mergeCells count="11">
    <mergeCell ref="A4:O4"/>
    <mergeCell ref="A5:O5"/>
    <mergeCell ref="A6:O6"/>
    <mergeCell ref="J10:L10"/>
    <mergeCell ref="M10:O10"/>
    <mergeCell ref="J11:K11"/>
    <mergeCell ref="M11:N11"/>
    <mergeCell ref="J12:K12"/>
    <mergeCell ref="M12:N12"/>
    <mergeCell ref="J13:K13"/>
    <mergeCell ref="M13:N13"/>
  </mergeCells>
  <conditionalFormatting sqref="O19:O30">
    <cfRule type="cellIs" priority="1" dxfId="21" operator="lessThan" stopIfTrue="1">
      <formula>0</formula>
    </cfRule>
  </conditionalFormatting>
  <printOptions horizontalCentered="1"/>
  <pageMargins left="0.25" right="0" top="1" bottom="1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 transitionEvaluation="1" transitionEntry="1">
    <tabColor theme="3" tint="-0.4999699890613556"/>
    <pageSetUpPr fitToPage="1"/>
  </sheetPr>
  <dimension ref="A3:P36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25.8515625" style="1" customWidth="1"/>
    <col min="3" max="3" width="10.57421875" style="1" customWidth="1"/>
    <col min="4" max="5" width="11.28125" style="1" customWidth="1"/>
    <col min="6" max="9" width="8.28125" style="2" customWidth="1"/>
    <col min="10" max="10" width="8.421875" style="2" customWidth="1"/>
    <col min="11" max="11" width="7.421875" style="2" customWidth="1"/>
    <col min="12" max="12" width="9.00390625" style="2" customWidth="1"/>
    <col min="13" max="13" width="8.421875" style="2" customWidth="1"/>
    <col min="14" max="14" width="9.421875" style="2" customWidth="1"/>
    <col min="15" max="15" width="12.00390625" style="2" customWidth="1"/>
    <col min="16" max="16" width="12.7109375" style="2" customWidth="1"/>
    <col min="17" max="17" width="23.421875" style="2" bestFit="1" customWidth="1"/>
    <col min="18" max="16384" width="12.7109375" style="2" customWidth="1"/>
  </cols>
  <sheetData>
    <row r="3" spans="2:15" ht="12.75">
      <c r="B3" s="42" t="s">
        <v>29</v>
      </c>
      <c r="C3" s="42"/>
      <c r="D3" s="42"/>
      <c r="E3" s="42"/>
      <c r="O3" s="41"/>
    </row>
    <row r="4" spans="1:15" ht="15.75">
      <c r="A4" s="117" t="s">
        <v>79</v>
      </c>
      <c r="B4" s="117" t="s">
        <v>75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.75">
      <c r="A5" s="117" t="s">
        <v>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.75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5" ht="12.75">
      <c r="A7" s="2"/>
      <c r="B7" s="2"/>
      <c r="C7" s="2"/>
      <c r="D7" s="2"/>
      <c r="E7" s="2"/>
    </row>
    <row r="8" spans="1:15" ht="12.75">
      <c r="A8" s="3">
        <v>-1</v>
      </c>
      <c r="B8" s="3">
        <v>-2</v>
      </c>
      <c r="C8" s="3">
        <v>-3</v>
      </c>
      <c r="D8" s="3">
        <v>-4</v>
      </c>
      <c r="E8" s="3"/>
      <c r="F8" s="3">
        <v>-5</v>
      </c>
      <c r="G8" s="3">
        <v>-6</v>
      </c>
      <c r="H8" s="3">
        <v>-7</v>
      </c>
      <c r="I8" s="3">
        <v>-8</v>
      </c>
      <c r="J8" s="3">
        <v>-9</v>
      </c>
      <c r="K8" s="3">
        <v>-10</v>
      </c>
      <c r="L8" s="3">
        <v>-11</v>
      </c>
      <c r="M8" s="3">
        <v>-12</v>
      </c>
      <c r="N8" s="3">
        <v>-13</v>
      </c>
      <c r="O8" s="40">
        <v>-14</v>
      </c>
    </row>
    <row r="9" spans="1:15" ht="12.75" hidden="1">
      <c r="A9" s="3">
        <v>-1</v>
      </c>
      <c r="B9" s="3">
        <v>-2</v>
      </c>
      <c r="C9" s="3"/>
      <c r="D9" s="3"/>
      <c r="E9" s="3"/>
      <c r="F9" s="3">
        <v>-3</v>
      </c>
      <c r="G9" s="3">
        <v>-4</v>
      </c>
      <c r="H9" s="3">
        <v>-5</v>
      </c>
      <c r="I9" s="3">
        <v>-6</v>
      </c>
      <c r="J9" s="3">
        <v>-7</v>
      </c>
      <c r="K9" s="3">
        <v>-8</v>
      </c>
      <c r="L9" s="3">
        <v>-9</v>
      </c>
      <c r="M9" s="3">
        <v>-10</v>
      </c>
      <c r="N9" s="3">
        <v>-11</v>
      </c>
      <c r="O9" s="40">
        <v>-12</v>
      </c>
    </row>
    <row r="10" spans="1:15" ht="12.75">
      <c r="A10" s="19"/>
      <c r="B10" s="16"/>
      <c r="C10" s="12"/>
      <c r="D10" s="101"/>
      <c r="E10" s="101"/>
      <c r="F10" s="12"/>
      <c r="G10" s="15"/>
      <c r="H10" s="12"/>
      <c r="I10" s="12"/>
      <c r="J10" s="118" t="s">
        <v>18</v>
      </c>
      <c r="K10" s="119"/>
      <c r="L10" s="120"/>
      <c r="M10" s="121" t="s">
        <v>24</v>
      </c>
      <c r="N10" s="122"/>
      <c r="O10" s="123"/>
    </row>
    <row r="11" spans="1:15" ht="12.75">
      <c r="A11" s="14"/>
      <c r="B11" s="14"/>
      <c r="C11" s="13" t="s">
        <v>7</v>
      </c>
      <c r="D11" s="46" t="s">
        <v>28</v>
      </c>
      <c r="E11" s="46" t="s">
        <v>28</v>
      </c>
      <c r="F11" s="13" t="s">
        <v>7</v>
      </c>
      <c r="G11" s="14"/>
      <c r="H11" s="14"/>
      <c r="I11" s="13" t="s">
        <v>10</v>
      </c>
      <c r="J11" s="124"/>
      <c r="K11" s="125"/>
      <c r="L11" s="8" t="s">
        <v>19</v>
      </c>
      <c r="M11" s="124"/>
      <c r="N11" s="125"/>
      <c r="O11" s="8" t="s">
        <v>19</v>
      </c>
    </row>
    <row r="12" spans="1:15" ht="12.75">
      <c r="A12" s="14"/>
      <c r="B12" s="14"/>
      <c r="C12" s="14" t="s">
        <v>10</v>
      </c>
      <c r="D12" s="46" t="s">
        <v>10</v>
      </c>
      <c r="E12" s="46" t="s">
        <v>10</v>
      </c>
      <c r="F12" s="14" t="s">
        <v>10</v>
      </c>
      <c r="G12" s="13" t="s">
        <v>7</v>
      </c>
      <c r="H12" s="14"/>
      <c r="I12" s="13" t="s">
        <v>0</v>
      </c>
      <c r="J12" s="113"/>
      <c r="K12" s="114"/>
      <c r="L12" s="9" t="s">
        <v>20</v>
      </c>
      <c r="M12" s="113"/>
      <c r="N12" s="114"/>
      <c r="O12" s="9" t="s">
        <v>20</v>
      </c>
    </row>
    <row r="13" spans="1:15" ht="15.75" customHeight="1">
      <c r="A13" s="14"/>
      <c r="B13" s="14"/>
      <c r="C13" s="13" t="s">
        <v>4</v>
      </c>
      <c r="D13" s="46" t="s">
        <v>4</v>
      </c>
      <c r="E13" s="46" t="s">
        <v>4</v>
      </c>
      <c r="F13" s="13" t="s">
        <v>4</v>
      </c>
      <c r="G13" s="13" t="s">
        <v>1</v>
      </c>
      <c r="H13" s="13"/>
      <c r="I13" s="13" t="s">
        <v>1</v>
      </c>
      <c r="J13" s="113"/>
      <c r="K13" s="114"/>
      <c r="L13" s="10" t="s">
        <v>21</v>
      </c>
      <c r="M13" s="115"/>
      <c r="N13" s="116"/>
      <c r="O13" s="10" t="s">
        <v>21</v>
      </c>
    </row>
    <row r="14" spans="1:16" ht="15" customHeight="1">
      <c r="A14" s="14"/>
      <c r="B14" s="14" t="s">
        <v>6</v>
      </c>
      <c r="C14" s="13" t="s">
        <v>11</v>
      </c>
      <c r="D14" s="46" t="s">
        <v>3</v>
      </c>
      <c r="E14" s="46" t="s">
        <v>66</v>
      </c>
      <c r="F14" s="13" t="s">
        <v>11</v>
      </c>
      <c r="G14" s="13" t="s">
        <v>12</v>
      </c>
      <c r="H14" s="13" t="s">
        <v>2</v>
      </c>
      <c r="I14" s="14" t="s">
        <v>12</v>
      </c>
      <c r="J14" s="27" t="s">
        <v>25</v>
      </c>
      <c r="K14" s="28"/>
      <c r="L14" s="11" t="s">
        <v>22</v>
      </c>
      <c r="M14" s="26" t="s">
        <v>25</v>
      </c>
      <c r="N14" s="29"/>
      <c r="O14" s="11" t="s">
        <v>23</v>
      </c>
      <c r="P14" s="1"/>
    </row>
    <row r="15" spans="1:16" ht="15.75">
      <c r="A15" s="20" t="s">
        <v>5</v>
      </c>
      <c r="B15" s="20" t="s">
        <v>76</v>
      </c>
      <c r="C15" s="20" t="s">
        <v>8</v>
      </c>
      <c r="D15" s="47" t="s">
        <v>8</v>
      </c>
      <c r="E15" s="47" t="s">
        <v>8</v>
      </c>
      <c r="F15" s="20" t="s">
        <v>8</v>
      </c>
      <c r="G15" s="20" t="s">
        <v>8</v>
      </c>
      <c r="H15" s="20" t="s">
        <v>8</v>
      </c>
      <c r="I15" s="20" t="s">
        <v>8</v>
      </c>
      <c r="J15" s="21" t="s">
        <v>8</v>
      </c>
      <c r="K15" s="22" t="s">
        <v>9</v>
      </c>
      <c r="L15" s="23" t="s">
        <v>8</v>
      </c>
      <c r="M15" s="24" t="s">
        <v>13</v>
      </c>
      <c r="N15" s="25" t="s">
        <v>17</v>
      </c>
      <c r="O15" s="23" t="s">
        <v>8</v>
      </c>
      <c r="P15" s="1"/>
    </row>
    <row r="16" spans="1:15" s="4" customFormat="1" ht="12.75" hidden="1">
      <c r="A16" s="17">
        <v>2016</v>
      </c>
      <c r="B16" s="17"/>
      <c r="C16" s="43">
        <v>27238.0286375</v>
      </c>
      <c r="D16" s="48">
        <v>0</v>
      </c>
      <c r="E16" s="48"/>
      <c r="F16" s="43">
        <f>C16+D16</f>
        <v>27238.0286375</v>
      </c>
      <c r="G16" s="43">
        <v>24169.686546596025</v>
      </c>
      <c r="H16" s="43">
        <v>1842.4666740400107</v>
      </c>
      <c r="I16" s="43">
        <f aca="true" t="shared" si="0" ref="I16:I25">G16-H16</f>
        <v>22327.219872556016</v>
      </c>
      <c r="J16" s="30">
        <f>F16-I16</f>
        <v>4910.808764943984</v>
      </c>
      <c r="K16" s="32">
        <f aca="true" t="shared" si="1" ref="K16:K25">J16/I16*100</f>
        <v>21.994716731303438</v>
      </c>
      <c r="L16" s="36">
        <f>F16-I16*1.2</f>
        <v>445.36479043278086</v>
      </c>
      <c r="M16" s="30">
        <f>F16-G16</f>
        <v>3068.342090903974</v>
      </c>
      <c r="N16" s="34">
        <f aca="true" t="shared" si="2" ref="N16:N30">M16/G16*100</f>
        <v>12.695001587995804</v>
      </c>
      <c r="O16" s="38">
        <f>F16-G16*1.1</f>
        <v>651.3734362443683</v>
      </c>
    </row>
    <row r="17" spans="1:15" s="4" customFormat="1" ht="12.75" hidden="1">
      <c r="A17" s="17">
        <f aca="true" t="shared" si="3" ref="A17:A30">A16+1</f>
        <v>2017</v>
      </c>
      <c r="B17" s="17"/>
      <c r="C17" s="43">
        <v>26881.95290135625</v>
      </c>
      <c r="D17" s="48">
        <v>0</v>
      </c>
      <c r="E17" s="48"/>
      <c r="F17" s="43">
        <f>C17+D17</f>
        <v>26881.95290135625</v>
      </c>
      <c r="G17" s="43">
        <v>24336.040599945238</v>
      </c>
      <c r="H17" s="43">
        <v>1934.8048828331127</v>
      </c>
      <c r="I17" s="43">
        <f t="shared" si="0"/>
        <v>22401.235717112126</v>
      </c>
      <c r="J17" s="30">
        <f aca="true" t="shared" si="4" ref="J17:J25">F17-I17</f>
        <v>4480.717184244124</v>
      </c>
      <c r="K17" s="32">
        <f t="shared" si="1"/>
        <v>20.002098280771804</v>
      </c>
      <c r="L17" s="36">
        <f aca="true" t="shared" si="5" ref="L17:L30">F17-I17*1.2</f>
        <v>0.4700408216995129</v>
      </c>
      <c r="M17" s="30">
        <f aca="true" t="shared" si="6" ref="M17:M30">F17-G17</f>
        <v>2545.912301411012</v>
      </c>
      <c r="N17" s="34">
        <f t="shared" si="2"/>
        <v>10.461489373981161</v>
      </c>
      <c r="O17" s="38">
        <f aca="true" t="shared" si="7" ref="O17:O30">F17-G17*1.1</f>
        <v>112.30824141648554</v>
      </c>
    </row>
    <row r="18" spans="1:15" s="4" customFormat="1" ht="12.75" hidden="1">
      <c r="A18" s="17">
        <f t="shared" si="3"/>
        <v>2018</v>
      </c>
      <c r="B18" s="17"/>
      <c r="C18" s="43">
        <v>27133.509127497437</v>
      </c>
      <c r="D18" s="48">
        <v>0</v>
      </c>
      <c r="E18" s="48"/>
      <c r="F18" s="43">
        <f>C18+D18</f>
        <v>27133.509127497437</v>
      </c>
      <c r="G18" s="43">
        <v>24606.278955403854</v>
      </c>
      <c r="H18" s="43">
        <v>1995.2014194263602</v>
      </c>
      <c r="I18" s="43">
        <f t="shared" si="0"/>
        <v>22611.077535977493</v>
      </c>
      <c r="J18" s="30">
        <f t="shared" si="4"/>
        <v>4522.431591519944</v>
      </c>
      <c r="K18" s="32">
        <f t="shared" si="1"/>
        <v>20.000955656907998</v>
      </c>
      <c r="L18" s="36">
        <f t="shared" si="5"/>
        <v>0.21608432444554637</v>
      </c>
      <c r="M18" s="30">
        <f t="shared" si="6"/>
        <v>2527.230172093583</v>
      </c>
      <c r="N18" s="34">
        <f t="shared" si="2"/>
        <v>10.270671874743462</v>
      </c>
      <c r="O18" s="38">
        <f t="shared" si="7"/>
        <v>66.60227655319613</v>
      </c>
    </row>
    <row r="19" spans="1:16" s="4" customFormat="1" ht="12.75">
      <c r="A19" s="17">
        <f t="shared" si="3"/>
        <v>2019</v>
      </c>
      <c r="B19" s="17" t="s">
        <v>68</v>
      </c>
      <c r="C19" s="43">
        <v>28988.2498978587</v>
      </c>
      <c r="D19" s="89">
        <v>0</v>
      </c>
      <c r="E19" s="89">
        <v>-884</v>
      </c>
      <c r="F19" s="43">
        <f>C19+D19+E19</f>
        <v>28104.2498978587</v>
      </c>
      <c r="G19" s="43">
        <v>24893.09445872483</v>
      </c>
      <c r="H19" s="43">
        <v>2041.4456948504048</v>
      </c>
      <c r="I19" s="43">
        <f t="shared" si="0"/>
        <v>22851.648763874426</v>
      </c>
      <c r="J19" s="30">
        <f t="shared" si="4"/>
        <v>5252.6011339842735</v>
      </c>
      <c r="K19" s="32">
        <f t="shared" si="1"/>
        <v>22.98565494446061</v>
      </c>
      <c r="L19" s="36">
        <f t="shared" si="5"/>
        <v>682.2713812093898</v>
      </c>
      <c r="M19" s="30">
        <f t="shared" si="6"/>
        <v>3211.1554391338686</v>
      </c>
      <c r="N19" s="34">
        <f t="shared" si="2"/>
        <v>12.899784092565417</v>
      </c>
      <c r="O19" s="38">
        <f t="shared" si="7"/>
        <v>721.8459932613841</v>
      </c>
      <c r="P19" s="100"/>
    </row>
    <row r="20" spans="1:16" s="4" customFormat="1" ht="12.75">
      <c r="A20" s="17">
        <f t="shared" si="3"/>
        <v>2020</v>
      </c>
      <c r="B20" s="17" t="s">
        <v>72</v>
      </c>
      <c r="C20" s="43">
        <v>28406.49789664355</v>
      </c>
      <c r="D20" s="89">
        <v>250</v>
      </c>
      <c r="E20" s="89">
        <v>-884</v>
      </c>
      <c r="F20" s="43">
        <f aca="true" t="shared" si="8" ref="F20:F30">C20+D20+E20</f>
        <v>27772.49789664355</v>
      </c>
      <c r="G20" s="43">
        <v>25205.928535800045</v>
      </c>
      <c r="H20" s="43">
        <v>2088.462209365558</v>
      </c>
      <c r="I20" s="43">
        <f t="shared" si="0"/>
        <v>23117.466326434485</v>
      </c>
      <c r="J20" s="30">
        <f t="shared" si="4"/>
        <v>4655.031570209063</v>
      </c>
      <c r="K20" s="32">
        <f t="shared" si="1"/>
        <v>20.136426304149527</v>
      </c>
      <c r="L20" s="36">
        <f t="shared" si="5"/>
        <v>31.5383049221673</v>
      </c>
      <c r="M20" s="30">
        <f t="shared" si="6"/>
        <v>2566.569360843503</v>
      </c>
      <c r="N20" s="34">
        <f t="shared" si="2"/>
        <v>10.182403545254038</v>
      </c>
      <c r="O20" s="38">
        <f t="shared" si="7"/>
        <v>45.97650726349457</v>
      </c>
      <c r="P20" s="100"/>
    </row>
    <row r="21" spans="1:16" s="4" customFormat="1" ht="12.75">
      <c r="A21" s="17">
        <f t="shared" si="3"/>
        <v>2021</v>
      </c>
      <c r="B21" s="17" t="s">
        <v>84</v>
      </c>
      <c r="C21" s="43">
        <v>28677.635480016936</v>
      </c>
      <c r="D21" s="89">
        <v>100</v>
      </c>
      <c r="E21" s="89">
        <f aca="true" t="shared" si="9" ref="E21:E30">E20</f>
        <v>-884</v>
      </c>
      <c r="F21" s="43">
        <f t="shared" si="8"/>
        <v>27893.635480016936</v>
      </c>
      <c r="G21" s="43">
        <v>25316.416253234296</v>
      </c>
      <c r="H21" s="43">
        <v>2136.2343409014484</v>
      </c>
      <c r="I21" s="43">
        <f t="shared" si="0"/>
        <v>23180.181912332846</v>
      </c>
      <c r="J21" s="30">
        <f t="shared" si="4"/>
        <v>4713.45356768409</v>
      </c>
      <c r="K21" s="32">
        <f t="shared" si="1"/>
        <v>20.333980058958602</v>
      </c>
      <c r="L21" s="36">
        <f t="shared" si="5"/>
        <v>77.41718521752045</v>
      </c>
      <c r="M21" s="30">
        <f t="shared" si="6"/>
        <v>2577.2192267826395</v>
      </c>
      <c r="N21" s="34">
        <f t="shared" si="2"/>
        <v>10.180031806252938</v>
      </c>
      <c r="O21" s="38">
        <f t="shared" si="7"/>
        <v>45.57760145920838</v>
      </c>
      <c r="P21" s="100"/>
    </row>
    <row r="22" spans="1:16" s="4" customFormat="1" ht="25.5">
      <c r="A22" s="104">
        <f t="shared" si="3"/>
        <v>2022</v>
      </c>
      <c r="B22" s="105" t="s">
        <v>86</v>
      </c>
      <c r="C22" s="106">
        <v>28893.863977089288</v>
      </c>
      <c r="D22" s="107">
        <v>1151</v>
      </c>
      <c r="E22" s="107">
        <f t="shared" si="9"/>
        <v>-884</v>
      </c>
      <c r="F22" s="106">
        <f t="shared" si="8"/>
        <v>29160.863977089288</v>
      </c>
      <c r="G22" s="106">
        <v>25540.189209268094</v>
      </c>
      <c r="H22" s="106">
        <v>2184.7465153952003</v>
      </c>
      <c r="I22" s="106">
        <f t="shared" si="0"/>
        <v>23355.442693872894</v>
      </c>
      <c r="J22" s="108">
        <f t="shared" si="4"/>
        <v>5805.421283216394</v>
      </c>
      <c r="K22" s="109">
        <f t="shared" si="1"/>
        <v>24.856823993061788</v>
      </c>
      <c r="L22" s="110">
        <f t="shared" si="5"/>
        <v>1134.3327444418173</v>
      </c>
      <c r="M22" s="108">
        <f t="shared" si="6"/>
        <v>3620.674767821194</v>
      </c>
      <c r="N22" s="111">
        <f t="shared" si="2"/>
        <v>14.176381929493747</v>
      </c>
      <c r="O22" s="112">
        <f t="shared" si="7"/>
        <v>1066.655846894384</v>
      </c>
      <c r="P22" s="100"/>
    </row>
    <row r="23" spans="1:16" s="4" customFormat="1" ht="12.75">
      <c r="A23" s="17">
        <f t="shared" si="3"/>
        <v>2023</v>
      </c>
      <c r="B23" s="17" t="s">
        <v>69</v>
      </c>
      <c r="C23" s="43">
        <v>28891.09711299759</v>
      </c>
      <c r="D23" s="89">
        <f>D22</f>
        <v>1151</v>
      </c>
      <c r="E23" s="89">
        <f t="shared" si="9"/>
        <v>-884</v>
      </c>
      <c r="F23" s="43">
        <f t="shared" si="8"/>
        <v>29158.09711299759</v>
      </c>
      <c r="G23" s="43">
        <v>25832.903255827194</v>
      </c>
      <c r="H23" s="43">
        <v>2234.0294854316176</v>
      </c>
      <c r="I23" s="43">
        <f t="shared" si="0"/>
        <v>23598.873770395578</v>
      </c>
      <c r="J23" s="30">
        <f t="shared" si="4"/>
        <v>5559.223342602014</v>
      </c>
      <c r="K23" s="32">
        <f t="shared" si="1"/>
        <v>23.557155297707357</v>
      </c>
      <c r="L23" s="36">
        <f t="shared" si="5"/>
        <v>839.4485885229005</v>
      </c>
      <c r="M23" s="30">
        <f t="shared" si="6"/>
        <v>3325.1938571703977</v>
      </c>
      <c r="N23" s="34">
        <f t="shared" si="2"/>
        <v>12.871932450799253</v>
      </c>
      <c r="O23" s="38">
        <f t="shared" si="7"/>
        <v>741.9035315876754</v>
      </c>
      <c r="P23" s="100"/>
    </row>
    <row r="24" spans="1:16" s="4" customFormat="1" ht="13.5" thickBot="1">
      <c r="A24" s="49">
        <f t="shared" si="3"/>
        <v>2024</v>
      </c>
      <c r="B24" s="49"/>
      <c r="C24" s="50">
        <v>28888.338871717213</v>
      </c>
      <c r="D24" s="93">
        <f>D23</f>
        <v>1151</v>
      </c>
      <c r="E24" s="93">
        <f t="shared" si="9"/>
        <v>-884</v>
      </c>
      <c r="F24" s="50">
        <f t="shared" si="8"/>
        <v>29155.338871717213</v>
      </c>
      <c r="G24" s="50">
        <v>26180.278517781553</v>
      </c>
      <c r="H24" s="50">
        <v>2284.18220399574</v>
      </c>
      <c r="I24" s="50">
        <f t="shared" si="0"/>
        <v>23896.096313785813</v>
      </c>
      <c r="J24" s="51">
        <f t="shared" si="4"/>
        <v>5259.2425579314</v>
      </c>
      <c r="K24" s="52">
        <f t="shared" si="1"/>
        <v>22.008793774811284</v>
      </c>
      <c r="L24" s="53">
        <f t="shared" si="5"/>
        <v>480.02329517424005</v>
      </c>
      <c r="M24" s="51">
        <f t="shared" si="6"/>
        <v>2975.06035393566</v>
      </c>
      <c r="N24" s="54">
        <f t="shared" si="2"/>
        <v>11.363746004134407</v>
      </c>
      <c r="O24" s="55">
        <f t="shared" si="7"/>
        <v>357.03250215750086</v>
      </c>
      <c r="P24" s="100"/>
    </row>
    <row r="25" spans="1:16" s="4" customFormat="1" ht="12.75">
      <c r="A25" s="17">
        <f t="shared" si="3"/>
        <v>2025</v>
      </c>
      <c r="B25" s="17" t="s">
        <v>85</v>
      </c>
      <c r="C25" s="43">
        <v>28885.589225285297</v>
      </c>
      <c r="D25" s="89">
        <f>D24+100</f>
        <v>1251</v>
      </c>
      <c r="E25" s="89">
        <f t="shared" si="9"/>
        <v>-884</v>
      </c>
      <c r="F25" s="43">
        <f t="shared" si="8"/>
        <v>29252.589225285297</v>
      </c>
      <c r="G25" s="43">
        <v>26572.4560211349</v>
      </c>
      <c r="H25" s="43">
        <v>2334</v>
      </c>
      <c r="I25" s="43">
        <f t="shared" si="0"/>
        <v>24238.4560211349</v>
      </c>
      <c r="J25" s="30">
        <f t="shared" si="4"/>
        <v>5014.133204150396</v>
      </c>
      <c r="K25" s="32">
        <f t="shared" si="1"/>
        <v>20.686685652659907</v>
      </c>
      <c r="L25" s="36">
        <f t="shared" si="5"/>
        <v>166.441999923416</v>
      </c>
      <c r="M25" s="30">
        <f t="shared" si="6"/>
        <v>2680.1332041503956</v>
      </c>
      <c r="N25" s="34">
        <f t="shared" si="2"/>
        <v>10.086132806161016</v>
      </c>
      <c r="O25" s="38">
        <f t="shared" si="7"/>
        <v>22.887602036902535</v>
      </c>
      <c r="P25" s="100"/>
    </row>
    <row r="26" spans="1:16" s="4" customFormat="1" ht="12.75">
      <c r="A26" s="17">
        <f t="shared" si="3"/>
        <v>2026</v>
      </c>
      <c r="B26" s="17" t="s">
        <v>70</v>
      </c>
      <c r="C26" s="43">
        <v>28882.848145836484</v>
      </c>
      <c r="D26" s="89">
        <f>D25-100+1751</f>
        <v>2902</v>
      </c>
      <c r="E26" s="89">
        <f t="shared" si="9"/>
        <v>-884</v>
      </c>
      <c r="F26" s="43">
        <f t="shared" si="8"/>
        <v>30900.848145836484</v>
      </c>
      <c r="G26" s="43">
        <v>27067.6000853683</v>
      </c>
      <c r="H26" s="43">
        <v>2384</v>
      </c>
      <c r="I26" s="43">
        <f>G26-H26</f>
        <v>24683.6000853683</v>
      </c>
      <c r="J26" s="30">
        <f>F26-I26</f>
        <v>6217.248060468184</v>
      </c>
      <c r="K26" s="32">
        <f>J26/I26*100</f>
        <v>25.18776855469143</v>
      </c>
      <c r="L26" s="36">
        <f t="shared" si="5"/>
        <v>1280.5280433945263</v>
      </c>
      <c r="M26" s="30">
        <f t="shared" si="6"/>
        <v>3833.248060468184</v>
      </c>
      <c r="N26" s="34">
        <f t="shared" si="2"/>
        <v>14.161758147669287</v>
      </c>
      <c r="O26" s="38">
        <f t="shared" si="7"/>
        <v>1126.488051931352</v>
      </c>
      <c r="P26" s="100"/>
    </row>
    <row r="27" spans="1:16" s="4" customFormat="1" ht="12.75">
      <c r="A27" s="17">
        <f t="shared" si="3"/>
        <v>2027</v>
      </c>
      <c r="B27" s="17"/>
      <c r="C27" s="43">
        <v>28876.615605602543</v>
      </c>
      <c r="D27" s="89">
        <f>D26</f>
        <v>2902</v>
      </c>
      <c r="E27" s="89">
        <f t="shared" si="9"/>
        <v>-884</v>
      </c>
      <c r="F27" s="43">
        <f t="shared" si="8"/>
        <v>30894.615605602543</v>
      </c>
      <c r="G27" s="43">
        <v>27665.21915802903</v>
      </c>
      <c r="H27" s="43">
        <v>2434</v>
      </c>
      <c r="I27" s="43">
        <f>G27-H27</f>
        <v>25231.21915802903</v>
      </c>
      <c r="J27" s="30">
        <f>F27-I27</f>
        <v>5663.396447573512</v>
      </c>
      <c r="K27" s="32">
        <f>J27/I27*100</f>
        <v>22.445988091587388</v>
      </c>
      <c r="L27" s="36">
        <f t="shared" si="5"/>
        <v>617.1526159677087</v>
      </c>
      <c r="M27" s="30">
        <f t="shared" si="6"/>
        <v>3229.396447573512</v>
      </c>
      <c r="N27" s="34">
        <f t="shared" si="2"/>
        <v>11.67312801364985</v>
      </c>
      <c r="O27" s="38">
        <f t="shared" si="7"/>
        <v>462.87453177060524</v>
      </c>
      <c r="P27" s="100"/>
    </row>
    <row r="28" spans="1:16" s="4" customFormat="1" ht="12.75">
      <c r="A28" s="17">
        <f t="shared" si="3"/>
        <v>2028</v>
      </c>
      <c r="B28" s="17" t="s">
        <v>71</v>
      </c>
      <c r="C28" s="43">
        <v>28873.891576911978</v>
      </c>
      <c r="D28" s="89">
        <f>D27+1751</f>
        <v>4653</v>
      </c>
      <c r="E28" s="89">
        <f t="shared" si="9"/>
        <v>-884</v>
      </c>
      <c r="F28" s="43">
        <f t="shared" si="8"/>
        <v>32642.891576911978</v>
      </c>
      <c r="G28" s="43">
        <v>28224.724306714037</v>
      </c>
      <c r="H28" s="43">
        <v>2484</v>
      </c>
      <c r="I28" s="43">
        <f>G28-H28</f>
        <v>25740.724306714037</v>
      </c>
      <c r="J28" s="30">
        <f>F28-I28</f>
        <v>6902.1672701979405</v>
      </c>
      <c r="K28" s="32">
        <f>J28/I28*100</f>
        <v>26.81419212588989</v>
      </c>
      <c r="L28" s="36">
        <f t="shared" si="5"/>
        <v>1754.022408855133</v>
      </c>
      <c r="M28" s="30">
        <f t="shared" si="6"/>
        <v>4418.1672701979405</v>
      </c>
      <c r="N28" s="34">
        <f t="shared" si="2"/>
        <v>15.653535610078418</v>
      </c>
      <c r="O28" s="38">
        <f t="shared" si="7"/>
        <v>1595.6948395265354</v>
      </c>
      <c r="P28" s="100"/>
    </row>
    <row r="29" spans="1:16" s="4" customFormat="1" ht="12.75">
      <c r="A29" s="17">
        <f t="shared" si="3"/>
        <v>2029</v>
      </c>
      <c r="B29" s="13"/>
      <c r="C29" s="43">
        <v>28871.176032189665</v>
      </c>
      <c r="D29" s="89">
        <f>D28</f>
        <v>4653</v>
      </c>
      <c r="E29" s="89">
        <f t="shared" si="9"/>
        <v>-884</v>
      </c>
      <c r="F29" s="43">
        <f t="shared" si="8"/>
        <v>32640.176032189665</v>
      </c>
      <c r="G29" s="43">
        <v>28804.814369193406</v>
      </c>
      <c r="H29" s="43">
        <v>2534</v>
      </c>
      <c r="I29" s="43">
        <f>G29-H29</f>
        <v>26270.814369193406</v>
      </c>
      <c r="J29" s="30">
        <f>F29-I29</f>
        <v>6369.36166299626</v>
      </c>
      <c r="K29" s="32">
        <f>J29/I29*100</f>
        <v>24.245010350593933</v>
      </c>
      <c r="L29" s="36">
        <f t="shared" si="5"/>
        <v>1115.198789157581</v>
      </c>
      <c r="M29" s="30">
        <f t="shared" si="6"/>
        <v>3835.36166299626</v>
      </c>
      <c r="N29" s="34">
        <f t="shared" si="2"/>
        <v>13.315002186225364</v>
      </c>
      <c r="O29" s="38">
        <f t="shared" si="7"/>
        <v>954.8802260769153</v>
      </c>
      <c r="P29" s="100"/>
    </row>
    <row r="30" spans="1:16" s="4" customFormat="1" ht="12.75">
      <c r="A30" s="18">
        <f t="shared" si="3"/>
        <v>2030</v>
      </c>
      <c r="B30" s="18"/>
      <c r="C30" s="44">
        <v>28868.468943956468</v>
      </c>
      <c r="D30" s="90">
        <f>D29</f>
        <v>4653</v>
      </c>
      <c r="E30" s="90">
        <f t="shared" si="9"/>
        <v>-884</v>
      </c>
      <c r="F30" s="44">
        <f t="shared" si="8"/>
        <v>32637.468943956468</v>
      </c>
      <c r="G30" s="44">
        <v>29397.66178369829</v>
      </c>
      <c r="H30" s="44">
        <v>2584</v>
      </c>
      <c r="I30" s="44">
        <f>G30-H30</f>
        <v>26813.66178369829</v>
      </c>
      <c r="J30" s="31">
        <f>F30-I30</f>
        <v>5823.807160258177</v>
      </c>
      <c r="K30" s="33">
        <f>J30/I30*100</f>
        <v>21.719551798773097</v>
      </c>
      <c r="L30" s="37">
        <f t="shared" si="5"/>
        <v>461.07480351852064</v>
      </c>
      <c r="M30" s="31">
        <f t="shared" si="6"/>
        <v>3239.8071602581767</v>
      </c>
      <c r="N30" s="35">
        <f t="shared" si="2"/>
        <v>11.020628729236988</v>
      </c>
      <c r="O30" s="39">
        <f t="shared" si="7"/>
        <v>300.0409818883454</v>
      </c>
      <c r="P30" s="100"/>
    </row>
    <row r="31" spans="1:5" ht="12" customHeight="1">
      <c r="A31" s="5"/>
      <c r="B31" s="5" t="s">
        <v>64</v>
      </c>
      <c r="C31" s="5"/>
      <c r="D31" s="5"/>
      <c r="E31" s="5"/>
    </row>
    <row r="32" spans="1:12" ht="12.75">
      <c r="A32" s="6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</row>
    <row r="33" spans="1:12" ht="15.75">
      <c r="A33" s="6"/>
      <c r="B33" s="6" t="s">
        <v>82</v>
      </c>
      <c r="C33" s="6"/>
      <c r="D33" s="6"/>
      <c r="E33" s="6"/>
      <c r="F33" s="7"/>
      <c r="G33" s="7"/>
      <c r="H33" s="7"/>
      <c r="I33" s="7"/>
      <c r="J33" s="7"/>
      <c r="K33" s="7"/>
      <c r="L33" s="7"/>
    </row>
    <row r="34" spans="1:12" ht="12.75">
      <c r="A34" s="6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</row>
    <row r="35" spans="1:12" ht="12.75">
      <c r="A35" s="6"/>
      <c r="B35" s="102" t="s">
        <v>73</v>
      </c>
      <c r="C35" s="103">
        <v>1151</v>
      </c>
      <c r="D35" s="6"/>
      <c r="E35" s="6"/>
      <c r="F35" s="4"/>
      <c r="G35" s="4"/>
      <c r="H35" s="4"/>
      <c r="I35" s="4"/>
      <c r="J35" s="4"/>
      <c r="K35" s="4"/>
      <c r="L35" s="4"/>
    </row>
    <row r="36" spans="2:3" ht="12.75">
      <c r="B36" s="41" t="s">
        <v>74</v>
      </c>
      <c r="C36" s="103">
        <v>1751</v>
      </c>
    </row>
  </sheetData>
  <sheetProtection/>
  <mergeCells count="11">
    <mergeCell ref="J11:K11"/>
    <mergeCell ref="M11:N11"/>
    <mergeCell ref="A4:O4"/>
    <mergeCell ref="J12:K12"/>
    <mergeCell ref="M12:N12"/>
    <mergeCell ref="J13:K13"/>
    <mergeCell ref="M13:N13"/>
    <mergeCell ref="A5:O5"/>
    <mergeCell ref="A6:O6"/>
    <mergeCell ref="J10:L10"/>
    <mergeCell ref="M10:O10"/>
  </mergeCells>
  <conditionalFormatting sqref="O19:O30">
    <cfRule type="cellIs" priority="1" dxfId="21" operator="lessThan" stopIfTrue="1">
      <formula>0</formula>
    </cfRule>
  </conditionalFormatting>
  <printOptions horizontalCentered="1"/>
  <pageMargins left="0.25" right="0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 transitionEvaluation="1" transitionEntry="1">
    <tabColor theme="3" tint="0.39998000860214233"/>
    <pageSetUpPr fitToPage="1"/>
  </sheetPr>
  <dimension ref="A3:P34"/>
  <sheetViews>
    <sheetView showGridLines="0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25.8515625" style="1" customWidth="1"/>
    <col min="3" max="3" width="10.57421875" style="1" customWidth="1"/>
    <col min="4" max="5" width="11.28125" style="1" customWidth="1"/>
    <col min="6" max="9" width="8.28125" style="2" customWidth="1"/>
    <col min="10" max="10" width="8.421875" style="2" customWidth="1"/>
    <col min="11" max="11" width="7.421875" style="2" customWidth="1"/>
    <col min="12" max="12" width="9.00390625" style="2" customWidth="1"/>
    <col min="13" max="13" width="8.421875" style="2" customWidth="1"/>
    <col min="14" max="14" width="9.421875" style="2" customWidth="1"/>
    <col min="15" max="15" width="12.00390625" style="2" customWidth="1"/>
    <col min="16" max="16" width="12.7109375" style="2" customWidth="1"/>
    <col min="17" max="17" width="23.421875" style="2" bestFit="1" customWidth="1"/>
    <col min="18" max="16384" width="12.7109375" style="2" customWidth="1"/>
  </cols>
  <sheetData>
    <row r="3" spans="2:15" ht="12.75">
      <c r="B3" s="42" t="s">
        <v>29</v>
      </c>
      <c r="C3" s="42"/>
      <c r="D3" s="42"/>
      <c r="E3" s="42"/>
      <c r="O3" s="41"/>
    </row>
    <row r="4" spans="1:15" ht="15.75">
      <c r="A4" s="117" t="s">
        <v>80</v>
      </c>
      <c r="B4" s="117" t="s">
        <v>75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.75">
      <c r="A5" s="117" t="s">
        <v>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.75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5" ht="12.75">
      <c r="A7" s="2"/>
      <c r="B7" s="2"/>
      <c r="C7" s="2"/>
      <c r="D7" s="2"/>
      <c r="E7" s="2"/>
    </row>
    <row r="8" spans="1:15" ht="12.75">
      <c r="A8" s="3">
        <v>-1</v>
      </c>
      <c r="B8" s="3">
        <v>-2</v>
      </c>
      <c r="C8" s="3">
        <v>-3</v>
      </c>
      <c r="D8" s="3">
        <v>-4</v>
      </c>
      <c r="E8" s="3"/>
      <c r="F8" s="3">
        <v>-5</v>
      </c>
      <c r="G8" s="3">
        <v>-6</v>
      </c>
      <c r="H8" s="3">
        <v>-7</v>
      </c>
      <c r="I8" s="3">
        <v>-8</v>
      </c>
      <c r="J8" s="3">
        <v>-9</v>
      </c>
      <c r="K8" s="3">
        <v>-10</v>
      </c>
      <c r="L8" s="3">
        <v>-11</v>
      </c>
      <c r="M8" s="3">
        <v>-12</v>
      </c>
      <c r="N8" s="3">
        <v>-13</v>
      </c>
      <c r="O8" s="40">
        <v>-14</v>
      </c>
    </row>
    <row r="9" spans="1:15" ht="12.75" hidden="1">
      <c r="A9" s="3">
        <v>-1</v>
      </c>
      <c r="B9" s="3">
        <v>-2</v>
      </c>
      <c r="C9" s="3"/>
      <c r="D9" s="3"/>
      <c r="E9" s="3"/>
      <c r="F9" s="3">
        <v>-3</v>
      </c>
      <c r="G9" s="3">
        <v>-4</v>
      </c>
      <c r="H9" s="3">
        <v>-5</v>
      </c>
      <c r="I9" s="3">
        <v>-6</v>
      </c>
      <c r="J9" s="3">
        <v>-7</v>
      </c>
      <c r="K9" s="3">
        <v>-8</v>
      </c>
      <c r="L9" s="3">
        <v>-9</v>
      </c>
      <c r="M9" s="3">
        <v>-10</v>
      </c>
      <c r="N9" s="3">
        <v>-11</v>
      </c>
      <c r="O9" s="40">
        <v>-12</v>
      </c>
    </row>
    <row r="10" spans="1:15" ht="12.75">
      <c r="A10" s="19"/>
      <c r="B10" s="16"/>
      <c r="C10" s="12"/>
      <c r="D10" s="101"/>
      <c r="E10" s="101"/>
      <c r="F10" s="12"/>
      <c r="G10" s="15"/>
      <c r="H10" s="12"/>
      <c r="I10" s="12"/>
      <c r="J10" s="118" t="s">
        <v>18</v>
      </c>
      <c r="K10" s="119"/>
      <c r="L10" s="120"/>
      <c r="M10" s="121" t="s">
        <v>24</v>
      </c>
      <c r="N10" s="122"/>
      <c r="O10" s="123"/>
    </row>
    <row r="11" spans="1:15" ht="12.75">
      <c r="A11" s="14"/>
      <c r="B11" s="14"/>
      <c r="C11" s="13" t="s">
        <v>7</v>
      </c>
      <c r="D11" s="46" t="s">
        <v>28</v>
      </c>
      <c r="E11" s="46" t="s">
        <v>28</v>
      </c>
      <c r="F11" s="13" t="s">
        <v>7</v>
      </c>
      <c r="G11" s="14"/>
      <c r="H11" s="14"/>
      <c r="I11" s="13" t="s">
        <v>10</v>
      </c>
      <c r="J11" s="124"/>
      <c r="K11" s="125"/>
      <c r="L11" s="8" t="s">
        <v>19</v>
      </c>
      <c r="M11" s="124"/>
      <c r="N11" s="125"/>
      <c r="O11" s="8" t="s">
        <v>19</v>
      </c>
    </row>
    <row r="12" spans="1:15" ht="12.75">
      <c r="A12" s="14"/>
      <c r="B12" s="14"/>
      <c r="C12" s="14" t="s">
        <v>10</v>
      </c>
      <c r="D12" s="46" t="s">
        <v>10</v>
      </c>
      <c r="E12" s="46" t="s">
        <v>10</v>
      </c>
      <c r="F12" s="14" t="s">
        <v>10</v>
      </c>
      <c r="G12" s="13" t="s">
        <v>7</v>
      </c>
      <c r="H12" s="14"/>
      <c r="I12" s="13" t="s">
        <v>0</v>
      </c>
      <c r="J12" s="113"/>
      <c r="K12" s="114"/>
      <c r="L12" s="9" t="s">
        <v>20</v>
      </c>
      <c r="M12" s="113"/>
      <c r="N12" s="114"/>
      <c r="O12" s="9" t="s">
        <v>20</v>
      </c>
    </row>
    <row r="13" spans="1:15" ht="15.75" customHeight="1">
      <c r="A13" s="14"/>
      <c r="B13" s="14"/>
      <c r="C13" s="13" t="s">
        <v>4</v>
      </c>
      <c r="D13" s="46" t="s">
        <v>4</v>
      </c>
      <c r="E13" s="46" t="s">
        <v>4</v>
      </c>
      <c r="F13" s="13" t="s">
        <v>4</v>
      </c>
      <c r="G13" s="13" t="s">
        <v>1</v>
      </c>
      <c r="H13" s="13"/>
      <c r="I13" s="13" t="s">
        <v>1</v>
      </c>
      <c r="J13" s="113"/>
      <c r="K13" s="114"/>
      <c r="L13" s="10" t="s">
        <v>21</v>
      </c>
      <c r="M13" s="115"/>
      <c r="N13" s="116"/>
      <c r="O13" s="10" t="s">
        <v>21</v>
      </c>
    </row>
    <row r="14" spans="1:16" ht="15" customHeight="1">
      <c r="A14" s="14"/>
      <c r="B14" s="14" t="s">
        <v>6</v>
      </c>
      <c r="C14" s="13" t="s">
        <v>11</v>
      </c>
      <c r="D14" s="46" t="s">
        <v>3</v>
      </c>
      <c r="E14" s="46" t="s">
        <v>66</v>
      </c>
      <c r="F14" s="13" t="s">
        <v>11</v>
      </c>
      <c r="G14" s="13" t="s">
        <v>12</v>
      </c>
      <c r="H14" s="13" t="s">
        <v>2</v>
      </c>
      <c r="I14" s="14" t="s">
        <v>12</v>
      </c>
      <c r="J14" s="27" t="s">
        <v>25</v>
      </c>
      <c r="K14" s="28"/>
      <c r="L14" s="11" t="s">
        <v>22</v>
      </c>
      <c r="M14" s="26" t="s">
        <v>25</v>
      </c>
      <c r="N14" s="29"/>
      <c r="O14" s="11" t="s">
        <v>23</v>
      </c>
      <c r="P14" s="1"/>
    </row>
    <row r="15" spans="1:16" ht="15.75">
      <c r="A15" s="20" t="s">
        <v>5</v>
      </c>
      <c r="B15" s="20" t="s">
        <v>76</v>
      </c>
      <c r="C15" s="20" t="s">
        <v>8</v>
      </c>
      <c r="D15" s="47" t="s">
        <v>8</v>
      </c>
      <c r="E15" s="47" t="s">
        <v>8</v>
      </c>
      <c r="F15" s="20" t="s">
        <v>8</v>
      </c>
      <c r="G15" s="20" t="s">
        <v>8</v>
      </c>
      <c r="H15" s="20" t="s">
        <v>8</v>
      </c>
      <c r="I15" s="20" t="s">
        <v>8</v>
      </c>
      <c r="J15" s="21" t="s">
        <v>8</v>
      </c>
      <c r="K15" s="22" t="s">
        <v>9</v>
      </c>
      <c r="L15" s="23" t="s">
        <v>8</v>
      </c>
      <c r="M15" s="24" t="s">
        <v>13</v>
      </c>
      <c r="N15" s="25" t="s">
        <v>17</v>
      </c>
      <c r="O15" s="23" t="s">
        <v>8</v>
      </c>
      <c r="P15" s="1"/>
    </row>
    <row r="16" spans="1:15" s="4" customFormat="1" ht="12.75" hidden="1">
      <c r="A16" s="17">
        <v>2016</v>
      </c>
      <c r="B16" s="17"/>
      <c r="C16" s="43">
        <v>27238.0286375</v>
      </c>
      <c r="D16" s="48">
        <v>0</v>
      </c>
      <c r="E16" s="48"/>
      <c r="F16" s="43">
        <f>C16+D16</f>
        <v>27238.0286375</v>
      </c>
      <c r="G16" s="43">
        <v>24169.686546596025</v>
      </c>
      <c r="H16" s="43">
        <v>1842.4666740400107</v>
      </c>
      <c r="I16" s="43">
        <f aca="true" t="shared" si="0" ref="I16:I25">G16-H16</f>
        <v>22327.219872556016</v>
      </c>
      <c r="J16" s="30">
        <f>F16-I16</f>
        <v>4910.808764943984</v>
      </c>
      <c r="K16" s="32">
        <f aca="true" t="shared" si="1" ref="K16:K25">J16/I16*100</f>
        <v>21.994716731303438</v>
      </c>
      <c r="L16" s="36">
        <f>F16-I16*1.2</f>
        <v>445.36479043278086</v>
      </c>
      <c r="M16" s="30">
        <f>F16-G16</f>
        <v>3068.342090903974</v>
      </c>
      <c r="N16" s="34">
        <f aca="true" t="shared" si="2" ref="N16:N30">M16/G16*100</f>
        <v>12.695001587995804</v>
      </c>
      <c r="O16" s="38">
        <f>F16-G16*1.1</f>
        <v>651.3734362443683</v>
      </c>
    </row>
    <row r="17" spans="1:15" s="4" customFormat="1" ht="12.75" hidden="1">
      <c r="A17" s="17">
        <f aca="true" t="shared" si="3" ref="A17:A30">A16+1</f>
        <v>2017</v>
      </c>
      <c r="B17" s="17"/>
      <c r="C17" s="43">
        <v>26881.95290135625</v>
      </c>
      <c r="D17" s="48">
        <v>0</v>
      </c>
      <c r="E17" s="48"/>
      <c r="F17" s="43">
        <f>C17+D17</f>
        <v>26881.95290135625</v>
      </c>
      <c r="G17" s="43">
        <v>24336.040599945238</v>
      </c>
      <c r="H17" s="43">
        <v>1934.8048828331127</v>
      </c>
      <c r="I17" s="43">
        <f t="shared" si="0"/>
        <v>22401.235717112126</v>
      </c>
      <c r="J17" s="30">
        <f aca="true" t="shared" si="4" ref="J17:J25">F17-I17</f>
        <v>4480.717184244124</v>
      </c>
      <c r="K17" s="32">
        <f t="shared" si="1"/>
        <v>20.002098280771804</v>
      </c>
      <c r="L17" s="36">
        <f aca="true" t="shared" si="5" ref="L17:L30">F17-I17*1.2</f>
        <v>0.4700408216995129</v>
      </c>
      <c r="M17" s="30">
        <f aca="true" t="shared" si="6" ref="M17:M30">F17-G17</f>
        <v>2545.912301411012</v>
      </c>
      <c r="N17" s="34">
        <f t="shared" si="2"/>
        <v>10.461489373981161</v>
      </c>
      <c r="O17" s="38">
        <f aca="true" t="shared" si="7" ref="O17:O30">F17-G17*1.1</f>
        <v>112.30824141648554</v>
      </c>
    </row>
    <row r="18" spans="1:15" s="4" customFormat="1" ht="12.75" hidden="1">
      <c r="A18" s="17">
        <f t="shared" si="3"/>
        <v>2018</v>
      </c>
      <c r="B18" s="17"/>
      <c r="C18" s="43">
        <v>27133.509127497437</v>
      </c>
      <c r="D18" s="48">
        <v>0</v>
      </c>
      <c r="E18" s="48"/>
      <c r="F18" s="43">
        <f>C18+D18</f>
        <v>27133.509127497437</v>
      </c>
      <c r="G18" s="43">
        <v>24606.278955403854</v>
      </c>
      <c r="H18" s="43">
        <v>1995.2014194263602</v>
      </c>
      <c r="I18" s="43">
        <f t="shared" si="0"/>
        <v>22611.077535977493</v>
      </c>
      <c r="J18" s="30">
        <f t="shared" si="4"/>
        <v>4522.431591519944</v>
      </c>
      <c r="K18" s="32">
        <f t="shared" si="1"/>
        <v>20.000955656907998</v>
      </c>
      <c r="L18" s="36">
        <f t="shared" si="5"/>
        <v>0.21608432444554637</v>
      </c>
      <c r="M18" s="30">
        <f t="shared" si="6"/>
        <v>2527.230172093583</v>
      </c>
      <c r="N18" s="34">
        <f t="shared" si="2"/>
        <v>10.270671874743462</v>
      </c>
      <c r="O18" s="38">
        <f t="shared" si="7"/>
        <v>66.60227655319613</v>
      </c>
    </row>
    <row r="19" spans="1:16" s="4" customFormat="1" ht="12.75">
      <c r="A19" s="17">
        <f t="shared" si="3"/>
        <v>2019</v>
      </c>
      <c r="B19" s="17" t="s">
        <v>68</v>
      </c>
      <c r="C19" s="43">
        <v>28988.2498978587</v>
      </c>
      <c r="D19" s="89">
        <v>0</v>
      </c>
      <c r="E19" s="89">
        <v>0</v>
      </c>
      <c r="F19" s="43">
        <f>C19+D19+E19</f>
        <v>28988.2498978587</v>
      </c>
      <c r="G19" s="43">
        <v>24893.09445872483</v>
      </c>
      <c r="H19" s="43">
        <v>2041.4456948504048</v>
      </c>
      <c r="I19" s="43">
        <f t="shared" si="0"/>
        <v>22851.648763874426</v>
      </c>
      <c r="J19" s="30">
        <f t="shared" si="4"/>
        <v>6136.6011339842735</v>
      </c>
      <c r="K19" s="32">
        <f t="shared" si="1"/>
        <v>26.854084785713432</v>
      </c>
      <c r="L19" s="36">
        <f t="shared" si="5"/>
        <v>1566.2713812093898</v>
      </c>
      <c r="M19" s="30">
        <f t="shared" si="6"/>
        <v>4095.1554391338686</v>
      </c>
      <c r="N19" s="34">
        <f t="shared" si="2"/>
        <v>16.450969749558595</v>
      </c>
      <c r="O19" s="38">
        <f t="shared" si="7"/>
        <v>1605.8459932613841</v>
      </c>
      <c r="P19" s="100"/>
    </row>
    <row r="20" spans="1:16" s="4" customFormat="1" ht="12.75">
      <c r="A20" s="17">
        <f t="shared" si="3"/>
        <v>2020</v>
      </c>
      <c r="B20" s="17" t="s">
        <v>67</v>
      </c>
      <c r="C20" s="43">
        <v>28406.49789664355</v>
      </c>
      <c r="D20" s="89">
        <v>0</v>
      </c>
      <c r="E20" s="89">
        <v>0</v>
      </c>
      <c r="F20" s="43">
        <f aca="true" t="shared" si="8" ref="F20:F30">C20+D20+E20</f>
        <v>28406.49789664355</v>
      </c>
      <c r="G20" s="43">
        <v>25205.928535800045</v>
      </c>
      <c r="H20" s="43">
        <v>2088.462209365558</v>
      </c>
      <c r="I20" s="43">
        <f t="shared" si="0"/>
        <v>23117.466326434485</v>
      </c>
      <c r="J20" s="30">
        <f t="shared" si="4"/>
        <v>5289.031570209063</v>
      </c>
      <c r="K20" s="32">
        <f t="shared" si="1"/>
        <v>22.878941383646065</v>
      </c>
      <c r="L20" s="36">
        <f t="shared" si="5"/>
        <v>665.5383049221673</v>
      </c>
      <c r="M20" s="30">
        <f t="shared" si="6"/>
        <v>3200.569360843503</v>
      </c>
      <c r="N20" s="34">
        <f t="shared" si="2"/>
        <v>12.697684817671867</v>
      </c>
      <c r="O20" s="38">
        <f t="shared" si="7"/>
        <v>679.9765072634946</v>
      </c>
      <c r="P20" s="100"/>
    </row>
    <row r="21" spans="1:16" s="4" customFormat="1" ht="12.75">
      <c r="A21" s="17">
        <f t="shared" si="3"/>
        <v>2021</v>
      </c>
      <c r="B21" s="17" t="s">
        <v>67</v>
      </c>
      <c r="C21" s="43">
        <v>28677.635480016936</v>
      </c>
      <c r="D21" s="89">
        <v>0</v>
      </c>
      <c r="E21" s="89">
        <v>-1626</v>
      </c>
      <c r="F21" s="43">
        <f t="shared" si="8"/>
        <v>27051.635480016936</v>
      </c>
      <c r="G21" s="43">
        <v>25316.416253234296</v>
      </c>
      <c r="H21" s="43">
        <v>2136.2343409014484</v>
      </c>
      <c r="I21" s="43">
        <f t="shared" si="0"/>
        <v>23180.181912332846</v>
      </c>
      <c r="J21" s="30">
        <f t="shared" si="4"/>
        <v>3871.4535676840896</v>
      </c>
      <c r="K21" s="32">
        <f t="shared" si="1"/>
        <v>16.701566805324816</v>
      </c>
      <c r="L21" s="36">
        <f t="shared" si="5"/>
        <v>-764.5828147824795</v>
      </c>
      <c r="M21" s="30">
        <f t="shared" si="6"/>
        <v>1735.2192267826395</v>
      </c>
      <c r="N21" s="34">
        <f t="shared" si="2"/>
        <v>6.854126624501826</v>
      </c>
      <c r="O21" s="38">
        <f t="shared" si="7"/>
        <v>-796.4223985407916</v>
      </c>
      <c r="P21" s="100"/>
    </row>
    <row r="22" spans="1:16" s="4" customFormat="1" ht="12.75">
      <c r="A22" s="17">
        <f t="shared" si="3"/>
        <v>2022</v>
      </c>
      <c r="B22" s="17" t="s">
        <v>83</v>
      </c>
      <c r="C22" s="43">
        <v>28893.863977089288</v>
      </c>
      <c r="D22" s="89">
        <v>0</v>
      </c>
      <c r="E22" s="89">
        <v>-1626</v>
      </c>
      <c r="F22" s="43">
        <f t="shared" si="8"/>
        <v>27267.863977089288</v>
      </c>
      <c r="G22" s="43">
        <v>25540.189209268094</v>
      </c>
      <c r="H22" s="43">
        <v>2184.7465153952003</v>
      </c>
      <c r="I22" s="43">
        <f t="shared" si="0"/>
        <v>23355.442693872894</v>
      </c>
      <c r="J22" s="30">
        <f t="shared" si="4"/>
        <v>3912.421283216394</v>
      </c>
      <c r="K22" s="32">
        <f t="shared" si="1"/>
        <v>16.751646862351212</v>
      </c>
      <c r="L22" s="36">
        <f t="shared" si="5"/>
        <v>-758.6672555581827</v>
      </c>
      <c r="M22" s="30">
        <f t="shared" si="6"/>
        <v>1727.674767821194</v>
      </c>
      <c r="N22" s="34">
        <f t="shared" si="2"/>
        <v>6.764533941644609</v>
      </c>
      <c r="O22" s="38">
        <f t="shared" si="7"/>
        <v>-826.344153105616</v>
      </c>
      <c r="P22" s="100"/>
    </row>
    <row r="23" spans="1:16" s="4" customFormat="1" ht="12.75">
      <c r="A23" s="17">
        <f t="shared" si="3"/>
        <v>2023</v>
      </c>
      <c r="B23" s="17"/>
      <c r="C23" s="43">
        <v>28891.09711299759</v>
      </c>
      <c r="D23" s="89">
        <v>0</v>
      </c>
      <c r="E23" s="89">
        <f>-823-803</f>
        <v>-1626</v>
      </c>
      <c r="F23" s="43">
        <f t="shared" si="8"/>
        <v>27265.09711299759</v>
      </c>
      <c r="G23" s="43">
        <v>25832.903255827194</v>
      </c>
      <c r="H23" s="43">
        <v>2234.0294854316176</v>
      </c>
      <c r="I23" s="43">
        <f t="shared" si="0"/>
        <v>23598.873770395578</v>
      </c>
      <c r="J23" s="30">
        <f t="shared" si="4"/>
        <v>3666.223342602014</v>
      </c>
      <c r="K23" s="32">
        <f t="shared" si="1"/>
        <v>15.535586054963495</v>
      </c>
      <c r="L23" s="36">
        <f t="shared" si="5"/>
        <v>-1053.5514114770995</v>
      </c>
      <c r="M23" s="30">
        <f t="shared" si="6"/>
        <v>1432.1938571703977</v>
      </c>
      <c r="N23" s="34">
        <f t="shared" si="2"/>
        <v>5.544068519853005</v>
      </c>
      <c r="O23" s="38">
        <f t="shared" si="7"/>
        <v>-1151.0964684123246</v>
      </c>
      <c r="P23" s="100"/>
    </row>
    <row r="24" spans="1:16" s="4" customFormat="1" ht="13.5" thickBot="1">
      <c r="A24" s="49">
        <f t="shared" si="3"/>
        <v>2024</v>
      </c>
      <c r="B24" s="49"/>
      <c r="C24" s="50">
        <v>28888.338871717213</v>
      </c>
      <c r="D24" s="93">
        <v>0</v>
      </c>
      <c r="E24" s="93">
        <f aca="true" t="shared" si="9" ref="E24:E30">E23</f>
        <v>-1626</v>
      </c>
      <c r="F24" s="50">
        <f t="shared" si="8"/>
        <v>27262.338871717213</v>
      </c>
      <c r="G24" s="50">
        <v>26180.278517781553</v>
      </c>
      <c r="H24" s="50">
        <v>2284.18220399574</v>
      </c>
      <c r="I24" s="50">
        <f t="shared" si="0"/>
        <v>23896.096313785813</v>
      </c>
      <c r="J24" s="51">
        <f t="shared" si="4"/>
        <v>3366.2425579314004</v>
      </c>
      <c r="K24" s="52">
        <f t="shared" si="1"/>
        <v>14.086997782936594</v>
      </c>
      <c r="L24" s="53">
        <f t="shared" si="5"/>
        <v>-1412.97670482576</v>
      </c>
      <c r="M24" s="51">
        <f t="shared" si="6"/>
        <v>1082.0603539356598</v>
      </c>
      <c r="N24" s="54">
        <f t="shared" si="2"/>
        <v>4.133112461736143</v>
      </c>
      <c r="O24" s="55">
        <f t="shared" si="7"/>
        <v>-1535.9674978424991</v>
      </c>
      <c r="P24" s="100"/>
    </row>
    <row r="25" spans="1:16" s="4" customFormat="1" ht="12.75">
      <c r="A25" s="17">
        <f t="shared" si="3"/>
        <v>2025</v>
      </c>
      <c r="B25" s="17"/>
      <c r="C25" s="43">
        <v>28885.589225285297</v>
      </c>
      <c r="D25" s="89">
        <v>0</v>
      </c>
      <c r="E25" s="89">
        <f t="shared" si="9"/>
        <v>-1626</v>
      </c>
      <c r="F25" s="43">
        <f t="shared" si="8"/>
        <v>27259.589225285297</v>
      </c>
      <c r="G25" s="43">
        <v>26572.4560211349</v>
      </c>
      <c r="H25" s="43">
        <v>2334</v>
      </c>
      <c r="I25" s="43">
        <f t="shared" si="0"/>
        <v>24238.4560211349</v>
      </c>
      <c r="J25" s="30">
        <f t="shared" si="4"/>
        <v>3021.1332041503956</v>
      </c>
      <c r="K25" s="32">
        <f t="shared" si="1"/>
        <v>12.464214723561996</v>
      </c>
      <c r="L25" s="36">
        <f t="shared" si="5"/>
        <v>-1826.558000076584</v>
      </c>
      <c r="M25" s="30">
        <f t="shared" si="6"/>
        <v>687.1332041503956</v>
      </c>
      <c r="N25" s="34">
        <f t="shared" si="2"/>
        <v>2.585885187292704</v>
      </c>
      <c r="O25" s="38">
        <f t="shared" si="7"/>
        <v>-1970.1123979630975</v>
      </c>
      <c r="P25" s="100"/>
    </row>
    <row r="26" spans="1:16" s="4" customFormat="1" ht="12.75">
      <c r="A26" s="17">
        <f t="shared" si="3"/>
        <v>2026</v>
      </c>
      <c r="B26" s="17"/>
      <c r="C26" s="43">
        <v>28882.848145836484</v>
      </c>
      <c r="D26" s="89">
        <v>0</v>
      </c>
      <c r="E26" s="89">
        <f t="shared" si="9"/>
        <v>-1626</v>
      </c>
      <c r="F26" s="43">
        <f t="shared" si="8"/>
        <v>27256.848145836484</v>
      </c>
      <c r="G26" s="43">
        <v>27067.6000853683</v>
      </c>
      <c r="H26" s="43">
        <v>2384</v>
      </c>
      <c r="I26" s="43">
        <f>G26-H26</f>
        <v>24683.6000853683</v>
      </c>
      <c r="J26" s="30">
        <f>F26-I26</f>
        <v>2573.248060468184</v>
      </c>
      <c r="K26" s="32">
        <f>J26/I26*100</f>
        <v>10.424930121897125</v>
      </c>
      <c r="L26" s="36">
        <f t="shared" si="5"/>
        <v>-2363.4719566054737</v>
      </c>
      <c r="M26" s="30">
        <f t="shared" si="6"/>
        <v>189.24806046818412</v>
      </c>
      <c r="N26" s="34">
        <f t="shared" si="2"/>
        <v>0.6991682301767282</v>
      </c>
      <c r="O26" s="38">
        <f t="shared" si="7"/>
        <v>-2517.511948068648</v>
      </c>
      <c r="P26" s="100"/>
    </row>
    <row r="27" spans="1:16" s="4" customFormat="1" ht="12.75">
      <c r="A27" s="17">
        <f t="shared" si="3"/>
        <v>2027</v>
      </c>
      <c r="B27" s="17"/>
      <c r="C27" s="43">
        <v>28876.615605602543</v>
      </c>
      <c r="D27" s="89">
        <v>0</v>
      </c>
      <c r="E27" s="89">
        <f t="shared" si="9"/>
        <v>-1626</v>
      </c>
      <c r="F27" s="43">
        <f t="shared" si="8"/>
        <v>27250.615605602543</v>
      </c>
      <c r="G27" s="43">
        <v>27665.21915802903</v>
      </c>
      <c r="H27" s="43">
        <v>2434</v>
      </c>
      <c r="I27" s="43">
        <f>G27-H27</f>
        <v>25231.21915802903</v>
      </c>
      <c r="J27" s="30">
        <f>F27-I27</f>
        <v>2019.396447573512</v>
      </c>
      <c r="K27" s="32">
        <f>J27/I27*100</f>
        <v>8.00356270906118</v>
      </c>
      <c r="L27" s="36">
        <f t="shared" si="5"/>
        <v>-3026.8473840322913</v>
      </c>
      <c r="M27" s="30">
        <f t="shared" si="6"/>
        <v>-414.603552426488</v>
      </c>
      <c r="N27" s="34">
        <f t="shared" si="2"/>
        <v>-1.498645465478488</v>
      </c>
      <c r="O27" s="38">
        <f t="shared" si="7"/>
        <v>-3181.1254682293948</v>
      </c>
      <c r="P27" s="100"/>
    </row>
    <row r="28" spans="1:16" s="4" customFormat="1" ht="12.75">
      <c r="A28" s="17">
        <f t="shared" si="3"/>
        <v>2028</v>
      </c>
      <c r="B28" s="17"/>
      <c r="C28" s="43">
        <v>28873.891576911978</v>
      </c>
      <c r="D28" s="89">
        <v>0</v>
      </c>
      <c r="E28" s="89">
        <f t="shared" si="9"/>
        <v>-1626</v>
      </c>
      <c r="F28" s="43">
        <f t="shared" si="8"/>
        <v>27247.891576911978</v>
      </c>
      <c r="G28" s="43">
        <v>28224.724306714037</v>
      </c>
      <c r="H28" s="43">
        <v>2484</v>
      </c>
      <c r="I28" s="43">
        <f>G28-H28</f>
        <v>25740.724306714037</v>
      </c>
      <c r="J28" s="30">
        <f>F28-I28</f>
        <v>1507.1672701979405</v>
      </c>
      <c r="K28" s="32">
        <f>J28/I28*100</f>
        <v>5.855185938978497</v>
      </c>
      <c r="L28" s="36">
        <f t="shared" si="5"/>
        <v>-3640.977591144867</v>
      </c>
      <c r="M28" s="30">
        <f t="shared" si="6"/>
        <v>-976.8327298020595</v>
      </c>
      <c r="N28" s="34">
        <f t="shared" si="2"/>
        <v>-3.4609115015153313</v>
      </c>
      <c r="O28" s="38">
        <f t="shared" si="7"/>
        <v>-3799.3051604734646</v>
      </c>
      <c r="P28" s="100"/>
    </row>
    <row r="29" spans="1:16" s="4" customFormat="1" ht="12.75">
      <c r="A29" s="17">
        <f t="shared" si="3"/>
        <v>2029</v>
      </c>
      <c r="B29" s="13"/>
      <c r="C29" s="43">
        <v>28871.176032189665</v>
      </c>
      <c r="D29" s="89">
        <v>0</v>
      </c>
      <c r="E29" s="89">
        <f t="shared" si="9"/>
        <v>-1626</v>
      </c>
      <c r="F29" s="43">
        <f t="shared" si="8"/>
        <v>27245.176032189665</v>
      </c>
      <c r="G29" s="43">
        <v>28804.814369193406</v>
      </c>
      <c r="H29" s="43">
        <v>2534</v>
      </c>
      <c r="I29" s="43">
        <f>G29-H29</f>
        <v>26270.814369193406</v>
      </c>
      <c r="J29" s="30">
        <f>F29-I29</f>
        <v>974.3616629962598</v>
      </c>
      <c r="K29" s="32">
        <f>J29/I29*100</f>
        <v>3.7089130519640445</v>
      </c>
      <c r="L29" s="36">
        <f t="shared" si="5"/>
        <v>-4279.801210842419</v>
      </c>
      <c r="M29" s="30">
        <f t="shared" si="6"/>
        <v>-1559.6383370037402</v>
      </c>
      <c r="N29" s="34">
        <f t="shared" si="2"/>
        <v>-5.414505773284083</v>
      </c>
      <c r="O29" s="38">
        <f t="shared" si="7"/>
        <v>-4440.119773923085</v>
      </c>
      <c r="P29" s="100"/>
    </row>
    <row r="30" spans="1:16" s="4" customFormat="1" ht="12.75">
      <c r="A30" s="18">
        <f t="shared" si="3"/>
        <v>2030</v>
      </c>
      <c r="B30" s="18"/>
      <c r="C30" s="44">
        <v>28868.468943956468</v>
      </c>
      <c r="D30" s="90">
        <v>0</v>
      </c>
      <c r="E30" s="90">
        <f t="shared" si="9"/>
        <v>-1626</v>
      </c>
      <c r="F30" s="44">
        <f t="shared" si="8"/>
        <v>27242.468943956468</v>
      </c>
      <c r="G30" s="44">
        <v>29397.66178369829</v>
      </c>
      <c r="H30" s="44">
        <v>2584</v>
      </c>
      <c r="I30" s="44">
        <f>G30-H30</f>
        <v>26813.66178369829</v>
      </c>
      <c r="J30" s="31">
        <f>F30-I30</f>
        <v>428.80716025817674</v>
      </c>
      <c r="K30" s="33">
        <f>J30/I30*100</f>
        <v>1.5992114904607155</v>
      </c>
      <c r="L30" s="37">
        <f t="shared" si="5"/>
        <v>-4933.925196481479</v>
      </c>
      <c r="M30" s="31">
        <f t="shared" si="6"/>
        <v>-2155.1928397418233</v>
      </c>
      <c r="N30" s="35">
        <f t="shared" si="2"/>
        <v>-7.331170946857172</v>
      </c>
      <c r="O30" s="39">
        <f t="shared" si="7"/>
        <v>-5094.959018111655</v>
      </c>
      <c r="P30" s="100"/>
    </row>
    <row r="31" spans="1:5" ht="12" customHeight="1">
      <c r="A31" s="5"/>
      <c r="B31" s="5" t="s">
        <v>64</v>
      </c>
      <c r="C31" s="5"/>
      <c r="D31" s="5"/>
      <c r="E31" s="5"/>
    </row>
    <row r="32" spans="1:12" ht="12.75">
      <c r="A32" s="6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</row>
    <row r="33" spans="1:12" ht="15.75">
      <c r="A33" s="6"/>
      <c r="B33" s="6" t="s">
        <v>82</v>
      </c>
      <c r="C33" s="103"/>
      <c r="D33" s="6"/>
      <c r="E33" s="6"/>
      <c r="F33" s="4"/>
      <c r="G33" s="4"/>
      <c r="H33" s="4"/>
      <c r="I33" s="4"/>
      <c r="J33" s="4"/>
      <c r="K33" s="4"/>
      <c r="L33" s="4"/>
    </row>
    <row r="34" spans="2:3" ht="12.75">
      <c r="B34" s="41"/>
      <c r="C34" s="103"/>
    </row>
  </sheetData>
  <sheetProtection/>
  <mergeCells count="11">
    <mergeCell ref="J11:K11"/>
    <mergeCell ref="M11:N11"/>
    <mergeCell ref="J12:K12"/>
    <mergeCell ref="M12:N12"/>
    <mergeCell ref="J13:K13"/>
    <mergeCell ref="M13:N13"/>
    <mergeCell ref="A4:O4"/>
    <mergeCell ref="A5:O5"/>
    <mergeCell ref="A6:O6"/>
    <mergeCell ref="J10:L10"/>
    <mergeCell ref="M10:O10"/>
  </mergeCells>
  <conditionalFormatting sqref="O19:O30">
    <cfRule type="cellIs" priority="1" dxfId="21" operator="lessThan" stopIfTrue="1">
      <formula>0</formula>
    </cfRule>
  </conditionalFormatting>
  <printOptions horizontalCentered="1"/>
  <pageMargins left="0.25" right="0" top="1" bottom="1" header="0.5" footer="0.5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 transitionEvaluation="1" transitionEntry="1">
    <tabColor theme="3" tint="0.39998000860214233"/>
    <pageSetUpPr fitToPage="1"/>
  </sheetPr>
  <dimension ref="A3:P35"/>
  <sheetViews>
    <sheetView showGridLines="0" tabSelected="1" zoomScalePageLayoutView="0" workbookViewId="0" topLeftCell="A1">
      <selection activeCell="A1" sqref="A1:IV2"/>
    </sheetView>
  </sheetViews>
  <sheetFormatPr defaultColWidth="12.7109375" defaultRowHeight="12.75"/>
  <cols>
    <col min="1" max="1" width="6.8515625" style="1" customWidth="1"/>
    <col min="2" max="2" width="25.8515625" style="1" customWidth="1"/>
    <col min="3" max="3" width="10.57421875" style="1" customWidth="1"/>
    <col min="4" max="5" width="11.28125" style="1" customWidth="1"/>
    <col min="6" max="9" width="8.28125" style="2" customWidth="1"/>
    <col min="10" max="10" width="8.421875" style="2" customWidth="1"/>
    <col min="11" max="11" width="7.421875" style="2" customWidth="1"/>
    <col min="12" max="12" width="9.00390625" style="2" customWidth="1"/>
    <col min="13" max="13" width="8.421875" style="2" customWidth="1"/>
    <col min="14" max="14" width="9.421875" style="2" customWidth="1"/>
    <col min="15" max="15" width="12.00390625" style="2" customWidth="1"/>
    <col min="16" max="16" width="12.7109375" style="2" customWidth="1"/>
    <col min="17" max="17" width="23.421875" style="2" bestFit="1" customWidth="1"/>
    <col min="18" max="16384" width="12.7109375" style="2" customWidth="1"/>
  </cols>
  <sheetData>
    <row r="3" spans="2:15" ht="12.75">
      <c r="B3" s="42" t="s">
        <v>29</v>
      </c>
      <c r="C3" s="42"/>
      <c r="D3" s="42"/>
      <c r="E3" s="42"/>
      <c r="O3" s="41"/>
    </row>
    <row r="4" spans="1:15" ht="15.75">
      <c r="A4" s="117" t="s">
        <v>81</v>
      </c>
      <c r="B4" s="117" t="s">
        <v>75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.75">
      <c r="A5" s="117" t="s">
        <v>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.75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5" ht="12.75">
      <c r="A7" s="2"/>
      <c r="B7" s="2"/>
      <c r="C7" s="2"/>
      <c r="D7" s="2"/>
      <c r="E7" s="2"/>
    </row>
    <row r="8" spans="1:15" ht="12.75">
      <c r="A8" s="3">
        <v>-1</v>
      </c>
      <c r="B8" s="3">
        <v>-2</v>
      </c>
      <c r="C8" s="3">
        <v>-3</v>
      </c>
      <c r="D8" s="3">
        <v>-4</v>
      </c>
      <c r="E8" s="3"/>
      <c r="F8" s="3">
        <v>-5</v>
      </c>
      <c r="G8" s="3">
        <v>-6</v>
      </c>
      <c r="H8" s="3">
        <v>-7</v>
      </c>
      <c r="I8" s="3">
        <v>-8</v>
      </c>
      <c r="J8" s="3">
        <v>-9</v>
      </c>
      <c r="K8" s="3">
        <v>-10</v>
      </c>
      <c r="L8" s="3">
        <v>-11</v>
      </c>
      <c r="M8" s="3">
        <v>-12</v>
      </c>
      <c r="N8" s="3">
        <v>-13</v>
      </c>
      <c r="O8" s="40">
        <v>-14</v>
      </c>
    </row>
    <row r="9" spans="1:15" ht="12.75" hidden="1">
      <c r="A9" s="3">
        <v>-1</v>
      </c>
      <c r="B9" s="3">
        <v>-2</v>
      </c>
      <c r="C9" s="3"/>
      <c r="D9" s="3"/>
      <c r="E9" s="3"/>
      <c r="F9" s="3">
        <v>-3</v>
      </c>
      <c r="G9" s="3">
        <v>-4</v>
      </c>
      <c r="H9" s="3">
        <v>-5</v>
      </c>
      <c r="I9" s="3">
        <v>-6</v>
      </c>
      <c r="J9" s="3">
        <v>-7</v>
      </c>
      <c r="K9" s="3">
        <v>-8</v>
      </c>
      <c r="L9" s="3">
        <v>-9</v>
      </c>
      <c r="M9" s="3">
        <v>-10</v>
      </c>
      <c r="N9" s="3">
        <v>-11</v>
      </c>
      <c r="O9" s="40">
        <v>-12</v>
      </c>
    </row>
    <row r="10" spans="1:15" ht="12.75">
      <c r="A10" s="19"/>
      <c r="B10" s="16"/>
      <c r="C10" s="12"/>
      <c r="D10" s="101"/>
      <c r="E10" s="101"/>
      <c r="F10" s="12"/>
      <c r="G10" s="15"/>
      <c r="H10" s="12"/>
      <c r="I10" s="12"/>
      <c r="J10" s="118" t="s">
        <v>18</v>
      </c>
      <c r="K10" s="119"/>
      <c r="L10" s="120"/>
      <c r="M10" s="121" t="s">
        <v>24</v>
      </c>
      <c r="N10" s="122"/>
      <c r="O10" s="123"/>
    </row>
    <row r="11" spans="1:15" ht="12.75">
      <c r="A11" s="14"/>
      <c r="B11" s="14"/>
      <c r="C11" s="13" t="s">
        <v>7</v>
      </c>
      <c r="D11" s="46" t="s">
        <v>28</v>
      </c>
      <c r="E11" s="46" t="s">
        <v>28</v>
      </c>
      <c r="F11" s="13" t="s">
        <v>7</v>
      </c>
      <c r="G11" s="14"/>
      <c r="H11" s="14"/>
      <c r="I11" s="13" t="s">
        <v>10</v>
      </c>
      <c r="J11" s="124"/>
      <c r="K11" s="125"/>
      <c r="L11" s="8" t="s">
        <v>19</v>
      </c>
      <c r="M11" s="124"/>
      <c r="N11" s="125"/>
      <c r="O11" s="8" t="s">
        <v>19</v>
      </c>
    </row>
    <row r="12" spans="1:15" ht="12.75">
      <c r="A12" s="14"/>
      <c r="B12" s="14"/>
      <c r="C12" s="14" t="s">
        <v>10</v>
      </c>
      <c r="D12" s="46" t="s">
        <v>10</v>
      </c>
      <c r="E12" s="46" t="s">
        <v>10</v>
      </c>
      <c r="F12" s="14" t="s">
        <v>10</v>
      </c>
      <c r="G12" s="13" t="s">
        <v>7</v>
      </c>
      <c r="H12" s="14"/>
      <c r="I12" s="13" t="s">
        <v>0</v>
      </c>
      <c r="J12" s="113"/>
      <c r="K12" s="114"/>
      <c r="L12" s="9" t="s">
        <v>20</v>
      </c>
      <c r="M12" s="113"/>
      <c r="N12" s="114"/>
      <c r="O12" s="9" t="s">
        <v>20</v>
      </c>
    </row>
    <row r="13" spans="1:15" ht="15.75" customHeight="1">
      <c r="A13" s="14"/>
      <c r="B13" s="14"/>
      <c r="C13" s="13" t="s">
        <v>4</v>
      </c>
      <c r="D13" s="46" t="s">
        <v>4</v>
      </c>
      <c r="E13" s="46" t="s">
        <v>4</v>
      </c>
      <c r="F13" s="13" t="s">
        <v>4</v>
      </c>
      <c r="G13" s="13" t="s">
        <v>1</v>
      </c>
      <c r="H13" s="13"/>
      <c r="I13" s="13" t="s">
        <v>1</v>
      </c>
      <c r="J13" s="113"/>
      <c r="K13" s="114"/>
      <c r="L13" s="10" t="s">
        <v>21</v>
      </c>
      <c r="M13" s="115"/>
      <c r="N13" s="116"/>
      <c r="O13" s="10" t="s">
        <v>21</v>
      </c>
    </row>
    <row r="14" spans="1:16" ht="15" customHeight="1">
      <c r="A14" s="14"/>
      <c r="B14" s="14" t="s">
        <v>6</v>
      </c>
      <c r="C14" s="13" t="s">
        <v>11</v>
      </c>
      <c r="D14" s="46" t="s">
        <v>3</v>
      </c>
      <c r="E14" s="46" t="s">
        <v>66</v>
      </c>
      <c r="F14" s="13" t="s">
        <v>11</v>
      </c>
      <c r="G14" s="13" t="s">
        <v>12</v>
      </c>
      <c r="H14" s="13" t="s">
        <v>2</v>
      </c>
      <c r="I14" s="14" t="s">
        <v>12</v>
      </c>
      <c r="J14" s="27" t="s">
        <v>25</v>
      </c>
      <c r="K14" s="28"/>
      <c r="L14" s="11" t="s">
        <v>22</v>
      </c>
      <c r="M14" s="26" t="s">
        <v>25</v>
      </c>
      <c r="N14" s="29"/>
      <c r="O14" s="11" t="s">
        <v>23</v>
      </c>
      <c r="P14" s="1"/>
    </row>
    <row r="15" spans="1:16" ht="15.75">
      <c r="A15" s="20" t="s">
        <v>5</v>
      </c>
      <c r="B15" s="20" t="s">
        <v>76</v>
      </c>
      <c r="C15" s="20" t="s">
        <v>8</v>
      </c>
      <c r="D15" s="47" t="s">
        <v>8</v>
      </c>
      <c r="E15" s="47" t="s">
        <v>8</v>
      </c>
      <c r="F15" s="20" t="s">
        <v>8</v>
      </c>
      <c r="G15" s="20" t="s">
        <v>8</v>
      </c>
      <c r="H15" s="20" t="s">
        <v>8</v>
      </c>
      <c r="I15" s="20" t="s">
        <v>8</v>
      </c>
      <c r="J15" s="21" t="s">
        <v>8</v>
      </c>
      <c r="K15" s="22" t="s">
        <v>9</v>
      </c>
      <c r="L15" s="23" t="s">
        <v>8</v>
      </c>
      <c r="M15" s="24" t="s">
        <v>13</v>
      </c>
      <c r="N15" s="25" t="s">
        <v>17</v>
      </c>
      <c r="O15" s="23" t="s">
        <v>8</v>
      </c>
      <c r="P15" s="1"/>
    </row>
    <row r="16" spans="1:15" s="4" customFormat="1" ht="12.75" hidden="1">
      <c r="A16" s="17">
        <v>2016</v>
      </c>
      <c r="B16" s="17"/>
      <c r="C16" s="43">
        <v>27238.0286375</v>
      </c>
      <c r="D16" s="48">
        <v>0</v>
      </c>
      <c r="E16" s="48"/>
      <c r="F16" s="43">
        <f>C16+D16</f>
        <v>27238.0286375</v>
      </c>
      <c r="G16" s="43">
        <v>24169.686546596025</v>
      </c>
      <c r="H16" s="43">
        <v>1842.4666740400107</v>
      </c>
      <c r="I16" s="43">
        <f aca="true" t="shared" si="0" ref="I16:I25">G16-H16</f>
        <v>22327.219872556016</v>
      </c>
      <c r="J16" s="30">
        <f>F16-I16</f>
        <v>4910.808764943984</v>
      </c>
      <c r="K16" s="32">
        <f aca="true" t="shared" si="1" ref="K16:K25">J16/I16*100</f>
        <v>21.994716731303438</v>
      </c>
      <c r="L16" s="36">
        <f>F16-I16*1.2</f>
        <v>445.36479043278086</v>
      </c>
      <c r="M16" s="30">
        <f>F16-G16</f>
        <v>3068.342090903974</v>
      </c>
      <c r="N16" s="34">
        <f aca="true" t="shared" si="2" ref="N16:N30">M16/G16*100</f>
        <v>12.695001587995804</v>
      </c>
      <c r="O16" s="38">
        <f>F16-G16*1.1</f>
        <v>651.3734362443683</v>
      </c>
    </row>
    <row r="17" spans="1:15" s="4" customFormat="1" ht="12.75" hidden="1">
      <c r="A17" s="17">
        <f aca="true" t="shared" si="3" ref="A17:A30">A16+1</f>
        <v>2017</v>
      </c>
      <c r="B17" s="17"/>
      <c r="C17" s="43">
        <v>26881.95290135625</v>
      </c>
      <c r="D17" s="48">
        <v>0</v>
      </c>
      <c r="E17" s="48"/>
      <c r="F17" s="43">
        <f>C17+D17</f>
        <v>26881.95290135625</v>
      </c>
      <c r="G17" s="43">
        <v>24336.040599945238</v>
      </c>
      <c r="H17" s="43">
        <v>1934.8048828331127</v>
      </c>
      <c r="I17" s="43">
        <f t="shared" si="0"/>
        <v>22401.235717112126</v>
      </c>
      <c r="J17" s="30">
        <f aca="true" t="shared" si="4" ref="J17:J25">F17-I17</f>
        <v>4480.717184244124</v>
      </c>
      <c r="K17" s="32">
        <f t="shared" si="1"/>
        <v>20.002098280771804</v>
      </c>
      <c r="L17" s="36">
        <f aca="true" t="shared" si="5" ref="L17:L30">F17-I17*1.2</f>
        <v>0.4700408216995129</v>
      </c>
      <c r="M17" s="30">
        <f aca="true" t="shared" si="6" ref="M17:M30">F17-G17</f>
        <v>2545.912301411012</v>
      </c>
      <c r="N17" s="34">
        <f t="shared" si="2"/>
        <v>10.461489373981161</v>
      </c>
      <c r="O17" s="38">
        <f aca="true" t="shared" si="7" ref="O17:O30">F17-G17*1.1</f>
        <v>112.30824141648554</v>
      </c>
    </row>
    <row r="18" spans="1:15" s="4" customFormat="1" ht="12.75" hidden="1">
      <c r="A18" s="17">
        <f t="shared" si="3"/>
        <v>2018</v>
      </c>
      <c r="B18" s="17"/>
      <c r="C18" s="43">
        <v>27133.509127497437</v>
      </c>
      <c r="D18" s="48">
        <v>0</v>
      </c>
      <c r="E18" s="48"/>
      <c r="F18" s="43">
        <f>C18+D18</f>
        <v>27133.509127497437</v>
      </c>
      <c r="G18" s="43">
        <v>24606.278955403854</v>
      </c>
      <c r="H18" s="43">
        <v>1995.2014194263602</v>
      </c>
      <c r="I18" s="43">
        <f t="shared" si="0"/>
        <v>22611.077535977493</v>
      </c>
      <c r="J18" s="30">
        <f t="shared" si="4"/>
        <v>4522.431591519944</v>
      </c>
      <c r="K18" s="32">
        <f t="shared" si="1"/>
        <v>20.000955656907998</v>
      </c>
      <c r="L18" s="36">
        <f t="shared" si="5"/>
        <v>0.21608432444554637</v>
      </c>
      <c r="M18" s="30">
        <f t="shared" si="6"/>
        <v>2527.230172093583</v>
      </c>
      <c r="N18" s="34">
        <f t="shared" si="2"/>
        <v>10.270671874743462</v>
      </c>
      <c r="O18" s="38">
        <f t="shared" si="7"/>
        <v>66.60227655319613</v>
      </c>
    </row>
    <row r="19" spans="1:16" s="4" customFormat="1" ht="12.75">
      <c r="A19" s="17">
        <f t="shared" si="3"/>
        <v>2019</v>
      </c>
      <c r="B19" s="17" t="s">
        <v>68</v>
      </c>
      <c r="C19" s="43">
        <v>28988.2498978587</v>
      </c>
      <c r="D19" s="89">
        <v>0</v>
      </c>
      <c r="E19" s="89">
        <v>0</v>
      </c>
      <c r="F19" s="43">
        <f>C19+D19+E19</f>
        <v>28988.2498978587</v>
      </c>
      <c r="G19" s="43">
        <v>24893.09445872483</v>
      </c>
      <c r="H19" s="43">
        <v>2041.4456948504048</v>
      </c>
      <c r="I19" s="43">
        <f t="shared" si="0"/>
        <v>22851.648763874426</v>
      </c>
      <c r="J19" s="30">
        <f t="shared" si="4"/>
        <v>6136.6011339842735</v>
      </c>
      <c r="K19" s="32">
        <f t="shared" si="1"/>
        <v>26.854084785713432</v>
      </c>
      <c r="L19" s="36">
        <f t="shared" si="5"/>
        <v>1566.2713812093898</v>
      </c>
      <c r="M19" s="30">
        <f t="shared" si="6"/>
        <v>4095.1554391338686</v>
      </c>
      <c r="N19" s="34">
        <f t="shared" si="2"/>
        <v>16.450969749558595</v>
      </c>
      <c r="O19" s="38">
        <f t="shared" si="7"/>
        <v>1605.8459932613841</v>
      </c>
      <c r="P19" s="100"/>
    </row>
    <row r="20" spans="1:16" s="4" customFormat="1" ht="12.75">
      <c r="A20" s="17">
        <f t="shared" si="3"/>
        <v>2020</v>
      </c>
      <c r="B20" s="17" t="s">
        <v>67</v>
      </c>
      <c r="C20" s="43">
        <v>28406.49789664355</v>
      </c>
      <c r="D20" s="89">
        <v>0</v>
      </c>
      <c r="E20" s="89">
        <v>0</v>
      </c>
      <c r="F20" s="43">
        <f aca="true" t="shared" si="8" ref="F20:F30">C20+D20+E20</f>
        <v>28406.49789664355</v>
      </c>
      <c r="G20" s="43">
        <v>25205.928535800045</v>
      </c>
      <c r="H20" s="43">
        <v>2088.462209365558</v>
      </c>
      <c r="I20" s="43">
        <f t="shared" si="0"/>
        <v>23117.466326434485</v>
      </c>
      <c r="J20" s="30">
        <f t="shared" si="4"/>
        <v>5289.031570209063</v>
      </c>
      <c r="K20" s="32">
        <f t="shared" si="1"/>
        <v>22.878941383646065</v>
      </c>
      <c r="L20" s="36">
        <f t="shared" si="5"/>
        <v>665.5383049221673</v>
      </c>
      <c r="M20" s="30">
        <f t="shared" si="6"/>
        <v>3200.569360843503</v>
      </c>
      <c r="N20" s="34">
        <f t="shared" si="2"/>
        <v>12.697684817671867</v>
      </c>
      <c r="O20" s="38">
        <f t="shared" si="7"/>
        <v>679.9765072634946</v>
      </c>
      <c r="P20" s="100"/>
    </row>
    <row r="21" spans="1:16" s="4" customFormat="1" ht="12.75">
      <c r="A21" s="17">
        <f t="shared" si="3"/>
        <v>2021</v>
      </c>
      <c r="B21" s="17" t="s">
        <v>87</v>
      </c>
      <c r="C21" s="43">
        <v>28677.635480016936</v>
      </c>
      <c r="D21" s="89">
        <v>1751</v>
      </c>
      <c r="E21" s="89">
        <v>-1626</v>
      </c>
      <c r="F21" s="43">
        <f t="shared" si="8"/>
        <v>28802.635480016936</v>
      </c>
      <c r="G21" s="43">
        <v>25316.416253234296</v>
      </c>
      <c r="H21" s="43">
        <v>2136.2343409014484</v>
      </c>
      <c r="I21" s="43">
        <f t="shared" si="0"/>
        <v>23180.181912332846</v>
      </c>
      <c r="J21" s="30">
        <f t="shared" si="4"/>
        <v>5622.45356768409</v>
      </c>
      <c r="K21" s="32">
        <f t="shared" si="1"/>
        <v>24.25543332208581</v>
      </c>
      <c r="L21" s="36">
        <f t="shared" si="5"/>
        <v>986.4171852175205</v>
      </c>
      <c r="M21" s="30">
        <f t="shared" si="6"/>
        <v>3486.2192267826395</v>
      </c>
      <c r="N21" s="34">
        <f t="shared" si="2"/>
        <v>13.770587400328663</v>
      </c>
      <c r="O21" s="38">
        <f t="shared" si="7"/>
        <v>954.5776014592084</v>
      </c>
      <c r="P21" s="100"/>
    </row>
    <row r="22" spans="1:16" s="4" customFormat="1" ht="12.75">
      <c r="A22" s="17">
        <f t="shared" si="3"/>
        <v>2022</v>
      </c>
      <c r="B22" s="17" t="s">
        <v>83</v>
      </c>
      <c r="C22" s="43">
        <v>28893.863977089288</v>
      </c>
      <c r="D22" s="89">
        <f>D21</f>
        <v>1751</v>
      </c>
      <c r="E22" s="89">
        <v>-1626</v>
      </c>
      <c r="F22" s="43">
        <f t="shared" si="8"/>
        <v>29018.863977089288</v>
      </c>
      <c r="G22" s="43">
        <v>25540.189209268094</v>
      </c>
      <c r="H22" s="43">
        <v>2184.7465153952003</v>
      </c>
      <c r="I22" s="43">
        <f t="shared" si="0"/>
        <v>23355.442693872894</v>
      </c>
      <c r="J22" s="30">
        <f t="shared" si="4"/>
        <v>5663.421283216394</v>
      </c>
      <c r="K22" s="32">
        <f t="shared" si="1"/>
        <v>24.24882866682782</v>
      </c>
      <c r="L22" s="36">
        <f t="shared" si="5"/>
        <v>992.3327444418173</v>
      </c>
      <c r="M22" s="30">
        <f t="shared" si="6"/>
        <v>3478.674767821194</v>
      </c>
      <c r="N22" s="34">
        <f t="shared" si="2"/>
        <v>13.620395445460689</v>
      </c>
      <c r="O22" s="38">
        <f t="shared" si="7"/>
        <v>924.655846894384</v>
      </c>
      <c r="P22" s="100"/>
    </row>
    <row r="23" spans="1:16" s="4" customFormat="1" ht="12.75">
      <c r="A23" s="17">
        <f t="shared" si="3"/>
        <v>2023</v>
      </c>
      <c r="B23" s="17"/>
      <c r="C23" s="43">
        <v>28891.09711299759</v>
      </c>
      <c r="D23" s="89">
        <f>D22</f>
        <v>1751</v>
      </c>
      <c r="E23" s="89">
        <f>-823-803</f>
        <v>-1626</v>
      </c>
      <c r="F23" s="43">
        <f t="shared" si="8"/>
        <v>29016.09711299759</v>
      </c>
      <c r="G23" s="43">
        <v>25832.903255827194</v>
      </c>
      <c r="H23" s="43">
        <v>2234.0294854316176</v>
      </c>
      <c r="I23" s="43">
        <f t="shared" si="0"/>
        <v>23598.873770395578</v>
      </c>
      <c r="J23" s="30">
        <f t="shared" si="4"/>
        <v>5417.223342602014</v>
      </c>
      <c r="K23" s="32">
        <f t="shared" si="1"/>
        <v>22.955431667242685</v>
      </c>
      <c r="L23" s="36">
        <f t="shared" si="5"/>
        <v>697.4485885229005</v>
      </c>
      <c r="M23" s="30">
        <f t="shared" si="6"/>
        <v>3183.1938571703977</v>
      </c>
      <c r="N23" s="34">
        <f t="shared" si="2"/>
        <v>12.322245880173597</v>
      </c>
      <c r="O23" s="38">
        <f t="shared" si="7"/>
        <v>599.9035315876754</v>
      </c>
      <c r="P23" s="100"/>
    </row>
    <row r="24" spans="1:16" s="4" customFormat="1" ht="13.5" thickBot="1">
      <c r="A24" s="49">
        <f t="shared" si="3"/>
        <v>2024</v>
      </c>
      <c r="B24" s="49"/>
      <c r="C24" s="50">
        <v>28888.338871717213</v>
      </c>
      <c r="D24" s="93">
        <f>D23</f>
        <v>1751</v>
      </c>
      <c r="E24" s="93">
        <f aca="true" t="shared" si="9" ref="E24:E30">E23</f>
        <v>-1626</v>
      </c>
      <c r="F24" s="50">
        <f t="shared" si="8"/>
        <v>29013.338871717213</v>
      </c>
      <c r="G24" s="50">
        <v>26180.278517781553</v>
      </c>
      <c r="H24" s="50">
        <v>2284.18220399574</v>
      </c>
      <c r="I24" s="50">
        <f t="shared" si="0"/>
        <v>23896.096313785813</v>
      </c>
      <c r="J24" s="51">
        <f t="shared" si="4"/>
        <v>5117.2425579314</v>
      </c>
      <c r="K24" s="52">
        <f t="shared" si="1"/>
        <v>21.41455445582227</v>
      </c>
      <c r="L24" s="53">
        <f t="shared" si="5"/>
        <v>338.02329517424005</v>
      </c>
      <c r="M24" s="51">
        <f t="shared" si="6"/>
        <v>2833.06035393566</v>
      </c>
      <c r="N24" s="54">
        <f t="shared" si="2"/>
        <v>10.821352996727882</v>
      </c>
      <c r="O24" s="55">
        <f t="shared" si="7"/>
        <v>215.03250215750086</v>
      </c>
      <c r="P24" s="100"/>
    </row>
    <row r="25" spans="1:16" s="4" customFormat="1" ht="12.75">
      <c r="A25" s="17">
        <f t="shared" si="3"/>
        <v>2025</v>
      </c>
      <c r="B25" s="17" t="s">
        <v>77</v>
      </c>
      <c r="C25" s="43">
        <v>28885.589225285297</v>
      </c>
      <c r="D25" s="89">
        <f>D24+1751</f>
        <v>3502</v>
      </c>
      <c r="E25" s="89">
        <f t="shared" si="9"/>
        <v>-1626</v>
      </c>
      <c r="F25" s="43">
        <f t="shared" si="8"/>
        <v>30761.589225285297</v>
      </c>
      <c r="G25" s="43">
        <v>26572.4560211349</v>
      </c>
      <c r="H25" s="43">
        <v>2334</v>
      </c>
      <c r="I25" s="43">
        <f t="shared" si="0"/>
        <v>24238.4560211349</v>
      </c>
      <c r="J25" s="30">
        <f t="shared" si="4"/>
        <v>6523.133204150396</v>
      </c>
      <c r="K25" s="32">
        <f t="shared" si="1"/>
        <v>26.91232972291016</v>
      </c>
      <c r="L25" s="36">
        <f t="shared" si="5"/>
        <v>1675.441999923416</v>
      </c>
      <c r="M25" s="30">
        <f t="shared" si="6"/>
        <v>4189.133204150396</v>
      </c>
      <c r="N25" s="34">
        <f t="shared" si="2"/>
        <v>15.764945478951924</v>
      </c>
      <c r="O25" s="38">
        <f t="shared" si="7"/>
        <v>1531.8876020369025</v>
      </c>
      <c r="P25" s="100"/>
    </row>
    <row r="26" spans="1:16" s="4" customFormat="1" ht="12.75">
      <c r="A26" s="17">
        <f t="shared" si="3"/>
        <v>2026</v>
      </c>
      <c r="B26" s="17"/>
      <c r="C26" s="43">
        <v>28882.848145836484</v>
      </c>
      <c r="D26" s="89">
        <f>D25</f>
        <v>3502</v>
      </c>
      <c r="E26" s="89">
        <f t="shared" si="9"/>
        <v>-1626</v>
      </c>
      <c r="F26" s="43">
        <f t="shared" si="8"/>
        <v>30758.848145836484</v>
      </c>
      <c r="G26" s="43">
        <v>27067.6000853683</v>
      </c>
      <c r="H26" s="43">
        <v>2384</v>
      </c>
      <c r="I26" s="43">
        <f>G26-H26</f>
        <v>24683.6000853683</v>
      </c>
      <c r="J26" s="30">
        <f>F26-I26</f>
        <v>6075.248060468184</v>
      </c>
      <c r="K26" s="32">
        <f>J26/I26*100</f>
        <v>24.612487803468383</v>
      </c>
      <c r="L26" s="36">
        <f t="shared" si="5"/>
        <v>1138.5280433945263</v>
      </c>
      <c r="M26" s="30">
        <f t="shared" si="6"/>
        <v>3691.248060468184</v>
      </c>
      <c r="N26" s="34">
        <f t="shared" si="2"/>
        <v>13.637145697536482</v>
      </c>
      <c r="O26" s="38">
        <f t="shared" si="7"/>
        <v>984.488051931352</v>
      </c>
      <c r="P26" s="100"/>
    </row>
    <row r="27" spans="1:16" s="4" customFormat="1" ht="12.75">
      <c r="A27" s="17">
        <f t="shared" si="3"/>
        <v>2027</v>
      </c>
      <c r="B27" s="17"/>
      <c r="C27" s="43">
        <v>28876.615605602543</v>
      </c>
      <c r="D27" s="89">
        <f>D26</f>
        <v>3502</v>
      </c>
      <c r="E27" s="89">
        <f t="shared" si="9"/>
        <v>-1626</v>
      </c>
      <c r="F27" s="43">
        <f t="shared" si="8"/>
        <v>30752.615605602543</v>
      </c>
      <c r="G27" s="43">
        <v>27665.21915802903</v>
      </c>
      <c r="H27" s="43">
        <v>2434</v>
      </c>
      <c r="I27" s="43">
        <f>G27-H27</f>
        <v>25231.21915802903</v>
      </c>
      <c r="J27" s="30">
        <f>F27-I27</f>
        <v>5521.396447573512</v>
      </c>
      <c r="K27" s="32">
        <f>J27/I27*100</f>
        <v>21.88319324956798</v>
      </c>
      <c r="L27" s="36">
        <f t="shared" si="5"/>
        <v>475.1526159677087</v>
      </c>
      <c r="M27" s="30">
        <f t="shared" si="6"/>
        <v>3087.396447573512</v>
      </c>
      <c r="N27" s="34">
        <f t="shared" si="2"/>
        <v>11.159848147009832</v>
      </c>
      <c r="O27" s="38">
        <f t="shared" si="7"/>
        <v>320.87453177060524</v>
      </c>
      <c r="P27" s="100"/>
    </row>
    <row r="28" spans="1:16" s="4" customFormat="1" ht="12.75">
      <c r="A28" s="17">
        <f t="shared" si="3"/>
        <v>2028</v>
      </c>
      <c r="B28" s="17" t="s">
        <v>70</v>
      </c>
      <c r="C28" s="43">
        <v>28873.891576911978</v>
      </c>
      <c r="D28" s="89">
        <f>D27+1751</f>
        <v>5253</v>
      </c>
      <c r="E28" s="89">
        <f t="shared" si="9"/>
        <v>-1626</v>
      </c>
      <c r="F28" s="43">
        <f t="shared" si="8"/>
        <v>32500.891576911978</v>
      </c>
      <c r="G28" s="43">
        <v>28224.724306714037</v>
      </c>
      <c r="H28" s="43">
        <v>2484</v>
      </c>
      <c r="I28" s="43">
        <f>G28-H28</f>
        <v>25740.724306714037</v>
      </c>
      <c r="J28" s="30">
        <f>F28-I28</f>
        <v>6760.1672701979405</v>
      </c>
      <c r="K28" s="32">
        <f>J28/I28*100</f>
        <v>26.262537097429945</v>
      </c>
      <c r="L28" s="36">
        <f t="shared" si="5"/>
        <v>1612.022408855133</v>
      </c>
      <c r="M28" s="30">
        <f t="shared" si="6"/>
        <v>4276.1672701979405</v>
      </c>
      <c r="N28" s="34">
        <f t="shared" si="2"/>
        <v>15.150430607326552</v>
      </c>
      <c r="O28" s="38">
        <f t="shared" si="7"/>
        <v>1453.6948395265354</v>
      </c>
      <c r="P28" s="100"/>
    </row>
    <row r="29" spans="1:16" s="4" customFormat="1" ht="12.75">
      <c r="A29" s="17">
        <f t="shared" si="3"/>
        <v>2029</v>
      </c>
      <c r="B29" s="13"/>
      <c r="C29" s="43">
        <v>28871.176032189665</v>
      </c>
      <c r="D29" s="89">
        <f>D28</f>
        <v>5253</v>
      </c>
      <c r="E29" s="89">
        <f t="shared" si="9"/>
        <v>-1626</v>
      </c>
      <c r="F29" s="43">
        <f t="shared" si="8"/>
        <v>32498.176032189665</v>
      </c>
      <c r="G29" s="43">
        <v>28804.814369193406</v>
      </c>
      <c r="H29" s="43">
        <v>2534</v>
      </c>
      <c r="I29" s="43">
        <f>G29-H29</f>
        <v>26270.814369193406</v>
      </c>
      <c r="J29" s="30">
        <f>F29-I29</f>
        <v>6227.36166299626</v>
      </c>
      <c r="K29" s="32">
        <f>J29/I29*100</f>
        <v>23.70448656627411</v>
      </c>
      <c r="L29" s="36">
        <f t="shared" si="5"/>
        <v>973.1987891575809</v>
      </c>
      <c r="M29" s="30">
        <f t="shared" si="6"/>
        <v>3693.36166299626</v>
      </c>
      <c r="N29" s="34">
        <f t="shared" si="2"/>
        <v>12.822029038820295</v>
      </c>
      <c r="O29" s="38">
        <f t="shared" si="7"/>
        <v>812.8802260769153</v>
      </c>
      <c r="P29" s="100"/>
    </row>
    <row r="30" spans="1:16" s="4" customFormat="1" ht="12.75">
      <c r="A30" s="18">
        <f t="shared" si="3"/>
        <v>2030</v>
      </c>
      <c r="B30" s="18"/>
      <c r="C30" s="44">
        <v>28868.468943956468</v>
      </c>
      <c r="D30" s="90">
        <f>D29</f>
        <v>5253</v>
      </c>
      <c r="E30" s="90">
        <f t="shared" si="9"/>
        <v>-1626</v>
      </c>
      <c r="F30" s="44">
        <f t="shared" si="8"/>
        <v>32495.468943956468</v>
      </c>
      <c r="G30" s="44">
        <v>29397.66178369829</v>
      </c>
      <c r="H30" s="44">
        <v>2584</v>
      </c>
      <c r="I30" s="44">
        <f>G30-H30</f>
        <v>26813.66178369829</v>
      </c>
      <c r="J30" s="31">
        <f>F30-I30</f>
        <v>5681.807160258177</v>
      </c>
      <c r="K30" s="33">
        <f>J30/I30*100</f>
        <v>21.189971015866636</v>
      </c>
      <c r="L30" s="37">
        <f t="shared" si="5"/>
        <v>319.07480351852064</v>
      </c>
      <c r="M30" s="31">
        <f t="shared" si="6"/>
        <v>3097.8071602581767</v>
      </c>
      <c r="N30" s="35">
        <f t="shared" si="2"/>
        <v>10.537597115890303</v>
      </c>
      <c r="O30" s="39">
        <f t="shared" si="7"/>
        <v>158.0409818883454</v>
      </c>
      <c r="P30" s="100"/>
    </row>
    <row r="31" spans="1:5" ht="12" customHeight="1">
      <c r="A31" s="5"/>
      <c r="B31" s="5" t="s">
        <v>64</v>
      </c>
      <c r="C31" s="5"/>
      <c r="D31" s="5"/>
      <c r="E31" s="5"/>
    </row>
    <row r="32" spans="1:12" ht="12.75">
      <c r="A32" s="6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</row>
    <row r="33" spans="1:12" ht="15.75">
      <c r="A33" s="6"/>
      <c r="B33" s="6" t="s">
        <v>82</v>
      </c>
      <c r="C33" s="103"/>
      <c r="D33" s="6"/>
      <c r="E33" s="6"/>
      <c r="F33" s="4"/>
      <c r="G33" s="4"/>
      <c r="H33" s="4"/>
      <c r="I33" s="4"/>
      <c r="J33" s="4"/>
      <c r="K33" s="4"/>
      <c r="L33" s="4"/>
    </row>
    <row r="34" spans="2:3" ht="12.75">
      <c r="B34" s="41"/>
      <c r="C34" s="103"/>
    </row>
    <row r="35" spans="2:3" ht="12.75">
      <c r="B35" s="41" t="s">
        <v>74</v>
      </c>
      <c r="C35" s="103">
        <v>1751</v>
      </c>
    </row>
  </sheetData>
  <sheetProtection/>
  <mergeCells count="11">
    <mergeCell ref="J11:K11"/>
    <mergeCell ref="M11:N11"/>
    <mergeCell ref="J12:K12"/>
    <mergeCell ref="M12:N12"/>
    <mergeCell ref="J13:K13"/>
    <mergeCell ref="M13:N13"/>
    <mergeCell ref="A4:O4"/>
    <mergeCell ref="A5:O5"/>
    <mergeCell ref="A6:O6"/>
    <mergeCell ref="J10:L10"/>
    <mergeCell ref="M10:O10"/>
  </mergeCells>
  <conditionalFormatting sqref="O19:O30">
    <cfRule type="cellIs" priority="1" dxfId="21" operator="lessThan" stopIfTrue="1">
      <formula>0</formula>
    </cfRule>
  </conditionalFormatting>
  <printOptions horizontalCentered="1"/>
  <pageMargins left="0.25" right="0" top="1" bottom="1" header="0.5" footer="0.5"/>
  <pageSetup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 transitionEntry="1">
    <tabColor theme="3" tint="0.7999799847602844"/>
  </sheetPr>
  <dimension ref="A1:N60"/>
  <sheetViews>
    <sheetView showGridLines="0" zoomScalePageLayoutView="0" workbookViewId="0" topLeftCell="A1">
      <selection activeCell="N2" sqref="N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1" spans="2:14" ht="12.75">
      <c r="B1" s="42" t="s">
        <v>29</v>
      </c>
      <c r="C1" s="42"/>
      <c r="D1" s="42"/>
      <c r="N1" s="41"/>
    </row>
    <row r="2" spans="2:14" ht="13.5">
      <c r="B2" s="94" t="s">
        <v>53</v>
      </c>
      <c r="C2" s="92"/>
      <c r="D2" s="92"/>
      <c r="N2" s="1"/>
    </row>
    <row r="3" spans="2:14" ht="12.75">
      <c r="B3" s="95" t="str">
        <f>B33</f>
        <v>Plan 1: Battery Intensive (Large Batteries)</v>
      </c>
      <c r="C3" s="92"/>
      <c r="D3" s="92"/>
      <c r="N3" s="1"/>
    </row>
    <row r="4" spans="1:14" ht="15.75">
      <c r="A4" s="117" t="s">
        <v>26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>
      <c r="A5" s="117" t="s">
        <v>27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4" ht="12.75">
      <c r="A6" s="2"/>
      <c r="B6" s="2"/>
      <c r="C6" s="2"/>
      <c r="D6" s="2"/>
    </row>
    <row r="7" spans="1:14" ht="12.75">
      <c r="A7" s="3">
        <v>-1</v>
      </c>
      <c r="B7" s="3">
        <v>-2</v>
      </c>
      <c r="C7" s="3">
        <v>-3</v>
      </c>
      <c r="D7" s="3">
        <v>-4</v>
      </c>
      <c r="E7" s="3">
        <v>-5</v>
      </c>
      <c r="F7" s="3">
        <v>-6</v>
      </c>
      <c r="G7" s="3">
        <v>-7</v>
      </c>
      <c r="H7" s="3">
        <v>-8</v>
      </c>
      <c r="I7" s="3">
        <v>-9</v>
      </c>
      <c r="J7" s="3">
        <v>-10</v>
      </c>
      <c r="K7" s="3">
        <v>-11</v>
      </c>
      <c r="L7" s="3">
        <v>-12</v>
      </c>
      <c r="M7" s="3">
        <v>-13</v>
      </c>
      <c r="N7" s="40">
        <v>-14</v>
      </c>
    </row>
    <row r="8" spans="1:14" ht="12.75" hidden="1">
      <c r="A8" s="3">
        <v>-1</v>
      </c>
      <c r="B8" s="3">
        <v>-2</v>
      </c>
      <c r="C8" s="3"/>
      <c r="D8" s="3"/>
      <c r="E8" s="3">
        <v>-3</v>
      </c>
      <c r="F8" s="3">
        <v>-4</v>
      </c>
      <c r="G8" s="3">
        <v>-5</v>
      </c>
      <c r="H8" s="3">
        <v>-6</v>
      </c>
      <c r="I8" s="3">
        <v>-7</v>
      </c>
      <c r="J8" s="3">
        <v>-8</v>
      </c>
      <c r="K8" s="3">
        <v>-9</v>
      </c>
      <c r="L8" s="3">
        <v>-10</v>
      </c>
      <c r="M8" s="3">
        <v>-11</v>
      </c>
      <c r="N8" s="40">
        <v>-12</v>
      </c>
    </row>
    <row r="9" spans="1:14" ht="12.75">
      <c r="A9" s="19"/>
      <c r="B9" s="16"/>
      <c r="C9" s="12"/>
      <c r="D9" s="45"/>
      <c r="E9" s="12"/>
      <c r="F9" s="15"/>
      <c r="G9" s="12"/>
      <c r="H9" s="12"/>
      <c r="I9" s="118" t="s">
        <v>18</v>
      </c>
      <c r="J9" s="119"/>
      <c r="K9" s="120"/>
      <c r="L9" s="121" t="s">
        <v>24</v>
      </c>
      <c r="M9" s="122"/>
      <c r="N9" s="123"/>
    </row>
    <row r="10" spans="1:14" ht="12.75">
      <c r="A10" s="14"/>
      <c r="B10" s="14"/>
      <c r="C10" s="13" t="s">
        <v>7</v>
      </c>
      <c r="D10" s="46" t="s">
        <v>28</v>
      </c>
      <c r="E10" s="13" t="s">
        <v>7</v>
      </c>
      <c r="F10" s="14"/>
      <c r="G10" s="14"/>
      <c r="H10" s="13" t="s">
        <v>10</v>
      </c>
      <c r="I10" s="124"/>
      <c r="J10" s="125"/>
      <c r="K10" s="8" t="s">
        <v>19</v>
      </c>
      <c r="L10" s="124"/>
      <c r="M10" s="125"/>
      <c r="N10" s="8" t="s">
        <v>19</v>
      </c>
    </row>
    <row r="11" spans="1:14" ht="12.75">
      <c r="A11" s="14"/>
      <c r="B11" s="14"/>
      <c r="C11" s="14" t="s">
        <v>10</v>
      </c>
      <c r="D11" s="46" t="s">
        <v>10</v>
      </c>
      <c r="E11" s="14" t="s">
        <v>10</v>
      </c>
      <c r="F11" s="13" t="s">
        <v>7</v>
      </c>
      <c r="G11" s="14"/>
      <c r="H11" s="13" t="s">
        <v>0</v>
      </c>
      <c r="I11" s="113"/>
      <c r="J11" s="114"/>
      <c r="K11" s="9" t="s">
        <v>20</v>
      </c>
      <c r="L11" s="113"/>
      <c r="M11" s="114"/>
      <c r="N11" s="9" t="s">
        <v>20</v>
      </c>
    </row>
    <row r="12" spans="1:14" ht="15.75" customHeight="1">
      <c r="A12" s="14"/>
      <c r="B12" s="14"/>
      <c r="C12" s="13" t="s">
        <v>4</v>
      </c>
      <c r="D12" s="46" t="s">
        <v>4</v>
      </c>
      <c r="E12" s="13" t="s">
        <v>4</v>
      </c>
      <c r="F12" s="13" t="s">
        <v>1</v>
      </c>
      <c r="G12" s="13"/>
      <c r="H12" s="13" t="s">
        <v>1</v>
      </c>
      <c r="I12" s="113"/>
      <c r="J12" s="114"/>
      <c r="K12" s="10" t="s">
        <v>21</v>
      </c>
      <c r="L12" s="115"/>
      <c r="M12" s="116"/>
      <c r="N12" s="10" t="s">
        <v>21</v>
      </c>
    </row>
    <row r="13" spans="1:14" ht="15" customHeight="1">
      <c r="A13" s="14"/>
      <c r="B13" s="14" t="s">
        <v>6</v>
      </c>
      <c r="C13" s="13" t="s">
        <v>11</v>
      </c>
      <c r="D13" s="46" t="s">
        <v>3</v>
      </c>
      <c r="E13" s="13" t="s">
        <v>11</v>
      </c>
      <c r="F13" s="13" t="s">
        <v>12</v>
      </c>
      <c r="G13" s="13" t="s">
        <v>2</v>
      </c>
      <c r="H13" s="14" t="s">
        <v>12</v>
      </c>
      <c r="I13" s="27" t="s">
        <v>25</v>
      </c>
      <c r="J13" s="28"/>
      <c r="K13" s="11" t="s">
        <v>22</v>
      </c>
      <c r="L13" s="26" t="s">
        <v>25</v>
      </c>
      <c r="M13" s="29"/>
      <c r="N13" s="11" t="s">
        <v>23</v>
      </c>
    </row>
    <row r="14" spans="1:14" ht="12.75">
      <c r="A14" s="20" t="s">
        <v>5</v>
      </c>
      <c r="B14" s="20" t="s">
        <v>3</v>
      </c>
      <c r="C14" s="20" t="s">
        <v>8</v>
      </c>
      <c r="D14" s="47" t="s">
        <v>8</v>
      </c>
      <c r="E14" s="20" t="s">
        <v>8</v>
      </c>
      <c r="F14" s="20" t="s">
        <v>8</v>
      </c>
      <c r="G14" s="20" t="s">
        <v>8</v>
      </c>
      <c r="H14" s="20" t="s">
        <v>8</v>
      </c>
      <c r="I14" s="21" t="s">
        <v>8</v>
      </c>
      <c r="J14" s="22" t="s">
        <v>9</v>
      </c>
      <c r="K14" s="23" t="s">
        <v>8</v>
      </c>
      <c r="L14" s="24" t="s">
        <v>13</v>
      </c>
      <c r="M14" s="25" t="s">
        <v>17</v>
      </c>
      <c r="N14" s="23" t="s">
        <v>8</v>
      </c>
    </row>
    <row r="15" spans="1:14" s="4" customFormat="1" ht="12.75" hidden="1">
      <c r="A15" s="17">
        <v>2016</v>
      </c>
      <c r="B15" s="17"/>
      <c r="C15" s="43">
        <v>27238.0286375</v>
      </c>
      <c r="D15" s="48">
        <v>0</v>
      </c>
      <c r="E15" s="43">
        <f>C15+D15</f>
        <v>27238.0286375</v>
      </c>
      <c r="F15" s="43">
        <v>24169.686546596025</v>
      </c>
      <c r="G15" s="43">
        <v>1842.4666740400107</v>
      </c>
      <c r="H15" s="43">
        <f aca="true" t="shared" si="0" ref="H15:H24">F15-G15</f>
        <v>22327.219872556016</v>
      </c>
      <c r="I15" s="30">
        <f>E15-H15</f>
        <v>4910.808764943984</v>
      </c>
      <c r="J15" s="32">
        <f aca="true" t="shared" si="1" ref="J15:J24">I15/H15*100</f>
        <v>21.994716731303438</v>
      </c>
      <c r="K15" s="36">
        <f>E15-H15*1.2</f>
        <v>445.36479043278086</v>
      </c>
      <c r="L15" s="30">
        <f>E15-F15</f>
        <v>3068.342090903974</v>
      </c>
      <c r="M15" s="34">
        <f aca="true" t="shared" si="2" ref="M15:M29">L15/F15*100</f>
        <v>12.695001587995804</v>
      </c>
      <c r="N15" s="38">
        <f>E15-F15*1.1</f>
        <v>651.3734362443683</v>
      </c>
    </row>
    <row r="16" spans="1:14" s="4" customFormat="1" ht="12.75" hidden="1">
      <c r="A16" s="17">
        <f aca="true" t="shared" si="3" ref="A16:A29">A15+1</f>
        <v>2017</v>
      </c>
      <c r="B16" s="17"/>
      <c r="C16" s="43">
        <v>26881.95290135625</v>
      </c>
      <c r="D16" s="48">
        <v>0</v>
      </c>
      <c r="E16" s="43">
        <f>C16+D16</f>
        <v>26881.95290135625</v>
      </c>
      <c r="F16" s="43">
        <v>24336.040599945238</v>
      </c>
      <c r="G16" s="43">
        <v>1934.8048828331127</v>
      </c>
      <c r="H16" s="43">
        <f t="shared" si="0"/>
        <v>22401.235717112126</v>
      </c>
      <c r="I16" s="30">
        <f aca="true" t="shared" si="4" ref="I16:I24">E16-H16</f>
        <v>4480.717184244124</v>
      </c>
      <c r="J16" s="32">
        <f t="shared" si="1"/>
        <v>20.002098280771804</v>
      </c>
      <c r="K16" s="36">
        <f aca="true" t="shared" si="5" ref="K16:K29">E16-H16*1.2</f>
        <v>0.4700408216995129</v>
      </c>
      <c r="L16" s="30">
        <f aca="true" t="shared" si="6" ref="L16:L29">E16-F16</f>
        <v>2545.912301411012</v>
      </c>
      <c r="M16" s="34">
        <f t="shared" si="2"/>
        <v>10.461489373981161</v>
      </c>
      <c r="N16" s="38">
        <f aca="true" t="shared" si="7" ref="N16:N29">E16-F16*1.1</f>
        <v>112.30824141648554</v>
      </c>
    </row>
    <row r="17" spans="1:14" s="4" customFormat="1" ht="12.75" hidden="1">
      <c r="A17" s="17">
        <f t="shared" si="3"/>
        <v>2018</v>
      </c>
      <c r="B17" s="17"/>
      <c r="C17" s="43">
        <v>27133.509127497437</v>
      </c>
      <c r="D17" s="48">
        <v>0</v>
      </c>
      <c r="E17" s="43">
        <f aca="true" t="shared" si="8" ref="E17:E28">C17+D17</f>
        <v>27133.509127497437</v>
      </c>
      <c r="F17" s="43">
        <v>24606.278955403854</v>
      </c>
      <c r="G17" s="43">
        <v>1995.2014194263602</v>
      </c>
      <c r="H17" s="43">
        <f t="shared" si="0"/>
        <v>22611.077535977493</v>
      </c>
      <c r="I17" s="30">
        <f t="shared" si="4"/>
        <v>4522.431591519944</v>
      </c>
      <c r="J17" s="32">
        <f t="shared" si="1"/>
        <v>20.000955656907998</v>
      </c>
      <c r="K17" s="36">
        <f t="shared" si="5"/>
        <v>0.21608432444554637</v>
      </c>
      <c r="L17" s="30">
        <f t="shared" si="6"/>
        <v>2527.230172093583</v>
      </c>
      <c r="M17" s="34">
        <f t="shared" si="2"/>
        <v>10.270671874743462</v>
      </c>
      <c r="N17" s="38">
        <f t="shared" si="7"/>
        <v>66.60227655319613</v>
      </c>
    </row>
    <row r="18" spans="1:14" s="4" customFormat="1" ht="12.75">
      <c r="A18" s="17">
        <f t="shared" si="3"/>
        <v>2019</v>
      </c>
      <c r="B18" s="17" t="s">
        <v>15</v>
      </c>
      <c r="C18" s="43">
        <v>28551.067017858702</v>
      </c>
      <c r="D18" s="89">
        <v>0</v>
      </c>
      <c r="E18" s="43">
        <f t="shared" si="8"/>
        <v>28551.067017858702</v>
      </c>
      <c r="F18" s="43">
        <v>24893.09445872483</v>
      </c>
      <c r="G18" s="43">
        <v>2041.4456948504048</v>
      </c>
      <c r="H18" s="43">
        <f t="shared" si="0"/>
        <v>22851.648763874426</v>
      </c>
      <c r="I18" s="30">
        <f t="shared" si="4"/>
        <v>5699.418253984277</v>
      </c>
      <c r="J18" s="32">
        <f t="shared" si="1"/>
        <v>24.940949832006602</v>
      </c>
      <c r="K18" s="36">
        <f t="shared" si="5"/>
        <v>1129.0885012093931</v>
      </c>
      <c r="L18" s="30">
        <f t="shared" si="6"/>
        <v>3657.972559133872</v>
      </c>
      <c r="M18" s="34">
        <f t="shared" si="2"/>
        <v>14.694728151211356</v>
      </c>
      <c r="N18" s="38">
        <f t="shared" si="7"/>
        <v>1168.6631132613875</v>
      </c>
    </row>
    <row r="19" spans="1:14" s="4" customFormat="1" ht="12.75">
      <c r="A19" s="17">
        <f t="shared" si="3"/>
        <v>2020</v>
      </c>
      <c r="B19" s="17" t="s">
        <v>16</v>
      </c>
      <c r="C19" s="43">
        <v>27994.626565283546</v>
      </c>
      <c r="D19" s="89">
        <f aca="true" t="shared" si="9" ref="D19:D29">D18+C37+E37+K37</f>
        <v>0</v>
      </c>
      <c r="E19" s="43">
        <f t="shared" si="8"/>
        <v>27994.626565283546</v>
      </c>
      <c r="F19" s="43">
        <v>25205.928535800045</v>
      </c>
      <c r="G19" s="43">
        <v>2088.462209365558</v>
      </c>
      <c r="H19" s="43">
        <f t="shared" si="0"/>
        <v>23117.466326434485</v>
      </c>
      <c r="I19" s="30">
        <f t="shared" si="4"/>
        <v>4877.160238849061</v>
      </c>
      <c r="J19" s="32">
        <f t="shared" si="1"/>
        <v>21.09729574158436</v>
      </c>
      <c r="K19" s="36">
        <f t="shared" si="5"/>
        <v>253.66697356216537</v>
      </c>
      <c r="L19" s="30">
        <f t="shared" si="6"/>
        <v>2788.698029483501</v>
      </c>
      <c r="M19" s="34">
        <f t="shared" si="2"/>
        <v>11.06365919241065</v>
      </c>
      <c r="N19" s="38">
        <f t="shared" si="7"/>
        <v>268.10517590349264</v>
      </c>
    </row>
    <row r="20" spans="1:14" s="4" customFormat="1" ht="12.75">
      <c r="A20" s="17">
        <f t="shared" si="3"/>
        <v>2021</v>
      </c>
      <c r="B20" s="17" t="s">
        <v>14</v>
      </c>
      <c r="C20" s="43">
        <v>28141.719762651013</v>
      </c>
      <c r="D20" s="89">
        <f t="shared" si="9"/>
        <v>0</v>
      </c>
      <c r="E20" s="43">
        <f t="shared" si="8"/>
        <v>28141.719762651013</v>
      </c>
      <c r="F20" s="43">
        <v>25316.416253234296</v>
      </c>
      <c r="G20" s="43">
        <v>2136.2343409014484</v>
      </c>
      <c r="H20" s="43">
        <f t="shared" si="0"/>
        <v>23180.181912332846</v>
      </c>
      <c r="I20" s="30">
        <f t="shared" si="4"/>
        <v>4961.537850318167</v>
      </c>
      <c r="J20" s="32">
        <f t="shared" si="1"/>
        <v>21.40422309489477</v>
      </c>
      <c r="K20" s="36">
        <f t="shared" si="5"/>
        <v>325.50146785159814</v>
      </c>
      <c r="L20" s="30">
        <f t="shared" si="6"/>
        <v>2825.303509416717</v>
      </c>
      <c r="M20" s="34">
        <f t="shared" si="2"/>
        <v>11.159966249392706</v>
      </c>
      <c r="N20" s="38">
        <f t="shared" si="7"/>
        <v>293.66188409328606</v>
      </c>
    </row>
    <row r="21" spans="1:14" s="4" customFormat="1" ht="12.75">
      <c r="A21" s="17">
        <f t="shared" si="3"/>
        <v>2022</v>
      </c>
      <c r="B21" s="17" t="s">
        <v>63</v>
      </c>
      <c r="C21" s="43">
        <v>28271.816006875466</v>
      </c>
      <c r="D21" s="89">
        <f t="shared" si="9"/>
        <v>0</v>
      </c>
      <c r="E21" s="43">
        <f t="shared" si="8"/>
        <v>28271.816006875466</v>
      </c>
      <c r="F21" s="43">
        <v>25540.189209268094</v>
      </c>
      <c r="G21" s="43">
        <v>2184.7465153952003</v>
      </c>
      <c r="H21" s="43">
        <f t="shared" si="0"/>
        <v>23355.442693872894</v>
      </c>
      <c r="I21" s="30">
        <f t="shared" si="4"/>
        <v>4916.373313002572</v>
      </c>
      <c r="J21" s="32">
        <f t="shared" si="1"/>
        <v>21.0502253262463</v>
      </c>
      <c r="K21" s="36">
        <f t="shared" si="5"/>
        <v>245.2847742279955</v>
      </c>
      <c r="L21" s="30">
        <f t="shared" si="6"/>
        <v>2731.6267976073723</v>
      </c>
      <c r="M21" s="34">
        <f t="shared" si="2"/>
        <v>10.695405485156359</v>
      </c>
      <c r="N21" s="38">
        <f t="shared" si="7"/>
        <v>177.60787668056219</v>
      </c>
    </row>
    <row r="22" spans="1:14" s="4" customFormat="1" ht="12.75">
      <c r="A22" s="17">
        <f t="shared" si="3"/>
        <v>2023</v>
      </c>
      <c r="B22" s="17" t="s">
        <v>62</v>
      </c>
      <c r="C22" s="43">
        <v>28898</v>
      </c>
      <c r="D22" s="89">
        <f t="shared" si="9"/>
        <v>0</v>
      </c>
      <c r="E22" s="43">
        <f t="shared" si="8"/>
        <v>28898</v>
      </c>
      <c r="F22" s="43">
        <v>25832.903255827194</v>
      </c>
      <c r="G22" s="43">
        <v>2234.0294854316176</v>
      </c>
      <c r="H22" s="43">
        <f t="shared" si="0"/>
        <v>23598.873770395578</v>
      </c>
      <c r="I22" s="30">
        <f t="shared" si="4"/>
        <v>5299.126229604422</v>
      </c>
      <c r="J22" s="32">
        <f t="shared" si="1"/>
        <v>22.454996289916572</v>
      </c>
      <c r="K22" s="36">
        <f t="shared" si="5"/>
        <v>579.3514755253091</v>
      </c>
      <c r="L22" s="30">
        <f t="shared" si="6"/>
        <v>3065.096744172806</v>
      </c>
      <c r="M22" s="34">
        <f t="shared" si="2"/>
        <v>11.865088154508552</v>
      </c>
      <c r="N22" s="38">
        <f t="shared" si="7"/>
        <v>481.8064185900839</v>
      </c>
    </row>
    <row r="23" spans="1:14" s="4" customFormat="1" ht="13.5" thickBot="1">
      <c r="A23" s="49">
        <f t="shared" si="3"/>
        <v>2024</v>
      </c>
      <c r="B23" s="49"/>
      <c r="C23" s="50">
        <v>28895</v>
      </c>
      <c r="D23" s="93">
        <f t="shared" si="9"/>
        <v>0</v>
      </c>
      <c r="E23" s="50">
        <f t="shared" si="8"/>
        <v>28895</v>
      </c>
      <c r="F23" s="50">
        <v>26180.278517781553</v>
      </c>
      <c r="G23" s="50">
        <v>2284.18220399574</v>
      </c>
      <c r="H23" s="50">
        <f t="shared" si="0"/>
        <v>23896.096313785813</v>
      </c>
      <c r="I23" s="51">
        <f t="shared" si="4"/>
        <v>4998.9036862141875</v>
      </c>
      <c r="J23" s="52">
        <f t="shared" si="1"/>
        <v>20.91933184639153</v>
      </c>
      <c r="K23" s="53">
        <f t="shared" si="5"/>
        <v>219.68442345702715</v>
      </c>
      <c r="L23" s="51">
        <f t="shared" si="6"/>
        <v>2714.721482218447</v>
      </c>
      <c r="M23" s="54">
        <f t="shared" si="2"/>
        <v>10.369337669095529</v>
      </c>
      <c r="N23" s="55">
        <f t="shared" si="7"/>
        <v>96.69363044028796</v>
      </c>
    </row>
    <row r="24" spans="1:14" s="4" customFormat="1" ht="12.75">
      <c r="A24" s="17">
        <f t="shared" si="3"/>
        <v>2025</v>
      </c>
      <c r="B24" s="17"/>
      <c r="C24" s="43">
        <v>28892</v>
      </c>
      <c r="D24" s="89">
        <f t="shared" si="9"/>
        <v>255.35</v>
      </c>
      <c r="E24" s="43">
        <f t="shared" si="8"/>
        <v>29147.35</v>
      </c>
      <c r="F24" s="43">
        <v>26572.4560211349</v>
      </c>
      <c r="G24" s="43">
        <v>2334</v>
      </c>
      <c r="H24" s="43">
        <f t="shared" si="0"/>
        <v>24238.4560211349</v>
      </c>
      <c r="I24" s="30">
        <f t="shared" si="4"/>
        <v>4908.893978865097</v>
      </c>
      <c r="J24" s="32">
        <f t="shared" si="1"/>
        <v>20.252502777341718</v>
      </c>
      <c r="K24" s="36">
        <f t="shared" si="5"/>
        <v>61.20277463811726</v>
      </c>
      <c r="L24" s="30">
        <f t="shared" si="6"/>
        <v>2574.893978865097</v>
      </c>
      <c r="M24" s="34">
        <f t="shared" si="2"/>
        <v>9.690086519729704</v>
      </c>
      <c r="N24" s="38">
        <f t="shared" si="7"/>
        <v>-82.35162324839621</v>
      </c>
    </row>
    <row r="25" spans="1:14" s="4" customFormat="1" ht="12.75">
      <c r="A25" s="17">
        <f t="shared" si="3"/>
        <v>2026</v>
      </c>
      <c r="B25" s="17"/>
      <c r="C25" s="43">
        <v>28889</v>
      </c>
      <c r="D25" s="89">
        <f t="shared" si="9"/>
        <v>2156.35</v>
      </c>
      <c r="E25" s="43">
        <f t="shared" si="8"/>
        <v>31045.35</v>
      </c>
      <c r="F25" s="43">
        <v>27067.6000853683</v>
      </c>
      <c r="G25" s="43">
        <v>2384</v>
      </c>
      <c r="H25" s="43">
        <f>F25-G25</f>
        <v>24683.6000853683</v>
      </c>
      <c r="I25" s="30">
        <f>E25-H25</f>
        <v>6361.749914631699</v>
      </c>
      <c r="J25" s="32">
        <f>I25/H25*100</f>
        <v>25.773184999876715</v>
      </c>
      <c r="K25" s="36">
        <f t="shared" si="5"/>
        <v>1425.0298975580408</v>
      </c>
      <c r="L25" s="30">
        <f t="shared" si="6"/>
        <v>3977.7499146316986</v>
      </c>
      <c r="M25" s="34">
        <f t="shared" si="2"/>
        <v>14.69561358260911</v>
      </c>
      <c r="N25" s="38">
        <f t="shared" si="7"/>
        <v>1270.9899060948665</v>
      </c>
    </row>
    <row r="26" spans="1:14" s="4" customFormat="1" ht="12.75">
      <c r="A26" s="17">
        <f t="shared" si="3"/>
        <v>2027</v>
      </c>
      <c r="B26" s="17"/>
      <c r="C26" s="43">
        <v>28883</v>
      </c>
      <c r="D26" s="89">
        <f t="shared" si="9"/>
        <v>2356.35</v>
      </c>
      <c r="E26" s="43">
        <f t="shared" si="8"/>
        <v>31239.35</v>
      </c>
      <c r="F26" s="43">
        <v>27665.21915802903</v>
      </c>
      <c r="G26" s="43">
        <v>2434</v>
      </c>
      <c r="H26" s="43">
        <f>F26-G26</f>
        <v>25231.21915802903</v>
      </c>
      <c r="I26" s="30">
        <f>E26-H26</f>
        <v>6008.130841970968</v>
      </c>
      <c r="J26" s="32">
        <f>I26/H26*100</f>
        <v>23.81228907069705</v>
      </c>
      <c r="K26" s="36">
        <f t="shared" si="5"/>
        <v>961.8870103651643</v>
      </c>
      <c r="L26" s="30">
        <f t="shared" si="6"/>
        <v>3574.1308419709676</v>
      </c>
      <c r="M26" s="34">
        <f t="shared" si="2"/>
        <v>12.919221140287549</v>
      </c>
      <c r="N26" s="38">
        <f t="shared" si="7"/>
        <v>807.6089261680609</v>
      </c>
    </row>
    <row r="27" spans="1:14" s="4" customFormat="1" ht="12.75">
      <c r="A27" s="17">
        <f t="shared" si="3"/>
        <v>2028</v>
      </c>
      <c r="B27" s="17"/>
      <c r="C27" s="43">
        <v>28880</v>
      </c>
      <c r="D27" s="89">
        <f t="shared" si="9"/>
        <v>2556.35</v>
      </c>
      <c r="E27" s="43">
        <f t="shared" si="8"/>
        <v>31436.35</v>
      </c>
      <c r="F27" s="43">
        <v>28224.724306714037</v>
      </c>
      <c r="G27" s="43">
        <v>2484</v>
      </c>
      <c r="H27" s="43">
        <f>F27-G27</f>
        <v>25740.724306714037</v>
      </c>
      <c r="I27" s="30">
        <f>E27-H27</f>
        <v>5695.6256932859615</v>
      </c>
      <c r="J27" s="32">
        <f>I27/H27*100</f>
        <v>22.1269053093442</v>
      </c>
      <c r="K27" s="36">
        <f t="shared" si="5"/>
        <v>547.480831943154</v>
      </c>
      <c r="L27" s="30">
        <f t="shared" si="6"/>
        <v>3211.6256932859615</v>
      </c>
      <c r="M27" s="34">
        <f t="shared" si="2"/>
        <v>11.378767276468976</v>
      </c>
      <c r="N27" s="38">
        <f t="shared" si="7"/>
        <v>389.1532626145563</v>
      </c>
    </row>
    <row r="28" spans="1:14" s="4" customFormat="1" ht="12.75">
      <c r="A28" s="17">
        <f t="shared" si="3"/>
        <v>2029</v>
      </c>
      <c r="B28" s="13"/>
      <c r="C28" s="43">
        <v>28878</v>
      </c>
      <c r="D28" s="89">
        <f t="shared" si="9"/>
        <v>2756.35</v>
      </c>
      <c r="E28" s="43">
        <f t="shared" si="8"/>
        <v>31634.35</v>
      </c>
      <c r="F28" s="43">
        <v>28804.814369193406</v>
      </c>
      <c r="G28" s="43">
        <v>2534</v>
      </c>
      <c r="H28" s="43">
        <f>F28-G28</f>
        <v>26270.814369193406</v>
      </c>
      <c r="I28" s="30">
        <f>E28-H28</f>
        <v>5363.535630806593</v>
      </c>
      <c r="J28" s="32">
        <f>I28/H28*100</f>
        <v>20.416328003505548</v>
      </c>
      <c r="K28" s="36">
        <f t="shared" si="5"/>
        <v>109.37275696791403</v>
      </c>
      <c r="L28" s="30">
        <f t="shared" si="6"/>
        <v>2829.535630806593</v>
      </c>
      <c r="M28" s="34">
        <f t="shared" si="2"/>
        <v>9.823134405728947</v>
      </c>
      <c r="N28" s="38">
        <f t="shared" si="7"/>
        <v>-50.9458061127516</v>
      </c>
    </row>
    <row r="29" spans="1:14" s="4" customFormat="1" ht="12.75">
      <c r="A29" s="18">
        <f t="shared" si="3"/>
        <v>2030</v>
      </c>
      <c r="B29" s="18"/>
      <c r="C29" s="44">
        <v>28875</v>
      </c>
      <c r="D29" s="90">
        <f t="shared" si="9"/>
        <v>4707.35</v>
      </c>
      <c r="E29" s="44">
        <f>C29+D29</f>
        <v>33582.35</v>
      </c>
      <c r="F29" s="44">
        <v>29397.66178369829</v>
      </c>
      <c r="G29" s="44">
        <v>2584</v>
      </c>
      <c r="H29" s="44">
        <f>F29-G29</f>
        <v>26813.66178369829</v>
      </c>
      <c r="I29" s="31">
        <f>E29-H29</f>
        <v>6768.688216301707</v>
      </c>
      <c r="J29" s="33">
        <f>I29/H29*100</f>
        <v>25.243431019991526</v>
      </c>
      <c r="K29" s="37">
        <f t="shared" si="5"/>
        <v>1405.955859562051</v>
      </c>
      <c r="L29" s="31">
        <f t="shared" si="6"/>
        <v>4184.688216301707</v>
      </c>
      <c r="M29" s="35">
        <f t="shared" si="2"/>
        <v>14.23476549628929</v>
      </c>
      <c r="N29" s="39">
        <f t="shared" si="7"/>
        <v>1244.9220379318758</v>
      </c>
    </row>
    <row r="30" spans="1:4" ht="12" customHeight="1">
      <c r="A30" s="5"/>
      <c r="B30" s="5" t="s">
        <v>64</v>
      </c>
      <c r="C30" s="5"/>
      <c r="D30" s="5"/>
    </row>
    <row r="31" spans="1:11" ht="12.75">
      <c r="A31" s="6"/>
      <c r="B31" s="6"/>
      <c r="C31" s="6"/>
      <c r="D31" s="6"/>
      <c r="E31" s="4"/>
      <c r="F31" s="4"/>
      <c r="G31" s="4"/>
      <c r="H31" s="4"/>
      <c r="I31" s="4"/>
      <c r="J31" s="4"/>
      <c r="K31" s="4"/>
    </row>
    <row r="32" spans="1:4" ht="12.75">
      <c r="A32" s="2"/>
      <c r="B32" s="2"/>
      <c r="C32" s="2"/>
      <c r="D32" s="2"/>
    </row>
    <row r="33" spans="1:11" ht="15.75">
      <c r="A33" s="91"/>
      <c r="B33" s="126" t="s">
        <v>30</v>
      </c>
      <c r="C33" s="127"/>
      <c r="D33" s="127"/>
      <c r="E33" s="128"/>
      <c r="H33" s="70"/>
      <c r="I33" s="70"/>
      <c r="J33" s="71" t="s">
        <v>38</v>
      </c>
      <c r="K33" s="70"/>
    </row>
    <row r="34" spans="1:11" ht="15">
      <c r="A34" s="91"/>
      <c r="B34" s="56"/>
      <c r="C34" s="57" t="s">
        <v>31</v>
      </c>
      <c r="D34" s="57" t="s">
        <v>32</v>
      </c>
      <c r="E34" s="58"/>
      <c r="H34" s="96" t="s">
        <v>39</v>
      </c>
      <c r="I34" s="72" t="s">
        <v>40</v>
      </c>
      <c r="J34" s="72" t="s">
        <v>41</v>
      </c>
      <c r="K34" s="72" t="s">
        <v>42</v>
      </c>
    </row>
    <row r="35" spans="1:11" ht="15">
      <c r="A35" s="91"/>
      <c r="B35" s="59"/>
      <c r="C35" s="60" t="s">
        <v>33</v>
      </c>
      <c r="D35" s="60" t="s">
        <v>33</v>
      </c>
      <c r="E35" s="61" t="s">
        <v>34</v>
      </c>
      <c r="H35" s="96" t="s">
        <v>43</v>
      </c>
      <c r="I35" s="72" t="s">
        <v>8</v>
      </c>
      <c r="J35" s="72" t="s">
        <v>44</v>
      </c>
      <c r="K35" s="72" t="s">
        <v>45</v>
      </c>
    </row>
    <row r="36" spans="1:5" ht="15">
      <c r="A36" s="9"/>
      <c r="B36" s="62" t="s">
        <v>5</v>
      </c>
      <c r="C36" s="63" t="s">
        <v>8</v>
      </c>
      <c r="D36" s="63" t="s">
        <v>8</v>
      </c>
      <c r="E36" s="61" t="s">
        <v>8</v>
      </c>
    </row>
    <row r="37" spans="1:11" ht="12.75">
      <c r="A37" s="9"/>
      <c r="B37" s="69">
        <v>2020</v>
      </c>
      <c r="C37" s="64">
        <v>0</v>
      </c>
      <c r="D37" s="64">
        <v>0</v>
      </c>
      <c r="E37" s="64">
        <v>0</v>
      </c>
      <c r="H37" s="77">
        <v>1700</v>
      </c>
      <c r="I37" s="74">
        <f>H37+D37</f>
        <v>1700</v>
      </c>
      <c r="J37" s="76">
        <v>0.41</v>
      </c>
      <c r="K37" s="75">
        <f>D37*J37</f>
        <v>0</v>
      </c>
    </row>
    <row r="38" spans="1:11" ht="12.75">
      <c r="A38" s="9"/>
      <c r="B38" s="69">
        <v>2021</v>
      </c>
      <c r="C38" s="64">
        <v>0</v>
      </c>
      <c r="D38" s="64">
        <v>0</v>
      </c>
      <c r="E38" s="64">
        <v>0</v>
      </c>
      <c r="H38" s="73"/>
      <c r="I38" s="74">
        <f>I37+D38</f>
        <v>1700</v>
      </c>
      <c r="J38" s="76">
        <v>0.41</v>
      </c>
      <c r="K38" s="75">
        <f aca="true" t="shared" si="10" ref="K38:K47">D38*J38</f>
        <v>0</v>
      </c>
    </row>
    <row r="39" spans="1:11" ht="12.75">
      <c r="A39" s="9"/>
      <c r="B39" s="69">
        <v>2022</v>
      </c>
      <c r="C39" s="64">
        <v>0</v>
      </c>
      <c r="D39" s="64">
        <v>0</v>
      </c>
      <c r="E39" s="64">
        <v>0</v>
      </c>
      <c r="H39" s="73"/>
      <c r="I39" s="74">
        <f aca="true" t="shared" si="11" ref="I39:I47">I38+D39</f>
        <v>1700</v>
      </c>
      <c r="J39" s="76">
        <v>0.41</v>
      </c>
      <c r="K39" s="75">
        <f t="shared" si="10"/>
        <v>0</v>
      </c>
    </row>
    <row r="40" spans="1:11" ht="12.75">
      <c r="A40" s="9"/>
      <c r="B40" s="69">
        <v>2023</v>
      </c>
      <c r="C40" s="64">
        <v>0</v>
      </c>
      <c r="D40" s="64">
        <v>0</v>
      </c>
      <c r="E40" s="64">
        <v>0</v>
      </c>
      <c r="H40" s="73"/>
      <c r="I40" s="74">
        <f t="shared" si="11"/>
        <v>1700</v>
      </c>
      <c r="J40" s="76">
        <v>0.41</v>
      </c>
      <c r="K40" s="75">
        <f t="shared" si="10"/>
        <v>0</v>
      </c>
    </row>
    <row r="41" spans="2:11" ht="12.75">
      <c r="B41" s="69">
        <v>2024</v>
      </c>
      <c r="C41" s="64">
        <v>0</v>
      </c>
      <c r="D41" s="64">
        <v>0</v>
      </c>
      <c r="E41" s="64">
        <v>0</v>
      </c>
      <c r="H41" s="73"/>
      <c r="I41" s="74">
        <f t="shared" si="11"/>
        <v>1700</v>
      </c>
      <c r="J41" s="76">
        <v>0.41</v>
      </c>
      <c r="K41" s="75">
        <f t="shared" si="10"/>
        <v>0</v>
      </c>
    </row>
    <row r="42" spans="2:11" ht="12.75">
      <c r="B42" s="69">
        <v>2025</v>
      </c>
      <c r="C42" s="64">
        <v>200</v>
      </c>
      <c r="D42" s="64">
        <v>135</v>
      </c>
      <c r="E42" s="64">
        <v>0</v>
      </c>
      <c r="H42" s="73"/>
      <c r="I42" s="74">
        <f t="shared" si="11"/>
        <v>1835</v>
      </c>
      <c r="J42" s="76">
        <v>0.41</v>
      </c>
      <c r="K42" s="75">
        <f t="shared" si="10"/>
        <v>55.349999999999994</v>
      </c>
    </row>
    <row r="43" spans="2:11" ht="12.75">
      <c r="B43" s="69">
        <v>2026</v>
      </c>
      <c r="C43" s="64">
        <v>150</v>
      </c>
      <c r="D43" s="64">
        <v>0</v>
      </c>
      <c r="E43" s="64">
        <v>1751</v>
      </c>
      <c r="H43" s="73"/>
      <c r="I43" s="74">
        <f t="shared" si="11"/>
        <v>1835</v>
      </c>
      <c r="J43" s="76">
        <v>0.41</v>
      </c>
      <c r="K43" s="75">
        <f t="shared" si="10"/>
        <v>0</v>
      </c>
    </row>
    <row r="44" spans="2:11" ht="12.75">
      <c r="B44" s="69">
        <v>2027</v>
      </c>
      <c r="C44" s="64">
        <v>200</v>
      </c>
      <c r="D44" s="64">
        <v>0</v>
      </c>
      <c r="E44" s="64">
        <v>0</v>
      </c>
      <c r="H44" s="73"/>
      <c r="I44" s="74">
        <f t="shared" si="11"/>
        <v>1835</v>
      </c>
      <c r="J44" s="76">
        <v>0.41</v>
      </c>
      <c r="K44" s="75">
        <f t="shared" si="10"/>
        <v>0</v>
      </c>
    </row>
    <row r="45" spans="2:11" ht="12.75">
      <c r="B45" s="69">
        <v>2028</v>
      </c>
      <c r="C45" s="64">
        <v>200</v>
      </c>
      <c r="D45" s="64">
        <v>0</v>
      </c>
      <c r="E45" s="64">
        <v>0</v>
      </c>
      <c r="H45" s="73"/>
      <c r="I45" s="74">
        <f t="shared" si="11"/>
        <v>1835</v>
      </c>
      <c r="J45" s="76">
        <v>0.41</v>
      </c>
      <c r="K45" s="75">
        <f t="shared" si="10"/>
        <v>0</v>
      </c>
    </row>
    <row r="46" spans="2:11" ht="12.75">
      <c r="B46" s="69">
        <v>2029</v>
      </c>
      <c r="C46" s="64">
        <v>200</v>
      </c>
      <c r="D46" s="64">
        <v>0</v>
      </c>
      <c r="E46" s="64">
        <v>0</v>
      </c>
      <c r="H46" s="73"/>
      <c r="I46" s="74">
        <f t="shared" si="11"/>
        <v>1835</v>
      </c>
      <c r="J46" s="76">
        <v>0.41</v>
      </c>
      <c r="K46" s="75">
        <f t="shared" si="10"/>
        <v>0</v>
      </c>
    </row>
    <row r="47" spans="2:11" ht="12.75">
      <c r="B47" s="69">
        <v>2030</v>
      </c>
      <c r="C47" s="64">
        <v>200</v>
      </c>
      <c r="D47" s="64">
        <v>0</v>
      </c>
      <c r="E47" s="64">
        <v>1751</v>
      </c>
      <c r="H47" s="73"/>
      <c r="I47" s="74">
        <f t="shared" si="11"/>
        <v>1835</v>
      </c>
      <c r="J47" s="76">
        <v>0.41</v>
      </c>
      <c r="K47" s="75">
        <f t="shared" si="10"/>
        <v>0</v>
      </c>
    </row>
    <row r="48" spans="2:11" ht="28.5" customHeight="1">
      <c r="B48" s="65" t="s">
        <v>35</v>
      </c>
      <c r="C48" s="66">
        <f>SUM(C37:C47)</f>
        <v>1150</v>
      </c>
      <c r="D48" s="66">
        <f>SUM(D37:D47)</f>
        <v>135</v>
      </c>
      <c r="E48" s="66">
        <f>SUM(E37:E47)</f>
        <v>3502</v>
      </c>
      <c r="H48" s="73"/>
      <c r="I48" s="73"/>
      <c r="J48" s="73"/>
      <c r="K48" s="97">
        <f>SUM(K37:K47)</f>
        <v>55.349999999999994</v>
      </c>
    </row>
    <row r="49" spans="2:5" ht="15">
      <c r="B49" s="67" t="s">
        <v>36</v>
      </c>
      <c r="C49" s="66">
        <f>C48</f>
        <v>1150</v>
      </c>
      <c r="D49" s="98">
        <f>K48</f>
        <v>55.349999999999994</v>
      </c>
      <c r="E49" s="66">
        <f>E48</f>
        <v>3502</v>
      </c>
    </row>
    <row r="50" spans="2:5" ht="30">
      <c r="B50" s="67" t="s">
        <v>37</v>
      </c>
      <c r="C50" s="66">
        <f>SUM(C49:E49)</f>
        <v>4707.35</v>
      </c>
      <c r="D50" s="68"/>
      <c r="E50" s="68"/>
    </row>
    <row r="53" spans="2:7" ht="15">
      <c r="B53" s="78" t="s">
        <v>46</v>
      </c>
      <c r="C53" s="79"/>
      <c r="D53" s="79"/>
      <c r="E53" s="79"/>
      <c r="F53" s="79"/>
      <c r="G53" s="80"/>
    </row>
    <row r="54" spans="2:7" ht="12.75">
      <c r="B54" s="81"/>
      <c r="C54" s="82"/>
      <c r="D54" s="82"/>
      <c r="E54" s="82"/>
      <c r="F54" s="82"/>
      <c r="G54" s="83"/>
    </row>
    <row r="55" spans="2:7" ht="12.75">
      <c r="B55" s="81" t="s">
        <v>47</v>
      </c>
      <c r="C55" s="82"/>
      <c r="D55" s="84">
        <v>0.52</v>
      </c>
      <c r="E55" s="82"/>
      <c r="F55" s="82"/>
      <c r="G55" s="83"/>
    </row>
    <row r="56" spans="2:7" ht="12.75">
      <c r="B56" s="81" t="s">
        <v>48</v>
      </c>
      <c r="C56" s="82"/>
      <c r="D56" s="84">
        <v>0.48</v>
      </c>
      <c r="E56" s="82"/>
      <c r="F56" s="82"/>
      <c r="G56" s="83"/>
    </row>
    <row r="57" spans="2:7" ht="12.75">
      <c r="B57" s="81" t="s">
        <v>49</v>
      </c>
      <c r="C57" s="82"/>
      <c r="D57" s="84">
        <v>0.44</v>
      </c>
      <c r="E57" s="82"/>
      <c r="F57" s="82"/>
      <c r="G57" s="83"/>
    </row>
    <row r="58" spans="2:7" ht="12.75">
      <c r="B58" s="81" t="s">
        <v>50</v>
      </c>
      <c r="C58" s="82"/>
      <c r="D58" s="84">
        <v>0.41</v>
      </c>
      <c r="E58" s="82"/>
      <c r="F58" s="82"/>
      <c r="G58" s="83"/>
    </row>
    <row r="59" spans="2:7" ht="12.75">
      <c r="B59" s="81" t="s">
        <v>51</v>
      </c>
      <c r="C59" s="82"/>
      <c r="D59" s="84">
        <v>0.37</v>
      </c>
      <c r="E59" s="82"/>
      <c r="F59" s="82"/>
      <c r="G59" s="83"/>
    </row>
    <row r="60" spans="2:7" ht="12.75">
      <c r="B60" s="85" t="s">
        <v>52</v>
      </c>
      <c r="C60" s="86"/>
      <c r="D60" s="87">
        <v>0.33</v>
      </c>
      <c r="E60" s="86"/>
      <c r="F60" s="86"/>
      <c r="G60" s="88"/>
    </row>
  </sheetData>
  <sheetProtection/>
  <mergeCells count="11">
    <mergeCell ref="I10:J10"/>
    <mergeCell ref="B33:E33"/>
    <mergeCell ref="I9:K9"/>
    <mergeCell ref="L9:N9"/>
    <mergeCell ref="A4:N4"/>
    <mergeCell ref="A5:N5"/>
    <mergeCell ref="L10:M10"/>
    <mergeCell ref="I12:J12"/>
    <mergeCell ref="L11:M11"/>
    <mergeCell ref="L12:M12"/>
    <mergeCell ref="I11:J11"/>
  </mergeCells>
  <conditionalFormatting sqref="N18:N29">
    <cfRule type="cellIs" priority="3" dxfId="21" operator="lessThan" stopIfTrue="1">
      <formula>0</formula>
    </cfRule>
  </conditionalFormatting>
  <conditionalFormatting sqref="C37:E47">
    <cfRule type="cellIs" priority="2" dxfId="0" operator="greaterThan" stopIfTrue="1">
      <formula>0</formula>
    </cfRule>
  </conditionalFormatting>
  <conditionalFormatting sqref="K37:K47">
    <cfRule type="cellIs" priority="1" dxfId="22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tabColor theme="3" tint="0.5999900102615356"/>
  </sheetPr>
  <dimension ref="A1:N60"/>
  <sheetViews>
    <sheetView showGridLines="0" zoomScalePageLayoutView="0" workbookViewId="0" topLeftCell="A1">
      <selection activeCell="N2" sqref="N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1" spans="2:14" ht="12.75">
      <c r="B1" s="42" t="s">
        <v>29</v>
      </c>
      <c r="C1" s="42"/>
      <c r="D1" s="42"/>
      <c r="N1" s="41"/>
    </row>
    <row r="2" spans="2:14" ht="13.5">
      <c r="B2" s="94" t="s">
        <v>54</v>
      </c>
      <c r="C2" s="92"/>
      <c r="D2" s="92"/>
      <c r="N2" s="1"/>
    </row>
    <row r="3" spans="2:14" ht="12.75">
      <c r="B3" s="95" t="str">
        <f>B33</f>
        <v>Plan 2: Battery Only (Small Batteries)</v>
      </c>
      <c r="C3" s="92"/>
      <c r="D3" s="92"/>
      <c r="N3" s="1"/>
    </row>
    <row r="4" spans="1:14" ht="15.75">
      <c r="A4" s="117" t="s">
        <v>26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>
      <c r="A5" s="117" t="s">
        <v>27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4" ht="12.75">
      <c r="A6" s="2"/>
      <c r="B6" s="2"/>
      <c r="C6" s="2"/>
      <c r="D6" s="2"/>
    </row>
    <row r="7" spans="1:14" ht="12.75">
      <c r="A7" s="3">
        <v>-1</v>
      </c>
      <c r="B7" s="3">
        <v>-2</v>
      </c>
      <c r="C7" s="3">
        <v>-3</v>
      </c>
      <c r="D7" s="3">
        <v>-4</v>
      </c>
      <c r="E7" s="3">
        <v>-5</v>
      </c>
      <c r="F7" s="3">
        <v>-6</v>
      </c>
      <c r="G7" s="3">
        <v>-7</v>
      </c>
      <c r="H7" s="3">
        <v>-8</v>
      </c>
      <c r="I7" s="3">
        <v>-9</v>
      </c>
      <c r="J7" s="3">
        <v>-10</v>
      </c>
      <c r="K7" s="3">
        <v>-11</v>
      </c>
      <c r="L7" s="3">
        <v>-12</v>
      </c>
      <c r="M7" s="3">
        <v>-13</v>
      </c>
      <c r="N7" s="40">
        <v>-14</v>
      </c>
    </row>
    <row r="8" spans="1:14" ht="12.75" hidden="1">
      <c r="A8" s="3">
        <v>-1</v>
      </c>
      <c r="B8" s="3">
        <v>-2</v>
      </c>
      <c r="C8" s="3"/>
      <c r="D8" s="3"/>
      <c r="E8" s="3">
        <v>-3</v>
      </c>
      <c r="F8" s="3">
        <v>-4</v>
      </c>
      <c r="G8" s="3">
        <v>-5</v>
      </c>
      <c r="H8" s="3">
        <v>-6</v>
      </c>
      <c r="I8" s="3">
        <v>-7</v>
      </c>
      <c r="J8" s="3">
        <v>-8</v>
      </c>
      <c r="K8" s="3">
        <v>-9</v>
      </c>
      <c r="L8" s="3">
        <v>-10</v>
      </c>
      <c r="M8" s="3">
        <v>-11</v>
      </c>
      <c r="N8" s="40">
        <v>-12</v>
      </c>
    </row>
    <row r="9" spans="1:14" ht="12.75">
      <c r="A9" s="19"/>
      <c r="B9" s="16"/>
      <c r="C9" s="12"/>
      <c r="D9" s="45"/>
      <c r="E9" s="12"/>
      <c r="F9" s="15"/>
      <c r="G9" s="12"/>
      <c r="H9" s="12"/>
      <c r="I9" s="118" t="s">
        <v>18</v>
      </c>
      <c r="J9" s="119"/>
      <c r="K9" s="120"/>
      <c r="L9" s="121" t="s">
        <v>24</v>
      </c>
      <c r="M9" s="122"/>
      <c r="N9" s="123"/>
    </row>
    <row r="10" spans="1:14" ht="12.75">
      <c r="A10" s="14"/>
      <c r="B10" s="14"/>
      <c r="C10" s="13" t="s">
        <v>7</v>
      </c>
      <c r="D10" s="46" t="s">
        <v>28</v>
      </c>
      <c r="E10" s="13" t="s">
        <v>7</v>
      </c>
      <c r="F10" s="14"/>
      <c r="G10" s="14"/>
      <c r="H10" s="13" t="s">
        <v>10</v>
      </c>
      <c r="I10" s="124"/>
      <c r="J10" s="125"/>
      <c r="K10" s="8" t="s">
        <v>19</v>
      </c>
      <c r="L10" s="124"/>
      <c r="M10" s="125"/>
      <c r="N10" s="8" t="s">
        <v>19</v>
      </c>
    </row>
    <row r="11" spans="1:14" ht="12.75">
      <c r="A11" s="14"/>
      <c r="B11" s="14"/>
      <c r="C11" s="14" t="s">
        <v>10</v>
      </c>
      <c r="D11" s="46" t="s">
        <v>10</v>
      </c>
      <c r="E11" s="14" t="s">
        <v>10</v>
      </c>
      <c r="F11" s="13" t="s">
        <v>7</v>
      </c>
      <c r="G11" s="14"/>
      <c r="H11" s="13" t="s">
        <v>0</v>
      </c>
      <c r="I11" s="113"/>
      <c r="J11" s="114"/>
      <c r="K11" s="9" t="s">
        <v>20</v>
      </c>
      <c r="L11" s="113"/>
      <c r="M11" s="114"/>
      <c r="N11" s="9" t="s">
        <v>20</v>
      </c>
    </row>
    <row r="12" spans="1:14" ht="15.75" customHeight="1">
      <c r="A12" s="14"/>
      <c r="B12" s="14"/>
      <c r="C12" s="13" t="s">
        <v>4</v>
      </c>
      <c r="D12" s="46" t="s">
        <v>4</v>
      </c>
      <c r="E12" s="13" t="s">
        <v>4</v>
      </c>
      <c r="F12" s="13" t="s">
        <v>1</v>
      </c>
      <c r="G12" s="13"/>
      <c r="H12" s="13" t="s">
        <v>1</v>
      </c>
      <c r="I12" s="113"/>
      <c r="J12" s="114"/>
      <c r="K12" s="10" t="s">
        <v>21</v>
      </c>
      <c r="L12" s="115"/>
      <c r="M12" s="116"/>
      <c r="N12" s="10" t="s">
        <v>21</v>
      </c>
    </row>
    <row r="13" spans="1:14" ht="15" customHeight="1">
      <c r="A13" s="14"/>
      <c r="B13" s="14" t="s">
        <v>6</v>
      </c>
      <c r="C13" s="13" t="s">
        <v>11</v>
      </c>
      <c r="D13" s="46" t="s">
        <v>3</v>
      </c>
      <c r="E13" s="13" t="s">
        <v>11</v>
      </c>
      <c r="F13" s="13" t="s">
        <v>12</v>
      </c>
      <c r="G13" s="13" t="s">
        <v>2</v>
      </c>
      <c r="H13" s="14" t="s">
        <v>12</v>
      </c>
      <c r="I13" s="27" t="s">
        <v>25</v>
      </c>
      <c r="J13" s="28"/>
      <c r="K13" s="11" t="s">
        <v>22</v>
      </c>
      <c r="L13" s="26" t="s">
        <v>25</v>
      </c>
      <c r="M13" s="29"/>
      <c r="N13" s="11" t="s">
        <v>23</v>
      </c>
    </row>
    <row r="14" spans="1:14" ht="12.75">
      <c r="A14" s="20" t="s">
        <v>5</v>
      </c>
      <c r="B14" s="20" t="s">
        <v>3</v>
      </c>
      <c r="C14" s="20" t="s">
        <v>8</v>
      </c>
      <c r="D14" s="47" t="s">
        <v>8</v>
      </c>
      <c r="E14" s="20" t="s">
        <v>8</v>
      </c>
      <c r="F14" s="20" t="s">
        <v>8</v>
      </c>
      <c r="G14" s="20" t="s">
        <v>8</v>
      </c>
      <c r="H14" s="20" t="s">
        <v>8</v>
      </c>
      <c r="I14" s="21" t="s">
        <v>8</v>
      </c>
      <c r="J14" s="22" t="s">
        <v>9</v>
      </c>
      <c r="K14" s="23" t="s">
        <v>8</v>
      </c>
      <c r="L14" s="24" t="s">
        <v>13</v>
      </c>
      <c r="M14" s="25" t="s">
        <v>17</v>
      </c>
      <c r="N14" s="23" t="s">
        <v>8</v>
      </c>
    </row>
    <row r="15" spans="1:14" s="4" customFormat="1" ht="12.75" hidden="1">
      <c r="A15" s="17">
        <v>2016</v>
      </c>
      <c r="B15" s="17"/>
      <c r="C15" s="43">
        <v>27238.0286375</v>
      </c>
      <c r="D15" s="48">
        <v>0</v>
      </c>
      <c r="E15" s="43">
        <f>C15+D15</f>
        <v>27238.0286375</v>
      </c>
      <c r="F15" s="43">
        <v>24169.686546596025</v>
      </c>
      <c r="G15" s="43">
        <v>1842.4666740400107</v>
      </c>
      <c r="H15" s="43">
        <f aca="true" t="shared" si="0" ref="H15:H24">F15-G15</f>
        <v>22327.219872556016</v>
      </c>
      <c r="I15" s="30">
        <f>E15-H15</f>
        <v>4910.808764943984</v>
      </c>
      <c r="J15" s="32">
        <f aca="true" t="shared" si="1" ref="J15:J24">I15/H15*100</f>
        <v>21.994716731303438</v>
      </c>
      <c r="K15" s="36">
        <f>E15-H15*1.2</f>
        <v>445.36479043278086</v>
      </c>
      <c r="L15" s="30">
        <f>E15-F15</f>
        <v>3068.342090903974</v>
      </c>
      <c r="M15" s="34">
        <f aca="true" t="shared" si="2" ref="M15:M29">L15/F15*100</f>
        <v>12.695001587995804</v>
      </c>
      <c r="N15" s="38">
        <f>E15-F15*1.1</f>
        <v>651.3734362443683</v>
      </c>
    </row>
    <row r="16" spans="1:14" s="4" customFormat="1" ht="12.75" hidden="1">
      <c r="A16" s="17">
        <f aca="true" t="shared" si="3" ref="A16:A29">A15+1</f>
        <v>2017</v>
      </c>
      <c r="B16" s="17"/>
      <c r="C16" s="43">
        <v>26881.95290135625</v>
      </c>
      <c r="D16" s="48">
        <v>0</v>
      </c>
      <c r="E16" s="43">
        <f>C16+D16</f>
        <v>26881.95290135625</v>
      </c>
      <c r="F16" s="43">
        <v>24336.040599945238</v>
      </c>
      <c r="G16" s="43">
        <v>1934.8048828331127</v>
      </c>
      <c r="H16" s="43">
        <f t="shared" si="0"/>
        <v>22401.235717112126</v>
      </c>
      <c r="I16" s="30">
        <f aca="true" t="shared" si="4" ref="I16:I24">E16-H16</f>
        <v>4480.717184244124</v>
      </c>
      <c r="J16" s="32">
        <f t="shared" si="1"/>
        <v>20.002098280771804</v>
      </c>
      <c r="K16" s="36">
        <f aca="true" t="shared" si="5" ref="K16:K29">E16-H16*1.2</f>
        <v>0.4700408216995129</v>
      </c>
      <c r="L16" s="30">
        <f aca="true" t="shared" si="6" ref="L16:L29">E16-F16</f>
        <v>2545.912301411012</v>
      </c>
      <c r="M16" s="34">
        <f t="shared" si="2"/>
        <v>10.461489373981161</v>
      </c>
      <c r="N16" s="38">
        <f aca="true" t="shared" si="7" ref="N16:N29">E16-F16*1.1</f>
        <v>112.30824141648554</v>
      </c>
    </row>
    <row r="17" spans="1:14" s="4" customFormat="1" ht="12.75" hidden="1">
      <c r="A17" s="17">
        <f t="shared" si="3"/>
        <v>2018</v>
      </c>
      <c r="B17" s="17"/>
      <c r="C17" s="43">
        <v>27133.509127497437</v>
      </c>
      <c r="D17" s="48">
        <v>0</v>
      </c>
      <c r="E17" s="43">
        <f aca="true" t="shared" si="8" ref="E17:E28">C17+D17</f>
        <v>27133.509127497437</v>
      </c>
      <c r="F17" s="43">
        <v>24606.278955403854</v>
      </c>
      <c r="G17" s="43">
        <v>1995.2014194263602</v>
      </c>
      <c r="H17" s="43">
        <f t="shared" si="0"/>
        <v>22611.077535977493</v>
      </c>
      <c r="I17" s="30">
        <f t="shared" si="4"/>
        <v>4522.431591519944</v>
      </c>
      <c r="J17" s="32">
        <f t="shared" si="1"/>
        <v>20.000955656907998</v>
      </c>
      <c r="K17" s="36">
        <f t="shared" si="5"/>
        <v>0.21608432444554637</v>
      </c>
      <c r="L17" s="30">
        <f t="shared" si="6"/>
        <v>2527.230172093583</v>
      </c>
      <c r="M17" s="34">
        <f t="shared" si="2"/>
        <v>10.270671874743462</v>
      </c>
      <c r="N17" s="38">
        <f t="shared" si="7"/>
        <v>66.60227655319613</v>
      </c>
    </row>
    <row r="18" spans="1:14" s="4" customFormat="1" ht="12.75">
      <c r="A18" s="17">
        <f t="shared" si="3"/>
        <v>2019</v>
      </c>
      <c r="B18" s="17" t="s">
        <v>15</v>
      </c>
      <c r="C18" s="43">
        <v>28551.067017858702</v>
      </c>
      <c r="D18" s="89">
        <v>0</v>
      </c>
      <c r="E18" s="43">
        <f t="shared" si="8"/>
        <v>28551.067017858702</v>
      </c>
      <c r="F18" s="43">
        <v>24893.09445872483</v>
      </c>
      <c r="G18" s="43">
        <v>2041.4456948504048</v>
      </c>
      <c r="H18" s="43">
        <f t="shared" si="0"/>
        <v>22851.648763874426</v>
      </c>
      <c r="I18" s="30">
        <f t="shared" si="4"/>
        <v>5699.418253984277</v>
      </c>
      <c r="J18" s="32">
        <f t="shared" si="1"/>
        <v>24.940949832006602</v>
      </c>
      <c r="K18" s="36">
        <f t="shared" si="5"/>
        <v>1129.0885012093931</v>
      </c>
      <c r="L18" s="30">
        <f t="shared" si="6"/>
        <v>3657.972559133872</v>
      </c>
      <c r="M18" s="34">
        <f t="shared" si="2"/>
        <v>14.694728151211356</v>
      </c>
      <c r="N18" s="38">
        <f t="shared" si="7"/>
        <v>1168.6631132613875</v>
      </c>
    </row>
    <row r="19" spans="1:14" s="4" customFormat="1" ht="12.75">
      <c r="A19" s="17">
        <f t="shared" si="3"/>
        <v>2020</v>
      </c>
      <c r="B19" s="17" t="s">
        <v>16</v>
      </c>
      <c r="C19" s="43">
        <v>27994.626565283546</v>
      </c>
      <c r="D19" s="89">
        <f aca="true" t="shared" si="9" ref="D19:D29">D18+C37+E37+K37</f>
        <v>0</v>
      </c>
      <c r="E19" s="43">
        <f t="shared" si="8"/>
        <v>27994.626565283546</v>
      </c>
      <c r="F19" s="43">
        <v>25205.928535800045</v>
      </c>
      <c r="G19" s="43">
        <v>2088.462209365558</v>
      </c>
      <c r="H19" s="43">
        <f t="shared" si="0"/>
        <v>23117.466326434485</v>
      </c>
      <c r="I19" s="30">
        <f t="shared" si="4"/>
        <v>4877.160238849061</v>
      </c>
      <c r="J19" s="32">
        <f t="shared" si="1"/>
        <v>21.09729574158436</v>
      </c>
      <c r="K19" s="36">
        <f t="shared" si="5"/>
        <v>253.66697356216537</v>
      </c>
      <c r="L19" s="30">
        <f t="shared" si="6"/>
        <v>2788.698029483501</v>
      </c>
      <c r="M19" s="34">
        <f t="shared" si="2"/>
        <v>11.06365919241065</v>
      </c>
      <c r="N19" s="38">
        <f t="shared" si="7"/>
        <v>268.10517590349264</v>
      </c>
    </row>
    <row r="20" spans="1:14" s="4" customFormat="1" ht="12.75">
      <c r="A20" s="17">
        <f t="shared" si="3"/>
        <v>2021</v>
      </c>
      <c r="B20" s="17" t="s">
        <v>14</v>
      </c>
      <c r="C20" s="43">
        <v>28141.719762651013</v>
      </c>
      <c r="D20" s="89">
        <f t="shared" si="9"/>
        <v>0</v>
      </c>
      <c r="E20" s="43">
        <f t="shared" si="8"/>
        <v>28141.719762651013</v>
      </c>
      <c r="F20" s="43">
        <v>25316.416253234296</v>
      </c>
      <c r="G20" s="43">
        <v>2136.2343409014484</v>
      </c>
      <c r="H20" s="43">
        <f t="shared" si="0"/>
        <v>23180.181912332846</v>
      </c>
      <c r="I20" s="30">
        <f t="shared" si="4"/>
        <v>4961.537850318167</v>
      </c>
      <c r="J20" s="32">
        <f t="shared" si="1"/>
        <v>21.40422309489477</v>
      </c>
      <c r="K20" s="36">
        <f t="shared" si="5"/>
        <v>325.50146785159814</v>
      </c>
      <c r="L20" s="30">
        <f t="shared" si="6"/>
        <v>2825.303509416717</v>
      </c>
      <c r="M20" s="34">
        <f t="shared" si="2"/>
        <v>11.159966249392706</v>
      </c>
      <c r="N20" s="38">
        <f t="shared" si="7"/>
        <v>293.66188409328606</v>
      </c>
    </row>
    <row r="21" spans="1:14" s="4" customFormat="1" ht="12.75">
      <c r="A21" s="17">
        <f t="shared" si="3"/>
        <v>2022</v>
      </c>
      <c r="B21" s="17" t="s">
        <v>63</v>
      </c>
      <c r="C21" s="43">
        <v>28271.816006875466</v>
      </c>
      <c r="D21" s="89">
        <f t="shared" si="9"/>
        <v>0</v>
      </c>
      <c r="E21" s="43">
        <f t="shared" si="8"/>
        <v>28271.816006875466</v>
      </c>
      <c r="F21" s="43">
        <v>25540.189209268094</v>
      </c>
      <c r="G21" s="43">
        <v>2184.7465153952003</v>
      </c>
      <c r="H21" s="43">
        <f t="shared" si="0"/>
        <v>23355.442693872894</v>
      </c>
      <c r="I21" s="30">
        <f t="shared" si="4"/>
        <v>4916.373313002572</v>
      </c>
      <c r="J21" s="32">
        <f t="shared" si="1"/>
        <v>21.0502253262463</v>
      </c>
      <c r="K21" s="36">
        <f t="shared" si="5"/>
        <v>245.2847742279955</v>
      </c>
      <c r="L21" s="30">
        <f t="shared" si="6"/>
        <v>2731.6267976073723</v>
      </c>
      <c r="M21" s="34">
        <f t="shared" si="2"/>
        <v>10.695405485156359</v>
      </c>
      <c r="N21" s="38">
        <f t="shared" si="7"/>
        <v>177.60787668056219</v>
      </c>
    </row>
    <row r="22" spans="1:14" s="4" customFormat="1" ht="12.75">
      <c r="A22" s="17">
        <f t="shared" si="3"/>
        <v>2023</v>
      </c>
      <c r="B22" s="17" t="s">
        <v>62</v>
      </c>
      <c r="C22" s="43">
        <v>28898</v>
      </c>
      <c r="D22" s="89">
        <f t="shared" si="9"/>
        <v>0</v>
      </c>
      <c r="E22" s="43">
        <f t="shared" si="8"/>
        <v>28898</v>
      </c>
      <c r="F22" s="43">
        <v>25832.903255827194</v>
      </c>
      <c r="G22" s="43">
        <v>2234.0294854316176</v>
      </c>
      <c r="H22" s="43">
        <f t="shared" si="0"/>
        <v>23598.873770395578</v>
      </c>
      <c r="I22" s="30">
        <f t="shared" si="4"/>
        <v>5299.126229604422</v>
      </c>
      <c r="J22" s="32">
        <f t="shared" si="1"/>
        <v>22.454996289916572</v>
      </c>
      <c r="K22" s="36">
        <f t="shared" si="5"/>
        <v>579.3514755253091</v>
      </c>
      <c r="L22" s="30">
        <f t="shared" si="6"/>
        <v>3065.096744172806</v>
      </c>
      <c r="M22" s="34">
        <f t="shared" si="2"/>
        <v>11.865088154508552</v>
      </c>
      <c r="N22" s="38">
        <f t="shared" si="7"/>
        <v>481.8064185900839</v>
      </c>
    </row>
    <row r="23" spans="1:14" s="4" customFormat="1" ht="13.5" thickBot="1">
      <c r="A23" s="49">
        <f t="shared" si="3"/>
        <v>2024</v>
      </c>
      <c r="B23" s="49"/>
      <c r="C23" s="50">
        <v>28895</v>
      </c>
      <c r="D23" s="93">
        <f t="shared" si="9"/>
        <v>0</v>
      </c>
      <c r="E23" s="50">
        <f t="shared" si="8"/>
        <v>28895</v>
      </c>
      <c r="F23" s="50">
        <v>26180.278517781553</v>
      </c>
      <c r="G23" s="50">
        <v>2284.18220399574</v>
      </c>
      <c r="H23" s="50">
        <f t="shared" si="0"/>
        <v>23896.096313785813</v>
      </c>
      <c r="I23" s="51">
        <f t="shared" si="4"/>
        <v>4998.9036862141875</v>
      </c>
      <c r="J23" s="52">
        <f t="shared" si="1"/>
        <v>20.91933184639153</v>
      </c>
      <c r="K23" s="53">
        <f t="shared" si="5"/>
        <v>219.68442345702715</v>
      </c>
      <c r="L23" s="51">
        <f t="shared" si="6"/>
        <v>2714.721482218447</v>
      </c>
      <c r="M23" s="54">
        <f t="shared" si="2"/>
        <v>10.369337669095529</v>
      </c>
      <c r="N23" s="55">
        <f t="shared" si="7"/>
        <v>96.69363044028796</v>
      </c>
    </row>
    <row r="24" spans="1:14" s="4" customFormat="1" ht="12.75">
      <c r="A24" s="17">
        <f t="shared" si="3"/>
        <v>2025</v>
      </c>
      <c r="B24" s="17"/>
      <c r="C24" s="43">
        <v>28892</v>
      </c>
      <c r="D24" s="89">
        <f t="shared" si="9"/>
        <v>200</v>
      </c>
      <c r="E24" s="43">
        <f t="shared" si="8"/>
        <v>29092</v>
      </c>
      <c r="F24" s="43">
        <v>26572.4560211349</v>
      </c>
      <c r="G24" s="43">
        <v>2334</v>
      </c>
      <c r="H24" s="43">
        <f t="shared" si="0"/>
        <v>24238.4560211349</v>
      </c>
      <c r="I24" s="30">
        <f t="shared" si="4"/>
        <v>4853.543978865098</v>
      </c>
      <c r="J24" s="32">
        <f t="shared" si="1"/>
        <v>20.024146647925985</v>
      </c>
      <c r="K24" s="36">
        <f t="shared" si="5"/>
        <v>5.852774638118717</v>
      </c>
      <c r="L24" s="30">
        <f t="shared" si="6"/>
        <v>2519.5439788650983</v>
      </c>
      <c r="M24" s="34">
        <f t="shared" si="2"/>
        <v>9.48178812248718</v>
      </c>
      <c r="N24" s="38">
        <f t="shared" si="7"/>
        <v>-137.70162324839475</v>
      </c>
    </row>
    <row r="25" spans="1:14" s="4" customFormat="1" ht="12.75">
      <c r="A25" s="17">
        <f t="shared" si="3"/>
        <v>2026</v>
      </c>
      <c r="B25" s="17"/>
      <c r="C25" s="43">
        <v>28889</v>
      </c>
      <c r="D25" s="89">
        <f t="shared" si="9"/>
        <v>2151</v>
      </c>
      <c r="E25" s="43">
        <f t="shared" si="8"/>
        <v>31040</v>
      </c>
      <c r="F25" s="43">
        <v>27067.6000853683</v>
      </c>
      <c r="G25" s="43">
        <v>2384</v>
      </c>
      <c r="H25" s="43">
        <f>F25-G25</f>
        <v>24683.6000853683</v>
      </c>
      <c r="I25" s="30">
        <f>E25-H25</f>
        <v>6356.3999146317</v>
      </c>
      <c r="J25" s="32">
        <f>I25/H25*100</f>
        <v>25.751510689883457</v>
      </c>
      <c r="K25" s="36">
        <f t="shared" si="5"/>
        <v>1419.6798975580423</v>
      </c>
      <c r="L25" s="30">
        <f t="shared" si="6"/>
        <v>3972.3999146317</v>
      </c>
      <c r="M25" s="34">
        <f t="shared" si="2"/>
        <v>14.675848254382279</v>
      </c>
      <c r="N25" s="38">
        <f t="shared" si="7"/>
        <v>1265.639906094868</v>
      </c>
    </row>
    <row r="26" spans="1:14" s="4" customFormat="1" ht="12.75">
      <c r="A26" s="17">
        <f t="shared" si="3"/>
        <v>2027</v>
      </c>
      <c r="B26" s="17"/>
      <c r="C26" s="43">
        <v>28883</v>
      </c>
      <c r="D26" s="89">
        <f t="shared" si="9"/>
        <v>2351</v>
      </c>
      <c r="E26" s="43">
        <f t="shared" si="8"/>
        <v>31234</v>
      </c>
      <c r="F26" s="43">
        <v>27665.21915802903</v>
      </c>
      <c r="G26" s="43">
        <v>2434</v>
      </c>
      <c r="H26" s="43">
        <f>F26-G26</f>
        <v>25231.21915802903</v>
      </c>
      <c r="I26" s="30">
        <f>E26-H26</f>
        <v>6002.780841970969</v>
      </c>
      <c r="J26" s="32">
        <f>I26/H26*100</f>
        <v>23.791085180522384</v>
      </c>
      <c r="K26" s="36">
        <f t="shared" si="5"/>
        <v>956.5370103651658</v>
      </c>
      <c r="L26" s="30">
        <f t="shared" si="6"/>
        <v>3568.780841970969</v>
      </c>
      <c r="M26" s="34">
        <f t="shared" si="2"/>
        <v>12.899882779114849</v>
      </c>
      <c r="N26" s="38">
        <f t="shared" si="7"/>
        <v>802.2589261680623</v>
      </c>
    </row>
    <row r="27" spans="1:14" s="4" customFormat="1" ht="12.75">
      <c r="A27" s="17">
        <f t="shared" si="3"/>
        <v>2028</v>
      </c>
      <c r="B27" s="17"/>
      <c r="C27" s="43">
        <v>28880</v>
      </c>
      <c r="D27" s="89">
        <f t="shared" si="9"/>
        <v>2551</v>
      </c>
      <c r="E27" s="43">
        <f t="shared" si="8"/>
        <v>31431</v>
      </c>
      <c r="F27" s="43">
        <v>28224.724306714037</v>
      </c>
      <c r="G27" s="43">
        <v>2484</v>
      </c>
      <c r="H27" s="43">
        <f>F27-G27</f>
        <v>25740.724306714037</v>
      </c>
      <c r="I27" s="30">
        <f>E27-H27</f>
        <v>5690.275693285963</v>
      </c>
      <c r="J27" s="32">
        <f>I27/H27*100</f>
        <v>22.10612112341279</v>
      </c>
      <c r="K27" s="36">
        <f t="shared" si="5"/>
        <v>542.1308319431555</v>
      </c>
      <c r="L27" s="30">
        <f t="shared" si="6"/>
        <v>3206.275693285963</v>
      </c>
      <c r="M27" s="34">
        <f t="shared" si="2"/>
        <v>11.359812264041356</v>
      </c>
      <c r="N27" s="38">
        <f t="shared" si="7"/>
        <v>383.80326261455775</v>
      </c>
    </row>
    <row r="28" spans="1:14" s="4" customFormat="1" ht="12.75">
      <c r="A28" s="17">
        <f t="shared" si="3"/>
        <v>2029</v>
      </c>
      <c r="B28" s="13"/>
      <c r="C28" s="43">
        <v>28878</v>
      </c>
      <c r="D28" s="89">
        <f t="shared" si="9"/>
        <v>2751</v>
      </c>
      <c r="E28" s="43">
        <f t="shared" si="8"/>
        <v>31629</v>
      </c>
      <c r="F28" s="43">
        <v>28804.814369193406</v>
      </c>
      <c r="G28" s="43">
        <v>2534</v>
      </c>
      <c r="H28" s="43">
        <f>F28-G28</f>
        <v>26270.814369193406</v>
      </c>
      <c r="I28" s="30">
        <f>E28-H28</f>
        <v>5358.185630806594</v>
      </c>
      <c r="J28" s="32">
        <f>I28/H28*100</f>
        <v>20.395963198955478</v>
      </c>
      <c r="K28" s="36">
        <f t="shared" si="5"/>
        <v>104.02275696791548</v>
      </c>
      <c r="L28" s="30">
        <f t="shared" si="6"/>
        <v>2824.1856308065944</v>
      </c>
      <c r="M28" s="34">
        <f t="shared" si="2"/>
        <v>9.804561121654183</v>
      </c>
      <c r="N28" s="38">
        <f t="shared" si="7"/>
        <v>-56.29580611275014</v>
      </c>
    </row>
    <row r="29" spans="1:14" s="4" customFormat="1" ht="12.75">
      <c r="A29" s="18">
        <f t="shared" si="3"/>
        <v>2030</v>
      </c>
      <c r="B29" s="18"/>
      <c r="C29" s="44">
        <v>28875</v>
      </c>
      <c r="D29" s="90">
        <f t="shared" si="9"/>
        <v>4702</v>
      </c>
      <c r="E29" s="44">
        <f>C29+D29</f>
        <v>33577</v>
      </c>
      <c r="F29" s="44">
        <v>29397.66178369829</v>
      </c>
      <c r="G29" s="44">
        <v>2584</v>
      </c>
      <c r="H29" s="44">
        <f>F29-G29</f>
        <v>26813.66178369829</v>
      </c>
      <c r="I29" s="31">
        <f>E29-H29</f>
        <v>6763.338216301709</v>
      </c>
      <c r="J29" s="33">
        <f>I29/H29*100</f>
        <v>25.223478504579212</v>
      </c>
      <c r="K29" s="37">
        <f t="shared" si="5"/>
        <v>1400.6058595620525</v>
      </c>
      <c r="L29" s="31">
        <f t="shared" si="6"/>
        <v>4179.338216301709</v>
      </c>
      <c r="M29" s="35">
        <f t="shared" si="2"/>
        <v>14.216566770011795</v>
      </c>
      <c r="N29" s="39">
        <f t="shared" si="7"/>
        <v>1239.5720379318773</v>
      </c>
    </row>
    <row r="30" spans="1:4" ht="12" customHeight="1">
      <c r="A30" s="5"/>
      <c r="B30" s="5" t="s">
        <v>64</v>
      </c>
      <c r="C30" s="5"/>
      <c r="D30" s="5"/>
    </row>
    <row r="31" spans="1:11" ht="12.75">
      <c r="A31" s="6"/>
      <c r="B31" s="6"/>
      <c r="C31" s="6"/>
      <c r="D31" s="6"/>
      <c r="E31" s="4"/>
      <c r="F31" s="4"/>
      <c r="G31" s="4"/>
      <c r="H31" s="4"/>
      <c r="I31" s="4"/>
      <c r="J31" s="4"/>
      <c r="K31" s="4"/>
    </row>
    <row r="32" spans="1:4" ht="12.75">
      <c r="A32" s="2"/>
      <c r="B32" s="2"/>
      <c r="C32" s="2"/>
      <c r="D32" s="2"/>
    </row>
    <row r="33" spans="1:11" ht="15.75">
      <c r="A33" s="91"/>
      <c r="B33" s="126" t="s">
        <v>55</v>
      </c>
      <c r="C33" s="127"/>
      <c r="D33" s="127"/>
      <c r="E33" s="128"/>
      <c r="H33" s="70"/>
      <c r="I33" s="70"/>
      <c r="J33" s="71" t="s">
        <v>38</v>
      </c>
      <c r="K33" s="70"/>
    </row>
    <row r="34" spans="1:11" ht="15">
      <c r="A34" s="91"/>
      <c r="B34" s="56"/>
      <c r="C34" s="57" t="s">
        <v>31</v>
      </c>
      <c r="D34" s="57" t="s">
        <v>32</v>
      </c>
      <c r="E34" s="58"/>
      <c r="H34" s="96" t="s">
        <v>39</v>
      </c>
      <c r="I34" s="72" t="s">
        <v>40</v>
      </c>
      <c r="J34" s="72" t="s">
        <v>41</v>
      </c>
      <c r="K34" s="72" t="s">
        <v>42</v>
      </c>
    </row>
    <row r="35" spans="1:11" ht="15">
      <c r="A35" s="91"/>
      <c r="B35" s="59"/>
      <c r="C35" s="60" t="s">
        <v>33</v>
      </c>
      <c r="D35" s="60" t="s">
        <v>33</v>
      </c>
      <c r="E35" s="61" t="s">
        <v>34</v>
      </c>
      <c r="H35" s="96" t="s">
        <v>43</v>
      </c>
      <c r="I35" s="72" t="s">
        <v>8</v>
      </c>
      <c r="J35" s="72" t="s">
        <v>44</v>
      </c>
      <c r="K35" s="72" t="s">
        <v>45</v>
      </c>
    </row>
    <row r="36" spans="1:5" ht="15">
      <c r="A36" s="9"/>
      <c r="B36" s="62" t="s">
        <v>5</v>
      </c>
      <c r="C36" s="63" t="s">
        <v>8</v>
      </c>
      <c r="D36" s="63" t="s">
        <v>8</v>
      </c>
      <c r="E36" s="61" t="s">
        <v>8</v>
      </c>
    </row>
    <row r="37" spans="1:11" ht="12.75">
      <c r="A37" s="9"/>
      <c r="B37" s="69">
        <v>2020</v>
      </c>
      <c r="C37" s="64">
        <v>0</v>
      </c>
      <c r="D37" s="64">
        <v>0</v>
      </c>
      <c r="E37" s="64">
        <v>0</v>
      </c>
      <c r="H37" s="77">
        <v>1700</v>
      </c>
      <c r="I37" s="74">
        <f>H37+D37</f>
        <v>1700</v>
      </c>
      <c r="J37" s="76">
        <v>0.41</v>
      </c>
      <c r="K37" s="75">
        <f>D37*J37</f>
        <v>0</v>
      </c>
    </row>
    <row r="38" spans="1:11" ht="12.75">
      <c r="A38" s="9"/>
      <c r="B38" s="69">
        <v>2021</v>
      </c>
      <c r="C38" s="64">
        <v>0</v>
      </c>
      <c r="D38" s="64">
        <v>0</v>
      </c>
      <c r="E38" s="64">
        <v>0</v>
      </c>
      <c r="H38" s="73"/>
      <c r="I38" s="74">
        <f>I37+D38</f>
        <v>1700</v>
      </c>
      <c r="J38" s="76">
        <v>0.41</v>
      </c>
      <c r="K38" s="75">
        <f aca="true" t="shared" si="10" ref="K38:K47">D38*J38</f>
        <v>0</v>
      </c>
    </row>
    <row r="39" spans="1:11" ht="12.75">
      <c r="A39" s="9"/>
      <c r="B39" s="69">
        <v>2022</v>
      </c>
      <c r="C39" s="64">
        <v>0</v>
      </c>
      <c r="D39" s="64">
        <v>0</v>
      </c>
      <c r="E39" s="64">
        <v>0</v>
      </c>
      <c r="H39" s="73"/>
      <c r="I39" s="74">
        <f aca="true" t="shared" si="11" ref="I39:I47">I38+D39</f>
        <v>1700</v>
      </c>
      <c r="J39" s="76">
        <v>0.41</v>
      </c>
      <c r="K39" s="75">
        <f t="shared" si="10"/>
        <v>0</v>
      </c>
    </row>
    <row r="40" spans="1:11" ht="12.75">
      <c r="A40" s="9"/>
      <c r="B40" s="69">
        <v>2023</v>
      </c>
      <c r="C40" s="64">
        <v>0</v>
      </c>
      <c r="D40" s="64">
        <v>0</v>
      </c>
      <c r="E40" s="64">
        <v>0</v>
      </c>
      <c r="H40" s="73"/>
      <c r="I40" s="74">
        <f t="shared" si="11"/>
        <v>1700</v>
      </c>
      <c r="J40" s="76">
        <v>0.41</v>
      </c>
      <c r="K40" s="75">
        <f t="shared" si="10"/>
        <v>0</v>
      </c>
    </row>
    <row r="41" spans="2:11" ht="12.75">
      <c r="B41" s="69">
        <v>2024</v>
      </c>
      <c r="C41" s="64">
        <v>0</v>
      </c>
      <c r="D41" s="64">
        <v>0</v>
      </c>
      <c r="E41" s="64">
        <v>0</v>
      </c>
      <c r="H41" s="73"/>
      <c r="I41" s="74">
        <f t="shared" si="11"/>
        <v>1700</v>
      </c>
      <c r="J41" s="76">
        <v>0.41</v>
      </c>
      <c r="K41" s="75">
        <f t="shared" si="10"/>
        <v>0</v>
      </c>
    </row>
    <row r="42" spans="2:11" ht="12.75">
      <c r="B42" s="69">
        <v>2025</v>
      </c>
      <c r="C42" s="64">
        <v>200</v>
      </c>
      <c r="D42" s="64">
        <v>0</v>
      </c>
      <c r="E42" s="64">
        <v>0</v>
      </c>
      <c r="H42" s="73"/>
      <c r="I42" s="74">
        <f t="shared" si="11"/>
        <v>1700</v>
      </c>
      <c r="J42" s="76">
        <v>0.41</v>
      </c>
      <c r="K42" s="75">
        <f t="shared" si="10"/>
        <v>0</v>
      </c>
    </row>
    <row r="43" spans="2:11" ht="12.75">
      <c r="B43" s="69">
        <v>2026</v>
      </c>
      <c r="C43" s="64">
        <v>200</v>
      </c>
      <c r="D43" s="64">
        <v>0</v>
      </c>
      <c r="E43" s="64">
        <v>1751</v>
      </c>
      <c r="H43" s="73"/>
      <c r="I43" s="74">
        <f t="shared" si="11"/>
        <v>1700</v>
      </c>
      <c r="J43" s="76">
        <v>0.41</v>
      </c>
      <c r="K43" s="75">
        <f t="shared" si="10"/>
        <v>0</v>
      </c>
    </row>
    <row r="44" spans="2:11" ht="12.75">
      <c r="B44" s="69">
        <v>2027</v>
      </c>
      <c r="C44" s="64">
        <v>200</v>
      </c>
      <c r="D44" s="64">
        <v>0</v>
      </c>
      <c r="E44" s="64">
        <v>0</v>
      </c>
      <c r="H44" s="73"/>
      <c r="I44" s="74">
        <f t="shared" si="11"/>
        <v>1700</v>
      </c>
      <c r="J44" s="76">
        <v>0.41</v>
      </c>
      <c r="K44" s="75">
        <f t="shared" si="10"/>
        <v>0</v>
      </c>
    </row>
    <row r="45" spans="2:11" ht="12.75">
      <c r="B45" s="69">
        <v>2028</v>
      </c>
      <c r="C45" s="64">
        <v>200</v>
      </c>
      <c r="D45" s="64">
        <v>0</v>
      </c>
      <c r="E45" s="64">
        <v>0</v>
      </c>
      <c r="H45" s="73"/>
      <c r="I45" s="74">
        <f t="shared" si="11"/>
        <v>1700</v>
      </c>
      <c r="J45" s="76">
        <v>0.41</v>
      </c>
      <c r="K45" s="75">
        <f t="shared" si="10"/>
        <v>0</v>
      </c>
    </row>
    <row r="46" spans="2:11" ht="12.75">
      <c r="B46" s="69">
        <v>2029</v>
      </c>
      <c r="C46" s="64">
        <v>200</v>
      </c>
      <c r="D46" s="64">
        <v>0</v>
      </c>
      <c r="E46" s="64">
        <v>0</v>
      </c>
      <c r="H46" s="73"/>
      <c r="I46" s="74">
        <f t="shared" si="11"/>
        <v>1700</v>
      </c>
      <c r="J46" s="76">
        <v>0.41</v>
      </c>
      <c r="K46" s="75">
        <f t="shared" si="10"/>
        <v>0</v>
      </c>
    </row>
    <row r="47" spans="2:11" ht="12.75">
      <c r="B47" s="69">
        <v>2030</v>
      </c>
      <c r="C47" s="64">
        <v>200</v>
      </c>
      <c r="D47" s="64">
        <v>0</v>
      </c>
      <c r="E47" s="64">
        <v>1751</v>
      </c>
      <c r="H47" s="73"/>
      <c r="I47" s="74">
        <f t="shared" si="11"/>
        <v>1700</v>
      </c>
      <c r="J47" s="76">
        <v>0.41</v>
      </c>
      <c r="K47" s="75">
        <f t="shared" si="10"/>
        <v>0</v>
      </c>
    </row>
    <row r="48" spans="2:11" ht="28.5" customHeight="1">
      <c r="B48" s="65" t="s">
        <v>35</v>
      </c>
      <c r="C48" s="66">
        <f>SUM(C37:C47)</f>
        <v>1200</v>
      </c>
      <c r="D48" s="66">
        <f>SUM(D37:D47)</f>
        <v>0</v>
      </c>
      <c r="E48" s="66">
        <f>SUM(E37:E47)</f>
        <v>3502</v>
      </c>
      <c r="H48" s="73"/>
      <c r="I48" s="73"/>
      <c r="J48" s="73"/>
      <c r="K48" s="97">
        <f>SUM(K37:K47)</f>
        <v>0</v>
      </c>
    </row>
    <row r="49" spans="2:5" ht="15">
      <c r="B49" s="67" t="s">
        <v>36</v>
      </c>
      <c r="C49" s="66">
        <f>C48</f>
        <v>1200</v>
      </c>
      <c r="D49" s="98">
        <f>K48</f>
        <v>0</v>
      </c>
      <c r="E49" s="66">
        <f>E48</f>
        <v>3502</v>
      </c>
    </row>
    <row r="50" spans="2:5" ht="30">
      <c r="B50" s="67" t="s">
        <v>37</v>
      </c>
      <c r="C50" s="66">
        <f>SUM(C49:E49)</f>
        <v>4702</v>
      </c>
      <c r="D50" s="68"/>
      <c r="E50" s="68"/>
    </row>
    <row r="53" spans="2:7" ht="15">
      <c r="B53" s="78" t="s">
        <v>46</v>
      </c>
      <c r="C53" s="79"/>
      <c r="D53" s="79"/>
      <c r="E53" s="79"/>
      <c r="F53" s="79"/>
      <c r="G53" s="80"/>
    </row>
    <row r="54" spans="2:7" ht="12.75">
      <c r="B54" s="81"/>
      <c r="C54" s="82"/>
      <c r="D54" s="82"/>
      <c r="E54" s="82"/>
      <c r="F54" s="82"/>
      <c r="G54" s="83"/>
    </row>
    <row r="55" spans="2:7" ht="12.75">
      <c r="B55" s="81" t="s">
        <v>47</v>
      </c>
      <c r="C55" s="82"/>
      <c r="D55" s="84">
        <v>0.52</v>
      </c>
      <c r="E55" s="82"/>
      <c r="F55" s="82"/>
      <c r="G55" s="83"/>
    </row>
    <row r="56" spans="2:7" ht="12.75">
      <c r="B56" s="81" t="s">
        <v>48</v>
      </c>
      <c r="C56" s="82"/>
      <c r="D56" s="84">
        <v>0.48</v>
      </c>
      <c r="E56" s="82"/>
      <c r="F56" s="82"/>
      <c r="G56" s="83"/>
    </row>
    <row r="57" spans="2:7" ht="12.75">
      <c r="B57" s="81" t="s">
        <v>49</v>
      </c>
      <c r="C57" s="82"/>
      <c r="D57" s="84">
        <v>0.44</v>
      </c>
      <c r="E57" s="82"/>
      <c r="F57" s="82"/>
      <c r="G57" s="83"/>
    </row>
    <row r="58" spans="2:7" ht="12.75">
      <c r="B58" s="81" t="s">
        <v>50</v>
      </c>
      <c r="C58" s="82"/>
      <c r="D58" s="84">
        <v>0.41</v>
      </c>
      <c r="E58" s="82"/>
      <c r="F58" s="82"/>
      <c r="G58" s="83"/>
    </row>
    <row r="59" spans="2:7" ht="12.75">
      <c r="B59" s="81" t="s">
        <v>51</v>
      </c>
      <c r="C59" s="82"/>
      <c r="D59" s="84">
        <v>0.37</v>
      </c>
      <c r="E59" s="82"/>
      <c r="F59" s="82"/>
      <c r="G59" s="83"/>
    </row>
    <row r="60" spans="2:7" ht="12.75">
      <c r="B60" s="85" t="s">
        <v>52</v>
      </c>
      <c r="C60" s="86"/>
      <c r="D60" s="87">
        <v>0.33</v>
      </c>
      <c r="E60" s="86"/>
      <c r="F60" s="86"/>
      <c r="G60" s="88"/>
    </row>
  </sheetData>
  <sheetProtection/>
  <mergeCells count="11">
    <mergeCell ref="A4:N4"/>
    <mergeCell ref="A5:N5"/>
    <mergeCell ref="I9:K9"/>
    <mergeCell ref="L9:N9"/>
    <mergeCell ref="I10:J10"/>
    <mergeCell ref="L10:M10"/>
    <mergeCell ref="I11:J11"/>
    <mergeCell ref="L11:M11"/>
    <mergeCell ref="I12:J12"/>
    <mergeCell ref="L12:M12"/>
    <mergeCell ref="B33:E33"/>
  </mergeCells>
  <conditionalFormatting sqref="N18:N29">
    <cfRule type="cellIs" priority="3" dxfId="21" operator="lessThan" stopIfTrue="1">
      <formula>0</formula>
    </cfRule>
  </conditionalFormatting>
  <conditionalFormatting sqref="C37:E47">
    <cfRule type="cellIs" priority="2" dxfId="0" operator="greaterThan" stopIfTrue="1">
      <formula>0</formula>
    </cfRule>
  </conditionalFormatting>
  <conditionalFormatting sqref="K37:K47">
    <cfRule type="cellIs" priority="1" dxfId="22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 transitionEvaluation="1" transitionEntry="1">
    <tabColor theme="3" tint="0.39998000860214233"/>
  </sheetPr>
  <dimension ref="A1:N60"/>
  <sheetViews>
    <sheetView showGridLines="0" zoomScalePageLayoutView="0" workbookViewId="0" topLeftCell="A1">
      <selection activeCell="N2" sqref="N2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1" spans="2:14" ht="12.75">
      <c r="B1" s="42" t="s">
        <v>29</v>
      </c>
      <c r="C1" s="42"/>
      <c r="D1" s="42"/>
      <c r="N1" s="41"/>
    </row>
    <row r="2" spans="2:14" ht="13.5">
      <c r="B2" s="94" t="s">
        <v>56</v>
      </c>
      <c r="C2" s="92"/>
      <c r="D2" s="92"/>
      <c r="N2" s="1"/>
    </row>
    <row r="3" spans="2:14" ht="12.75">
      <c r="B3" s="95" t="str">
        <f>B33</f>
        <v>Plan 3: Solar Only (Small &amp; Large Solar)</v>
      </c>
      <c r="C3" s="92"/>
      <c r="D3" s="92"/>
      <c r="N3" s="1"/>
    </row>
    <row r="4" spans="1:14" ht="15.75">
      <c r="A4" s="117" t="s">
        <v>26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>
      <c r="A5" s="117" t="s">
        <v>27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4" ht="12.75">
      <c r="A6" s="2"/>
      <c r="B6" s="2"/>
      <c r="C6" s="2"/>
      <c r="D6" s="2"/>
    </row>
    <row r="7" spans="1:14" ht="12.75">
      <c r="A7" s="3">
        <v>-1</v>
      </c>
      <c r="B7" s="3">
        <v>-2</v>
      </c>
      <c r="C7" s="3">
        <v>-3</v>
      </c>
      <c r="D7" s="3">
        <v>-4</v>
      </c>
      <c r="E7" s="3">
        <v>-5</v>
      </c>
      <c r="F7" s="3">
        <v>-6</v>
      </c>
      <c r="G7" s="3">
        <v>-7</v>
      </c>
      <c r="H7" s="3">
        <v>-8</v>
      </c>
      <c r="I7" s="3">
        <v>-9</v>
      </c>
      <c r="J7" s="3">
        <v>-10</v>
      </c>
      <c r="K7" s="3">
        <v>-11</v>
      </c>
      <c r="L7" s="3">
        <v>-12</v>
      </c>
      <c r="M7" s="3">
        <v>-13</v>
      </c>
      <c r="N7" s="40">
        <v>-14</v>
      </c>
    </row>
    <row r="8" spans="1:14" ht="12.75" hidden="1">
      <c r="A8" s="3">
        <v>-1</v>
      </c>
      <c r="B8" s="3">
        <v>-2</v>
      </c>
      <c r="C8" s="3"/>
      <c r="D8" s="3"/>
      <c r="E8" s="3">
        <v>-3</v>
      </c>
      <c r="F8" s="3">
        <v>-4</v>
      </c>
      <c r="G8" s="3">
        <v>-5</v>
      </c>
      <c r="H8" s="3">
        <v>-6</v>
      </c>
      <c r="I8" s="3">
        <v>-7</v>
      </c>
      <c r="J8" s="3">
        <v>-8</v>
      </c>
      <c r="K8" s="3">
        <v>-9</v>
      </c>
      <c r="L8" s="3">
        <v>-10</v>
      </c>
      <c r="M8" s="3">
        <v>-11</v>
      </c>
      <c r="N8" s="40">
        <v>-12</v>
      </c>
    </row>
    <row r="9" spans="1:14" ht="12.75">
      <c r="A9" s="19"/>
      <c r="B9" s="16"/>
      <c r="C9" s="12"/>
      <c r="D9" s="45"/>
      <c r="E9" s="12"/>
      <c r="F9" s="15"/>
      <c r="G9" s="12"/>
      <c r="H9" s="12"/>
      <c r="I9" s="118" t="s">
        <v>18</v>
      </c>
      <c r="J9" s="119"/>
      <c r="K9" s="120"/>
      <c r="L9" s="121" t="s">
        <v>24</v>
      </c>
      <c r="M9" s="122"/>
      <c r="N9" s="123"/>
    </row>
    <row r="10" spans="1:14" ht="12.75">
      <c r="A10" s="14"/>
      <c r="B10" s="14"/>
      <c r="C10" s="13" t="s">
        <v>7</v>
      </c>
      <c r="D10" s="46" t="s">
        <v>28</v>
      </c>
      <c r="E10" s="13" t="s">
        <v>7</v>
      </c>
      <c r="F10" s="14"/>
      <c r="G10" s="14"/>
      <c r="H10" s="13" t="s">
        <v>10</v>
      </c>
      <c r="I10" s="124"/>
      <c r="J10" s="125"/>
      <c r="K10" s="8" t="s">
        <v>19</v>
      </c>
      <c r="L10" s="124"/>
      <c r="M10" s="125"/>
      <c r="N10" s="8" t="s">
        <v>19</v>
      </c>
    </row>
    <row r="11" spans="1:14" ht="12.75">
      <c r="A11" s="14"/>
      <c r="B11" s="14"/>
      <c r="C11" s="14" t="s">
        <v>10</v>
      </c>
      <c r="D11" s="46" t="s">
        <v>10</v>
      </c>
      <c r="E11" s="14" t="s">
        <v>10</v>
      </c>
      <c r="F11" s="13" t="s">
        <v>7</v>
      </c>
      <c r="G11" s="14"/>
      <c r="H11" s="13" t="s">
        <v>0</v>
      </c>
      <c r="I11" s="113"/>
      <c r="J11" s="114"/>
      <c r="K11" s="9" t="s">
        <v>20</v>
      </c>
      <c r="L11" s="113"/>
      <c r="M11" s="114"/>
      <c r="N11" s="9" t="s">
        <v>20</v>
      </c>
    </row>
    <row r="12" spans="1:14" ht="15.75" customHeight="1">
      <c r="A12" s="14"/>
      <c r="B12" s="14"/>
      <c r="C12" s="13" t="s">
        <v>4</v>
      </c>
      <c r="D12" s="46" t="s">
        <v>4</v>
      </c>
      <c r="E12" s="13" t="s">
        <v>4</v>
      </c>
      <c r="F12" s="13" t="s">
        <v>1</v>
      </c>
      <c r="G12" s="13"/>
      <c r="H12" s="13" t="s">
        <v>1</v>
      </c>
      <c r="I12" s="113"/>
      <c r="J12" s="114"/>
      <c r="K12" s="10" t="s">
        <v>21</v>
      </c>
      <c r="L12" s="115"/>
      <c r="M12" s="116"/>
      <c r="N12" s="10" t="s">
        <v>21</v>
      </c>
    </row>
    <row r="13" spans="1:14" ht="15" customHeight="1">
      <c r="A13" s="14"/>
      <c r="B13" s="14" t="s">
        <v>6</v>
      </c>
      <c r="C13" s="13" t="s">
        <v>11</v>
      </c>
      <c r="D13" s="46" t="s">
        <v>3</v>
      </c>
      <c r="E13" s="13" t="s">
        <v>11</v>
      </c>
      <c r="F13" s="13" t="s">
        <v>12</v>
      </c>
      <c r="G13" s="13" t="s">
        <v>2</v>
      </c>
      <c r="H13" s="14" t="s">
        <v>12</v>
      </c>
      <c r="I13" s="27" t="s">
        <v>25</v>
      </c>
      <c r="J13" s="28"/>
      <c r="K13" s="11" t="s">
        <v>22</v>
      </c>
      <c r="L13" s="26" t="s">
        <v>25</v>
      </c>
      <c r="M13" s="29"/>
      <c r="N13" s="11" t="s">
        <v>23</v>
      </c>
    </row>
    <row r="14" spans="1:14" ht="12.75">
      <c r="A14" s="20" t="s">
        <v>5</v>
      </c>
      <c r="B14" s="20" t="s">
        <v>3</v>
      </c>
      <c r="C14" s="20" t="s">
        <v>8</v>
      </c>
      <c r="D14" s="47" t="s">
        <v>8</v>
      </c>
      <c r="E14" s="20" t="s">
        <v>8</v>
      </c>
      <c r="F14" s="20" t="s">
        <v>8</v>
      </c>
      <c r="G14" s="20" t="s">
        <v>8</v>
      </c>
      <c r="H14" s="20" t="s">
        <v>8</v>
      </c>
      <c r="I14" s="21" t="s">
        <v>8</v>
      </c>
      <c r="J14" s="22" t="s">
        <v>9</v>
      </c>
      <c r="K14" s="23" t="s">
        <v>8</v>
      </c>
      <c r="L14" s="24" t="s">
        <v>13</v>
      </c>
      <c r="M14" s="25" t="s">
        <v>17</v>
      </c>
      <c r="N14" s="23" t="s">
        <v>8</v>
      </c>
    </row>
    <row r="15" spans="1:14" s="4" customFormat="1" ht="12.75" hidden="1">
      <c r="A15" s="17">
        <v>2016</v>
      </c>
      <c r="B15" s="17"/>
      <c r="C15" s="43">
        <v>27238.0286375</v>
      </c>
      <c r="D15" s="48">
        <v>0</v>
      </c>
      <c r="E15" s="43">
        <f>C15+D15</f>
        <v>27238.0286375</v>
      </c>
      <c r="F15" s="43">
        <v>24169.686546596025</v>
      </c>
      <c r="G15" s="43">
        <v>1842.4666740400107</v>
      </c>
      <c r="H15" s="43">
        <f aca="true" t="shared" si="0" ref="H15:H24">F15-G15</f>
        <v>22327.219872556016</v>
      </c>
      <c r="I15" s="30">
        <f>E15-H15</f>
        <v>4910.808764943984</v>
      </c>
      <c r="J15" s="32">
        <f aca="true" t="shared" si="1" ref="J15:J24">I15/H15*100</f>
        <v>21.994716731303438</v>
      </c>
      <c r="K15" s="36">
        <f>E15-H15*1.2</f>
        <v>445.36479043278086</v>
      </c>
      <c r="L15" s="30">
        <f>E15-F15</f>
        <v>3068.342090903974</v>
      </c>
      <c r="M15" s="34">
        <f aca="true" t="shared" si="2" ref="M15:M29">L15/F15*100</f>
        <v>12.695001587995804</v>
      </c>
      <c r="N15" s="38">
        <f>E15-F15*1.1</f>
        <v>651.3734362443683</v>
      </c>
    </row>
    <row r="16" spans="1:14" s="4" customFormat="1" ht="12.75" hidden="1">
      <c r="A16" s="17">
        <f aca="true" t="shared" si="3" ref="A16:A29">A15+1</f>
        <v>2017</v>
      </c>
      <c r="B16" s="17"/>
      <c r="C16" s="43">
        <v>26881.95290135625</v>
      </c>
      <c r="D16" s="48">
        <v>0</v>
      </c>
      <c r="E16" s="43">
        <f>C16+D16</f>
        <v>26881.95290135625</v>
      </c>
      <c r="F16" s="43">
        <v>24336.040599945238</v>
      </c>
      <c r="G16" s="43">
        <v>1934.8048828331127</v>
      </c>
      <c r="H16" s="43">
        <f t="shared" si="0"/>
        <v>22401.235717112126</v>
      </c>
      <c r="I16" s="30">
        <f aca="true" t="shared" si="4" ref="I16:I24">E16-H16</f>
        <v>4480.717184244124</v>
      </c>
      <c r="J16" s="32">
        <f t="shared" si="1"/>
        <v>20.002098280771804</v>
      </c>
      <c r="K16" s="36">
        <f aca="true" t="shared" si="5" ref="K16:K29">E16-H16*1.2</f>
        <v>0.4700408216995129</v>
      </c>
      <c r="L16" s="30">
        <f aca="true" t="shared" si="6" ref="L16:L29">E16-F16</f>
        <v>2545.912301411012</v>
      </c>
      <c r="M16" s="34">
        <f t="shared" si="2"/>
        <v>10.461489373981161</v>
      </c>
      <c r="N16" s="38">
        <f aca="true" t="shared" si="7" ref="N16:N29">E16-F16*1.1</f>
        <v>112.30824141648554</v>
      </c>
    </row>
    <row r="17" spans="1:14" s="4" customFormat="1" ht="12.75" hidden="1">
      <c r="A17" s="17">
        <f t="shared" si="3"/>
        <v>2018</v>
      </c>
      <c r="B17" s="17"/>
      <c r="C17" s="43">
        <v>27133.509127497437</v>
      </c>
      <c r="D17" s="48">
        <v>0</v>
      </c>
      <c r="E17" s="43">
        <f aca="true" t="shared" si="8" ref="E17:E28">C17+D17</f>
        <v>27133.509127497437</v>
      </c>
      <c r="F17" s="43">
        <v>24606.278955403854</v>
      </c>
      <c r="G17" s="43">
        <v>1995.2014194263602</v>
      </c>
      <c r="H17" s="43">
        <f t="shared" si="0"/>
        <v>22611.077535977493</v>
      </c>
      <c r="I17" s="30">
        <f t="shared" si="4"/>
        <v>4522.431591519944</v>
      </c>
      <c r="J17" s="32">
        <f t="shared" si="1"/>
        <v>20.000955656907998</v>
      </c>
      <c r="K17" s="36">
        <f t="shared" si="5"/>
        <v>0.21608432444554637</v>
      </c>
      <c r="L17" s="30">
        <f t="shared" si="6"/>
        <v>2527.230172093583</v>
      </c>
      <c r="M17" s="34">
        <f t="shared" si="2"/>
        <v>10.270671874743462</v>
      </c>
      <c r="N17" s="38">
        <f t="shared" si="7"/>
        <v>66.60227655319613</v>
      </c>
    </row>
    <row r="18" spans="1:14" s="4" customFormat="1" ht="12.75">
      <c r="A18" s="17">
        <f t="shared" si="3"/>
        <v>2019</v>
      </c>
      <c r="B18" s="17" t="s">
        <v>15</v>
      </c>
      <c r="C18" s="43">
        <v>28551.067017858702</v>
      </c>
      <c r="D18" s="89">
        <v>0</v>
      </c>
      <c r="E18" s="43">
        <f t="shared" si="8"/>
        <v>28551.067017858702</v>
      </c>
      <c r="F18" s="43">
        <v>24893.09445872483</v>
      </c>
      <c r="G18" s="43">
        <v>2041.4456948504048</v>
      </c>
      <c r="H18" s="43">
        <f t="shared" si="0"/>
        <v>22851.648763874426</v>
      </c>
      <c r="I18" s="30">
        <f t="shared" si="4"/>
        <v>5699.418253984277</v>
      </c>
      <c r="J18" s="32">
        <f t="shared" si="1"/>
        <v>24.940949832006602</v>
      </c>
      <c r="K18" s="36">
        <f t="shared" si="5"/>
        <v>1129.0885012093931</v>
      </c>
      <c r="L18" s="30">
        <f t="shared" si="6"/>
        <v>3657.972559133872</v>
      </c>
      <c r="M18" s="34">
        <f t="shared" si="2"/>
        <v>14.694728151211356</v>
      </c>
      <c r="N18" s="38">
        <f t="shared" si="7"/>
        <v>1168.6631132613875</v>
      </c>
    </row>
    <row r="19" spans="1:14" s="4" customFormat="1" ht="12.75">
      <c r="A19" s="17">
        <f t="shared" si="3"/>
        <v>2020</v>
      </c>
      <c r="B19" s="17" t="s">
        <v>16</v>
      </c>
      <c r="C19" s="43">
        <v>27994.626565283546</v>
      </c>
      <c r="D19" s="89">
        <f aca="true" t="shared" si="9" ref="D19:D29">D18+C37+E37+K37</f>
        <v>20.5</v>
      </c>
      <c r="E19" s="43">
        <f t="shared" si="8"/>
        <v>28015.126565283546</v>
      </c>
      <c r="F19" s="43">
        <v>25205.928535800045</v>
      </c>
      <c r="G19" s="43">
        <v>2088.462209365558</v>
      </c>
      <c r="H19" s="43">
        <f t="shared" si="0"/>
        <v>23117.466326434485</v>
      </c>
      <c r="I19" s="30">
        <f t="shared" si="4"/>
        <v>4897.660238849061</v>
      </c>
      <c r="J19" s="32">
        <f t="shared" si="1"/>
        <v>21.18597327964379</v>
      </c>
      <c r="K19" s="36">
        <f t="shared" si="5"/>
        <v>274.16697356216537</v>
      </c>
      <c r="L19" s="30">
        <f t="shared" si="6"/>
        <v>2809.198029483501</v>
      </c>
      <c r="M19" s="34">
        <f t="shared" si="2"/>
        <v>11.144989265099241</v>
      </c>
      <c r="N19" s="38">
        <f t="shared" si="7"/>
        <v>288.60517590349264</v>
      </c>
    </row>
    <row r="20" spans="1:14" s="4" customFormat="1" ht="12.75">
      <c r="A20" s="17">
        <f t="shared" si="3"/>
        <v>2021</v>
      </c>
      <c r="B20" s="17" t="s">
        <v>14</v>
      </c>
      <c r="C20" s="43">
        <v>28141.719762651013</v>
      </c>
      <c r="D20" s="89">
        <f t="shared" si="9"/>
        <v>71.54499999999999</v>
      </c>
      <c r="E20" s="43">
        <f t="shared" si="8"/>
        <v>28213.26476265101</v>
      </c>
      <c r="F20" s="43">
        <v>25316.416253234296</v>
      </c>
      <c r="G20" s="43">
        <v>2136.2343409014484</v>
      </c>
      <c r="H20" s="43">
        <f t="shared" si="0"/>
        <v>23180.181912332846</v>
      </c>
      <c r="I20" s="30">
        <f t="shared" si="4"/>
        <v>5033.082850318166</v>
      </c>
      <c r="J20" s="32">
        <f t="shared" si="1"/>
        <v>21.712870370703826</v>
      </c>
      <c r="K20" s="36">
        <f t="shared" si="5"/>
        <v>397.0464678515964</v>
      </c>
      <c r="L20" s="30">
        <f t="shared" si="6"/>
        <v>2896.8485094167154</v>
      </c>
      <c r="M20" s="34">
        <f t="shared" si="2"/>
        <v>11.442569439687691</v>
      </c>
      <c r="N20" s="38">
        <f t="shared" si="7"/>
        <v>365.2068840932843</v>
      </c>
    </row>
    <row r="21" spans="1:14" s="4" customFormat="1" ht="12.75">
      <c r="A21" s="17">
        <f t="shared" si="3"/>
        <v>2022</v>
      </c>
      <c r="B21" s="17" t="s">
        <v>63</v>
      </c>
      <c r="C21" s="43">
        <v>28271.816006875466</v>
      </c>
      <c r="D21" s="89">
        <f t="shared" si="9"/>
        <v>116.64499999999998</v>
      </c>
      <c r="E21" s="43">
        <f t="shared" si="8"/>
        <v>28388.461006875466</v>
      </c>
      <c r="F21" s="43">
        <v>25540.189209268094</v>
      </c>
      <c r="G21" s="43">
        <v>2184.7465153952003</v>
      </c>
      <c r="H21" s="43">
        <f t="shared" si="0"/>
        <v>23355.442693872894</v>
      </c>
      <c r="I21" s="30">
        <f t="shared" si="4"/>
        <v>5033.0183130025725</v>
      </c>
      <c r="J21" s="32">
        <f t="shared" si="1"/>
        <v>21.549659233489688</v>
      </c>
      <c r="K21" s="36">
        <f t="shared" si="5"/>
        <v>361.92977422799595</v>
      </c>
      <c r="L21" s="30">
        <f t="shared" si="6"/>
        <v>2848.2717976073727</v>
      </c>
      <c r="M21" s="34">
        <f t="shared" si="2"/>
        <v>11.152117058607319</v>
      </c>
      <c r="N21" s="38">
        <f t="shared" si="7"/>
        <v>294.2528766805626</v>
      </c>
    </row>
    <row r="22" spans="1:14" s="4" customFormat="1" ht="12.75">
      <c r="A22" s="17">
        <f t="shared" si="3"/>
        <v>2023</v>
      </c>
      <c r="B22" s="17" t="s">
        <v>62</v>
      </c>
      <c r="C22" s="43">
        <v>28898</v>
      </c>
      <c r="D22" s="89">
        <f t="shared" si="9"/>
        <v>154.24499999999998</v>
      </c>
      <c r="E22" s="43">
        <f t="shared" si="8"/>
        <v>29052.245</v>
      </c>
      <c r="F22" s="43">
        <v>25832.903255827194</v>
      </c>
      <c r="G22" s="43">
        <v>2234.0294854316176</v>
      </c>
      <c r="H22" s="43">
        <f t="shared" si="0"/>
        <v>23598.873770395578</v>
      </c>
      <c r="I22" s="30">
        <f t="shared" si="4"/>
        <v>5453.371229604421</v>
      </c>
      <c r="J22" s="32">
        <f t="shared" si="1"/>
        <v>23.108607989782932</v>
      </c>
      <c r="K22" s="36">
        <f t="shared" si="5"/>
        <v>733.596475525308</v>
      </c>
      <c r="L22" s="30">
        <f t="shared" si="6"/>
        <v>3219.341744172805</v>
      </c>
      <c r="M22" s="34">
        <f t="shared" si="2"/>
        <v>12.462175514270198</v>
      </c>
      <c r="N22" s="38">
        <f t="shared" si="7"/>
        <v>636.0514185900829</v>
      </c>
    </row>
    <row r="23" spans="1:14" s="4" customFormat="1" ht="13.5" thickBot="1">
      <c r="A23" s="49">
        <f t="shared" si="3"/>
        <v>2024</v>
      </c>
      <c r="B23" s="49"/>
      <c r="C23" s="50">
        <v>28895</v>
      </c>
      <c r="D23" s="93">
        <f t="shared" si="9"/>
        <v>191.24499999999998</v>
      </c>
      <c r="E23" s="50">
        <f t="shared" si="8"/>
        <v>29086.245</v>
      </c>
      <c r="F23" s="50">
        <v>26180.278517781553</v>
      </c>
      <c r="G23" s="50">
        <v>2284.18220399574</v>
      </c>
      <c r="H23" s="50">
        <f t="shared" si="0"/>
        <v>23896.096313785813</v>
      </c>
      <c r="I23" s="51">
        <f t="shared" si="4"/>
        <v>5190.1486862141865</v>
      </c>
      <c r="J23" s="52">
        <f t="shared" si="1"/>
        <v>21.71965085033557</v>
      </c>
      <c r="K23" s="53">
        <f t="shared" si="5"/>
        <v>410.92942345702613</v>
      </c>
      <c r="L23" s="51">
        <f t="shared" si="6"/>
        <v>2905.966482218446</v>
      </c>
      <c r="M23" s="54">
        <f t="shared" si="2"/>
        <v>11.099830279669193</v>
      </c>
      <c r="N23" s="55">
        <f t="shared" si="7"/>
        <v>287.93863044028694</v>
      </c>
    </row>
    <row r="24" spans="1:14" s="4" customFormat="1" ht="12.75">
      <c r="A24" s="17">
        <f t="shared" si="3"/>
        <v>2025</v>
      </c>
      <c r="B24" s="17"/>
      <c r="C24" s="43">
        <v>28892</v>
      </c>
      <c r="D24" s="89">
        <f t="shared" si="9"/>
        <v>384.355</v>
      </c>
      <c r="E24" s="43">
        <f t="shared" si="8"/>
        <v>29276.355</v>
      </c>
      <c r="F24" s="43">
        <v>26572.4560211349</v>
      </c>
      <c r="G24" s="43">
        <v>2334</v>
      </c>
      <c r="H24" s="43">
        <f t="shared" si="0"/>
        <v>24238.4560211349</v>
      </c>
      <c r="I24" s="30">
        <f t="shared" si="4"/>
        <v>5037.898978865098</v>
      </c>
      <c r="J24" s="32">
        <f t="shared" si="1"/>
        <v>20.78473552305586</v>
      </c>
      <c r="K24" s="36">
        <f t="shared" si="5"/>
        <v>190.20777463811828</v>
      </c>
      <c r="L24" s="30">
        <f t="shared" si="6"/>
        <v>2703.898978865098</v>
      </c>
      <c r="M24" s="34">
        <f t="shared" si="2"/>
        <v>10.175570435470854</v>
      </c>
      <c r="N24" s="38">
        <f t="shared" si="7"/>
        <v>46.65337675160481</v>
      </c>
    </row>
    <row r="25" spans="1:14" s="4" customFormat="1" ht="12.75">
      <c r="A25" s="17">
        <f t="shared" si="3"/>
        <v>2026</v>
      </c>
      <c r="B25" s="17"/>
      <c r="C25" s="43">
        <v>28889</v>
      </c>
      <c r="D25" s="89">
        <f t="shared" si="9"/>
        <v>2168.355</v>
      </c>
      <c r="E25" s="43">
        <f t="shared" si="8"/>
        <v>31057.355</v>
      </c>
      <c r="F25" s="43">
        <v>27067.6000853683</v>
      </c>
      <c r="G25" s="43">
        <v>2384</v>
      </c>
      <c r="H25" s="43">
        <f>F25-G25</f>
        <v>24683.6000853683</v>
      </c>
      <c r="I25" s="30">
        <f>E25-H25</f>
        <v>6373.7549146317</v>
      </c>
      <c r="J25" s="32">
        <f>I25/H25*100</f>
        <v>25.82182053099244</v>
      </c>
      <c r="K25" s="36">
        <f t="shared" si="5"/>
        <v>1437.0348975580418</v>
      </c>
      <c r="L25" s="30">
        <f t="shared" si="6"/>
        <v>3989.7549146316996</v>
      </c>
      <c r="M25" s="34">
        <f t="shared" si="2"/>
        <v>14.73996550136858</v>
      </c>
      <c r="N25" s="38">
        <f t="shared" si="7"/>
        <v>1282.9949060948675</v>
      </c>
    </row>
    <row r="26" spans="1:14" s="4" customFormat="1" ht="12.75">
      <c r="A26" s="17">
        <f t="shared" si="3"/>
        <v>2027</v>
      </c>
      <c r="B26" s="17"/>
      <c r="C26" s="43">
        <v>28883</v>
      </c>
      <c r="D26" s="89">
        <f t="shared" si="9"/>
        <v>2168.355</v>
      </c>
      <c r="E26" s="43">
        <f t="shared" si="8"/>
        <v>31051.355</v>
      </c>
      <c r="F26" s="43">
        <v>27665.21915802903</v>
      </c>
      <c r="G26" s="43">
        <v>2434</v>
      </c>
      <c r="H26" s="43">
        <f>F26-G26</f>
        <v>25231.21915802903</v>
      </c>
      <c r="I26" s="30">
        <f>E26-H26</f>
        <v>5820.135841970969</v>
      </c>
      <c r="J26" s="32">
        <f>I26/H26*100</f>
        <v>23.06720022333481</v>
      </c>
      <c r="K26" s="36">
        <f t="shared" si="5"/>
        <v>773.8920103651653</v>
      </c>
      <c r="L26" s="30">
        <f t="shared" si="6"/>
        <v>3386.1358419709686</v>
      </c>
      <c r="M26" s="34">
        <f t="shared" si="2"/>
        <v>12.239685587266495</v>
      </c>
      <c r="N26" s="38">
        <f t="shared" si="7"/>
        <v>619.6139261680619</v>
      </c>
    </row>
    <row r="27" spans="1:14" s="4" customFormat="1" ht="12.75">
      <c r="A27" s="17">
        <f t="shared" si="3"/>
        <v>2028</v>
      </c>
      <c r="B27" s="17"/>
      <c r="C27" s="43">
        <v>28880</v>
      </c>
      <c r="D27" s="89">
        <f t="shared" si="9"/>
        <v>2168.355</v>
      </c>
      <c r="E27" s="43">
        <f t="shared" si="8"/>
        <v>31048.355</v>
      </c>
      <c r="F27" s="43">
        <v>28224.724306714037</v>
      </c>
      <c r="G27" s="43">
        <v>2484</v>
      </c>
      <c r="H27" s="43">
        <f>F27-G27</f>
        <v>25740.724306714037</v>
      </c>
      <c r="I27" s="30">
        <f>E27-H27</f>
        <v>5307.6306932859625</v>
      </c>
      <c r="J27" s="32">
        <f>I27/H27*100</f>
        <v>20.61958564196873</v>
      </c>
      <c r="K27" s="36">
        <f t="shared" si="5"/>
        <v>159.48583194315506</v>
      </c>
      <c r="L27" s="30">
        <f t="shared" si="6"/>
        <v>2823.6306932859625</v>
      </c>
      <c r="M27" s="34">
        <f t="shared" si="2"/>
        <v>10.004103716309048</v>
      </c>
      <c r="N27" s="38">
        <f t="shared" si="7"/>
        <v>1.1582626145573158</v>
      </c>
    </row>
    <row r="28" spans="1:14" s="4" customFormat="1" ht="12.75">
      <c r="A28" s="17">
        <f t="shared" si="3"/>
        <v>2029</v>
      </c>
      <c r="B28" s="13"/>
      <c r="C28" s="43">
        <v>28878</v>
      </c>
      <c r="D28" s="89">
        <f t="shared" si="9"/>
        <v>3919.355</v>
      </c>
      <c r="E28" s="43">
        <f t="shared" si="8"/>
        <v>32797.355</v>
      </c>
      <c r="F28" s="43">
        <v>28804.814369193406</v>
      </c>
      <c r="G28" s="43">
        <v>2534</v>
      </c>
      <c r="H28" s="43">
        <f>F28-G28</f>
        <v>26270.814369193406</v>
      </c>
      <c r="I28" s="30">
        <f>E28-H28</f>
        <v>6526.540630806598</v>
      </c>
      <c r="J28" s="32">
        <f>I28/H28*100</f>
        <v>24.843312959723</v>
      </c>
      <c r="K28" s="36">
        <f t="shared" si="5"/>
        <v>1272.3777569679187</v>
      </c>
      <c r="L28" s="30">
        <f t="shared" si="6"/>
        <v>3992.5406308065976</v>
      </c>
      <c r="M28" s="34">
        <f t="shared" si="2"/>
        <v>13.860671274023547</v>
      </c>
      <c r="N28" s="38">
        <f t="shared" si="7"/>
        <v>1112.059193887253</v>
      </c>
    </row>
    <row r="29" spans="1:14" s="4" customFormat="1" ht="12.75">
      <c r="A29" s="18">
        <f t="shared" si="3"/>
        <v>2030</v>
      </c>
      <c r="B29" s="18"/>
      <c r="C29" s="44">
        <v>28875</v>
      </c>
      <c r="D29" s="90">
        <f t="shared" si="9"/>
        <v>3919.355</v>
      </c>
      <c r="E29" s="44">
        <f>C29+D29</f>
        <v>32794.355</v>
      </c>
      <c r="F29" s="44">
        <v>29397.66178369829</v>
      </c>
      <c r="G29" s="44">
        <v>2584</v>
      </c>
      <c r="H29" s="44">
        <f>F29-G29</f>
        <v>26813.66178369829</v>
      </c>
      <c r="I29" s="31">
        <f>E29-H29</f>
        <v>5980.693216301712</v>
      </c>
      <c r="J29" s="33">
        <f>I29/H29*100</f>
        <v>22.304649266284663</v>
      </c>
      <c r="K29" s="37">
        <f t="shared" si="5"/>
        <v>617.9608595620557</v>
      </c>
      <c r="L29" s="31">
        <f t="shared" si="6"/>
        <v>3396.693216301712</v>
      </c>
      <c r="M29" s="35">
        <f t="shared" si="2"/>
        <v>11.55429721347859</v>
      </c>
      <c r="N29" s="39">
        <f t="shared" si="7"/>
        <v>456.9270379318805</v>
      </c>
    </row>
    <row r="30" spans="1:4" ht="12" customHeight="1">
      <c r="A30" s="5"/>
      <c r="B30" s="5" t="s">
        <v>64</v>
      </c>
      <c r="C30" s="5"/>
      <c r="D30" s="5"/>
    </row>
    <row r="31" spans="1:11" ht="12.75">
      <c r="A31" s="6"/>
      <c r="B31" s="6"/>
      <c r="C31" s="6"/>
      <c r="D31" s="6"/>
      <c r="E31" s="4"/>
      <c r="F31" s="4"/>
      <c r="G31" s="4"/>
      <c r="H31" s="4"/>
      <c r="I31" s="4"/>
      <c r="J31" s="4"/>
      <c r="K31" s="4"/>
    </row>
    <row r="32" spans="1:4" ht="12.75">
      <c r="A32" s="2"/>
      <c r="B32" s="2"/>
      <c r="C32" s="2"/>
      <c r="D32" s="2"/>
    </row>
    <row r="33" spans="1:11" ht="15.75">
      <c r="A33" s="91"/>
      <c r="B33" s="126" t="s">
        <v>57</v>
      </c>
      <c r="C33" s="127"/>
      <c r="D33" s="127"/>
      <c r="E33" s="128"/>
      <c r="H33" s="70"/>
      <c r="I33" s="70"/>
      <c r="J33" s="71" t="s">
        <v>38</v>
      </c>
      <c r="K33" s="70"/>
    </row>
    <row r="34" spans="1:11" ht="15">
      <c r="A34" s="91"/>
      <c r="B34" s="56"/>
      <c r="C34" s="57" t="s">
        <v>31</v>
      </c>
      <c r="D34" s="57" t="s">
        <v>32</v>
      </c>
      <c r="E34" s="58"/>
      <c r="H34" s="96" t="s">
        <v>39</v>
      </c>
      <c r="I34" s="72" t="s">
        <v>40</v>
      </c>
      <c r="J34" s="72" t="s">
        <v>41</v>
      </c>
      <c r="K34" s="72" t="s">
        <v>42</v>
      </c>
    </row>
    <row r="35" spans="1:11" ht="15">
      <c r="A35" s="91"/>
      <c r="B35" s="59"/>
      <c r="C35" s="60" t="s">
        <v>33</v>
      </c>
      <c r="D35" s="60" t="s">
        <v>33</v>
      </c>
      <c r="E35" s="61" t="s">
        <v>34</v>
      </c>
      <c r="H35" s="96" t="s">
        <v>43</v>
      </c>
      <c r="I35" s="72" t="s">
        <v>8</v>
      </c>
      <c r="J35" s="72" t="s">
        <v>44</v>
      </c>
      <c r="K35" s="72" t="s">
        <v>45</v>
      </c>
    </row>
    <row r="36" spans="1:5" ht="15">
      <c r="A36" s="9"/>
      <c r="B36" s="62" t="s">
        <v>5</v>
      </c>
      <c r="C36" s="63" t="s">
        <v>8</v>
      </c>
      <c r="D36" s="63" t="s">
        <v>8</v>
      </c>
      <c r="E36" s="61" t="s">
        <v>8</v>
      </c>
    </row>
    <row r="37" spans="1:11" ht="12.75">
      <c r="A37" s="9"/>
      <c r="B37" s="69">
        <v>2020</v>
      </c>
      <c r="C37" s="64">
        <v>0</v>
      </c>
      <c r="D37" s="64">
        <v>50</v>
      </c>
      <c r="E37" s="64">
        <v>0</v>
      </c>
      <c r="H37" s="77">
        <v>1700</v>
      </c>
      <c r="I37" s="74">
        <f>H37+D37</f>
        <v>1750</v>
      </c>
      <c r="J37" s="76">
        <v>0.41</v>
      </c>
      <c r="K37" s="75">
        <f>D37*J37</f>
        <v>20.5</v>
      </c>
    </row>
    <row r="38" spans="1:11" ht="12.75">
      <c r="A38" s="9"/>
      <c r="B38" s="69">
        <v>2021</v>
      </c>
      <c r="C38" s="64">
        <v>0</v>
      </c>
      <c r="D38" s="64">
        <v>124.5</v>
      </c>
      <c r="E38" s="64">
        <v>0</v>
      </c>
      <c r="H38" s="73"/>
      <c r="I38" s="74">
        <f>I37+D38</f>
        <v>1874.5</v>
      </c>
      <c r="J38" s="76">
        <v>0.41</v>
      </c>
      <c r="K38" s="75">
        <f aca="true" t="shared" si="10" ref="K38:K47">D38*J38</f>
        <v>51.044999999999995</v>
      </c>
    </row>
    <row r="39" spans="1:11" ht="12.75">
      <c r="A39" s="9"/>
      <c r="B39" s="69">
        <v>2022</v>
      </c>
      <c r="C39" s="64">
        <v>0</v>
      </c>
      <c r="D39" s="64">
        <v>110</v>
      </c>
      <c r="E39" s="64">
        <v>0</v>
      </c>
      <c r="H39" s="73"/>
      <c r="I39" s="74">
        <f aca="true" t="shared" si="11" ref="I39:I47">I38+D39</f>
        <v>1984.5</v>
      </c>
      <c r="J39" s="76">
        <v>0.41</v>
      </c>
      <c r="K39" s="75">
        <f t="shared" si="10"/>
        <v>45.099999999999994</v>
      </c>
    </row>
    <row r="40" spans="1:11" ht="12.75">
      <c r="A40" s="9"/>
      <c r="B40" s="69">
        <v>2023</v>
      </c>
      <c r="C40" s="64">
        <v>0</v>
      </c>
      <c r="D40" s="64">
        <v>100</v>
      </c>
      <c r="E40" s="64">
        <v>0</v>
      </c>
      <c r="H40" s="73"/>
      <c r="I40" s="74">
        <f t="shared" si="11"/>
        <v>2084.5</v>
      </c>
      <c r="J40" s="76">
        <f>((15*0.41)+(85*0.37))/100</f>
        <v>0.376</v>
      </c>
      <c r="K40" s="75">
        <f t="shared" si="10"/>
        <v>37.6</v>
      </c>
    </row>
    <row r="41" spans="2:11" ht="12.75">
      <c r="B41" s="69">
        <v>2024</v>
      </c>
      <c r="C41" s="64">
        <v>0</v>
      </c>
      <c r="D41" s="64">
        <v>100</v>
      </c>
      <c r="E41" s="64">
        <v>0</v>
      </c>
      <c r="H41" s="73"/>
      <c r="I41" s="74">
        <f t="shared" si="11"/>
        <v>2184.5</v>
      </c>
      <c r="J41" s="76">
        <v>0.37</v>
      </c>
      <c r="K41" s="75">
        <f t="shared" si="10"/>
        <v>37</v>
      </c>
    </row>
    <row r="42" spans="2:11" ht="12.75">
      <c r="B42" s="69">
        <v>2025</v>
      </c>
      <c r="C42" s="64">
        <v>0</v>
      </c>
      <c r="D42" s="64">
        <v>547</v>
      </c>
      <c r="E42" s="64">
        <v>0</v>
      </c>
      <c r="H42" s="73"/>
      <c r="I42" s="74">
        <f t="shared" si="11"/>
        <v>2731.5</v>
      </c>
      <c r="J42" s="76">
        <f>((315*0.37)+(232*0.33))/547</f>
        <v>0.35303473491773313</v>
      </c>
      <c r="K42" s="75">
        <f t="shared" si="10"/>
        <v>193.11</v>
      </c>
    </row>
    <row r="43" spans="2:11" ht="12.75">
      <c r="B43" s="69">
        <v>2026</v>
      </c>
      <c r="C43" s="64">
        <v>0</v>
      </c>
      <c r="D43" s="64">
        <v>100</v>
      </c>
      <c r="E43" s="64">
        <v>1751</v>
      </c>
      <c r="H43" s="73"/>
      <c r="I43" s="74">
        <f t="shared" si="11"/>
        <v>2831.5</v>
      </c>
      <c r="J43" s="76">
        <v>0.33</v>
      </c>
      <c r="K43" s="75">
        <f t="shared" si="10"/>
        <v>33</v>
      </c>
    </row>
    <row r="44" spans="2:11" ht="12.75">
      <c r="B44" s="69">
        <v>2027</v>
      </c>
      <c r="C44" s="64">
        <v>0</v>
      </c>
      <c r="D44" s="64">
        <v>0</v>
      </c>
      <c r="E44" s="64">
        <v>0</v>
      </c>
      <c r="H44" s="73"/>
      <c r="I44" s="74">
        <f t="shared" si="11"/>
        <v>2831.5</v>
      </c>
      <c r="J44" s="76">
        <v>0.33</v>
      </c>
      <c r="K44" s="75">
        <f t="shared" si="10"/>
        <v>0</v>
      </c>
    </row>
    <row r="45" spans="2:11" ht="12.75">
      <c r="B45" s="69">
        <v>2028</v>
      </c>
      <c r="C45" s="64">
        <v>0</v>
      </c>
      <c r="D45" s="64">
        <v>0</v>
      </c>
      <c r="E45" s="64">
        <v>0</v>
      </c>
      <c r="H45" s="73"/>
      <c r="I45" s="74">
        <f t="shared" si="11"/>
        <v>2831.5</v>
      </c>
      <c r="J45" s="76">
        <v>0.33</v>
      </c>
      <c r="K45" s="75">
        <f t="shared" si="10"/>
        <v>0</v>
      </c>
    </row>
    <row r="46" spans="2:11" ht="12.75">
      <c r="B46" s="69">
        <v>2029</v>
      </c>
      <c r="C46" s="64">
        <v>0</v>
      </c>
      <c r="D46" s="64">
        <v>0</v>
      </c>
      <c r="E46" s="64">
        <v>1751</v>
      </c>
      <c r="H46" s="73"/>
      <c r="I46" s="74">
        <f t="shared" si="11"/>
        <v>2831.5</v>
      </c>
      <c r="J46" s="76">
        <v>0.33</v>
      </c>
      <c r="K46" s="75">
        <f t="shared" si="10"/>
        <v>0</v>
      </c>
    </row>
    <row r="47" spans="2:11" ht="12.75">
      <c r="B47" s="69">
        <v>2030</v>
      </c>
      <c r="C47" s="64">
        <v>0</v>
      </c>
      <c r="D47" s="64">
        <v>0</v>
      </c>
      <c r="E47" s="64">
        <v>0</v>
      </c>
      <c r="H47" s="73"/>
      <c r="I47" s="74">
        <f t="shared" si="11"/>
        <v>2831.5</v>
      </c>
      <c r="J47" s="76">
        <v>0.33</v>
      </c>
      <c r="K47" s="75">
        <f t="shared" si="10"/>
        <v>0</v>
      </c>
    </row>
    <row r="48" spans="2:11" ht="28.5" customHeight="1">
      <c r="B48" s="65" t="s">
        <v>35</v>
      </c>
      <c r="C48" s="66">
        <f>SUM(C37:C47)</f>
        <v>0</v>
      </c>
      <c r="D48" s="66">
        <f>SUM(D37:D47)</f>
        <v>1131.5</v>
      </c>
      <c r="E48" s="66">
        <f>SUM(E37:E47)</f>
        <v>3502</v>
      </c>
      <c r="H48" s="73"/>
      <c r="I48" s="73"/>
      <c r="J48" s="73"/>
      <c r="K48" s="97">
        <f>SUM(K37:K47)</f>
        <v>417.355</v>
      </c>
    </row>
    <row r="49" spans="2:5" ht="15">
      <c r="B49" s="67" t="s">
        <v>36</v>
      </c>
      <c r="C49" s="66">
        <f>C48</f>
        <v>0</v>
      </c>
      <c r="D49" s="99">
        <f>K48</f>
        <v>417.355</v>
      </c>
      <c r="E49" s="66">
        <f>E48</f>
        <v>3502</v>
      </c>
    </row>
    <row r="50" spans="2:5" ht="30">
      <c r="B50" s="67" t="s">
        <v>37</v>
      </c>
      <c r="C50" s="66">
        <f>SUM(C49:E49)</f>
        <v>3919.355</v>
      </c>
      <c r="D50" s="68"/>
      <c r="E50" s="68"/>
    </row>
    <row r="53" spans="2:7" ht="15">
      <c r="B53" s="78" t="s">
        <v>46</v>
      </c>
      <c r="C53" s="79"/>
      <c r="D53" s="79"/>
      <c r="E53" s="79"/>
      <c r="F53" s="79"/>
      <c r="G53" s="80"/>
    </row>
    <row r="54" spans="2:7" ht="12.75">
      <c r="B54" s="81"/>
      <c r="C54" s="82"/>
      <c r="D54" s="82"/>
      <c r="E54" s="82"/>
      <c r="F54" s="82"/>
      <c r="G54" s="83"/>
    </row>
    <row r="55" spans="2:7" ht="12.75">
      <c r="B55" s="81" t="s">
        <v>47</v>
      </c>
      <c r="C55" s="82"/>
      <c r="D55" s="84">
        <v>0.52</v>
      </c>
      <c r="E55" s="82"/>
      <c r="F55" s="82"/>
      <c r="G55" s="83"/>
    </row>
    <row r="56" spans="2:7" ht="12.75">
      <c r="B56" s="81" t="s">
        <v>48</v>
      </c>
      <c r="C56" s="82"/>
      <c r="D56" s="84">
        <v>0.48</v>
      </c>
      <c r="E56" s="82"/>
      <c r="F56" s="82"/>
      <c r="G56" s="83"/>
    </row>
    <row r="57" spans="2:7" ht="12.75">
      <c r="B57" s="81" t="s">
        <v>49</v>
      </c>
      <c r="C57" s="82"/>
      <c r="D57" s="84">
        <v>0.44</v>
      </c>
      <c r="E57" s="82"/>
      <c r="F57" s="82"/>
      <c r="G57" s="83"/>
    </row>
    <row r="58" spans="2:7" ht="12.75">
      <c r="B58" s="81" t="s">
        <v>50</v>
      </c>
      <c r="C58" s="82"/>
      <c r="D58" s="84">
        <v>0.41</v>
      </c>
      <c r="E58" s="82"/>
      <c r="F58" s="82"/>
      <c r="G58" s="83"/>
    </row>
    <row r="59" spans="2:7" ht="12.75">
      <c r="B59" s="81" t="s">
        <v>51</v>
      </c>
      <c r="C59" s="82"/>
      <c r="D59" s="84">
        <v>0.37</v>
      </c>
      <c r="E59" s="82"/>
      <c r="F59" s="82"/>
      <c r="G59" s="83"/>
    </row>
    <row r="60" spans="2:7" ht="12.75">
      <c r="B60" s="85" t="s">
        <v>52</v>
      </c>
      <c r="C60" s="86"/>
      <c r="D60" s="87">
        <v>0.33</v>
      </c>
      <c r="E60" s="86"/>
      <c r="F60" s="86"/>
      <c r="G60" s="88"/>
    </row>
  </sheetData>
  <sheetProtection/>
  <mergeCells count="11">
    <mergeCell ref="A4:N4"/>
    <mergeCell ref="A5:N5"/>
    <mergeCell ref="I9:K9"/>
    <mergeCell ref="L9:N9"/>
    <mergeCell ref="I10:J10"/>
    <mergeCell ref="L10:M10"/>
    <mergeCell ref="I11:J11"/>
    <mergeCell ref="L11:M11"/>
    <mergeCell ref="I12:J12"/>
    <mergeCell ref="L12:M12"/>
    <mergeCell ref="B33:E33"/>
  </mergeCells>
  <conditionalFormatting sqref="N18:N29">
    <cfRule type="cellIs" priority="3" dxfId="21" operator="lessThan" stopIfTrue="1">
      <formula>0</formula>
    </cfRule>
  </conditionalFormatting>
  <conditionalFormatting sqref="C37:E47">
    <cfRule type="cellIs" priority="2" dxfId="0" operator="greaterThan" stopIfTrue="1">
      <formula>0</formula>
    </cfRule>
  </conditionalFormatting>
  <conditionalFormatting sqref="K37:K47">
    <cfRule type="cellIs" priority="1" dxfId="22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2017-11-17T18:12:17Z</dcterms:created>
  <dcterms:modified xsi:type="dcterms:W3CDTF">2017-11-17T18:12:23Z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Stat">
    <vt:lpwstr>Draft</vt:lpwstr>
  </property>
  <property fmtid="{D5CDD505-2E9C-101B-9397-08002B2CF9AE}" pid="4" name="Commen">
    <vt:lpwstr>Scrubbed</vt:lpwstr>
  </property>
  <property fmtid="{D5CDD505-2E9C-101B-9397-08002B2CF9AE}" pid="5" name="Document Ty">
    <vt:lpwstr>Question</vt:lpwstr>
  </property>
</Properties>
</file>