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0955" windowHeight="8955"/>
  </bookViews>
  <sheets>
    <sheet name="EE" sheetId="1" r:id="rId1"/>
    <sheet name="PV" sheetId="2" r:id="rId2"/>
    <sheet name="DR" sheetId="4" r:id="rId3"/>
  </sheets>
  <externalReferences>
    <externalReference r:id="rId4"/>
  </externalReferences>
  <definedNames>
    <definedName name="_xlnm.Print_Area" localSheetId="0">EE!$A$1:$Q$40</definedName>
  </definedNames>
  <calcPr calcId="145621" calcMode="manual"/>
</workbook>
</file>

<file path=xl/calcChain.xml><?xml version="1.0" encoding="utf-8"?>
<calcChain xmlns="http://schemas.openxmlformats.org/spreadsheetml/2006/main">
  <c r="O28" i="1" l="1"/>
  <c r="O19" i="1"/>
  <c r="O10" i="1"/>
  <c r="E50" i="1"/>
  <c r="F50" i="1"/>
  <c r="D50" i="1"/>
  <c r="F36" i="1" l="1"/>
  <c r="E36" i="1"/>
  <c r="D36" i="1"/>
  <c r="E35" i="1"/>
  <c r="F34" i="1"/>
  <c r="E34" i="1"/>
  <c r="D34" i="1"/>
  <c r="Q10" i="1"/>
  <c r="P10" i="1"/>
  <c r="K10" i="1"/>
  <c r="J10" i="1"/>
  <c r="Q19" i="1"/>
  <c r="P19" i="1"/>
  <c r="N19" i="1"/>
  <c r="K19" i="1"/>
  <c r="J19" i="1"/>
  <c r="Q28" i="1"/>
  <c r="K28" i="1"/>
  <c r="P28" i="1"/>
  <c r="J28" i="1"/>
  <c r="L28" i="1"/>
  <c r="M28" i="1" s="1"/>
  <c r="I28" i="1"/>
  <c r="L19" i="1"/>
  <c r="D19" i="1" s="1"/>
  <c r="I19" i="1"/>
  <c r="L10" i="1"/>
  <c r="D35" i="1" s="1"/>
  <c r="I10" i="1"/>
  <c r="F19" i="1" l="1"/>
  <c r="H19" i="1"/>
  <c r="E19" i="1"/>
  <c r="D28" i="1"/>
  <c r="M19" i="1"/>
  <c r="F35" i="1"/>
  <c r="N28" i="1"/>
  <c r="M10" i="1"/>
  <c r="D10" i="1"/>
  <c r="N10" i="1"/>
  <c r="O27" i="1"/>
  <c r="L27" i="1"/>
  <c r="I27" i="1"/>
  <c r="O18" i="1"/>
  <c r="L18" i="1"/>
  <c r="I18" i="1"/>
  <c r="O9" i="1"/>
  <c r="L9" i="1"/>
  <c r="I9" i="1"/>
  <c r="E10" i="1" l="1"/>
  <c r="H10" i="1"/>
  <c r="F10" i="1"/>
  <c r="H28" i="1"/>
  <c r="F28" i="1"/>
  <c r="E28" i="1"/>
  <c r="E12" i="2"/>
  <c r="D12" i="2"/>
  <c r="C12" i="2"/>
  <c r="D17" i="4" l="1"/>
  <c r="E17" i="4"/>
  <c r="D15" i="4"/>
  <c r="E15" i="4"/>
  <c r="F15" i="4"/>
  <c r="F17" i="4" s="1"/>
  <c r="C15" i="4"/>
  <c r="C17" i="4" s="1"/>
  <c r="D7" i="4" l="1"/>
  <c r="E7" i="4"/>
  <c r="E11" i="4" s="1"/>
  <c r="F7" i="4"/>
  <c r="F11" i="4" s="1"/>
  <c r="C7" i="4"/>
  <c r="D11" i="4"/>
  <c r="C11" i="4"/>
  <c r="E16" i="2"/>
  <c r="D14" i="2"/>
  <c r="D16" i="2" s="1"/>
  <c r="E14" i="2"/>
  <c r="C14" i="2"/>
  <c r="C16" i="2" s="1"/>
  <c r="D10" i="2"/>
  <c r="E10" i="2"/>
  <c r="C10" i="2"/>
  <c r="D6" i="2" l="1"/>
  <c r="E6" i="2"/>
  <c r="C6" i="2"/>
  <c r="D29" i="1" l="1"/>
  <c r="Q27" i="1"/>
  <c r="Q26" i="1"/>
  <c r="P26" i="1"/>
  <c r="N26" i="1"/>
  <c r="M26" i="1"/>
  <c r="K26" i="1"/>
  <c r="J26" i="1"/>
  <c r="D26" i="1"/>
  <c r="H26" i="1" s="1"/>
  <c r="Q25" i="1"/>
  <c r="P25" i="1"/>
  <c r="N25" i="1"/>
  <c r="M25" i="1"/>
  <c r="K25" i="1"/>
  <c r="J25" i="1"/>
  <c r="D25" i="1"/>
  <c r="H25" i="1" s="1"/>
  <c r="D24" i="1"/>
  <c r="H24" i="1" s="1"/>
  <c r="D20" i="1"/>
  <c r="Q18" i="1"/>
  <c r="K18" i="1"/>
  <c r="Q17" i="1"/>
  <c r="P17" i="1"/>
  <c r="N17" i="1"/>
  <c r="M17" i="1"/>
  <c r="K17" i="1"/>
  <c r="J17" i="1"/>
  <c r="D17" i="1"/>
  <c r="Q16" i="1"/>
  <c r="P16" i="1"/>
  <c r="N16" i="1"/>
  <c r="M16" i="1"/>
  <c r="K16" i="1"/>
  <c r="J16" i="1"/>
  <c r="D16" i="1"/>
  <c r="H16" i="1" s="1"/>
  <c r="D15" i="1"/>
  <c r="H15" i="1" s="1"/>
  <c r="N27" i="1" l="1"/>
  <c r="M18" i="1"/>
  <c r="J27" i="1"/>
  <c r="J18" i="1"/>
  <c r="F17" i="1"/>
  <c r="N18" i="1"/>
  <c r="K27" i="1"/>
  <c r="E25" i="1"/>
  <c r="H17" i="1"/>
  <c r="E16" i="1"/>
  <c r="F25" i="1"/>
  <c r="E26" i="1"/>
  <c r="P27" i="1"/>
  <c r="F26" i="1"/>
  <c r="D27" i="1"/>
  <c r="M27" i="1"/>
  <c r="F16" i="1"/>
  <c r="E17" i="1"/>
  <c r="P18" i="1"/>
  <c r="D18" i="1"/>
  <c r="F37" i="1" l="1"/>
  <c r="F39" i="1" s="1"/>
  <c r="E37" i="1"/>
  <c r="E39" i="1" s="1"/>
  <c r="D37" i="1"/>
  <c r="D39" i="1" s="1"/>
  <c r="E27" i="1"/>
  <c r="H27" i="1"/>
  <c r="F27" i="1"/>
  <c r="E18" i="1"/>
  <c r="H18" i="1"/>
  <c r="F18" i="1"/>
  <c r="D9" i="1"/>
  <c r="D8" i="1"/>
  <c r="D7" i="1"/>
  <c r="H7" i="1" s="1"/>
  <c r="D6" i="1"/>
  <c r="H6" i="1" s="1"/>
  <c r="D11" i="1"/>
  <c r="Q9" i="1"/>
  <c r="P9" i="1"/>
  <c r="N9" i="1"/>
  <c r="M9" i="1"/>
  <c r="K9" i="1"/>
  <c r="J9" i="1"/>
  <c r="Q8" i="1"/>
  <c r="P8" i="1"/>
  <c r="N8" i="1"/>
  <c r="M8" i="1"/>
  <c r="K8" i="1"/>
  <c r="J8" i="1"/>
  <c r="Q7" i="1"/>
  <c r="P7" i="1"/>
  <c r="N7" i="1"/>
  <c r="M7" i="1"/>
  <c r="K7" i="1"/>
  <c r="J7" i="1"/>
  <c r="F9" i="1" l="1"/>
  <c r="H9" i="1"/>
  <c r="E9" i="1"/>
  <c r="H8" i="1"/>
  <c r="F8" i="1"/>
  <c r="E8" i="1"/>
  <c r="E7" i="1"/>
  <c r="F7" i="1"/>
</calcChain>
</file>

<file path=xl/comments1.xml><?xml version="1.0" encoding="utf-8"?>
<comments xmlns="http://schemas.openxmlformats.org/spreadsheetml/2006/main">
  <authors>
    <author>Bullard, Robert Joseph</author>
  </authors>
  <commentList>
    <comment ref="B12" authorId="0">
      <text>
        <r>
          <rPr>
            <b/>
            <sz val="9"/>
            <color indexed="81"/>
            <rFont val="Tahoma"/>
            <family val="2"/>
          </rPr>
          <t>Bullard, Robert Joseph:</t>
        </r>
        <r>
          <rPr>
            <sz val="9"/>
            <color indexed="81"/>
            <rFont val="Tahoma"/>
            <family val="2"/>
          </rPr>
          <t xml:space="preserve">
Calculated using total installed capacity (AC) as of 12/31/12. The original Itron calculation file was used for the calculation of energy and demand savings.  These values are linked to the original Itron calculation file.</t>
        </r>
      </text>
    </comment>
  </commentList>
</comments>
</file>

<file path=xl/comments2.xml><?xml version="1.0" encoding="utf-8"?>
<comments xmlns="http://schemas.openxmlformats.org/spreadsheetml/2006/main">
  <authors>
    <author>Bullard, Robert Joseph</author>
  </authors>
  <commentList>
    <comment ref="B13" authorId="0">
      <text>
        <r>
          <rPr>
            <b/>
            <sz val="9"/>
            <color indexed="81"/>
            <rFont val="Tahoma"/>
            <family val="2"/>
          </rPr>
          <t>Bullard, Robert Joseph:</t>
        </r>
        <r>
          <rPr>
            <sz val="9"/>
            <color indexed="81"/>
            <rFont val="Tahoma"/>
            <family val="2"/>
          </rPr>
          <t xml:space="preserve">
EnergySelect &amp; RTP achievements from 2008-2012</t>
        </r>
      </text>
    </comment>
  </commentList>
</comments>
</file>

<file path=xl/sharedStrings.xml><?xml version="1.0" encoding="utf-8"?>
<sst xmlns="http://schemas.openxmlformats.org/spreadsheetml/2006/main" count="116" uniqueCount="41">
  <si>
    <t>ITRON Original</t>
  </si>
  <si>
    <t>Minus Standard Changes</t>
  </si>
  <si>
    <t>New Measures Added</t>
  </si>
  <si>
    <t>Incremental Delta</t>
  </si>
  <si>
    <t>Number of New Measures</t>
  </si>
  <si>
    <t>Residential</t>
  </si>
  <si>
    <t>Commercial</t>
  </si>
  <si>
    <t>Industrial</t>
  </si>
  <si>
    <t>GWH</t>
  </si>
  <si>
    <t>Systm Adj Fact- Custm Count</t>
  </si>
  <si>
    <t>Cumulative Delta</t>
  </si>
  <si>
    <t>Sales MWH</t>
  </si>
  <si>
    <t>TP % of Sales</t>
  </si>
  <si>
    <t xml:space="preserve">TP as % Sales </t>
  </si>
  <si>
    <t>System Total  - Technical Potential</t>
  </si>
  <si>
    <t>Systm Adj Fact- Custm Count Applied</t>
  </si>
  <si>
    <t>GULF TP Comparison of Changes</t>
  </si>
  <si>
    <t>S MW</t>
  </si>
  <si>
    <t>W MW</t>
  </si>
  <si>
    <t xml:space="preserve">Residential </t>
  </si>
  <si>
    <t>Total</t>
  </si>
  <si>
    <t>Percent Change from ITRON Original</t>
  </si>
  <si>
    <t>Summary of PV Technical Potential Results by Sector</t>
  </si>
  <si>
    <t>Residential (Itron Original)</t>
  </si>
  <si>
    <t>Commercial (Itron Original)</t>
  </si>
  <si>
    <t>Total (after System Adj Fact)</t>
  </si>
  <si>
    <t>Total (Itron Original)</t>
  </si>
  <si>
    <t>Achievements 2008-2012</t>
  </si>
  <si>
    <t>Total (less achievements)</t>
  </si>
  <si>
    <t>FEECA Reported Achievements 2008-2012</t>
  </si>
  <si>
    <t>Summary of DR Technical Potential Results by Sector</t>
  </si>
  <si>
    <t>Industrial (Itron Original)</t>
  </si>
  <si>
    <t>High S MW</t>
  </si>
  <si>
    <t>Low S MW</t>
  </si>
  <si>
    <t>High W MW</t>
  </si>
  <si>
    <t>Low W MW</t>
  </si>
  <si>
    <t xml:space="preserve"> </t>
  </si>
  <si>
    <t>FEECA Reported Achievements Applied</t>
  </si>
  <si>
    <t>FEECA Reported Achievements Res</t>
  </si>
  <si>
    <t>FEECA Reported Achievements Com</t>
  </si>
  <si>
    <t>FEECA Reported Achievements 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</si>
</sst>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horizontal="center"/>
    </xf>
    <xf numFmtId="9" fontId="0" fillId="5" borderId="1" xfId="1" applyFont="1" applyFill="1" applyBorder="1" applyAlignment="1">
      <alignment horizontal="center"/>
    </xf>
    <xf numFmtId="9" fontId="0" fillId="2" borderId="1" xfId="1" applyFont="1" applyFill="1" applyBorder="1" applyAlignment="1">
      <alignment horizontal="center"/>
    </xf>
    <xf numFmtId="9" fontId="0" fillId="3" borderId="1" xfId="1" applyFont="1" applyFill="1" applyBorder="1" applyAlignment="1">
      <alignment horizontal="center"/>
    </xf>
    <xf numFmtId="0" fontId="0" fillId="0" borderId="2" xfId="0" applyBorder="1"/>
    <xf numFmtId="0" fontId="0" fillId="0" borderId="4" xfId="0" applyBorder="1" applyAlignment="1">
      <alignment horizontal="center"/>
    </xf>
    <xf numFmtId="9" fontId="0" fillId="4" borderId="7" xfId="1" applyFont="1" applyFill="1" applyBorder="1" applyAlignment="1">
      <alignment horizontal="center"/>
    </xf>
    <xf numFmtId="9" fontId="0" fillId="4" borderId="1" xfId="1" applyFont="1" applyFill="1" applyBorder="1" applyAlignment="1">
      <alignment horizontal="center"/>
    </xf>
    <xf numFmtId="0" fontId="0" fillId="3" borderId="10" xfId="0" applyFill="1" applyBorder="1"/>
    <xf numFmtId="0" fontId="0" fillId="0" borderId="2" xfId="0" applyFill="1" applyBorder="1" applyAlignment="1">
      <alignment horizontal="left"/>
    </xf>
    <xf numFmtId="9" fontId="0" fillId="0" borderId="4" xfId="1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9" fontId="0" fillId="0" borderId="5" xfId="1" applyFont="1" applyBorder="1" applyAlignment="1">
      <alignment horizontal="center"/>
    </xf>
    <xf numFmtId="9" fontId="0" fillId="5" borderId="7" xfId="1" applyFont="1" applyFill="1" applyBorder="1" applyAlignment="1">
      <alignment horizontal="center"/>
    </xf>
    <xf numFmtId="164" fontId="0" fillId="5" borderId="7" xfId="1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9" fontId="0" fillId="2" borderId="7" xfId="1" applyFont="1" applyFill="1" applyBorder="1" applyAlignment="1">
      <alignment horizontal="center"/>
    </xf>
    <xf numFmtId="9" fontId="0" fillId="3" borderId="7" xfId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3" xfId="0" applyFill="1" applyBorder="1"/>
    <xf numFmtId="0" fontId="0" fillId="3" borderId="15" xfId="0" applyFill="1" applyBorder="1"/>
    <xf numFmtId="0" fontId="0" fillId="4" borderId="13" xfId="0" applyFill="1" applyBorder="1"/>
    <xf numFmtId="0" fontId="0" fillId="4" borderId="14" xfId="0" applyFill="1" applyBorder="1"/>
    <xf numFmtId="0" fontId="0" fillId="2" borderId="14" xfId="0" applyFill="1" applyBorder="1" applyAlignment="1">
      <alignment horizontal="center"/>
    </xf>
    <xf numFmtId="0" fontId="2" fillId="0" borderId="0" xfId="0" applyFont="1"/>
    <xf numFmtId="0" fontId="0" fillId="0" borderId="17" xfId="0" applyBorder="1" applyAlignment="1">
      <alignment horizontal="center"/>
    </xf>
    <xf numFmtId="0" fontId="0" fillId="5" borderId="10" xfId="0" applyFill="1" applyBorder="1"/>
    <xf numFmtId="0" fontId="0" fillId="5" borderId="18" xfId="0" applyFill="1" applyBorder="1" applyAlignment="1">
      <alignment horizontal="center"/>
    </xf>
    <xf numFmtId="0" fontId="0" fillId="0" borderId="19" xfId="0" applyBorder="1" applyAlignment="1">
      <alignment horizontal="center"/>
    </xf>
    <xf numFmtId="10" fontId="0" fillId="0" borderId="7" xfId="1" applyNumberFormat="1" applyFont="1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22" xfId="0" applyBorder="1" applyAlignment="1">
      <alignment horizontal="center"/>
    </xf>
    <xf numFmtId="10" fontId="0" fillId="0" borderId="23" xfId="1" applyNumberFormat="1" applyFont="1" applyBorder="1"/>
    <xf numFmtId="0" fontId="0" fillId="0" borderId="14" xfId="0" applyBorder="1" applyAlignment="1">
      <alignment horizontal="center"/>
    </xf>
    <xf numFmtId="0" fontId="4" fillId="0" borderId="1" xfId="0" applyFont="1" applyBorder="1"/>
    <xf numFmtId="1" fontId="0" fillId="0" borderId="1" xfId="0" applyNumberFormat="1" applyBorder="1"/>
    <xf numFmtId="0" fontId="0" fillId="0" borderId="1" xfId="0" applyBorder="1"/>
    <xf numFmtId="9" fontId="0" fillId="0" borderId="1" xfId="1" applyNumberFormat="1" applyFont="1" applyBorder="1"/>
    <xf numFmtId="9" fontId="0" fillId="0" borderId="1" xfId="1" applyFont="1" applyBorder="1"/>
    <xf numFmtId="0" fontId="5" fillId="0" borderId="1" xfId="0" applyFont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1" fontId="0" fillId="0" borderId="6" xfId="0" applyNumberFormat="1" applyFill="1" applyBorder="1" applyAlignment="1">
      <alignment horizontal="center"/>
    </xf>
    <xf numFmtId="43" fontId="0" fillId="0" borderId="24" xfId="2" applyFont="1" applyFill="1" applyBorder="1" applyAlignment="1">
      <alignment horizontal="center"/>
    </xf>
    <xf numFmtId="43" fontId="3" fillId="0" borderId="6" xfId="2" applyFont="1" applyFill="1" applyBorder="1" applyAlignment="1">
      <alignment horizontal="center"/>
    </xf>
    <xf numFmtId="0" fontId="4" fillId="3" borderId="1" xfId="0" applyFont="1" applyFill="1" applyBorder="1"/>
    <xf numFmtId="1" fontId="0" fillId="3" borderId="1" xfId="0" applyNumberFormat="1" applyFill="1" applyBorder="1"/>
    <xf numFmtId="0" fontId="4" fillId="2" borderId="1" xfId="0" applyFont="1" applyFill="1" applyBorder="1"/>
    <xf numFmtId="1" fontId="0" fillId="2" borderId="1" xfId="0" applyNumberFormat="1" applyFill="1" applyBorder="1"/>
    <xf numFmtId="0" fontId="4" fillId="4" borderId="1" xfId="0" applyFont="1" applyFill="1" applyBorder="1"/>
    <xf numFmtId="1" fontId="0" fillId="4" borderId="1" xfId="0" applyNumberFormat="1" applyFill="1" applyBorder="1"/>
    <xf numFmtId="10" fontId="0" fillId="0" borderId="1" xfId="1" applyNumberFormat="1" applyFont="1" applyBorder="1"/>
    <xf numFmtId="0" fontId="5" fillId="0" borderId="0" xfId="0" applyFont="1"/>
    <xf numFmtId="0" fontId="4" fillId="0" borderId="1" xfId="0" applyFont="1" applyFill="1" applyBorder="1"/>
    <xf numFmtId="2" fontId="0" fillId="0" borderId="1" xfId="0" applyNumberFormat="1" applyFill="1" applyBorder="1"/>
    <xf numFmtId="0" fontId="4" fillId="0" borderId="0" xfId="0" applyFont="1" applyBorder="1"/>
    <xf numFmtId="1" fontId="0" fillId="0" borderId="0" xfId="0" applyNumberFormat="1" applyBorder="1"/>
    <xf numFmtId="0" fontId="0" fillId="0" borderId="0" xfId="0" applyBorder="1"/>
    <xf numFmtId="9" fontId="0" fillId="3" borderId="1" xfId="1" applyNumberFormat="1" applyFont="1" applyFill="1" applyBorder="1" applyAlignment="1">
      <alignment horizontal="center"/>
    </xf>
    <xf numFmtId="0" fontId="0" fillId="0" borderId="29" xfId="0" applyBorder="1"/>
    <xf numFmtId="1" fontId="0" fillId="0" borderId="29" xfId="0" applyNumberFormat="1" applyBorder="1"/>
    <xf numFmtId="1" fontId="0" fillId="0" borderId="0" xfId="0" applyNumberFormat="1"/>
    <xf numFmtId="164" fontId="0" fillId="0" borderId="27" xfId="1" applyNumberFormat="1" applyFont="1" applyFill="1" applyBorder="1" applyAlignment="1">
      <alignment horizontal="center"/>
    </xf>
    <xf numFmtId="164" fontId="0" fillId="0" borderId="20" xfId="1" applyNumberFormat="1" applyFont="1" applyFill="1" applyBorder="1" applyAlignment="1">
      <alignment horizontal="center"/>
    </xf>
    <xf numFmtId="164" fontId="0" fillId="0" borderId="28" xfId="1" applyNumberFormat="1" applyFont="1" applyFill="1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2" fontId="0" fillId="0" borderId="25" xfId="2" applyNumberFormat="1" applyFont="1" applyFill="1" applyBorder="1" applyAlignment="1">
      <alignment horizontal="center"/>
    </xf>
    <xf numFmtId="2" fontId="0" fillId="0" borderId="21" xfId="2" applyNumberFormat="1" applyFont="1" applyFill="1" applyBorder="1" applyAlignment="1">
      <alignment horizontal="center"/>
    </xf>
    <xf numFmtId="2" fontId="0" fillId="0" borderId="26" xfId="2" applyNumberFormat="1" applyFont="1" applyFill="1" applyBorder="1" applyAlignment="1">
      <alignment horizontal="center"/>
    </xf>
    <xf numFmtId="2" fontId="0" fillId="0" borderId="25" xfId="1" applyNumberFormat="1" applyFont="1" applyFill="1" applyBorder="1" applyAlignment="1">
      <alignment horizontal="center"/>
    </xf>
    <xf numFmtId="2" fontId="0" fillId="0" borderId="21" xfId="1" applyNumberFormat="1" applyFont="1" applyFill="1" applyBorder="1" applyAlignment="1">
      <alignment horizontal="center"/>
    </xf>
    <xf numFmtId="2" fontId="0" fillId="0" borderId="26" xfId="1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olar%20PV%20Adjustment/Solar%20PV%20Achievements%20as%20of%201231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hievements as of 123112"/>
      <sheetName val="Sheet2"/>
      <sheetName val="Sheet3"/>
    </sheetNames>
    <sheetDataSet>
      <sheetData sheetId="0">
        <row r="10">
          <cell r="C10">
            <v>1.3638823766199999</v>
          </cell>
          <cell r="D10">
            <v>9.0159409999999995E-2</v>
          </cell>
          <cell r="E10">
            <v>0.49177860000000001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Q50"/>
  <sheetViews>
    <sheetView tabSelected="1" view="pageBreakPreview" zoomScaleNormal="90" zoomScaleSheetLayoutView="100" workbookViewId="0">
      <selection activeCell="H43" sqref="H43"/>
    </sheetView>
  </sheetViews>
  <sheetFormatPr defaultRowHeight="15" x14ac:dyDescent="0.25"/>
  <cols>
    <col min="1" max="1" width="1.85546875" customWidth="1"/>
    <col min="2" max="2" width="3.7109375" bestFit="1" customWidth="1"/>
    <col min="3" max="3" width="38.5703125" customWidth="1"/>
    <col min="4" max="4" width="12.28515625" bestFit="1" customWidth="1"/>
    <col min="5" max="5" width="18.140625" bestFit="1" customWidth="1"/>
    <col min="6" max="6" width="18.5703125" bestFit="1" customWidth="1"/>
    <col min="7" max="7" width="15.28515625" style="1" bestFit="1" customWidth="1"/>
    <col min="8" max="8" width="13.140625" bestFit="1" customWidth="1"/>
    <col min="9" max="9" width="8.28515625" style="1" bestFit="1" customWidth="1"/>
    <col min="10" max="10" width="18.140625" style="1" bestFit="1" customWidth="1"/>
    <col min="11" max="11" width="18.5703125" style="1" bestFit="1" customWidth="1"/>
    <col min="12" max="12" width="8.140625" style="1" bestFit="1" customWidth="1"/>
    <col min="13" max="13" width="18.140625" style="1" bestFit="1" customWidth="1"/>
    <col min="14" max="14" width="18.5703125" style="1" bestFit="1" customWidth="1"/>
    <col min="15" max="15" width="7.140625" style="1" bestFit="1" customWidth="1"/>
    <col min="16" max="16" width="18.140625" style="1" bestFit="1" customWidth="1"/>
    <col min="17" max="17" width="18.5703125" bestFit="1" customWidth="1"/>
    <col min="19" max="19" width="13.85546875" bestFit="1" customWidth="1"/>
  </cols>
  <sheetData>
    <row r="3" spans="2:17" x14ac:dyDescent="0.25">
      <c r="C3" s="78" t="s">
        <v>16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2:17" ht="15.75" thickBot="1" x14ac:dyDescent="0.3">
      <c r="D4" s="76" t="s">
        <v>14</v>
      </c>
      <c r="E4" s="76"/>
      <c r="F4" s="76"/>
      <c r="G4" s="77" t="s">
        <v>13</v>
      </c>
      <c r="H4" s="77"/>
      <c r="I4" s="76" t="s">
        <v>5</v>
      </c>
      <c r="J4" s="76"/>
      <c r="K4" s="76"/>
      <c r="L4" s="76" t="s">
        <v>6</v>
      </c>
      <c r="M4" s="76"/>
      <c r="N4" s="76"/>
      <c r="O4" s="76" t="s">
        <v>7</v>
      </c>
      <c r="P4" s="76"/>
      <c r="Q4" s="76"/>
    </row>
    <row r="5" spans="2:17" ht="15.75" thickBot="1" x14ac:dyDescent="0.3">
      <c r="D5" s="27" t="s">
        <v>8</v>
      </c>
      <c r="E5" s="28" t="s">
        <v>3</v>
      </c>
      <c r="F5" s="29" t="s">
        <v>10</v>
      </c>
      <c r="G5" s="30" t="s">
        <v>11</v>
      </c>
      <c r="H5" s="36" t="s">
        <v>12</v>
      </c>
      <c r="I5" s="34" t="s">
        <v>8</v>
      </c>
      <c r="J5" s="21" t="s">
        <v>3</v>
      </c>
      <c r="K5" s="25" t="s">
        <v>10</v>
      </c>
      <c r="L5" s="19" t="s">
        <v>8</v>
      </c>
      <c r="M5" s="9" t="s">
        <v>3</v>
      </c>
      <c r="N5" s="22" t="s">
        <v>10</v>
      </c>
      <c r="O5" s="20" t="s">
        <v>8</v>
      </c>
      <c r="P5" s="23" t="s">
        <v>3</v>
      </c>
      <c r="Q5" s="24" t="s">
        <v>10</v>
      </c>
    </row>
    <row r="6" spans="2:17" x14ac:dyDescent="0.25">
      <c r="C6" s="5" t="s">
        <v>0</v>
      </c>
      <c r="D6" s="43">
        <f>SUM(I6,L6,O6)</f>
        <v>3304.1926210149645</v>
      </c>
      <c r="E6" s="11"/>
      <c r="F6" s="13"/>
      <c r="G6" s="45">
        <v>11495379.491</v>
      </c>
      <c r="H6" s="35">
        <f>D6/(G6/1000)</f>
        <v>0.28743658472535805</v>
      </c>
      <c r="I6" s="43">
        <v>1949.9697786701649</v>
      </c>
      <c r="J6" s="6"/>
      <c r="K6" s="16"/>
      <c r="L6" s="43">
        <v>1186.714536109866</v>
      </c>
      <c r="M6" s="6"/>
      <c r="N6" s="12"/>
      <c r="O6" s="43">
        <v>167.50830623493357</v>
      </c>
      <c r="P6" s="6"/>
      <c r="Q6" s="12"/>
    </row>
    <row r="7" spans="2:17" x14ac:dyDescent="0.25">
      <c r="C7" s="5" t="s">
        <v>1</v>
      </c>
      <c r="D7" s="44">
        <f t="shared" ref="D7:D8" si="0">SUM(I7,L7,O7)</f>
        <v>2846.2893796249655</v>
      </c>
      <c r="E7" s="2">
        <f>-(1-(D7/D6))</f>
        <v>-0.13858249016043822</v>
      </c>
      <c r="F7" s="14">
        <f>-(1-D7/D6)</f>
        <v>-0.13858249016043822</v>
      </c>
      <c r="G7" s="46">
        <v>10636853.089</v>
      </c>
      <c r="H7" s="31">
        <f>D7/(G7/1000)</f>
        <v>0.26758754265097712</v>
      </c>
      <c r="I7" s="44">
        <v>1635.4665321142716</v>
      </c>
      <c r="J7" s="3">
        <f>-(1-(I7/I6))</f>
        <v>-0.16128621581529201</v>
      </c>
      <c r="K7" s="17">
        <f>-(1-I7/I6)</f>
        <v>-0.16128621581529201</v>
      </c>
      <c r="L7" s="44">
        <v>1049.1205675350368</v>
      </c>
      <c r="M7" s="4">
        <f>-(1-(L7/L6))</f>
        <v>-0.11594529635229034</v>
      </c>
      <c r="N7" s="18">
        <f>-(1-L7/L6)</f>
        <v>-0.11594529635229034</v>
      </c>
      <c r="O7" s="44">
        <v>161.70227997565681</v>
      </c>
      <c r="P7" s="8">
        <f>-(1-(O7/O6))</f>
        <v>-3.4661124512438857E-2</v>
      </c>
      <c r="Q7" s="7">
        <f>-(1-O7/O6)</f>
        <v>-3.4661124512438857E-2</v>
      </c>
    </row>
    <row r="8" spans="2:17" x14ac:dyDescent="0.25">
      <c r="C8" s="5" t="s">
        <v>2</v>
      </c>
      <c r="D8" s="44">
        <f t="shared" si="0"/>
        <v>3290.8253769996895</v>
      </c>
      <c r="E8" s="2">
        <f>-(1-(D8/D7))</f>
        <v>0.15618088608871439</v>
      </c>
      <c r="F8" s="15">
        <f>-(1-D8/D6)</f>
        <v>-4.0455401813617176E-3</v>
      </c>
      <c r="G8" s="46">
        <v>10636853.089</v>
      </c>
      <c r="H8" s="31">
        <f>D8/(G8/1000)</f>
        <v>0.30937960216850841</v>
      </c>
      <c r="I8" s="44">
        <v>1825.4525658682262</v>
      </c>
      <c r="J8" s="3">
        <f>-(1-(I8/I7))</f>
        <v>0.11616626205633662</v>
      </c>
      <c r="K8" s="17">
        <f>-(1-I8/I6)</f>
        <v>-6.3855970571429443E-2</v>
      </c>
      <c r="L8" s="44">
        <v>1291.8028896836333</v>
      </c>
      <c r="M8" s="4">
        <f>-(1-(L8/L7))</f>
        <v>0.23131976405609067</v>
      </c>
      <c r="N8" s="18">
        <f>-(1-L8/L6)</f>
        <v>8.8554029108174781E-2</v>
      </c>
      <c r="O8" s="44">
        <v>173.56992144782984</v>
      </c>
      <c r="P8" s="8">
        <f>-(1-(O8/O7))</f>
        <v>7.3391924182884871E-2</v>
      </c>
      <c r="Q8" s="7">
        <f>-(1-O8/O6)</f>
        <v>3.6186953048135573E-2</v>
      </c>
    </row>
    <row r="9" spans="2:17" x14ac:dyDescent="0.25">
      <c r="B9" s="26"/>
      <c r="C9" s="5" t="s">
        <v>15</v>
      </c>
      <c r="D9" s="44">
        <f>SUM(I9,L9,O9)</f>
        <v>3357.6631546528997</v>
      </c>
      <c r="E9" s="2">
        <f>-(1-(D9/D8))</f>
        <v>2.0310338591757127E-2</v>
      </c>
      <c r="F9" s="14">
        <f>-(1-D9/D6)</f>
        <v>1.6182632119525309E-2</v>
      </c>
      <c r="G9" s="46">
        <v>10636853.089</v>
      </c>
      <c r="H9" s="31">
        <f>D9/(G9/1000)</f>
        <v>0.31566320664193387</v>
      </c>
      <c r="I9" s="44">
        <f>(1+D31)*I8</f>
        <v>1862.5281255642017</v>
      </c>
      <c r="J9" s="3">
        <f>-(1-(I9/I8))</f>
        <v>2.0310338591757127E-2</v>
      </c>
      <c r="K9" s="17">
        <f>-(1-I9/I6)</f>
        <v>-4.4842568363083313E-2</v>
      </c>
      <c r="L9" s="44">
        <f>(1+D31)*L8</f>
        <v>1318.0398437669182</v>
      </c>
      <c r="M9" s="60">
        <f>-(1-(L9/L8))</f>
        <v>2.0310338591757127E-2</v>
      </c>
      <c r="N9" s="18">
        <f>-(1-L9/L6)</f>
        <v>0.11066293001478344</v>
      </c>
      <c r="O9" s="44">
        <f>(1+D31)*O8</f>
        <v>177.09518532177995</v>
      </c>
      <c r="P9" s="8">
        <f>-(1-(O9/O8))</f>
        <v>2.0310338591757127E-2</v>
      </c>
      <c r="Q9" s="7">
        <f>-(1-O9/O6)</f>
        <v>5.7232260908904431E-2</v>
      </c>
    </row>
    <row r="10" spans="2:17" x14ac:dyDescent="0.25">
      <c r="C10" s="5" t="s">
        <v>37</v>
      </c>
      <c r="D10" s="44">
        <f>SUM(I10,L10,O10)</f>
        <v>3253.0222616929</v>
      </c>
      <c r="E10" s="2">
        <f>-(1-(D10/D9))</f>
        <v>-3.1164797700148461E-2</v>
      </c>
      <c r="F10" s="14">
        <f>-(1-D10/D6)</f>
        <v>-1.5486494036884069E-2</v>
      </c>
      <c r="G10" s="46">
        <v>10636853.089</v>
      </c>
      <c r="H10" s="31">
        <f>D10/(G10/1000)</f>
        <v>0.30582562666555785</v>
      </c>
      <c r="I10" s="44">
        <f>I9-D47</f>
        <v>1796.3240390542016</v>
      </c>
      <c r="J10" s="3">
        <f>-(1-(I10/I9))</f>
        <v>-3.5545281492028624E-2</v>
      </c>
      <c r="K10" s="17">
        <f>-(1-I10/I6)</f>
        <v>-7.8793908139820568E-2</v>
      </c>
      <c r="L10" s="44">
        <f>L9-D48</f>
        <v>1294.0906883669181</v>
      </c>
      <c r="M10" s="60">
        <f>-(1-(L10/L9))</f>
        <v>-1.8170281811477063E-2</v>
      </c>
      <c r="N10" s="18">
        <f>-(1-L10/L6)</f>
        <v>9.0481871578854012E-2</v>
      </c>
      <c r="O10" s="44">
        <f>O9-D49</f>
        <v>162.60753427177994</v>
      </c>
      <c r="P10" s="8">
        <f>-(1-(O10/O9))</f>
        <v>-8.1807142434031199E-2</v>
      </c>
      <c r="Q10" s="7">
        <f>-(1-O10/O6)</f>
        <v>-2.9256889245123152E-2</v>
      </c>
    </row>
    <row r="11" spans="2:17" ht="15.75" thickBot="1" x14ac:dyDescent="0.3">
      <c r="C11" s="10" t="s">
        <v>4</v>
      </c>
      <c r="D11" s="67">
        <f>SUM(I11,L11,O11)</f>
        <v>27</v>
      </c>
      <c r="E11" s="68"/>
      <c r="F11" s="69"/>
      <c r="G11" s="32"/>
      <c r="H11" s="33"/>
      <c r="I11" s="70">
        <v>7</v>
      </c>
      <c r="J11" s="71"/>
      <c r="K11" s="72"/>
      <c r="L11" s="73">
        <v>15</v>
      </c>
      <c r="M11" s="74"/>
      <c r="N11" s="75"/>
      <c r="O11" s="73">
        <v>5</v>
      </c>
      <c r="P11" s="74"/>
      <c r="Q11" s="75"/>
    </row>
    <row r="13" spans="2:17" ht="15.75" thickBot="1" x14ac:dyDescent="0.3">
      <c r="D13" s="76" t="s">
        <v>14</v>
      </c>
      <c r="E13" s="76"/>
      <c r="F13" s="76"/>
      <c r="G13" s="77" t="s">
        <v>13</v>
      </c>
      <c r="H13" s="77"/>
      <c r="I13" s="76" t="s">
        <v>5</v>
      </c>
      <c r="J13" s="76"/>
      <c r="K13" s="76"/>
      <c r="L13" s="76" t="s">
        <v>6</v>
      </c>
      <c r="M13" s="76"/>
      <c r="N13" s="76"/>
      <c r="O13" s="76" t="s">
        <v>7</v>
      </c>
      <c r="P13" s="76"/>
      <c r="Q13" s="76"/>
    </row>
    <row r="14" spans="2:17" ht="15.75" thickBot="1" x14ac:dyDescent="0.3">
      <c r="D14" s="27" t="s">
        <v>17</v>
      </c>
      <c r="E14" s="28" t="s">
        <v>3</v>
      </c>
      <c r="F14" s="29" t="s">
        <v>10</v>
      </c>
      <c r="G14" s="30" t="s">
        <v>11</v>
      </c>
      <c r="H14" s="36" t="s">
        <v>12</v>
      </c>
      <c r="I14" s="34" t="s">
        <v>17</v>
      </c>
      <c r="J14" s="21" t="s">
        <v>3</v>
      </c>
      <c r="K14" s="25" t="s">
        <v>10</v>
      </c>
      <c r="L14" s="34" t="s">
        <v>17</v>
      </c>
      <c r="M14" s="9" t="s">
        <v>3</v>
      </c>
      <c r="N14" s="22" t="s">
        <v>10</v>
      </c>
      <c r="O14" s="34" t="s">
        <v>17</v>
      </c>
      <c r="P14" s="23" t="s">
        <v>3</v>
      </c>
      <c r="Q14" s="24" t="s">
        <v>10</v>
      </c>
    </row>
    <row r="15" spans="2:17" x14ac:dyDescent="0.25">
      <c r="C15" s="5" t="s">
        <v>0</v>
      </c>
      <c r="D15" s="43">
        <f>SUM(I15,L15,O15)</f>
        <v>792.88522699787893</v>
      </c>
      <c r="E15" s="11"/>
      <c r="F15" s="13"/>
      <c r="G15" s="45">
        <v>11495379.491</v>
      </c>
      <c r="H15" s="35">
        <f>D15/(G15/1000)</f>
        <v>6.8974254187836703E-2</v>
      </c>
      <c r="I15" s="43">
        <v>532.68442864238364</v>
      </c>
      <c r="J15" s="6"/>
      <c r="K15" s="16"/>
      <c r="L15" s="43">
        <v>244.65272978298256</v>
      </c>
      <c r="M15" s="6"/>
      <c r="N15" s="12"/>
      <c r="O15" s="43">
        <v>15.548068572512724</v>
      </c>
      <c r="P15" s="6"/>
      <c r="Q15" s="12"/>
    </row>
    <row r="16" spans="2:17" x14ac:dyDescent="0.25">
      <c r="C16" s="5" t="s">
        <v>1</v>
      </c>
      <c r="D16" s="44">
        <f t="shared" ref="D16:D17" si="1">SUM(I16,L16,O16)</f>
        <v>674.7454476982997</v>
      </c>
      <c r="E16" s="2">
        <f>-(1-(D16/D15))</f>
        <v>-0.14899984925547771</v>
      </c>
      <c r="F16" s="14">
        <f>-(1-D16/D15)</f>
        <v>-0.14899984925547771</v>
      </c>
      <c r="G16" s="46">
        <v>10636853.089</v>
      </c>
      <c r="H16" s="31">
        <f>D16/(G16/1000)</f>
        <v>6.3434687125281566E-2</v>
      </c>
      <c r="I16" s="44">
        <v>443.07296756323501</v>
      </c>
      <c r="J16" s="3">
        <f>-(1-(I16/I15))</f>
        <v>-0.16822616968086568</v>
      </c>
      <c r="K16" s="17">
        <f>-(1-I16/I15)</f>
        <v>-0.16822616968086568</v>
      </c>
      <c r="L16" s="44">
        <v>216.838409414133</v>
      </c>
      <c r="M16" s="4">
        <f>-(1-(L16/L15))</f>
        <v>-0.11368898435558861</v>
      </c>
      <c r="N16" s="18">
        <f>-(1-L16/L15)</f>
        <v>-0.11368898435558861</v>
      </c>
      <c r="O16" s="44">
        <v>14.834070720931617</v>
      </c>
      <c r="P16" s="8">
        <f>-(1-(O16/O15))</f>
        <v>-4.5921964406780202E-2</v>
      </c>
      <c r="Q16" s="7">
        <f>-(1-O16/O15)</f>
        <v>-4.5921964406780202E-2</v>
      </c>
    </row>
    <row r="17" spans="3:17" x14ac:dyDescent="0.25">
      <c r="C17" s="5" t="s">
        <v>2</v>
      </c>
      <c r="D17" s="44">
        <f t="shared" si="1"/>
        <v>735.67994861442412</v>
      </c>
      <c r="E17" s="2">
        <f>-(1-(D17/D16))</f>
        <v>9.0307390919027286E-2</v>
      </c>
      <c r="F17" s="15">
        <f>-(1-D17/D15)</f>
        <v>-7.2148245970041103E-2</v>
      </c>
      <c r="G17" s="46">
        <v>10636853.089</v>
      </c>
      <c r="H17" s="31">
        <f>D17/(G17/1000)</f>
        <v>6.9163308213330554E-2</v>
      </c>
      <c r="I17" s="44">
        <v>465.00863450326807</v>
      </c>
      <c r="J17" s="3">
        <f>-(1-(I17/I16))</f>
        <v>4.9508023612165886E-2</v>
      </c>
      <c r="K17" s="17">
        <f>-(1-I17/I15)</f>
        <v>-0.12704669124944434</v>
      </c>
      <c r="L17" s="44">
        <v>254.01960213803144</v>
      </c>
      <c r="M17" s="4">
        <f>-(1-(L17/L16))</f>
        <v>0.17146958799576528</v>
      </c>
      <c r="N17" s="18">
        <f>-(1-L17/L15)</f>
        <v>3.8286400333066739E-2</v>
      </c>
      <c r="O17" s="44">
        <v>16.651711973124662</v>
      </c>
      <c r="P17" s="8">
        <f>-(1-(O17/O16))</f>
        <v>0.12253152127879918</v>
      </c>
      <c r="Q17" s="7">
        <f>-(1-O17/O15)</f>
        <v>7.0982668713145403E-2</v>
      </c>
    </row>
    <row r="18" spans="3:17" x14ac:dyDescent="0.25">
      <c r="C18" s="5" t="s">
        <v>15</v>
      </c>
      <c r="D18" s="44">
        <f>SUM(I18,L18,O18)</f>
        <v>750.62185746594957</v>
      </c>
      <c r="E18" s="2">
        <f>-(1-(D18/D17))</f>
        <v>2.0310338591757127E-2</v>
      </c>
      <c r="F18" s="14">
        <f>-(1-D18/D15)</f>
        <v>-5.3303262682736774E-2</v>
      </c>
      <c r="G18" s="46">
        <v>10636853.089</v>
      </c>
      <c r="H18" s="31">
        <f>D18/(G18/1000)</f>
        <v>7.0568038421269352E-2</v>
      </c>
      <c r="I18" s="44">
        <f>(1+D31)*I17</f>
        <v>474.45311731812006</v>
      </c>
      <c r="J18" s="3">
        <f>-(1-(I18/I17))</f>
        <v>2.0310338591757127E-2</v>
      </c>
      <c r="K18" s="17">
        <f>-(1-I18/I15)</f>
        <v>-0.10931671397392584</v>
      </c>
      <c r="L18" s="44">
        <f>(1+D31)*L17</f>
        <v>259.17882626639829</v>
      </c>
      <c r="M18" s="60">
        <f>-(1-(L18/L17))</f>
        <v>2.0310338591757127E-2</v>
      </c>
      <c r="N18" s="18">
        <f>-(1-L18/L15)</f>
        <v>5.9374348679048117E-2</v>
      </c>
      <c r="O18" s="44">
        <f>(1+D31)*O17</f>
        <v>16.989913881431239</v>
      </c>
      <c r="P18" s="8">
        <f>-(1-(O18/O17))</f>
        <v>2.0310338591757127E-2</v>
      </c>
      <c r="Q18" s="7">
        <f>-(1-O18/O15)</f>
        <v>9.2734689340612908E-2</v>
      </c>
    </row>
    <row r="19" spans="3:17" x14ac:dyDescent="0.25">
      <c r="C19" s="5" t="s">
        <v>37</v>
      </c>
      <c r="D19" s="44">
        <f>SUM(I19,L19,O19)</f>
        <v>720.20998328794951</v>
      </c>
      <c r="E19" s="2">
        <f>-(1-(D19/D18))</f>
        <v>-4.0515572355791174E-2</v>
      </c>
      <c r="F19" s="14">
        <f>-(1-D19/D15)</f>
        <v>-9.1659222842505828E-2</v>
      </c>
      <c r="G19" s="46">
        <v>10636853.089</v>
      </c>
      <c r="H19" s="31">
        <f>D19/(G19/1000)</f>
        <v>6.7708933954606157E-2</v>
      </c>
      <c r="I19" s="44">
        <f>I18-E47</f>
        <v>454.84935681512007</v>
      </c>
      <c r="J19" s="3">
        <f>-(1-(I19/I18))</f>
        <v>-4.1318646221172761E-2</v>
      </c>
      <c r="K19" s="17">
        <f>-(1-I19/I15)</f>
        <v>-0.14611854156434889</v>
      </c>
      <c r="L19" s="44">
        <f>L18-E48</f>
        <v>251.1718512913983</v>
      </c>
      <c r="M19" s="60">
        <f>-(1-(L19/L18))</f>
        <v>-3.0893630819864848E-2</v>
      </c>
      <c r="N19" s="18">
        <f>-(1-L19/L15)</f>
        <v>2.6646428650922704E-2</v>
      </c>
      <c r="O19" s="44">
        <f>O18-E49</f>
        <v>14.18877518143124</v>
      </c>
      <c r="P19" s="8">
        <f>-(1-(O19/O18))</f>
        <v>-0.16487068266199068</v>
      </c>
      <c r="Q19" s="7">
        <f>-(1-O19/O15)</f>
        <v>-8.7425224859412176E-2</v>
      </c>
    </row>
    <row r="20" spans="3:17" ht="15.75" thickBot="1" x14ac:dyDescent="0.3">
      <c r="C20" s="10" t="s">
        <v>4</v>
      </c>
      <c r="D20" s="67">
        <f>SUM(I20,L20,O20)</f>
        <v>27</v>
      </c>
      <c r="E20" s="68"/>
      <c r="F20" s="69"/>
      <c r="G20" s="32"/>
      <c r="H20" s="33"/>
      <c r="I20" s="70">
        <v>7</v>
      </c>
      <c r="J20" s="71"/>
      <c r="K20" s="72"/>
      <c r="L20" s="73">
        <v>15</v>
      </c>
      <c r="M20" s="74"/>
      <c r="N20" s="75"/>
      <c r="O20" s="73">
        <v>5</v>
      </c>
      <c r="P20" s="74"/>
      <c r="Q20" s="75"/>
    </row>
    <row r="22" spans="3:17" ht="15.75" thickBot="1" x14ac:dyDescent="0.3">
      <c r="D22" s="76" t="s">
        <v>14</v>
      </c>
      <c r="E22" s="76"/>
      <c r="F22" s="76"/>
      <c r="G22" s="77" t="s">
        <v>13</v>
      </c>
      <c r="H22" s="77"/>
      <c r="I22" s="76" t="s">
        <v>5</v>
      </c>
      <c r="J22" s="76"/>
      <c r="K22" s="76"/>
      <c r="L22" s="76" t="s">
        <v>6</v>
      </c>
      <c r="M22" s="76"/>
      <c r="N22" s="76"/>
      <c r="O22" s="76" t="s">
        <v>7</v>
      </c>
      <c r="P22" s="76"/>
      <c r="Q22" s="76"/>
    </row>
    <row r="23" spans="3:17" ht="15.75" thickBot="1" x14ac:dyDescent="0.3">
      <c r="D23" s="27" t="s">
        <v>18</v>
      </c>
      <c r="E23" s="28" t="s">
        <v>3</v>
      </c>
      <c r="F23" s="29" t="s">
        <v>10</v>
      </c>
      <c r="G23" s="30" t="s">
        <v>11</v>
      </c>
      <c r="H23" s="36" t="s">
        <v>12</v>
      </c>
      <c r="I23" s="34" t="s">
        <v>18</v>
      </c>
      <c r="J23" s="21" t="s">
        <v>3</v>
      </c>
      <c r="K23" s="25" t="s">
        <v>10</v>
      </c>
      <c r="L23" s="34" t="s">
        <v>18</v>
      </c>
      <c r="M23" s="9" t="s">
        <v>3</v>
      </c>
      <c r="N23" s="22" t="s">
        <v>10</v>
      </c>
      <c r="O23" s="34" t="s">
        <v>18</v>
      </c>
      <c r="P23" s="23" t="s">
        <v>3</v>
      </c>
      <c r="Q23" s="24" t="s">
        <v>10</v>
      </c>
    </row>
    <row r="24" spans="3:17" x14ac:dyDescent="0.25">
      <c r="C24" s="5" t="s">
        <v>0</v>
      </c>
      <c r="D24" s="43">
        <f>SUM(I24,L24,O24)</f>
        <v>492.38325367674639</v>
      </c>
      <c r="E24" s="11"/>
      <c r="F24" s="13"/>
      <c r="G24" s="45">
        <v>11495379.491</v>
      </c>
      <c r="H24" s="35">
        <f>D24/(G24/1000)</f>
        <v>4.283314474848305E-2</v>
      </c>
      <c r="I24" s="43">
        <v>339.89070113520745</v>
      </c>
      <c r="J24" s="6"/>
      <c r="K24" s="16"/>
      <c r="L24" s="43">
        <v>132.86319853727954</v>
      </c>
      <c r="M24" s="6"/>
      <c r="N24" s="12"/>
      <c r="O24" s="43">
        <v>19.62935400425938</v>
      </c>
      <c r="P24" s="6"/>
      <c r="Q24" s="12"/>
    </row>
    <row r="25" spans="3:17" x14ac:dyDescent="0.25">
      <c r="C25" s="5" t="s">
        <v>1</v>
      </c>
      <c r="D25" s="44">
        <f t="shared" ref="D25:D26" si="2">SUM(I25,L25,O25)</f>
        <v>430.02291982869417</v>
      </c>
      <c r="E25" s="2">
        <f>-(1-(D25/D24))</f>
        <v>-0.126649989377974</v>
      </c>
      <c r="F25" s="14">
        <f>-(1-D25/D24)</f>
        <v>-0.126649989377974</v>
      </c>
      <c r="G25" s="46">
        <v>10636853.089</v>
      </c>
      <c r="H25" s="31">
        <f>D25/(G25/1000)</f>
        <v>4.0427644927558348E-2</v>
      </c>
      <c r="I25" s="44">
        <v>292.15932968313587</v>
      </c>
      <c r="J25" s="3">
        <f>-(1-(I25/I24))</f>
        <v>-0.14043153076166148</v>
      </c>
      <c r="K25" s="17">
        <f>-(1-I25/I24)</f>
        <v>-0.14043153076166148</v>
      </c>
      <c r="L25" s="44">
        <v>118.93595052481741</v>
      </c>
      <c r="M25" s="4">
        <f>-(1-(L25/L24))</f>
        <v>-0.10482397056363457</v>
      </c>
      <c r="N25" s="18">
        <f>-(1-L25/L24)</f>
        <v>-0.10482397056363457</v>
      </c>
      <c r="O25" s="44">
        <v>18.927639620740852</v>
      </c>
      <c r="P25" s="8">
        <f>-(1-(O25/O24))</f>
        <v>-3.5748215828511842E-2</v>
      </c>
      <c r="Q25" s="7">
        <f>-(1-O25/O24)</f>
        <v>-3.5748215828511842E-2</v>
      </c>
    </row>
    <row r="26" spans="3:17" x14ac:dyDescent="0.25">
      <c r="C26" s="5" t="s">
        <v>2</v>
      </c>
      <c r="D26" s="44">
        <f t="shared" si="2"/>
        <v>465.27265987300063</v>
      </c>
      <c r="E26" s="2">
        <f>-(1-(D26/D25))</f>
        <v>8.1971770384584808E-2</v>
      </c>
      <c r="F26" s="15">
        <f>-(1-D26/D24)</f>
        <v>-5.505994284189053E-2</v>
      </c>
      <c r="G26" s="46">
        <v>10636853.089</v>
      </c>
      <c r="H26" s="31">
        <f>D26/(G26/1000)</f>
        <v>4.3741570554749684E-2</v>
      </c>
      <c r="I26" s="44">
        <v>313.11456941255886</v>
      </c>
      <c r="J26" s="3">
        <f>-(1-(I26/I25))</f>
        <v>7.1725382694949991E-2</v>
      </c>
      <c r="K26" s="17">
        <f>-(1-I26/I24)</f>
        <v>-7.8778653353029249E-2</v>
      </c>
      <c r="L26" s="44">
        <v>132.05786248816327</v>
      </c>
      <c r="M26" s="4">
        <f>-(1-(L26/L25))</f>
        <v>0.11032754945366841</v>
      </c>
      <c r="N26" s="18">
        <f>-(1-L26/L24)</f>
        <v>-6.0613929062555139E-3</v>
      </c>
      <c r="O26" s="44">
        <v>20.100227972278475</v>
      </c>
      <c r="P26" s="8">
        <f>-(1-(O26/O25))</f>
        <v>6.1951113558433635E-2</v>
      </c>
      <c r="Q26" s="7">
        <f>-(1-O26/O24)</f>
        <v>2.3988255951618243E-2</v>
      </c>
    </row>
    <row r="27" spans="3:17" x14ac:dyDescent="0.25">
      <c r="C27" s="5" t="s">
        <v>15</v>
      </c>
      <c r="D27" s="44">
        <f>SUM(I27,L27,O27)</f>
        <v>474.72250513250867</v>
      </c>
      <c r="E27" s="2">
        <f>-(1-(D27/D26))</f>
        <v>2.0310338591756905E-2</v>
      </c>
      <c r="F27" s="14">
        <f>-(1-D27/D24)</f>
        <v>-3.5867890332095143E-2</v>
      </c>
      <c r="G27" s="46">
        <v>10636853.089</v>
      </c>
      <c r="H27" s="31">
        <f>D27/(G27/1000)</f>
        <v>4.4629976663251879E-2</v>
      </c>
      <c r="I27" s="44">
        <f>(1+D31)*I26</f>
        <v>319.47403233534015</v>
      </c>
      <c r="J27" s="3">
        <f>-(1-(I27/I26))</f>
        <v>2.0310338591757127E-2</v>
      </c>
      <c r="K27" s="17">
        <f>-(1-I27/I24)</f>
        <v>-6.0068335884674862E-2</v>
      </c>
      <c r="L27" s="44">
        <f>(1+D31)*L26</f>
        <v>134.74000238900157</v>
      </c>
      <c r="M27" s="60">
        <f>-(1-(L27/L26))</f>
        <v>2.0310338591757127E-2</v>
      </c>
      <c r="N27" s="18">
        <f>-(1-L27/L24)</f>
        <v>1.4125836743237974E-2</v>
      </c>
      <c r="O27" s="44">
        <f>(1+D31)*O26</f>
        <v>20.508470408166957</v>
      </c>
      <c r="P27" s="8">
        <f>-(1-(O27/O26))</f>
        <v>2.0310338591757127E-2</v>
      </c>
      <c r="Q27" s="7">
        <f>-(1-O27/O24)</f>
        <v>4.4785804143978369E-2</v>
      </c>
    </row>
    <row r="28" spans="3:17" x14ac:dyDescent="0.25">
      <c r="C28" s="5" t="s">
        <v>37</v>
      </c>
      <c r="D28" s="44">
        <f>SUM(I28,L28,O28)</f>
        <v>448.02922844250867</v>
      </c>
      <c r="E28" s="2">
        <f>-(1-(D28/D27))</f>
        <v>-5.6229221074212909E-2</v>
      </c>
      <c r="F28" s="14">
        <f>-(1-D28/D24)</f>
        <v>-9.0080287871359022E-2</v>
      </c>
      <c r="G28" s="46">
        <v>10636854.089</v>
      </c>
      <c r="H28" s="31">
        <f>D28/(G28/1000)</f>
        <v>4.2120463879055534E-2</v>
      </c>
      <c r="I28" s="44">
        <f>I27-F47</f>
        <v>299.77107183534014</v>
      </c>
      <c r="J28" s="3">
        <f>-(1-(I28/I27))</f>
        <v>-6.1673120522417135E-2</v>
      </c>
      <c r="K28" s="17">
        <f>-(1-I28/I24)</f>
        <v>-0.11803685468849545</v>
      </c>
      <c r="L28" s="44">
        <f>L27-F48</f>
        <v>130.49145939900157</v>
      </c>
      <c r="M28" s="60">
        <f>-(1-(L28/L27))</f>
        <v>-3.1531415427277776E-2</v>
      </c>
      <c r="N28" s="18">
        <f>-(1-L28/L24)</f>
        <v>-1.7850986310648631E-2</v>
      </c>
      <c r="O28" s="44">
        <f>O27-F49</f>
        <v>17.766697208166956</v>
      </c>
      <c r="P28" s="8">
        <f>-(1-(O28/O27))</f>
        <v>-0.13368979477417109</v>
      </c>
      <c r="Q28" s="7">
        <f>-(1-O28/O24)</f>
        <v>-9.4891395594997374E-2</v>
      </c>
    </row>
    <row r="29" spans="3:17" ht="15.75" thickBot="1" x14ac:dyDescent="0.3">
      <c r="C29" s="10" t="s">
        <v>4</v>
      </c>
      <c r="D29" s="67">
        <f>SUM(I29,L29,O29)</f>
        <v>27</v>
      </c>
      <c r="E29" s="68"/>
      <c r="F29" s="69"/>
      <c r="G29" s="32"/>
      <c r="H29" s="33"/>
      <c r="I29" s="70">
        <v>7</v>
      </c>
      <c r="J29" s="71"/>
      <c r="K29" s="72"/>
      <c r="L29" s="73">
        <v>15</v>
      </c>
      <c r="M29" s="74"/>
      <c r="N29" s="75"/>
      <c r="O29" s="73">
        <v>5</v>
      </c>
      <c r="P29" s="74"/>
      <c r="Q29" s="75"/>
    </row>
    <row r="31" spans="3:17" x14ac:dyDescent="0.25">
      <c r="C31" s="39" t="s">
        <v>9</v>
      </c>
      <c r="D31" s="64">
        <v>2.0310338591757127E-2</v>
      </c>
      <c r="E31" s="65"/>
      <c r="F31" s="66"/>
    </row>
    <row r="33" spans="3:6" x14ac:dyDescent="0.25">
      <c r="D33" s="42" t="s">
        <v>8</v>
      </c>
      <c r="E33" s="42" t="s">
        <v>17</v>
      </c>
      <c r="F33" s="42" t="s">
        <v>18</v>
      </c>
    </row>
    <row r="34" spans="3:6" x14ac:dyDescent="0.25">
      <c r="C34" s="49" t="s">
        <v>19</v>
      </c>
      <c r="D34" s="50">
        <f>I10</f>
        <v>1796.3240390542016</v>
      </c>
      <c r="E34" s="50">
        <f>I19</f>
        <v>454.84935681512007</v>
      </c>
      <c r="F34" s="50">
        <f>I28</f>
        <v>299.77107183534014</v>
      </c>
    </row>
    <row r="35" spans="3:6" x14ac:dyDescent="0.25">
      <c r="C35" s="47" t="s">
        <v>6</v>
      </c>
      <c r="D35" s="48">
        <f>L10</f>
        <v>1294.0906883669181</v>
      </c>
      <c r="E35" s="48">
        <f>L19</f>
        <v>251.1718512913983</v>
      </c>
      <c r="F35" s="48">
        <f>L28</f>
        <v>130.49145939900157</v>
      </c>
    </row>
    <row r="36" spans="3:6" x14ac:dyDescent="0.25">
      <c r="C36" s="51" t="s">
        <v>7</v>
      </c>
      <c r="D36" s="52">
        <f>O10</f>
        <v>162.60753427177994</v>
      </c>
      <c r="E36" s="52">
        <f>O19</f>
        <v>14.18877518143124</v>
      </c>
      <c r="F36" s="52">
        <f>O28</f>
        <v>17.766697208166956</v>
      </c>
    </row>
    <row r="37" spans="3:6" x14ac:dyDescent="0.25">
      <c r="C37" s="37" t="s">
        <v>20</v>
      </c>
      <c r="D37" s="38">
        <f>D34+D35+D36</f>
        <v>3253.0222616929</v>
      </c>
      <c r="E37" s="38">
        <f t="shared" ref="E37:F37" si="3">E34+E35+E36</f>
        <v>720.20998328794951</v>
      </c>
      <c r="F37" s="38">
        <f t="shared" si="3"/>
        <v>448.02922844250867</v>
      </c>
    </row>
    <row r="38" spans="3:6" x14ac:dyDescent="0.25">
      <c r="C38" s="61"/>
      <c r="D38" s="62"/>
      <c r="E38" s="62"/>
      <c r="F38" s="62"/>
    </row>
    <row r="39" spans="3:6" x14ac:dyDescent="0.25">
      <c r="C39" s="37" t="s">
        <v>21</v>
      </c>
      <c r="D39" s="40">
        <f>(D37-D6)/D6</f>
        <v>-1.5486494036884055E-2</v>
      </c>
      <c r="E39" s="41">
        <f>(E37-D15)/D15</f>
        <v>-9.1659222842505841E-2</v>
      </c>
      <c r="F39" s="41">
        <f>(F37-D24)/D24</f>
        <v>-9.0080287871359049E-2</v>
      </c>
    </row>
    <row r="41" spans="3:6" x14ac:dyDescent="0.25">
      <c r="C41" s="57"/>
      <c r="D41" s="58"/>
      <c r="E41" s="58"/>
      <c r="F41" s="58"/>
    </row>
    <row r="42" spans="3:6" x14ac:dyDescent="0.25">
      <c r="C42" s="59"/>
      <c r="D42" s="59"/>
      <c r="E42" s="59"/>
      <c r="F42" s="59"/>
    </row>
    <row r="45" spans="3:6" x14ac:dyDescent="0.25">
      <c r="C45" s="37" t="s">
        <v>29</v>
      </c>
      <c r="D45" s="38">
        <v>104.64089296</v>
      </c>
      <c r="E45" s="38">
        <v>30.411874178000005</v>
      </c>
      <c r="F45" s="38">
        <v>26.69327668999999</v>
      </c>
    </row>
    <row r="47" spans="3:6" x14ac:dyDescent="0.25">
      <c r="C47" t="s">
        <v>38</v>
      </c>
      <c r="D47" s="63">
        <v>66.20408651000001</v>
      </c>
      <c r="E47" s="63">
        <v>19.603760502999997</v>
      </c>
      <c r="F47" s="63">
        <v>19.7029605</v>
      </c>
    </row>
    <row r="48" spans="3:6" x14ac:dyDescent="0.25">
      <c r="C48" t="s">
        <v>39</v>
      </c>
      <c r="D48" s="63">
        <v>23.949155400000002</v>
      </c>
      <c r="E48" s="63">
        <v>8.0069749750000057</v>
      </c>
      <c r="F48" s="63">
        <v>4.2485429899999962</v>
      </c>
    </row>
    <row r="49" spans="3:6" x14ac:dyDescent="0.25">
      <c r="C49" t="s">
        <v>40</v>
      </c>
      <c r="D49" s="63">
        <v>14.48765105</v>
      </c>
      <c r="E49" s="63">
        <v>2.8011386999999996</v>
      </c>
      <c r="F49" s="63">
        <v>2.7417731999999999</v>
      </c>
    </row>
    <row r="50" spans="3:6" x14ac:dyDescent="0.25">
      <c r="D50" s="63">
        <f>D47+D48+D49</f>
        <v>104.64089296000002</v>
      </c>
      <c r="E50" s="63">
        <f t="shared" ref="E50:F50" si="4">E47+E48+E49</f>
        <v>30.411874178000001</v>
      </c>
      <c r="F50" s="63">
        <f t="shared" si="4"/>
        <v>26.693276689999998</v>
      </c>
    </row>
  </sheetData>
  <mergeCells count="29">
    <mergeCell ref="C3:Q3"/>
    <mergeCell ref="D13:F13"/>
    <mergeCell ref="G13:H13"/>
    <mergeCell ref="I13:K13"/>
    <mergeCell ref="L13:N13"/>
    <mergeCell ref="O13:Q13"/>
    <mergeCell ref="D4:F4"/>
    <mergeCell ref="G4:H4"/>
    <mergeCell ref="I4:K4"/>
    <mergeCell ref="L4:N4"/>
    <mergeCell ref="O4:Q4"/>
    <mergeCell ref="D11:F11"/>
    <mergeCell ref="I11:K11"/>
    <mergeCell ref="L11:N11"/>
    <mergeCell ref="O11:Q11"/>
    <mergeCell ref="O20:Q20"/>
    <mergeCell ref="D22:F22"/>
    <mergeCell ref="G22:H22"/>
    <mergeCell ref="I22:K22"/>
    <mergeCell ref="L22:N22"/>
    <mergeCell ref="O22:Q22"/>
    <mergeCell ref="D20:F20"/>
    <mergeCell ref="I20:K20"/>
    <mergeCell ref="L20:N20"/>
    <mergeCell ref="D31:F31"/>
    <mergeCell ref="D29:F29"/>
    <mergeCell ref="I29:K29"/>
    <mergeCell ref="L29:N29"/>
    <mergeCell ref="O29:Q29"/>
  </mergeCells>
  <pageMargins left="0.25" right="0.25" top="0.75" bottom="0.75" header="0.3" footer="0.3"/>
  <pageSetup scale="52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G16"/>
  <sheetViews>
    <sheetView workbookViewId="0">
      <selection activeCell="C12" sqref="C12"/>
    </sheetView>
  </sheetViews>
  <sheetFormatPr defaultRowHeight="15" x14ac:dyDescent="0.25"/>
  <cols>
    <col min="2" max="2" width="37.140625" bestFit="1" customWidth="1"/>
    <col min="3" max="3" width="8.28515625" customWidth="1"/>
    <col min="4" max="4" width="9.28515625" customWidth="1"/>
    <col min="5" max="5" width="9.140625" customWidth="1"/>
  </cols>
  <sheetData>
    <row r="1" spans="2:7" x14ac:dyDescent="0.25">
      <c r="B1" s="54" t="s">
        <v>22</v>
      </c>
    </row>
    <row r="3" spans="2:7" x14ac:dyDescent="0.25">
      <c r="C3" s="42" t="s">
        <v>8</v>
      </c>
      <c r="D3" s="42" t="s">
        <v>17</v>
      </c>
      <c r="E3" s="42" t="s">
        <v>18</v>
      </c>
    </row>
    <row r="4" spans="2:7" x14ac:dyDescent="0.25">
      <c r="B4" s="49" t="s">
        <v>23</v>
      </c>
      <c r="C4" s="50">
        <v>2509</v>
      </c>
      <c r="D4" s="50">
        <v>911</v>
      </c>
      <c r="E4" s="50">
        <v>166</v>
      </c>
    </row>
    <row r="5" spans="2:7" x14ac:dyDescent="0.25">
      <c r="B5" s="47" t="s">
        <v>24</v>
      </c>
      <c r="C5" s="48">
        <v>1429</v>
      </c>
      <c r="D5" s="48">
        <v>541</v>
      </c>
      <c r="E5" s="48">
        <v>69</v>
      </c>
    </row>
    <row r="6" spans="2:7" x14ac:dyDescent="0.25">
      <c r="B6" s="37" t="s">
        <v>26</v>
      </c>
      <c r="C6" s="38">
        <f>C4+C5</f>
        <v>3938</v>
      </c>
      <c r="D6" s="38">
        <f t="shared" ref="D6:E6" si="0">D4+D5</f>
        <v>1452</v>
      </c>
      <c r="E6" s="38">
        <f t="shared" si="0"/>
        <v>235</v>
      </c>
    </row>
    <row r="7" spans="2:7" x14ac:dyDescent="0.25">
      <c r="B7" s="39"/>
      <c r="C7" s="38"/>
      <c r="D7" s="38"/>
      <c r="E7" s="38"/>
    </row>
    <row r="8" spans="2:7" x14ac:dyDescent="0.25">
      <c r="B8" s="37" t="s">
        <v>9</v>
      </c>
      <c r="C8" s="53">
        <v>2.0310338591757127E-2</v>
      </c>
      <c r="D8" s="53">
        <v>2.0310338591757127E-2</v>
      </c>
      <c r="E8" s="53">
        <v>2.0310338591757127E-2</v>
      </c>
    </row>
    <row r="9" spans="2:7" x14ac:dyDescent="0.25">
      <c r="B9" s="39"/>
      <c r="C9" s="38"/>
      <c r="D9" s="38"/>
      <c r="E9" s="38"/>
    </row>
    <row r="10" spans="2:7" x14ac:dyDescent="0.25">
      <c r="B10" s="37" t="s">
        <v>25</v>
      </c>
      <c r="C10" s="38">
        <f>C6*(1+C8)</f>
        <v>4017.9821133743394</v>
      </c>
      <c r="D10" s="38">
        <f t="shared" ref="D10:E10" si="1">D6*(1+D8)</f>
        <v>1481.4906116352313</v>
      </c>
      <c r="E10" s="38">
        <f t="shared" si="1"/>
        <v>239.77292956906294</v>
      </c>
    </row>
    <row r="11" spans="2:7" x14ac:dyDescent="0.25">
      <c r="B11" s="39"/>
      <c r="C11" s="38"/>
      <c r="D11" s="38"/>
      <c r="E11" s="38"/>
    </row>
    <row r="12" spans="2:7" x14ac:dyDescent="0.25">
      <c r="B12" s="55" t="s">
        <v>27</v>
      </c>
      <c r="C12" s="56">
        <f>'[1]Achievements as of 123112'!$C$10</f>
        <v>1.3638823766199999</v>
      </c>
      <c r="D12" s="56">
        <f>'[1]Achievements as of 123112'!$E$10</f>
        <v>0.49177860000000001</v>
      </c>
      <c r="E12" s="56">
        <f>'[1]Achievements as of 123112'!$D$10</f>
        <v>9.0159409999999995E-2</v>
      </c>
      <c r="G12" t="s">
        <v>36</v>
      </c>
    </row>
    <row r="13" spans="2:7" x14ac:dyDescent="0.25">
      <c r="B13" s="39"/>
      <c r="C13" s="39"/>
      <c r="D13" s="39"/>
      <c r="E13" s="39"/>
    </row>
    <row r="14" spans="2:7" x14ac:dyDescent="0.25">
      <c r="B14" s="37" t="s">
        <v>28</v>
      </c>
      <c r="C14" s="38">
        <f>C10-C12</f>
        <v>4016.6182309977194</v>
      </c>
      <c r="D14" s="38">
        <f t="shared" ref="D14:E14" si="2">D10-D12</f>
        <v>1480.9988330352312</v>
      </c>
      <c r="E14" s="38">
        <f t="shared" si="2"/>
        <v>239.68277015906293</v>
      </c>
    </row>
    <row r="15" spans="2:7" x14ac:dyDescent="0.25">
      <c r="B15" s="39"/>
      <c r="C15" s="39"/>
      <c r="D15" s="39"/>
      <c r="E15" s="39"/>
    </row>
    <row r="16" spans="2:7" x14ac:dyDescent="0.25">
      <c r="B16" s="37" t="s">
        <v>21</v>
      </c>
      <c r="C16" s="53">
        <f>(C14-C6)/C6</f>
        <v>1.9963999745484858E-2</v>
      </c>
      <c r="D16" s="53">
        <f t="shared" ref="D16:E16" si="3">(D14-D6)/D6</f>
        <v>1.9971648095889256E-2</v>
      </c>
      <c r="E16" s="53">
        <f t="shared" si="3"/>
        <v>1.9926681527927346E-2</v>
      </c>
    </row>
  </sheetData>
  <pageMargins left="0.7" right="0.7" top="0.75" bottom="0.75" header="0.3" footer="0.3"/>
  <pageSetup orientation="portrait" horizontalDpi="200" verticalDpi="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F17"/>
  <sheetViews>
    <sheetView zoomScaleNormal="100" workbookViewId="0">
      <selection activeCell="I19" sqref="I19"/>
    </sheetView>
  </sheetViews>
  <sheetFormatPr defaultRowHeight="15" x14ac:dyDescent="0.25"/>
  <cols>
    <col min="2" max="2" width="37.140625" bestFit="1" customWidth="1"/>
    <col min="3" max="3" width="10.7109375" bestFit="1" customWidth="1"/>
    <col min="4" max="4" width="10.7109375" customWidth="1"/>
    <col min="5" max="5" width="11.7109375" bestFit="1" customWidth="1"/>
    <col min="6" max="6" width="13.28515625" customWidth="1"/>
  </cols>
  <sheetData>
    <row r="1" spans="2:6" x14ac:dyDescent="0.25">
      <c r="B1" s="54" t="s">
        <v>30</v>
      </c>
    </row>
    <row r="3" spans="2:6" x14ac:dyDescent="0.25">
      <c r="C3" s="42" t="s">
        <v>32</v>
      </c>
      <c r="D3" s="42" t="s">
        <v>33</v>
      </c>
      <c r="E3" s="42" t="s">
        <v>34</v>
      </c>
      <c r="F3" s="42" t="s">
        <v>35</v>
      </c>
    </row>
    <row r="4" spans="2:6" x14ac:dyDescent="0.25">
      <c r="B4" s="49" t="s">
        <v>23</v>
      </c>
      <c r="C4" s="50">
        <v>198</v>
      </c>
      <c r="D4" s="50">
        <v>87</v>
      </c>
      <c r="E4" s="50">
        <v>209</v>
      </c>
      <c r="F4" s="50">
        <v>85</v>
      </c>
    </row>
    <row r="5" spans="2:6" x14ac:dyDescent="0.25">
      <c r="B5" s="47" t="s">
        <v>24</v>
      </c>
      <c r="C5" s="48">
        <v>95</v>
      </c>
      <c r="D5" s="48">
        <v>77.5</v>
      </c>
      <c r="E5" s="48">
        <v>40</v>
      </c>
      <c r="F5" s="48">
        <v>29</v>
      </c>
    </row>
    <row r="6" spans="2:6" x14ac:dyDescent="0.25">
      <c r="B6" s="51" t="s">
        <v>31</v>
      </c>
      <c r="C6" s="52">
        <v>5</v>
      </c>
      <c r="D6" s="52">
        <v>3.5</v>
      </c>
      <c r="E6" s="52">
        <v>2</v>
      </c>
      <c r="F6" s="52">
        <v>1</v>
      </c>
    </row>
    <row r="7" spans="2:6" x14ac:dyDescent="0.25">
      <c r="B7" s="37" t="s">
        <v>26</v>
      </c>
      <c r="C7" s="38">
        <f>C4+C5+C6</f>
        <v>298</v>
      </c>
      <c r="D7" s="38">
        <f t="shared" ref="D7:F7" si="0">D4+D5+D6</f>
        <v>168</v>
      </c>
      <c r="E7" s="38">
        <f t="shared" si="0"/>
        <v>251</v>
      </c>
      <c r="F7" s="38">
        <f t="shared" si="0"/>
        <v>115</v>
      </c>
    </row>
    <row r="8" spans="2:6" x14ac:dyDescent="0.25">
      <c r="B8" s="39"/>
      <c r="C8" s="38"/>
      <c r="D8" s="38"/>
      <c r="E8" s="38"/>
      <c r="F8" s="38"/>
    </row>
    <row r="9" spans="2:6" x14ac:dyDescent="0.25">
      <c r="B9" s="37" t="s">
        <v>9</v>
      </c>
      <c r="C9" s="53">
        <v>2.0310338591757127E-2</v>
      </c>
      <c r="D9" s="53">
        <v>2.0310338591757127E-2</v>
      </c>
      <c r="E9" s="53">
        <v>2.0310338591757127E-2</v>
      </c>
      <c r="F9" s="53">
        <v>2.0310338591757127E-2</v>
      </c>
    </row>
    <row r="10" spans="2:6" x14ac:dyDescent="0.25">
      <c r="B10" s="39"/>
      <c r="C10" s="38"/>
      <c r="D10" s="38"/>
      <c r="E10" s="38"/>
      <c r="F10" s="38"/>
    </row>
    <row r="11" spans="2:6" x14ac:dyDescent="0.25">
      <c r="B11" s="37" t="s">
        <v>25</v>
      </c>
      <c r="C11" s="38">
        <f t="shared" ref="C11:E11" si="1">C7*(1+C9)</f>
        <v>304.0524809003436</v>
      </c>
      <c r="D11" s="38">
        <f t="shared" ref="D11" si="2">D7*(1+D9)</f>
        <v>171.4121368834152</v>
      </c>
      <c r="E11" s="38">
        <f t="shared" si="1"/>
        <v>256.09789498653106</v>
      </c>
      <c r="F11" s="38">
        <f t="shared" ref="F11" si="3">F7*(1+F9)</f>
        <v>117.33568893805207</v>
      </c>
    </row>
    <row r="12" spans="2:6" x14ac:dyDescent="0.25">
      <c r="B12" s="37"/>
      <c r="C12" s="38"/>
      <c r="D12" s="38"/>
      <c r="E12" s="38"/>
      <c r="F12" s="38"/>
    </row>
    <row r="13" spans="2:6" x14ac:dyDescent="0.25">
      <c r="B13" s="37" t="s">
        <v>27</v>
      </c>
      <c r="C13" s="38">
        <v>18.966769070999998</v>
      </c>
      <c r="D13" s="38">
        <v>18.966769070999998</v>
      </c>
      <c r="E13" s="38">
        <v>9.3170219400000001</v>
      </c>
      <c r="F13" s="38">
        <v>9.3170219400000001</v>
      </c>
    </row>
    <row r="14" spans="2:6" x14ac:dyDescent="0.25">
      <c r="B14" s="37"/>
      <c r="C14" s="38"/>
      <c r="D14" s="38"/>
      <c r="E14" s="38"/>
      <c r="F14" s="38"/>
    </row>
    <row r="15" spans="2:6" x14ac:dyDescent="0.25">
      <c r="B15" s="37" t="s">
        <v>28</v>
      </c>
      <c r="C15" s="38">
        <f>C11-C13</f>
        <v>285.08571182934361</v>
      </c>
      <c r="D15" s="38">
        <f t="shared" ref="D15:F15" si="4">D11-D13</f>
        <v>152.44536781241521</v>
      </c>
      <c r="E15" s="38">
        <f t="shared" si="4"/>
        <v>246.78087304653107</v>
      </c>
      <c r="F15" s="38">
        <f t="shared" si="4"/>
        <v>108.01866699805207</v>
      </c>
    </row>
    <row r="16" spans="2:6" x14ac:dyDescent="0.25">
      <c r="B16" s="39"/>
      <c r="C16" s="38"/>
      <c r="D16" s="38"/>
      <c r="E16" s="38"/>
      <c r="F16" s="38"/>
    </row>
    <row r="17" spans="2:6" x14ac:dyDescent="0.25">
      <c r="B17" s="37" t="s">
        <v>21</v>
      </c>
      <c r="C17" s="53">
        <f>(C15-C7)/C7</f>
        <v>-4.3336537485424133E-2</v>
      </c>
      <c r="D17" s="53">
        <f t="shared" ref="D17:F17" si="5">(D15-D7)/D7</f>
        <v>-9.2587096354671355E-2</v>
      </c>
      <c r="E17" s="53">
        <f t="shared" si="5"/>
        <v>-1.6809270730951911E-2</v>
      </c>
      <c r="F17" s="53">
        <f t="shared" si="5"/>
        <v>-6.0707243495199396E-2</v>
      </c>
    </row>
  </sheetData>
  <pageMargins left="0.7" right="0.7" top="0.75" bottom="0.75" header="0.3" footer="0.3"/>
  <pageSetup scale="97" orientation="portrait" horizontalDpi="200" verticalDpi="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EE</vt:lpstr>
      <vt:lpstr>PV</vt:lpstr>
      <vt:lpstr>DR</vt:lpstr>
      <vt:lpstr>EE!Print_Area</vt:lpstr>
    </vt:vector>
  </TitlesOfParts>
  <Company>Progress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OT07578</dc:creator>
  <cp:lastModifiedBy>Bullard, Robert Joseph</cp:lastModifiedBy>
  <cp:lastPrinted>2013-11-15T18:52:58Z</cp:lastPrinted>
  <dcterms:created xsi:type="dcterms:W3CDTF">2013-09-16T16:41:31Z</dcterms:created>
  <dcterms:modified xsi:type="dcterms:W3CDTF">2013-11-18T19:37:22Z</dcterms:modified>
</cp:coreProperties>
</file>