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REGULATORY MATTERS 2009 FORWARD\DSM\20190018 DSM Goals\Discovery\STAFF 1st PODs (Nos. 1-9)\Attachments\Q1\"/>
    </mc:Choice>
  </mc:AlternateContent>
  <xr:revisionPtr revIDLastSave="0" documentId="13_ncr:1_{4AC487CD-21B7-4B39-9DD1-2F635FAB518E}" xr6:coauthVersionLast="36" xr6:coauthVersionMax="36" xr10:uidLastSave="{00000000-0000-0000-0000-000000000000}"/>
  <bookViews>
    <workbookView xWindow="0" yWindow="0" windowWidth="28800" windowHeight="11835" tabRatio="708" xr2:uid="{00000000-000D-0000-FFFF-FFFF00000000}"/>
  </bookViews>
  <sheets>
    <sheet name="DEF Dashboard" sheetId="11" r:id="rId1"/>
    <sheet name="DEF Inputs" sheetId="12" r:id="rId2"/>
    <sheet name="NOTES" sheetId="25" r:id="rId3"/>
  </sheets>
  <externalReferences>
    <externalReference r:id="rId4"/>
    <externalReference r:id="rId5"/>
  </externalReferences>
  <definedNames>
    <definedName name="_Key1" localSheetId="0" hidden="1">[1]Index!#REF!</definedName>
    <definedName name="_Key1" localSheetId="1" hidden="1">[1]Index!#REF!</definedName>
    <definedName name="_Key1" hidden="1">[1]Index!#REF!</definedName>
    <definedName name="_Sort" localSheetId="0" hidden="1">#REF!</definedName>
    <definedName name="_Sort" localSheetId="1" hidden="1">#REF!</definedName>
    <definedName name="_Sort" hidden="1">#REF!</definedName>
    <definedName name="adjust">'DEF Inputs'!$L$3:$O$16</definedName>
    <definedName name="diff">'DEF Inputs'!$L$20:$L$33</definedName>
    <definedName name="diff_season">'DEF Inputs'!$K$20:$K$33</definedName>
    <definedName name="diff_utility">'DEF Inputs'!$J$20:$J$33</definedName>
    <definedName name="enduse">'DEF Inputs'!$L$2:$O$2</definedName>
    <definedName name="name">[2]Appendix!$B$2:$C$94</definedName>
    <definedName name="Pal_Workbook_GUID" hidden="1">"YIRMAU281UHJBZQ7ILWGWXW6"</definedName>
    <definedName name="season">'DEF Inputs'!$K$3:$K$16</definedName>
    <definedName name="utility">'DEF Inputs'!$J$3:$J$16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2" i="11" l="1"/>
  <c r="H101" i="11" s="1"/>
  <c r="H105" i="11" s="1"/>
  <c r="K92" i="11" l="1"/>
  <c r="L105" i="11" l="1"/>
  <c r="L103" i="11"/>
  <c r="L104" i="11"/>
  <c r="L102" i="11"/>
  <c r="K103" i="11"/>
  <c r="K104" i="11"/>
  <c r="K105" i="11"/>
  <c r="K102" i="11"/>
  <c r="L106" i="11" l="1"/>
  <c r="K106" i="11"/>
  <c r="B59" i="12"/>
  <c r="B58" i="12"/>
  <c r="B57" i="12"/>
  <c r="B56" i="12"/>
  <c r="B60" i="12" s="1"/>
  <c r="H9" i="11" l="1"/>
  <c r="H6" i="11"/>
  <c r="H39" i="12" l="1"/>
  <c r="H38" i="12"/>
  <c r="F39" i="12"/>
  <c r="F38" i="12"/>
  <c r="E39" i="12"/>
  <c r="E38" i="12"/>
  <c r="D39" i="12"/>
  <c r="D38" i="12"/>
  <c r="G39" i="12" l="1"/>
  <c r="G38" i="12"/>
  <c r="K82" i="11" l="1"/>
  <c r="G83" i="11"/>
  <c r="C95" i="11"/>
  <c r="C94" i="11"/>
  <c r="C85" i="11"/>
  <c r="C84" i="11"/>
  <c r="C83" i="11"/>
  <c r="G96" i="11"/>
  <c r="K86" i="11" l="1"/>
  <c r="C86" i="11"/>
  <c r="C7" i="11" s="1"/>
  <c r="K96" i="11"/>
  <c r="D10" i="11" s="1"/>
  <c r="G86" i="11"/>
  <c r="D7" i="11" l="1"/>
  <c r="E64" i="12"/>
  <c r="E63" i="12"/>
  <c r="E62" i="12"/>
  <c r="E61" i="12"/>
  <c r="E65" i="12" l="1"/>
  <c r="B50" i="12"/>
  <c r="B49" i="12"/>
  <c r="K61" i="11" l="1"/>
  <c r="G62" i="11"/>
  <c r="K40" i="11"/>
  <c r="C41" i="11"/>
  <c r="C42" i="11"/>
  <c r="C43" i="11"/>
  <c r="G41" i="11"/>
  <c r="K72" i="11"/>
  <c r="K76" i="11" s="1"/>
  <c r="G72" i="11"/>
  <c r="C53" i="11"/>
  <c r="C51" i="11"/>
  <c r="K51" i="11"/>
  <c r="C54" i="11"/>
  <c r="G51" i="11"/>
  <c r="C64" i="11"/>
  <c r="C62" i="11"/>
  <c r="C65" i="11" s="1"/>
  <c r="C63" i="11"/>
  <c r="G65" i="11"/>
  <c r="C74" i="11"/>
  <c r="G76" i="11"/>
  <c r="C75" i="11"/>
  <c r="C72" i="11"/>
  <c r="N9" i="11"/>
  <c r="N6" i="11"/>
  <c r="M10" i="11"/>
  <c r="M9" i="11"/>
  <c r="M7" i="11"/>
  <c r="M6" i="11"/>
  <c r="O6" i="11" s="1"/>
  <c r="I9" i="11"/>
  <c r="I6" i="11"/>
  <c r="J6" i="11" s="1"/>
  <c r="H10" i="11"/>
  <c r="H7" i="11"/>
  <c r="F13" i="12"/>
  <c r="J13" i="12" s="1"/>
  <c r="E13" i="12"/>
  <c r="I10" i="11" s="1"/>
  <c r="F12" i="12"/>
  <c r="J12" i="12" s="1"/>
  <c r="E12" i="12"/>
  <c r="I7" i="11" s="1"/>
  <c r="F9" i="12"/>
  <c r="E9" i="12"/>
  <c r="N10" i="11" s="1"/>
  <c r="F8" i="12"/>
  <c r="J8" i="12" s="1"/>
  <c r="E8" i="12"/>
  <c r="N7" i="11" s="1"/>
  <c r="E4" i="12"/>
  <c r="E3" i="12"/>
  <c r="I64" i="12"/>
  <c r="K21" i="11" s="1"/>
  <c r="H64" i="12"/>
  <c r="K32" i="11" s="1"/>
  <c r="I63" i="12"/>
  <c r="K20" i="11" s="1"/>
  <c r="H63" i="12"/>
  <c r="K31" i="11" s="1"/>
  <c r="I62" i="12"/>
  <c r="K19" i="11" s="1"/>
  <c r="H62" i="12"/>
  <c r="K30" i="11" s="1"/>
  <c r="I61" i="12"/>
  <c r="K18" i="11" s="1"/>
  <c r="H61" i="12"/>
  <c r="K29" i="11" s="1"/>
  <c r="I59" i="12"/>
  <c r="G21" i="11" s="1"/>
  <c r="H59" i="12"/>
  <c r="G32" i="11" s="1"/>
  <c r="I58" i="12"/>
  <c r="G20" i="11" s="1"/>
  <c r="H58" i="12"/>
  <c r="G31" i="11" s="1"/>
  <c r="I57" i="12"/>
  <c r="G19" i="11" s="1"/>
  <c r="H57" i="12"/>
  <c r="G30" i="11" s="1"/>
  <c r="I56" i="12"/>
  <c r="G18" i="11" s="1"/>
  <c r="H56" i="12"/>
  <c r="G29" i="11" s="1"/>
  <c r="I53" i="12"/>
  <c r="C20" i="11" s="1"/>
  <c r="H53" i="12"/>
  <c r="C31" i="11" s="1"/>
  <c r="I52" i="12"/>
  <c r="C19" i="11" s="1"/>
  <c r="H52" i="12"/>
  <c r="C30" i="11" s="1"/>
  <c r="I51" i="12"/>
  <c r="C18" i="11" s="1"/>
  <c r="H51" i="12"/>
  <c r="C29" i="11" s="1"/>
  <c r="O9" i="11" l="1"/>
  <c r="O10" i="11"/>
  <c r="K65" i="11"/>
  <c r="C76" i="11"/>
  <c r="H52" i="11"/>
  <c r="H73" i="11"/>
  <c r="H93" i="11"/>
  <c r="M8" i="11"/>
  <c r="N8" i="11"/>
  <c r="N11" i="11"/>
  <c r="M11" i="11"/>
  <c r="I11" i="11"/>
  <c r="H65" i="12"/>
  <c r="H8" i="11"/>
  <c r="I60" i="12"/>
  <c r="I8" i="11"/>
  <c r="H11" i="11"/>
  <c r="J9" i="11"/>
  <c r="I65" i="12"/>
  <c r="H60" i="12"/>
  <c r="I54" i="12"/>
  <c r="H54" i="12"/>
  <c r="J9" i="12"/>
  <c r="K55" i="11"/>
  <c r="J7" i="11"/>
  <c r="G22" i="11"/>
  <c r="H83" i="11" s="1"/>
  <c r="G33" i="11"/>
  <c r="H51" i="11" s="1"/>
  <c r="C44" i="11"/>
  <c r="K44" i="11"/>
  <c r="G55" i="11"/>
  <c r="C22" i="11"/>
  <c r="K22" i="11"/>
  <c r="C33" i="11"/>
  <c r="K33" i="11"/>
  <c r="G44" i="11"/>
  <c r="C55" i="11"/>
  <c r="O7" i="11"/>
  <c r="O8" i="11" s="1"/>
  <c r="J10" i="11"/>
  <c r="O11" i="11" l="1"/>
  <c r="L61" i="11"/>
  <c r="L65" i="11" s="1"/>
  <c r="L40" i="11"/>
  <c r="H55" i="11"/>
  <c r="L29" i="11"/>
  <c r="L72" i="11"/>
  <c r="L76" i="11" s="1"/>
  <c r="L92" i="11"/>
  <c r="L96" i="11" s="1"/>
  <c r="H31" i="11"/>
  <c r="H72" i="11"/>
  <c r="H76" i="11" s="1"/>
  <c r="D9" i="11"/>
  <c r="D11" i="11" s="1"/>
  <c r="H92" i="11"/>
  <c r="H96" i="11" s="1"/>
  <c r="D30" i="11"/>
  <c r="D75" i="11"/>
  <c r="D73" i="11"/>
  <c r="D74" i="11"/>
  <c r="D72" i="11"/>
  <c r="D93" i="11"/>
  <c r="C9" i="11"/>
  <c r="E9" i="11" s="1"/>
  <c r="D95" i="11"/>
  <c r="D94" i="11"/>
  <c r="H20" i="11"/>
  <c r="H61" i="11"/>
  <c r="H62" i="11"/>
  <c r="H82" i="11"/>
  <c r="D6" i="11"/>
  <c r="D8" i="11" s="1"/>
  <c r="L21" i="11"/>
  <c r="L82" i="11"/>
  <c r="L86" i="11" s="1"/>
  <c r="D41" i="11"/>
  <c r="D63" i="11"/>
  <c r="D62" i="11"/>
  <c r="D61" i="11"/>
  <c r="D64" i="11"/>
  <c r="D82" i="11"/>
  <c r="C6" i="11"/>
  <c r="D85" i="11"/>
  <c r="D83" i="11"/>
  <c r="D84" i="11"/>
  <c r="D20" i="11"/>
  <c r="L32" i="11"/>
  <c r="L30" i="11"/>
  <c r="L31" i="11"/>
  <c r="H32" i="11"/>
  <c r="D53" i="11"/>
  <c r="D31" i="11"/>
  <c r="D54" i="11"/>
  <c r="H18" i="11"/>
  <c r="H19" i="11"/>
  <c r="J8" i="11"/>
  <c r="J11" i="11"/>
  <c r="L19" i="11"/>
  <c r="L44" i="11"/>
  <c r="E7" i="11"/>
  <c r="D40" i="11"/>
  <c r="D18" i="11"/>
  <c r="D19" i="11"/>
  <c r="L18" i="11"/>
  <c r="L51" i="11"/>
  <c r="L55" i="11" s="1"/>
  <c r="H29" i="11"/>
  <c r="H30" i="11"/>
  <c r="D52" i="11"/>
  <c r="H40" i="11"/>
  <c r="D42" i="11"/>
  <c r="H21" i="11"/>
  <c r="H41" i="11"/>
  <c r="L20" i="11"/>
  <c r="D51" i="11"/>
  <c r="D29" i="11"/>
  <c r="D43" i="11"/>
  <c r="C8" i="11" l="1"/>
  <c r="E6" i="11"/>
  <c r="E8" i="11" s="1"/>
  <c r="D76" i="11"/>
  <c r="D86" i="11"/>
  <c r="H65" i="11"/>
  <c r="D65" i="11"/>
  <c r="H86" i="11"/>
  <c r="D33" i="11"/>
  <c r="L33" i="11"/>
  <c r="D55" i="11"/>
  <c r="H44" i="11"/>
  <c r="H33" i="11"/>
  <c r="H22" i="11"/>
  <c r="D44" i="11"/>
  <c r="D22" i="11"/>
  <c r="L22" i="11"/>
  <c r="C92" i="11" l="1"/>
  <c r="D92" i="11" s="1"/>
  <c r="D96" i="11" s="1"/>
  <c r="C96" i="11" l="1"/>
  <c r="C10" i="11" s="1"/>
  <c r="C11" i="11" l="1"/>
  <c r="E10" i="11"/>
  <c r="E11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Stephanie Bieler</author>
  </authors>
  <commentList>
    <comment ref="A3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Stephanie Bieler:</t>
        </r>
        <r>
          <rPr>
            <sz val="9"/>
            <color indexed="81"/>
            <rFont val="Tahoma"/>
            <family val="2"/>
          </rPr>
          <t xml:space="preserve">
Curtailable Load from DR customers added to Curtailable load from customers not enrolled in DR</t>
        </r>
      </text>
    </comment>
  </commentList>
</comments>
</file>

<file path=xl/sharedStrings.xml><?xml version="1.0" encoding="utf-8"?>
<sst xmlns="http://schemas.openxmlformats.org/spreadsheetml/2006/main" count="770" uniqueCount="153">
  <si>
    <t>Summary tables for all three sectors (Res/Com/Ind):</t>
  </si>
  <si>
    <t>Results Compare from 2013 Revision</t>
  </si>
  <si>
    <t>Results Compare from ITRON 2009</t>
  </si>
  <si>
    <t>Residential</t>
  </si>
  <si>
    <t>Commercial</t>
  </si>
  <si>
    <t>Industrial</t>
  </si>
  <si>
    <t>2020 Summer Peak (MW)</t>
  </si>
  <si>
    <t>Summer Peak (MW)</t>
  </si>
  <si>
    <t>Technical Summer Peak Savings (MW)</t>
  </si>
  <si>
    <t>Summer Peak Savings (MW)</t>
  </si>
  <si>
    <t>% of Summer Peak</t>
  </si>
  <si>
    <t>2020 Winter Peak (MW)</t>
  </si>
  <si>
    <t>Winter Peak (MW)</t>
  </si>
  <si>
    <t>Technical Winter Peak Savings (MW)</t>
  </si>
  <si>
    <t>Winter Peak Savings (MW)</t>
  </si>
  <si>
    <t>% of Winter Peak</t>
  </si>
  <si>
    <t>Segment</t>
  </si>
  <si>
    <t>Single Family</t>
  </si>
  <si>
    <t>Multi-Family</t>
  </si>
  <si>
    <t>Total</t>
  </si>
  <si>
    <t>End Use</t>
  </si>
  <si>
    <t>Space Heating</t>
  </si>
  <si>
    <t>Space Cooling</t>
  </si>
  <si>
    <t>Res Curtailable Load (MW)</t>
  </si>
  <si>
    <t>GS Curtailable Load (MW)</t>
  </si>
  <si>
    <t>GSD Curtailable Load (MW)</t>
  </si>
  <si>
    <t>Total Curtailable Load (MW)</t>
  </si>
  <si>
    <t>System Load (MW)</t>
  </si>
  <si>
    <t>% of System Load</t>
  </si>
  <si>
    <t>Summer</t>
  </si>
  <si>
    <t>Winter</t>
  </si>
  <si>
    <t>-</t>
  </si>
  <si>
    <t>Table 4-7: 2009 DR Technical Potential in PEF by Sector, DR Enabling Technology/Tariff, and Scenario</t>
  </si>
  <si>
    <t>Table 4-7:  2013 Forecast Refresh of iTron DR Technical Potential Study</t>
  </si>
  <si>
    <t>Sector</t>
  </si>
  <si>
    <t>DR-Enabling Technology and Tariff</t>
  </si>
  <si>
    <t>Summer System Peak</t>
  </si>
  <si>
    <t>Winter System Peak</t>
  </si>
  <si>
    <t>Baseline</t>
  </si>
  <si>
    <t>High</t>
  </si>
  <si>
    <t>Low</t>
  </si>
  <si>
    <t>(MW)</t>
  </si>
  <si>
    <t>(%)</t>
  </si>
  <si>
    <t>A/C Cycling Switch w/ flat rate</t>
  </si>
  <si>
    <t>A/C Shedding Switch w/ flat rate</t>
  </si>
  <si>
    <t>Smart Thermostats for A/C w/ CPP</t>
  </si>
  <si>
    <t>On-Off Switching via low-power wireless networks for water heating w/ CPP</t>
  </si>
  <si>
    <t>On-Off Switching via low-power wireless networks for pool systems  w/ CPP</t>
  </si>
  <si>
    <t>In-home displays and pre-set control strategies w/ CPP</t>
  </si>
  <si>
    <t>Total Residential</t>
  </si>
  <si>
    <t>Automated control strategies w/ CPP</t>
  </si>
  <si>
    <t>Direct load control system</t>
  </si>
  <si>
    <t>Total Commercial</t>
  </si>
  <si>
    <t>Automated control Strategies w/ CPP</t>
  </si>
  <si>
    <t>Total Industrial</t>
  </si>
  <si>
    <t>TOTAL</t>
  </si>
  <si>
    <t>DEF Technical Potential - 2009 Study</t>
  </si>
  <si>
    <t>DEF Technical Potential - 2014 Study</t>
  </si>
  <si>
    <t>MW</t>
  </si>
  <si>
    <t>Non-Res Curtailable</t>
  </si>
  <si>
    <t>Non-Residential</t>
  </si>
  <si>
    <t>% of Sector Peak</t>
  </si>
  <si>
    <t>GSD</t>
  </si>
  <si>
    <t>GS</t>
  </si>
  <si>
    <t>0-15,000 kWh</t>
  </si>
  <si>
    <t>15,001-25,000 kWh</t>
  </si>
  <si>
    <t>25,001-50,000 kWh</t>
  </si>
  <si>
    <t>50,000 kWh+</t>
  </si>
  <si>
    <t>0-50 kW</t>
  </si>
  <si>
    <t>51-300 kW</t>
  </si>
  <si>
    <t>301-500 kW</t>
  </si>
  <si>
    <t>501 kW+</t>
  </si>
  <si>
    <t>Mobile Home/Other</t>
  </si>
  <si>
    <t>Winter Peak Loads (kW)</t>
  </si>
  <si>
    <t>Res Segments Heating Load (kW)</t>
  </si>
  <si>
    <t>GS Segments Heating Load (kW)</t>
  </si>
  <si>
    <t>GSD Segments Total Load (kW)</t>
  </si>
  <si>
    <t>Residential Pool Pump and Water Heater Load</t>
  </si>
  <si>
    <t>Pool Pump</t>
  </si>
  <si>
    <t>Water Heater</t>
  </si>
  <si>
    <t>50,001 kWh +</t>
  </si>
  <si>
    <t>501 kW +</t>
  </si>
  <si>
    <t>Population</t>
  </si>
  <si>
    <t>SF Pool Pump</t>
  </si>
  <si>
    <t>SF Water Heater</t>
  </si>
  <si>
    <t>MF Pool Pump</t>
  </si>
  <si>
    <t>MF Water Heater</t>
  </si>
  <si>
    <t>MH Pool Pump</t>
  </si>
  <si>
    <t>MH Water Heater</t>
  </si>
  <si>
    <t>Total Pool Pump</t>
  </si>
  <si>
    <t>Total Water Heater</t>
  </si>
  <si>
    <t>Res Segments Cooling Load (kW)</t>
  </si>
  <si>
    <t>GS Segments Cooling Load (kW)</t>
  </si>
  <si>
    <t>Peak Day</t>
  </si>
  <si>
    <t>Peak Hour (HE)</t>
  </si>
  <si>
    <t>Residential Curtailable Load (MW)</t>
  </si>
  <si>
    <t>GS Total Load (MW)</t>
  </si>
  <si>
    <t xml:space="preserve">Summer: </t>
  </si>
  <si>
    <t xml:space="preserve">Winter: </t>
  </si>
  <si>
    <t>All</t>
  </si>
  <si>
    <t>Res Baseline</t>
  </si>
  <si>
    <t>NonRes Baseline</t>
  </si>
  <si>
    <t>Summer Peak Loads by End Use (kW)</t>
  </si>
  <si>
    <t>Summer Peak Load</t>
  </si>
  <si>
    <t>Winter Peak Load</t>
  </si>
  <si>
    <t>Table 2. Summer Peak Demand by Segment by Sector</t>
  </si>
  <si>
    <t>Table 3. Winter Peak Demand by Segment by Sector</t>
  </si>
  <si>
    <t>Avg Summer Peak</t>
  </si>
  <si>
    <t>Avg Winter Peak</t>
  </si>
  <si>
    <t>2016 Peak Load By Segments (No Disaggregation)</t>
  </si>
  <si>
    <t>%Diff between 2016 and 2020 system peak (from 10 year site plan):</t>
  </si>
  <si>
    <t>Customer Counts (ALL CUSTOMERS INCL. DR)</t>
  </si>
  <si>
    <t>DEF Peak Demand Forecast (from 10 year site plan)</t>
  </si>
  <si>
    <t>Total Residential Load (MW)*</t>
  </si>
  <si>
    <t>DEF Technical Potential - 2018 Study (Scaled to 2020)</t>
  </si>
  <si>
    <t>Table 4. Summer Peak Potential by End Use by Sector (UNADJUSTED)</t>
  </si>
  <si>
    <t>Table 5. Winter Peak Potential by End Use by Sector (UNADJUSTED)</t>
  </si>
  <si>
    <t>Housing Type</t>
  </si>
  <si>
    <t>SMB Heating (kW)</t>
  </si>
  <si>
    <t>SMB Cooling (kW)</t>
  </si>
  <si>
    <t>LCI Winter kW</t>
  </si>
  <si>
    <t>LCI Summer kW</t>
  </si>
  <si>
    <t>Winter Res Heating (kW)</t>
  </si>
  <si>
    <t>Summer Res Cooling (kW)</t>
  </si>
  <si>
    <t>Summer Res Pool Pump (kW)</t>
  </si>
  <si>
    <t>Summer Res Water Heater (kW)</t>
  </si>
  <si>
    <t>Winter Res Pool Pump (kW)</t>
  </si>
  <si>
    <t>Winter Res Water Heater (kW)</t>
  </si>
  <si>
    <t>RES</t>
  </si>
  <si>
    <t>SMB</t>
  </si>
  <si>
    <t>LCI</t>
  </si>
  <si>
    <t>Multi Family</t>
  </si>
  <si>
    <t>Table 7. Winter Peak Potential by End Use by Sector (ADJUSTED FOR EXISTING DR)</t>
  </si>
  <si>
    <t>Table 8. Summer Peak Potential by End Use by Sector (ADJUSTED FOR EE MEASURES AND FOR EXISTING DR)</t>
  </si>
  <si>
    <t>Table 9. Winter Peak Potential by End Use by Sector (ADJUSTED FOR EE MEASURES AND FOR EXISTING DR)</t>
  </si>
  <si>
    <t>Table 6. Summer Peak Potential by End Use by Sector (ADJUSTED FOR EXISTING DR)</t>
  </si>
  <si>
    <t>ADJUSTED TP RESULTS for Both EE and DR</t>
  </si>
  <si>
    <t>2016 Technical Potential with DR Adjustment</t>
  </si>
  <si>
    <t>2016 Technical Potential Without DR Adjustment</t>
  </si>
  <si>
    <t>Residential  Heating/Cooling Curtailable Load (MW)</t>
  </si>
  <si>
    <t>Residential Water Heater Curtailable Load</t>
  </si>
  <si>
    <t>GS Heating/Cooling Curtailable Load</t>
  </si>
  <si>
    <t>Residential Pool Pump Curtailable Load</t>
  </si>
  <si>
    <t>NOTES ON TABLES FOR DASHBOARD</t>
  </si>
  <si>
    <t>Tables 4-5 Record TP for all customers including DR customers - this is not the true TP for DEF, it is just for reference</t>
  </si>
  <si>
    <t>Tables 2-3 Record system peaks for all customers in each segment, this is the total demand for each customer segment during the DEF system peak</t>
  </si>
  <si>
    <t>Table 1 Peak demand (Row 6 and Row 9) includes all customers in each segment (both customers enrolled in DR and customers not enrolled in DR), TP (Row 7 and Row 10) is adjusted to exclude DR customers and make EE adjustments</t>
  </si>
  <si>
    <t>Tables 6-7 Record TP excluding existing DR customers, but do not include EE adjustment</t>
  </si>
  <si>
    <t>Tables 8-9 Record TP excluding existing DR customers and include EE adjustment</t>
  </si>
  <si>
    <t>Peak demands include all customers and have not been adjusted for EE measures</t>
  </si>
  <si>
    <t>Table 1. Theoretical Technical Potential Savings for Residential and Non-Residential Sectors</t>
  </si>
  <si>
    <t>Summer MW</t>
  </si>
  <si>
    <t>Winter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</si>
</sst>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0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2"/>
      <name val="Helv"/>
    </font>
    <font>
      <sz val="11"/>
      <color theme="1"/>
      <name val="Campton Light"/>
      <family val="2"/>
    </font>
    <font>
      <b/>
      <sz val="12"/>
      <color theme="4"/>
      <name val="Calibri"/>
      <family val="2"/>
      <scheme val="minor"/>
    </font>
    <font>
      <u/>
      <sz val="11"/>
      <color theme="6"/>
      <name val="Calibri"/>
      <family val="2"/>
    </font>
    <font>
      <u/>
      <sz val="10"/>
      <color theme="4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9"/>
      <color indexed="20"/>
      <name val="Arial"/>
      <family val="2"/>
    </font>
    <font>
      <sz val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3" tint="0.79998168889431442"/>
        <bgColor indexed="64"/>
      </patternFill>
    </fill>
  </fills>
  <borders count="55">
    <border>
      <left/>
      <right/>
      <top/>
      <bottom/>
      <diagonal/>
    </border>
    <border>
      <left/>
      <right style="dashed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dashed">
        <color theme="4" tint="-0.24994659260841701"/>
      </left>
      <right style="dashed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/>
      <right style="dashed">
        <color theme="4" tint="-0.499984740745262"/>
      </right>
      <top/>
      <bottom style="medium">
        <color theme="4" tint="-0.499984740745262"/>
      </bottom>
      <diagonal/>
    </border>
    <border>
      <left style="dashed">
        <color theme="4" tint="-0.499984740745262"/>
      </left>
      <right style="dashed">
        <color theme="4" tint="-0.499984740745262"/>
      </right>
      <top/>
      <bottom style="medium">
        <color theme="4" tint="-0.499984740745262"/>
      </bottom>
      <diagonal/>
    </border>
    <border>
      <left style="dashed">
        <color theme="4" tint="-0.499984740745262"/>
      </left>
      <right/>
      <top/>
      <bottom style="medium">
        <color theme="4" tint="-0.499984740745262"/>
      </bottom>
      <diagonal/>
    </border>
    <border>
      <left/>
      <right style="dashed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dashed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dashed">
        <color theme="4" tint="-0.499984740745262"/>
      </left>
      <right style="dashed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26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2" applyNumberFormat="0" applyAlignment="0" applyProtection="0"/>
    <xf numFmtId="0" fontId="15" fillId="10" borderId="13" applyNumberFormat="0" applyAlignment="0" applyProtection="0"/>
    <xf numFmtId="0" fontId="16" fillId="10" borderId="12" applyNumberFormat="0" applyAlignment="0" applyProtection="0"/>
    <xf numFmtId="0" fontId="17" fillId="0" borderId="14" applyNumberFormat="0" applyFill="0" applyAlignment="0" applyProtection="0"/>
    <xf numFmtId="0" fontId="18" fillId="11" borderId="15" applyNumberFormat="0" applyAlignment="0" applyProtection="0"/>
    <xf numFmtId="0" fontId="19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17" applyNumberFormat="0" applyFill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" fillId="35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31" fillId="0" borderId="0"/>
    <xf numFmtId="9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43" fontId="6" fillId="0" borderId="0" applyFont="0" applyFill="0" applyBorder="0" applyAlignment="0" applyProtection="0"/>
    <xf numFmtId="0" fontId="30" fillId="0" borderId="0"/>
    <xf numFmtId="8" fontId="30" fillId="0" borderId="0" applyFont="0" applyFill="0" applyBorder="0" applyAlignment="0" applyProtection="0"/>
    <xf numFmtId="167" fontId="6" fillId="0" borderId="0">
      <alignment horizontal="left" wrapText="1"/>
    </xf>
    <xf numFmtId="0" fontId="6" fillId="0" borderId="0"/>
    <xf numFmtId="0" fontId="30" fillId="0" borderId="0"/>
    <xf numFmtId="0" fontId="32" fillId="39" borderId="0"/>
    <xf numFmtId="9" fontId="6" fillId="0" borderId="0" applyFont="0" applyFill="0" applyBorder="0" applyAlignment="0" applyProtection="0"/>
    <xf numFmtId="0" fontId="1" fillId="0" borderId="0"/>
    <xf numFmtId="0" fontId="30" fillId="0" borderId="0"/>
    <xf numFmtId="0" fontId="21" fillId="0" borderId="32" applyNumberFormat="0" applyFont="0" applyProtection="0">
      <alignment wrapText="1"/>
    </xf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Protection="0">
      <alignment vertical="top" wrapText="1"/>
    </xf>
    <xf numFmtId="0" fontId="21" fillId="0" borderId="33" applyNumberFormat="0" applyProtection="0">
      <alignment vertical="top" wrapText="1"/>
    </xf>
    <xf numFmtId="0" fontId="22" fillId="0" borderId="9" applyNumberFormat="0" applyProtection="0">
      <alignment wrapText="1"/>
    </xf>
    <xf numFmtId="0" fontId="22" fillId="0" borderId="34" applyNumberFormat="0" applyProtection="0">
      <alignment horizontal="left" wrapText="1"/>
    </xf>
    <xf numFmtId="0" fontId="23" fillId="0" borderId="0" applyNumberFormat="0" applyFill="0" applyBorder="0" applyAlignment="0" applyProtection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1" fillId="0" borderId="0"/>
    <xf numFmtId="0" fontId="6" fillId="0" borderId="0"/>
    <xf numFmtId="0" fontId="26" fillId="0" borderId="0"/>
    <xf numFmtId="0" fontId="6" fillId="0" borderId="0"/>
    <xf numFmtId="0" fontId="25" fillId="12" borderId="16" applyNumberFormat="0" applyFont="0" applyAlignment="0" applyProtection="0"/>
    <xf numFmtId="0" fontId="22" fillId="0" borderId="35" applyNumberFormat="0" applyProtection="0">
      <alignment wrapText="1"/>
    </xf>
    <xf numFmtId="9" fontId="6" fillId="0" borderId="0" applyFont="0" applyFill="0" applyBorder="0" applyAlignment="0" applyProtection="0"/>
    <xf numFmtId="0" fontId="21" fillId="0" borderId="36" applyNumberFormat="0" applyFont="0" applyFill="0" applyProtection="0">
      <alignment wrapText="1"/>
    </xf>
    <xf numFmtId="0" fontId="22" fillId="0" borderId="37" applyNumberFormat="0" applyFill="0" applyProtection="0">
      <alignment wrapText="1"/>
    </xf>
    <xf numFmtId="0" fontId="27" fillId="0" borderId="0" applyNumberFormat="0" applyProtection="0">
      <alignment horizontal="left"/>
    </xf>
    <xf numFmtId="0" fontId="24" fillId="0" borderId="0"/>
    <xf numFmtId="9" fontId="2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33" fillId="0" borderId="0"/>
    <xf numFmtId="0" fontId="34" fillId="0" borderId="0"/>
    <xf numFmtId="43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4" fillId="3" borderId="0" xfId="0" applyFont="1" applyFill="1"/>
    <xf numFmtId="0" fontId="0" fillId="3" borderId="0" xfId="0" applyFill="1"/>
    <xf numFmtId="0" fontId="2" fillId="3" borderId="0" xfId="0" applyFont="1" applyFill="1"/>
    <xf numFmtId="0" fontId="3" fillId="2" borderId="0" xfId="2"/>
    <xf numFmtId="0" fontId="3" fillId="2" borderId="0" xfId="2" applyAlignment="1">
      <alignment horizontal="center" vertical="center"/>
    </xf>
    <xf numFmtId="0" fontId="0" fillId="4" borderId="1" xfId="0" applyFill="1" applyBorder="1" applyAlignment="1">
      <alignment vertical="center"/>
    </xf>
    <xf numFmtId="3" fontId="0" fillId="4" borderId="2" xfId="0" applyNumberFormat="1" applyFill="1" applyBorder="1" applyAlignment="1">
      <alignment horizontal="center" vertical="center"/>
    </xf>
    <xf numFmtId="9" fontId="0" fillId="4" borderId="2" xfId="1" applyFont="1" applyFill="1" applyBorder="1" applyAlignment="1">
      <alignment horizontal="center" vertical="center"/>
    </xf>
    <xf numFmtId="9" fontId="0" fillId="4" borderId="2" xfId="1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3" fillId="5" borderId="0" xfId="0" applyFont="1" applyFill="1"/>
    <xf numFmtId="0" fontId="0" fillId="4" borderId="3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3" fontId="0" fillId="4" borderId="8" xfId="0" applyNumberFormat="1" applyFill="1" applyBorder="1" applyAlignment="1">
      <alignment vertical="center"/>
    </xf>
    <xf numFmtId="10" fontId="0" fillId="4" borderId="7" xfId="1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4" fontId="21" fillId="0" borderId="18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8" xfId="0" applyFont="1" applyFill="1" applyBorder="1" applyAlignment="1">
      <alignment horizontal="center"/>
    </xf>
    <xf numFmtId="3" fontId="21" fillId="0" borderId="18" xfId="1" applyNumberFormat="1" applyFont="1" applyFill="1" applyBorder="1" applyAlignment="1">
      <alignment horizontal="center"/>
    </xf>
    <xf numFmtId="3" fontId="21" fillId="0" borderId="18" xfId="0" applyNumberFormat="1" applyFont="1" applyFill="1" applyBorder="1" applyAlignment="1">
      <alignment horizontal="center"/>
    </xf>
    <xf numFmtId="9" fontId="21" fillId="0" borderId="18" xfId="0" applyNumberFormat="1" applyFont="1" applyFill="1" applyBorder="1" applyAlignment="1">
      <alignment horizontal="center"/>
    </xf>
    <xf numFmtId="10" fontId="21" fillId="0" borderId="18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65" fontId="21" fillId="0" borderId="0" xfId="1" applyNumberFormat="1" applyFont="1" applyFill="1" applyBorder="1" applyAlignment="1">
      <alignment horizontal="center"/>
    </xf>
    <xf numFmtId="165" fontId="21" fillId="0" borderId="18" xfId="1" applyNumberFormat="1" applyFont="1" applyFill="1" applyBorder="1" applyAlignment="1">
      <alignment horizontal="center"/>
    </xf>
    <xf numFmtId="3" fontId="21" fillId="0" borderId="0" xfId="1" applyNumberFormat="1" applyFont="1" applyFill="1" applyBorder="1" applyAlignment="1">
      <alignment horizontal="center"/>
    </xf>
    <xf numFmtId="3" fontId="0" fillId="3" borderId="0" xfId="0" applyNumberFormat="1" applyFill="1"/>
    <xf numFmtId="0" fontId="22" fillId="36" borderId="44" xfId="0" applyFont="1" applyFill="1" applyBorder="1" applyAlignment="1">
      <alignment wrapText="1"/>
    </xf>
    <xf numFmtId="0" fontId="22" fillId="36" borderId="46" xfId="0" applyFont="1" applyFill="1" applyBorder="1" applyAlignment="1">
      <alignment horizontal="center" wrapText="1"/>
    </xf>
    <xf numFmtId="0" fontId="22" fillId="36" borderId="45" xfId="0" applyFont="1" applyFill="1" applyBorder="1" applyAlignment="1">
      <alignment horizontal="center" wrapText="1"/>
    </xf>
    <xf numFmtId="0" fontId="21" fillId="0" borderId="26" xfId="0" applyFont="1" applyBorder="1" applyAlignment="1">
      <alignment vertical="center" wrapText="1"/>
    </xf>
    <xf numFmtId="0" fontId="21" fillId="0" borderId="29" xfId="0" applyFont="1" applyBorder="1" applyAlignment="1">
      <alignment wrapText="1"/>
    </xf>
    <xf numFmtId="165" fontId="21" fillId="0" borderId="18" xfId="1" applyNumberFormat="1" applyFont="1" applyBorder="1" applyAlignment="1">
      <alignment horizontal="center" wrapText="1"/>
    </xf>
    <xf numFmtId="166" fontId="21" fillId="0" borderId="18" xfId="4" applyNumberFormat="1" applyFont="1" applyBorder="1" applyAlignment="1">
      <alignment wrapText="1"/>
    </xf>
    <xf numFmtId="165" fontId="21" fillId="0" borderId="26" xfId="1" applyNumberFormat="1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165" fontId="21" fillId="0" borderId="45" xfId="1" applyNumberFormat="1" applyFont="1" applyBorder="1" applyAlignment="1">
      <alignment horizontal="center" wrapText="1"/>
    </xf>
    <xf numFmtId="0" fontId="21" fillId="0" borderId="46" xfId="0" applyFont="1" applyBorder="1" applyAlignment="1">
      <alignment wrapText="1"/>
    </xf>
    <xf numFmtId="165" fontId="21" fillId="0" borderId="26" xfId="0" applyNumberFormat="1" applyFont="1" applyBorder="1" applyAlignment="1">
      <alignment horizontal="center" wrapText="1"/>
    </xf>
    <xf numFmtId="166" fontId="21" fillId="0" borderId="27" xfId="0" applyNumberFormat="1" applyFont="1" applyBorder="1" applyAlignment="1">
      <alignment wrapText="1"/>
    </xf>
    <xf numFmtId="165" fontId="21" fillId="0" borderId="18" xfId="0" applyNumberFormat="1" applyFont="1" applyBorder="1" applyAlignment="1">
      <alignment horizontal="center" wrapText="1"/>
    </xf>
    <xf numFmtId="165" fontId="21" fillId="0" borderId="45" xfId="0" applyNumberFormat="1" applyFont="1" applyBorder="1" applyAlignment="1">
      <alignment horizontal="center" wrapText="1"/>
    </xf>
    <xf numFmtId="0" fontId="21" fillId="0" borderId="30" xfId="0" applyFont="1" applyBorder="1" applyAlignment="1">
      <alignment wrapText="1"/>
    </xf>
    <xf numFmtId="0" fontId="21" fillId="0" borderId="52" xfId="0" applyFont="1" applyBorder="1" applyAlignment="1">
      <alignment wrapText="1"/>
    </xf>
    <xf numFmtId="0" fontId="21" fillId="0" borderId="19" xfId="0" applyFont="1" applyBorder="1" applyAlignment="1">
      <alignment vertical="center" wrapText="1"/>
    </xf>
    <xf numFmtId="0" fontId="21" fillId="0" borderId="31" xfId="0" applyFont="1" applyBorder="1" applyAlignment="1">
      <alignment wrapText="1"/>
    </xf>
    <xf numFmtId="165" fontId="21" fillId="0" borderId="29" xfId="1" applyNumberFormat="1" applyFont="1" applyBorder="1" applyAlignment="1">
      <alignment horizontal="center" wrapText="1"/>
    </xf>
    <xf numFmtId="166" fontId="21" fillId="0" borderId="29" xfId="4" applyNumberFormat="1" applyFont="1" applyBorder="1" applyAlignment="1">
      <alignment wrapText="1"/>
    </xf>
    <xf numFmtId="165" fontId="21" fillId="0" borderId="19" xfId="1" applyNumberFormat="1" applyFont="1" applyBorder="1" applyAlignment="1">
      <alignment horizontal="center" wrapText="1"/>
    </xf>
    <xf numFmtId="0" fontId="21" fillId="0" borderId="21" xfId="0" applyFont="1" applyBorder="1" applyAlignment="1">
      <alignment wrapText="1"/>
    </xf>
    <xf numFmtId="0" fontId="21" fillId="0" borderId="49" xfId="0" applyFont="1" applyBorder="1" applyAlignment="1">
      <alignment wrapText="1"/>
    </xf>
    <xf numFmtId="165" fontId="21" fillId="0" borderId="19" xfId="0" applyNumberFormat="1" applyFont="1" applyBorder="1" applyAlignment="1">
      <alignment horizontal="center" wrapText="1"/>
    </xf>
    <xf numFmtId="165" fontId="21" fillId="0" borderId="29" xfId="0" applyNumberFormat="1" applyFont="1" applyBorder="1" applyAlignment="1">
      <alignment horizontal="center" wrapText="1"/>
    </xf>
    <xf numFmtId="0" fontId="21" fillId="38" borderId="26" xfId="0" applyFont="1" applyFill="1" applyBorder="1" applyAlignment="1">
      <alignment vertical="center" wrapText="1"/>
    </xf>
    <xf numFmtId="166" fontId="21" fillId="38" borderId="18" xfId="4" applyNumberFormat="1" applyFont="1" applyFill="1" applyBorder="1" applyAlignment="1">
      <alignment wrapText="1"/>
    </xf>
    <xf numFmtId="165" fontId="21" fillId="38" borderId="18" xfId="1" applyNumberFormat="1" applyFont="1" applyFill="1" applyBorder="1" applyAlignment="1">
      <alignment horizontal="center" wrapText="1"/>
    </xf>
    <xf numFmtId="165" fontId="21" fillId="38" borderId="26" xfId="1" applyNumberFormat="1" applyFont="1" applyFill="1" applyBorder="1" applyAlignment="1">
      <alignment horizontal="center" wrapText="1"/>
    </xf>
    <xf numFmtId="0" fontId="21" fillId="38" borderId="27" xfId="0" applyFont="1" applyFill="1" applyBorder="1" applyAlignment="1">
      <alignment wrapText="1"/>
    </xf>
    <xf numFmtId="0" fontId="21" fillId="38" borderId="18" xfId="0" applyFont="1" applyFill="1" applyBorder="1" applyAlignment="1">
      <alignment wrapText="1"/>
    </xf>
    <xf numFmtId="165" fontId="21" fillId="38" borderId="45" xfId="1" applyNumberFormat="1" applyFont="1" applyFill="1" applyBorder="1" applyAlignment="1">
      <alignment horizontal="center" wrapText="1"/>
    </xf>
    <xf numFmtId="166" fontId="21" fillId="37" borderId="44" xfId="0" applyNumberFormat="1" applyFont="1" applyFill="1" applyBorder="1" applyAlignment="1">
      <alignment wrapText="1"/>
    </xf>
    <xf numFmtId="166" fontId="21" fillId="40" borderId="27" xfId="4" applyNumberFormat="1" applyFont="1" applyFill="1" applyBorder="1" applyAlignment="1">
      <alignment wrapText="1"/>
    </xf>
    <xf numFmtId="165" fontId="21" fillId="40" borderId="18" xfId="1" applyNumberFormat="1" applyFont="1" applyFill="1" applyBorder="1" applyAlignment="1">
      <alignment horizontal="center" wrapText="1"/>
    </xf>
    <xf numFmtId="166" fontId="21" fillId="40" borderId="18" xfId="4" applyNumberFormat="1" applyFont="1" applyFill="1" applyBorder="1" applyAlignment="1">
      <alignment wrapText="1"/>
    </xf>
    <xf numFmtId="165" fontId="21" fillId="40" borderId="26" xfId="0" applyNumberFormat="1" applyFont="1" applyFill="1" applyBorder="1" applyAlignment="1">
      <alignment horizontal="center" wrapText="1"/>
    </xf>
    <xf numFmtId="165" fontId="21" fillId="40" borderId="18" xfId="0" applyNumberFormat="1" applyFont="1" applyFill="1" applyBorder="1" applyAlignment="1">
      <alignment horizontal="center" wrapText="1"/>
    </xf>
    <xf numFmtId="165" fontId="21" fillId="40" borderId="45" xfId="0" applyNumberFormat="1" applyFont="1" applyFill="1" applyBorder="1" applyAlignment="1">
      <alignment horizontal="center" wrapText="1"/>
    </xf>
    <xf numFmtId="0" fontId="21" fillId="0" borderId="23" xfId="0" applyFont="1" applyBorder="1" applyAlignment="1">
      <alignment vertical="center" wrapText="1"/>
    </xf>
    <xf numFmtId="165" fontId="21" fillId="0" borderId="31" xfId="1" applyNumberFormat="1" applyFont="1" applyBorder="1" applyAlignment="1">
      <alignment horizontal="center" wrapText="1"/>
    </xf>
    <xf numFmtId="166" fontId="21" fillId="0" borderId="31" xfId="4" applyNumberFormat="1" applyFont="1" applyBorder="1" applyAlignment="1">
      <alignment wrapText="1"/>
    </xf>
    <xf numFmtId="165" fontId="21" fillId="0" borderId="23" xfId="1" applyNumberFormat="1" applyFont="1" applyBorder="1" applyAlignment="1">
      <alignment horizontal="center" wrapText="1"/>
    </xf>
    <xf numFmtId="0" fontId="21" fillId="0" borderId="25" xfId="0" applyFont="1" applyBorder="1" applyAlignment="1">
      <alignment wrapText="1"/>
    </xf>
    <xf numFmtId="166" fontId="21" fillId="0" borderId="25" xfId="0" applyNumberFormat="1" applyFont="1" applyBorder="1" applyAlignment="1">
      <alignment wrapText="1"/>
    </xf>
    <xf numFmtId="165" fontId="21" fillId="0" borderId="23" xfId="0" applyNumberFormat="1" applyFont="1" applyBorder="1" applyAlignment="1">
      <alignment horizontal="center" wrapText="1"/>
    </xf>
    <xf numFmtId="165" fontId="21" fillId="0" borderId="31" xfId="0" applyNumberFormat="1" applyFont="1" applyBorder="1" applyAlignment="1">
      <alignment horizontal="center" wrapText="1"/>
    </xf>
    <xf numFmtId="166" fontId="21" fillId="0" borderId="18" xfId="4" applyNumberFormat="1" applyFont="1" applyBorder="1" applyAlignment="1">
      <alignment horizontal="right" wrapText="1"/>
    </xf>
    <xf numFmtId="0" fontId="21" fillId="38" borderId="19" xfId="0" applyFont="1" applyFill="1" applyBorder="1" applyAlignment="1">
      <alignment vertical="center" wrapText="1"/>
    </xf>
    <xf numFmtId="166" fontId="21" fillId="38" borderId="29" xfId="4" applyNumberFormat="1" applyFont="1" applyFill="1" applyBorder="1" applyAlignment="1">
      <alignment wrapText="1"/>
    </xf>
    <xf numFmtId="165" fontId="21" fillId="38" borderId="29" xfId="1" applyNumberFormat="1" applyFont="1" applyFill="1" applyBorder="1" applyAlignment="1">
      <alignment horizontal="center" wrapText="1"/>
    </xf>
    <xf numFmtId="166" fontId="21" fillId="38" borderId="29" xfId="4" applyNumberFormat="1" applyFont="1" applyFill="1" applyBorder="1" applyAlignment="1">
      <alignment horizontal="right" wrapText="1"/>
    </xf>
    <xf numFmtId="165" fontId="21" fillId="38" borderId="19" xfId="1" applyNumberFormat="1" applyFont="1" applyFill="1" applyBorder="1" applyAlignment="1">
      <alignment horizontal="center" wrapText="1"/>
    </xf>
    <xf numFmtId="0" fontId="21" fillId="38" borderId="21" xfId="0" applyFont="1" applyFill="1" applyBorder="1" applyAlignment="1">
      <alignment wrapText="1"/>
    </xf>
    <xf numFmtId="0" fontId="21" fillId="38" borderId="29" xfId="0" applyFont="1" applyFill="1" applyBorder="1" applyAlignment="1">
      <alignment wrapText="1"/>
    </xf>
    <xf numFmtId="165" fontId="21" fillId="38" borderId="47" xfId="1" applyNumberFormat="1" applyFont="1" applyFill="1" applyBorder="1" applyAlignment="1">
      <alignment horizontal="center" wrapText="1"/>
    </xf>
    <xf numFmtId="165" fontId="21" fillId="40" borderId="29" xfId="1" applyNumberFormat="1" applyFont="1" applyFill="1" applyBorder="1" applyAlignment="1">
      <alignment horizontal="center" wrapText="1"/>
    </xf>
    <xf numFmtId="165" fontId="21" fillId="40" borderId="19" xfId="0" applyNumberFormat="1" applyFont="1" applyFill="1" applyBorder="1" applyAlignment="1">
      <alignment horizontal="center" wrapText="1"/>
    </xf>
    <xf numFmtId="165" fontId="21" fillId="40" borderId="29" xfId="0" applyNumberFormat="1" applyFont="1" applyFill="1" applyBorder="1" applyAlignment="1">
      <alignment horizontal="center" wrapText="1"/>
    </xf>
    <xf numFmtId="165" fontId="21" fillId="40" borderId="47" xfId="0" applyNumberFormat="1" applyFont="1" applyFill="1" applyBorder="1" applyAlignment="1">
      <alignment horizontal="center" wrapText="1"/>
    </xf>
    <xf numFmtId="0" fontId="22" fillId="0" borderId="41" xfId="0" applyFont="1" applyBorder="1" applyAlignment="1">
      <alignment horizontal="center" wrapText="1"/>
    </xf>
    <xf numFmtId="0" fontId="21" fillId="0" borderId="42" xfId="0" applyFont="1" applyBorder="1" applyAlignment="1">
      <alignment wrapText="1"/>
    </xf>
    <xf numFmtId="166" fontId="21" fillId="0" borderId="42" xfId="4" applyNumberFormat="1" applyFont="1" applyFill="1" applyBorder="1" applyAlignment="1">
      <alignment wrapText="1"/>
    </xf>
    <xf numFmtId="165" fontId="21" fillId="0" borderId="42" xfId="1" applyNumberFormat="1" applyFont="1" applyBorder="1" applyAlignment="1">
      <alignment horizontal="center" wrapText="1"/>
    </xf>
    <xf numFmtId="166" fontId="21" fillId="0" borderId="42" xfId="4" applyNumberFormat="1" applyFont="1" applyBorder="1" applyAlignment="1">
      <alignment horizontal="right" wrapText="1"/>
    </xf>
    <xf numFmtId="165" fontId="21" fillId="0" borderId="43" xfId="1" applyNumberFormat="1" applyFont="1" applyBorder="1" applyAlignment="1">
      <alignment horizontal="center" wrapText="1"/>
    </xf>
    <xf numFmtId="166" fontId="21" fillId="0" borderId="41" xfId="0" applyNumberFormat="1" applyFont="1" applyBorder="1" applyAlignment="1">
      <alignment wrapText="1"/>
    </xf>
    <xf numFmtId="165" fontId="21" fillId="0" borderId="42" xfId="0" applyNumberFormat="1" applyFont="1" applyBorder="1" applyAlignment="1">
      <alignment horizontal="center" wrapText="1"/>
    </xf>
    <xf numFmtId="165" fontId="21" fillId="0" borderId="43" xfId="0" applyNumberFormat="1" applyFont="1" applyBorder="1" applyAlignment="1">
      <alignment horizontal="center" wrapText="1"/>
    </xf>
    <xf numFmtId="0" fontId="22" fillId="36" borderId="18" xfId="0" applyFont="1" applyFill="1" applyBorder="1" applyAlignment="1">
      <alignment horizontal="center" wrapText="1"/>
    </xf>
    <xf numFmtId="166" fontId="21" fillId="0" borderId="27" xfId="4" applyNumberFormat="1" applyFont="1" applyBorder="1" applyAlignment="1">
      <alignment wrapText="1"/>
    </xf>
    <xf numFmtId="166" fontId="21" fillId="0" borderId="21" xfId="4" applyNumberFormat="1" applyFont="1" applyBorder="1" applyAlignment="1">
      <alignment wrapText="1"/>
    </xf>
    <xf numFmtId="166" fontId="21" fillId="38" borderId="27" xfId="4" applyNumberFormat="1" applyFont="1" applyFill="1" applyBorder="1" applyAlignment="1">
      <alignment wrapText="1"/>
    </xf>
    <xf numFmtId="166" fontId="21" fillId="0" borderId="25" xfId="4" applyNumberFormat="1" applyFont="1" applyBorder="1" applyAlignment="1">
      <alignment wrapText="1"/>
    </xf>
    <xf numFmtId="166" fontId="21" fillId="38" borderId="21" xfId="4" applyNumberFormat="1" applyFont="1" applyFill="1" applyBorder="1" applyAlignment="1">
      <alignment wrapText="1"/>
    </xf>
    <xf numFmtId="166" fontId="21" fillId="0" borderId="42" xfId="4" applyNumberFormat="1" applyFont="1" applyBorder="1" applyAlignment="1">
      <alignment wrapText="1"/>
    </xf>
    <xf numFmtId="3" fontId="0" fillId="4" borderId="4" xfId="0" applyNumberFormat="1" applyFill="1" applyBorder="1" applyAlignment="1">
      <alignment horizontal="center" vertical="center"/>
    </xf>
    <xf numFmtId="0" fontId="0" fillId="0" borderId="0" xfId="0"/>
    <xf numFmtId="0" fontId="21" fillId="0" borderId="0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3" fontId="21" fillId="0" borderId="21" xfId="0" applyNumberFormat="1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3" fontId="21" fillId="0" borderId="54" xfId="0" applyNumberFormat="1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4" fontId="21" fillId="0" borderId="25" xfId="0" applyNumberFormat="1" applyFont="1" applyBorder="1" applyAlignment="1">
      <alignment horizontal="center"/>
    </xf>
    <xf numFmtId="9" fontId="0" fillId="4" borderId="5" xfId="1" applyNumberFormat="1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9" fontId="5" fillId="4" borderId="0" xfId="1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horizontal="center" vertical="center"/>
    </xf>
    <xf numFmtId="9" fontId="5" fillId="3" borderId="0" xfId="1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vertical="center"/>
    </xf>
    <xf numFmtId="9" fontId="5" fillId="3" borderId="0" xfId="1" applyNumberFormat="1" applyFont="1" applyFill="1" applyBorder="1" applyAlignment="1">
      <alignment vertical="center"/>
    </xf>
    <xf numFmtId="0" fontId="3" fillId="5" borderId="0" xfId="0" applyFont="1" applyFill="1" applyAlignment="1">
      <alignment horizontal="center"/>
    </xf>
    <xf numFmtId="9" fontId="0" fillId="4" borderId="7" xfId="1" applyNumberFormat="1" applyFont="1" applyFill="1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4" fontId="21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5" borderId="0" xfId="0" applyFont="1" applyFill="1" applyAlignment="1">
      <alignment horizontal="left"/>
    </xf>
    <xf numFmtId="0" fontId="0" fillId="4" borderId="3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9" fontId="21" fillId="0" borderId="0" xfId="1" applyNumberFormat="1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0" fillId="0" borderId="0" xfId="0" applyBorder="1"/>
    <xf numFmtId="0" fontId="0" fillId="0" borderId="54" xfId="0" applyBorder="1"/>
    <xf numFmtId="3" fontId="21" fillId="0" borderId="0" xfId="0" applyNumberFormat="1" applyFont="1" applyBorder="1"/>
    <xf numFmtId="3" fontId="21" fillId="0" borderId="54" xfId="0" applyNumberFormat="1" applyFont="1" applyBorder="1"/>
    <xf numFmtId="0" fontId="21" fillId="0" borderId="22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center"/>
    </xf>
    <xf numFmtId="3" fontId="21" fillId="0" borderId="24" xfId="1" applyNumberFormat="1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wrapText="1"/>
    </xf>
    <xf numFmtId="3" fontId="21" fillId="0" borderId="0" xfId="0" applyNumberFormat="1" applyFont="1" applyFill="1" applyBorder="1" applyAlignment="1">
      <alignment horizontal="center" wrapText="1"/>
    </xf>
    <xf numFmtId="3" fontId="21" fillId="0" borderId="0" xfId="1" applyNumberFormat="1" applyFont="1" applyFill="1" applyBorder="1" applyAlignment="1">
      <alignment horizontal="center" wrapText="1"/>
    </xf>
    <xf numFmtId="165" fontId="21" fillId="0" borderId="0" xfId="1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1" fillId="0" borderId="54" xfId="0" applyFont="1" applyBorder="1" applyAlignment="1">
      <alignment wrapText="1"/>
    </xf>
    <xf numFmtId="0" fontId="0" fillId="0" borderId="0" xfId="0" applyAlignment="1">
      <alignment wrapText="1"/>
    </xf>
    <xf numFmtId="3" fontId="21" fillId="0" borderId="54" xfId="1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4" fontId="21" fillId="0" borderId="20" xfId="0" applyNumberFormat="1" applyFont="1" applyBorder="1" applyAlignment="1">
      <alignment horizontal="center"/>
    </xf>
    <xf numFmtId="3" fontId="21" fillId="0" borderId="20" xfId="0" applyNumberFormat="1" applyFont="1" applyBorder="1" applyAlignment="1">
      <alignment horizontal="center"/>
    </xf>
    <xf numFmtId="4" fontId="21" fillId="0" borderId="22" xfId="0" applyNumberFormat="1" applyFont="1" applyBorder="1" applyAlignment="1">
      <alignment horizontal="center"/>
    </xf>
    <xf numFmtId="3" fontId="21" fillId="0" borderId="22" xfId="0" applyNumberFormat="1" applyFont="1" applyBorder="1" applyAlignment="1">
      <alignment horizontal="center"/>
    </xf>
    <xf numFmtId="3" fontId="21" fillId="0" borderId="23" xfId="1" applyNumberFormat="1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3" fontId="21" fillId="0" borderId="25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3" fontId="21" fillId="0" borderId="21" xfId="0" applyNumberFormat="1" applyFont="1" applyBorder="1" applyAlignment="1">
      <alignment horizontal="center"/>
    </xf>
    <xf numFmtId="3" fontId="21" fillId="0" borderId="54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9" fontId="21" fillId="0" borderId="0" xfId="1" applyFont="1" applyFill="1" applyBorder="1" applyAlignment="1">
      <alignment horizontal="center"/>
    </xf>
    <xf numFmtId="0" fontId="21" fillId="0" borderId="0" xfId="0" applyFont="1" applyBorder="1"/>
    <xf numFmtId="3" fontId="21" fillId="0" borderId="21" xfId="0" applyNumberFormat="1" applyFont="1" applyBorder="1" applyAlignment="1">
      <alignment horizontal="center"/>
    </xf>
    <xf numFmtId="3" fontId="21" fillId="0" borderId="54" xfId="0" applyNumberFormat="1" applyFont="1" applyBorder="1" applyAlignment="1">
      <alignment horizontal="center"/>
    </xf>
    <xf numFmtId="0" fontId="0" fillId="0" borderId="0" xfId="0" applyBorder="1"/>
    <xf numFmtId="3" fontId="21" fillId="0" borderId="0" xfId="0" applyNumberFormat="1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15" fontId="21" fillId="0" borderId="18" xfId="0" applyNumberFormat="1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165" fontId="21" fillId="0" borderId="18" xfId="0" applyNumberFormat="1" applyFont="1" applyBorder="1" applyAlignment="1">
      <alignment horizontal="center"/>
    </xf>
    <xf numFmtId="0" fontId="0" fillId="0" borderId="0" xfId="0"/>
    <xf numFmtId="0" fontId="21" fillId="0" borderId="0" xfId="0" applyFont="1" applyAlignment="1">
      <alignment horizontal="center" vertical="center"/>
    </xf>
    <xf numFmtId="3" fontId="21" fillId="0" borderId="20" xfId="1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0" borderId="0" xfId="1" applyNumberFormat="1" applyFont="1" applyFill="1" applyBorder="1" applyAlignment="1">
      <alignment horizontal="center" vertical="center"/>
    </xf>
    <xf numFmtId="3" fontId="21" fillId="0" borderId="24" xfId="1" applyNumberFormat="1" applyFont="1" applyFill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21" fillId="0" borderId="54" xfId="0" applyNumberFormat="1" applyFont="1" applyBorder="1" applyAlignment="1">
      <alignment horizontal="center" vertical="center"/>
    </xf>
    <xf numFmtId="3" fontId="21" fillId="0" borderId="24" xfId="0" applyNumberFormat="1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center" vertical="center"/>
    </xf>
    <xf numFmtId="3" fontId="21" fillId="0" borderId="19" xfId="0" applyNumberFormat="1" applyFont="1" applyFill="1" applyBorder="1" applyAlignment="1">
      <alignment horizontal="center" vertical="center"/>
    </xf>
    <xf numFmtId="3" fontId="21" fillId="0" borderId="22" xfId="0" applyNumberFormat="1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3" fontId="21" fillId="0" borderId="24" xfId="0" applyNumberFormat="1" applyFont="1" applyFill="1" applyBorder="1" applyAlignment="1">
      <alignment horizontal="center" vertical="center"/>
    </xf>
    <xf numFmtId="1" fontId="21" fillId="0" borderId="54" xfId="0" applyNumberFormat="1" applyFont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0" fontId="21" fillId="0" borderId="18" xfId="0" applyFont="1" applyBorder="1" applyAlignment="1">
      <alignment horizontal="center"/>
    </xf>
    <xf numFmtId="0" fontId="0" fillId="0" borderId="0" xfId="0"/>
    <xf numFmtId="15" fontId="21" fillId="0" borderId="28" xfId="0" applyNumberFormat="1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3" fontId="21" fillId="0" borderId="28" xfId="0" applyNumberFormat="1" applyFont="1" applyBorder="1" applyAlignment="1">
      <alignment horizontal="center"/>
    </xf>
    <xf numFmtId="165" fontId="21" fillId="0" borderId="27" xfId="0" applyNumberFormat="1" applyFont="1" applyBorder="1" applyAlignment="1">
      <alignment horizontal="center"/>
    </xf>
    <xf numFmtId="0" fontId="2" fillId="0" borderId="0" xfId="0" applyFont="1"/>
    <xf numFmtId="3" fontId="0" fillId="4" borderId="5" xfId="1" applyNumberFormat="1" applyFont="1" applyFill="1" applyBorder="1" applyAlignment="1">
      <alignment horizontal="center" vertical="center"/>
    </xf>
    <xf numFmtId="3" fontId="5" fillId="4" borderId="0" xfId="1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3" fontId="0" fillId="4" borderId="7" xfId="1" applyNumberFormat="1" applyFont="1" applyFill="1" applyBorder="1" applyAlignment="1">
      <alignment horizontal="center" vertical="center"/>
    </xf>
    <xf numFmtId="9" fontId="0" fillId="3" borderId="0" xfId="0" applyNumberFormat="1" applyFill="1"/>
    <xf numFmtId="3" fontId="0" fillId="37" borderId="4" xfId="0" applyNumberFormat="1" applyFill="1" applyBorder="1" applyAlignment="1">
      <alignment horizontal="center" vertical="center"/>
    </xf>
    <xf numFmtId="3" fontId="0" fillId="37" borderId="5" xfId="1" applyNumberFormat="1" applyFont="1" applyFill="1" applyBorder="1" applyAlignment="1">
      <alignment horizontal="center" vertical="center"/>
    </xf>
    <xf numFmtId="3" fontId="5" fillId="37" borderId="0" xfId="0" applyNumberFormat="1" applyFont="1" applyFill="1" applyBorder="1" applyAlignment="1">
      <alignment horizontal="center" vertical="center"/>
    </xf>
    <xf numFmtId="3" fontId="5" fillId="37" borderId="0" xfId="1" applyNumberFormat="1" applyFont="1" applyFill="1" applyBorder="1" applyAlignment="1">
      <alignment horizontal="center" vertical="center"/>
    </xf>
    <xf numFmtId="0" fontId="22" fillId="0" borderId="52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3" fontId="21" fillId="0" borderId="20" xfId="1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36" borderId="18" xfId="0" applyFont="1" applyFill="1" applyBorder="1" applyAlignment="1">
      <alignment horizontal="center" wrapText="1"/>
    </xf>
    <xf numFmtId="0" fontId="22" fillId="40" borderId="48" xfId="0" applyFont="1" applyFill="1" applyBorder="1" applyAlignment="1">
      <alignment horizontal="center" wrapText="1"/>
    </xf>
    <xf numFmtId="0" fontId="22" fillId="40" borderId="50" xfId="0" applyFont="1" applyFill="1" applyBorder="1" applyAlignment="1">
      <alignment horizontal="center" wrapText="1"/>
    </xf>
    <xf numFmtId="0" fontId="22" fillId="40" borderId="51" xfId="0" applyFont="1" applyFill="1" applyBorder="1" applyAlignment="1">
      <alignment horizontal="center" wrapText="1"/>
    </xf>
    <xf numFmtId="3" fontId="22" fillId="0" borderId="19" xfId="1" applyNumberFormat="1" applyFont="1" applyFill="1" applyBorder="1" applyAlignment="1">
      <alignment horizontal="center"/>
    </xf>
    <xf numFmtId="3" fontId="22" fillId="0" borderId="20" xfId="1" applyNumberFormat="1" applyFont="1" applyFill="1" applyBorder="1" applyAlignment="1">
      <alignment horizontal="center"/>
    </xf>
    <xf numFmtId="3" fontId="22" fillId="0" borderId="21" xfId="1" applyNumberFormat="1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38" borderId="48" xfId="0" applyFont="1" applyFill="1" applyBorder="1" applyAlignment="1">
      <alignment horizontal="center" wrapText="1"/>
    </xf>
    <xf numFmtId="0" fontId="22" fillId="38" borderId="50" xfId="0" applyFont="1" applyFill="1" applyBorder="1" applyAlignment="1">
      <alignment horizontal="center" wrapText="1"/>
    </xf>
    <xf numFmtId="0" fontId="22" fillId="38" borderId="51" xfId="0" applyFont="1" applyFill="1" applyBorder="1" applyAlignment="1">
      <alignment horizontal="center" wrapText="1"/>
    </xf>
    <xf numFmtId="0" fontId="22" fillId="0" borderId="26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3" fontId="21" fillId="0" borderId="20" xfId="0" applyNumberFormat="1" applyFont="1" applyFill="1" applyBorder="1" applyAlignment="1">
      <alignment horizontal="center"/>
    </xf>
    <xf numFmtId="165" fontId="21" fillId="0" borderId="20" xfId="1" applyNumberFormat="1" applyFont="1" applyFill="1" applyBorder="1" applyAlignment="1">
      <alignment horizontal="center"/>
    </xf>
    <xf numFmtId="165" fontId="21" fillId="0" borderId="21" xfId="1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2" fillId="36" borderId="45" xfId="0" applyFont="1" applyFill="1" applyBorder="1" applyAlignment="1">
      <alignment horizont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36" borderId="38" xfId="0" applyFont="1" applyFill="1" applyBorder="1" applyAlignment="1">
      <alignment horizontal="center" wrapText="1"/>
    </xf>
    <xf numFmtId="0" fontId="22" fillId="36" borderId="44" xfId="0" applyFont="1" applyFill="1" applyBorder="1" applyAlignment="1">
      <alignment horizontal="center" wrapText="1"/>
    </xf>
    <xf numFmtId="0" fontId="22" fillId="36" borderId="53" xfId="0" applyFont="1" applyFill="1" applyBorder="1" applyAlignment="1">
      <alignment horizontal="center" wrapText="1"/>
    </xf>
    <xf numFmtId="0" fontId="22" fillId="36" borderId="26" xfId="0" applyFont="1" applyFill="1" applyBorder="1" applyAlignment="1">
      <alignment horizontal="center" wrapText="1"/>
    </xf>
    <xf numFmtId="0" fontId="22" fillId="36" borderId="39" xfId="0" applyFont="1" applyFill="1" applyBorder="1" applyAlignment="1">
      <alignment horizontal="center" wrapText="1"/>
    </xf>
    <xf numFmtId="0" fontId="22" fillId="36" borderId="40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</cellXfs>
  <cellStyles count="126">
    <cellStyle name="_x0013_" xfId="98" xr:uid="{00000000-0005-0000-0000-000000000000}"/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Body: normal cell" xfId="61" xr:uid="{00000000-0005-0000-0000-00001A000000}"/>
    <cellStyle name="Calculation" xfId="15" builtinId="22" customBuiltin="1"/>
    <cellStyle name="Check Cell" xfId="17" builtinId="23" customBuiltin="1"/>
    <cellStyle name="Comma" xfId="4" builtinId="3"/>
    <cellStyle name="Comma 18" xfId="99" xr:uid="{00000000-0005-0000-0000-00001E000000}"/>
    <cellStyle name="Comma 2" xfId="62" xr:uid="{00000000-0005-0000-0000-00001F000000}"/>
    <cellStyle name="Comma 2 2" xfId="63" xr:uid="{00000000-0005-0000-0000-000020000000}"/>
    <cellStyle name="Comma 2 2 2" xfId="51" xr:uid="{00000000-0005-0000-0000-000021000000}"/>
    <cellStyle name="Comma 2 3" xfId="100" xr:uid="{00000000-0005-0000-0000-000022000000}"/>
    <cellStyle name="Comma 3" xfId="64" xr:uid="{00000000-0005-0000-0000-000023000000}"/>
    <cellStyle name="Comma 3 2" xfId="101" xr:uid="{00000000-0005-0000-0000-000024000000}"/>
    <cellStyle name="Comma 3 3" xfId="102" xr:uid="{00000000-0005-0000-0000-000025000000}"/>
    <cellStyle name="Comma 3 4" xfId="49" xr:uid="{00000000-0005-0000-0000-000026000000}"/>
    <cellStyle name="Comma 4" xfId="89" xr:uid="{00000000-0005-0000-0000-000027000000}"/>
    <cellStyle name="Comma 5" xfId="103" xr:uid="{00000000-0005-0000-0000-000028000000}"/>
    <cellStyle name="Comma 6" xfId="104" xr:uid="{00000000-0005-0000-0000-000029000000}"/>
    <cellStyle name="Currency 2" xfId="90" xr:uid="{00000000-0005-0000-0000-00002A000000}"/>
    <cellStyle name="Currency 2 2" xfId="105" xr:uid="{00000000-0005-0000-0000-00002B000000}"/>
    <cellStyle name="Currency 2 3" xfId="106" xr:uid="{00000000-0005-0000-0000-00002C000000}"/>
    <cellStyle name="Currency 2 4" xfId="107" xr:uid="{00000000-0005-0000-0000-00002D000000}"/>
    <cellStyle name="Currency 2 5" xfId="53" xr:uid="{00000000-0005-0000-0000-00002E000000}"/>
    <cellStyle name="Currency 3" xfId="46" xr:uid="{00000000-0005-0000-0000-00002F000000}"/>
    <cellStyle name="Currency 3 2" xfId="108" xr:uid="{00000000-0005-0000-0000-000030000000}"/>
    <cellStyle name="Currency 3 3" xfId="109" xr:uid="{00000000-0005-0000-0000-000031000000}"/>
    <cellStyle name="Currency 4" xfId="110" xr:uid="{00000000-0005-0000-0000-000032000000}"/>
    <cellStyle name="Currency 5" xfId="111" xr:uid="{00000000-0005-0000-0000-000033000000}"/>
    <cellStyle name="Currency 6" xfId="112" xr:uid="{00000000-0005-0000-0000-000034000000}"/>
    <cellStyle name="Explanatory Text" xfId="20" builtinId="53" customBuiltin="1"/>
    <cellStyle name="Followed Hyperlink 2" xfId="92" xr:uid="{00000000-0005-0000-0000-000036000000}"/>
    <cellStyle name="Font: Calibri, 9pt regular" xfId="65" xr:uid="{00000000-0005-0000-0000-000037000000}"/>
    <cellStyle name="Footnotes: all except top row" xfId="66" xr:uid="{00000000-0005-0000-0000-000038000000}"/>
    <cellStyle name="Footnotes: top row" xfId="67" xr:uid="{00000000-0005-0000-0000-000039000000}"/>
    <cellStyle name="Good" xfId="10" builtinId="26" customBuiltin="1"/>
    <cellStyle name="Header: bottom row" xfId="68" xr:uid="{00000000-0005-0000-0000-00003B000000}"/>
    <cellStyle name="Header: top rows" xfId="69" xr:uid="{00000000-0005-0000-0000-00003C000000}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 2" xfId="70" xr:uid="{00000000-0005-0000-0000-000041000000}"/>
    <cellStyle name="Hyperlink 2 2" xfId="113" xr:uid="{00000000-0005-0000-0000-000042000000}"/>
    <cellStyle name="Hyperlink 3" xfId="93" xr:uid="{00000000-0005-0000-0000-000043000000}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97" xr:uid="{00000000-0005-0000-0000-000048000000}"/>
    <cellStyle name="Normal 11" xfId="114" xr:uid="{00000000-0005-0000-0000-000049000000}"/>
    <cellStyle name="Normal 12" xfId="115" xr:uid="{00000000-0005-0000-0000-00004A000000}"/>
    <cellStyle name="Normal 13" xfId="116" xr:uid="{00000000-0005-0000-0000-00004B000000}"/>
    <cellStyle name="Normal 2" xfId="71" xr:uid="{00000000-0005-0000-0000-00004C000000}"/>
    <cellStyle name="Normal 2 11" xfId="45" xr:uid="{00000000-0005-0000-0000-00004D000000}"/>
    <cellStyle name="Normal 2 2" xfId="3" xr:uid="{00000000-0005-0000-0000-00004E000000}"/>
    <cellStyle name="Normal 2 2 2" xfId="72" xr:uid="{00000000-0005-0000-0000-00004F000000}"/>
    <cellStyle name="Normal 2 2 2 2" xfId="96" xr:uid="{00000000-0005-0000-0000-000050000000}"/>
    <cellStyle name="Normal 2 3" xfId="60" xr:uid="{00000000-0005-0000-0000-000051000000}"/>
    <cellStyle name="Normal 23" xfId="73" xr:uid="{00000000-0005-0000-0000-000052000000}"/>
    <cellStyle name="Normal 24" xfId="74" xr:uid="{00000000-0005-0000-0000-000053000000}"/>
    <cellStyle name="Normal 3" xfId="75" xr:uid="{00000000-0005-0000-0000-000054000000}"/>
    <cellStyle name="Normal 3 2" xfId="56" xr:uid="{00000000-0005-0000-0000-000055000000}"/>
    <cellStyle name="Normal 4" xfId="76" xr:uid="{00000000-0005-0000-0000-000056000000}"/>
    <cellStyle name="Normal 4 2" xfId="55" xr:uid="{00000000-0005-0000-0000-000057000000}"/>
    <cellStyle name="Normal 5" xfId="77" xr:uid="{00000000-0005-0000-0000-000058000000}"/>
    <cellStyle name="Normal 5 2" xfId="78" xr:uid="{00000000-0005-0000-0000-000059000000}"/>
    <cellStyle name="Normal 5 3" xfId="52" xr:uid="{00000000-0005-0000-0000-00005A000000}"/>
    <cellStyle name="Normal 6" xfId="79" xr:uid="{00000000-0005-0000-0000-00005B000000}"/>
    <cellStyle name="Normal 6 2" xfId="50" xr:uid="{00000000-0005-0000-0000-00005C000000}"/>
    <cellStyle name="Normal 7" xfId="88" xr:uid="{00000000-0005-0000-0000-00005D000000}"/>
    <cellStyle name="Normal 7 2" xfId="47" xr:uid="{00000000-0005-0000-0000-00005E000000}"/>
    <cellStyle name="Normal 8" xfId="86" xr:uid="{00000000-0005-0000-0000-00005F000000}"/>
    <cellStyle name="Normal 8 2" xfId="117" xr:uid="{00000000-0005-0000-0000-000060000000}"/>
    <cellStyle name="Normal 8 3" xfId="59" xr:uid="{00000000-0005-0000-0000-000061000000}"/>
    <cellStyle name="Normal 9" xfId="94" xr:uid="{00000000-0005-0000-0000-000062000000}"/>
    <cellStyle name="Normal 9 2" xfId="118" xr:uid="{00000000-0005-0000-0000-000063000000}"/>
    <cellStyle name="Note" xfId="19" builtinId="10" customBuiltin="1"/>
    <cellStyle name="Note 2" xfId="80" xr:uid="{00000000-0005-0000-0000-000065000000}"/>
    <cellStyle name="Output" xfId="14" builtinId="21" customBuiltin="1"/>
    <cellStyle name="Parent row" xfId="81" xr:uid="{00000000-0005-0000-0000-000067000000}"/>
    <cellStyle name="Percent" xfId="1" builtinId="5"/>
    <cellStyle name="Percent 2" xfId="82" xr:uid="{00000000-0005-0000-0000-000069000000}"/>
    <cellStyle name="Percent 2 2" xfId="119" xr:uid="{00000000-0005-0000-0000-00006A000000}"/>
    <cellStyle name="Percent 2 3" xfId="120" xr:uid="{00000000-0005-0000-0000-00006B000000}"/>
    <cellStyle name="Percent 2 4" xfId="121" xr:uid="{00000000-0005-0000-0000-00006C000000}"/>
    <cellStyle name="Percent 2 5" xfId="48" xr:uid="{00000000-0005-0000-0000-00006D000000}"/>
    <cellStyle name="Percent 3" xfId="91" xr:uid="{00000000-0005-0000-0000-00006E000000}"/>
    <cellStyle name="Percent 3 2" xfId="58" xr:uid="{00000000-0005-0000-0000-00006F000000}"/>
    <cellStyle name="Percent 4" xfId="87" xr:uid="{00000000-0005-0000-0000-000070000000}"/>
    <cellStyle name="Percent 4 2" xfId="122" xr:uid="{00000000-0005-0000-0000-000071000000}"/>
    <cellStyle name="Percent 4 3" xfId="95" xr:uid="{00000000-0005-0000-0000-000072000000}"/>
    <cellStyle name="Percent 5" xfId="123" xr:uid="{00000000-0005-0000-0000-000073000000}"/>
    <cellStyle name="Percent 6" xfId="124" xr:uid="{00000000-0005-0000-0000-000074000000}"/>
    <cellStyle name="Percent 7" xfId="125" xr:uid="{00000000-0005-0000-0000-000075000000}"/>
    <cellStyle name="Section Break" xfId="83" xr:uid="{00000000-0005-0000-0000-000076000000}"/>
    <cellStyle name="Section Break: parent row" xfId="84" xr:uid="{00000000-0005-0000-0000-000077000000}"/>
    <cellStyle name="SEM-BPS-data" xfId="57" xr:uid="{00000000-0005-0000-0000-000078000000}"/>
    <cellStyle name="Style 1" xfId="54" xr:uid="{00000000-0005-0000-0000-000079000000}"/>
    <cellStyle name="Table title" xfId="85" xr:uid="{00000000-0005-0000-0000-00007A000000}"/>
    <cellStyle name="Title" xfId="5" builtinId="15" customBuiltin="1"/>
    <cellStyle name="Total" xfId="21" builtinId="25" customBuiltin="1"/>
    <cellStyle name="Warning Text" xfId="18" builtinId="11" customBuiltin="1"/>
  </cellStyles>
  <dxfs count="2"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2" defaultPivotStyle="PivotStyleLight16">
    <tableStyle name="Table Style 1" pivot="0" count="2" xr9:uid="{00000000-0011-0000-FFFF-FFFF00000000}">
      <tableStyleElement type="wholeTable" dxfId="1"/>
      <tableStyleElement type="headerRow" dxfId="0"/>
    </tableStyle>
  </tableStyles>
  <colors>
    <mruColors>
      <color rgb="FF0070CD"/>
      <color rgb="FF77BC1F"/>
      <color rgb="FFFB9E4C"/>
      <color rgb="FF5A5B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FA-4A41-940E-641D0B54D9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5FA-4A41-940E-641D0B54D9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5FA-4A41-940E-641D0B54D94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5FA-4A41-940E-641D0B54D94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5FA-4A41-940E-641D0B54D94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5FA-4A41-940E-641D0B54D94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5FA-4A41-940E-641D0B54D94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5FA-4A41-940E-641D0B54D94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5FA-4A41-940E-641D0B54D94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5FA-4A41-940E-641D0B54D9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'DEF Dashboard'!$F$51:$F$54</c:f>
              <c:strCache>
                <c:ptCount val="2"/>
                <c:pt idx="0">
                  <c:v>Space Heating</c:v>
                </c:pt>
                <c:pt idx="1">
                  <c:v>Space Cooling</c:v>
                </c:pt>
              </c:strCache>
            </c:strRef>
          </c:cat>
          <c:val>
            <c:numRef>
              <c:f>'DEF Dashboard'!$G$51:$G$54</c:f>
              <c:numCache>
                <c:formatCode>#,##0</c:formatCode>
                <c:ptCount val="4"/>
                <c:pt idx="0">
                  <c:v>86.146183673045726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5FA-4A41-940E-641D0B54D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F5-4EED-A39B-BA1923E6FD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F5-4EED-A39B-BA1923E6FD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9F5-4EED-A39B-BA1923E6FD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9F5-4EED-A39B-BA1923E6FD4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9F5-4EED-A39B-BA1923E6FD4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9F5-4EED-A39B-BA1923E6FD4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9F5-4EED-A39B-BA1923E6FD4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9F5-4EED-A39B-BA1923E6FD4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9F5-4EED-A39B-BA1923E6FD4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9F5-4EED-A39B-BA1923E6FD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4-39F5-4EED-A39B-BA1923E6F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05-41E7-A52F-63E5641E3E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05-41E7-A52F-63E5641E3EF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405-41E7-A52F-63E5641E3EF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405-41E7-A52F-63E5641E3EF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405-41E7-A52F-63E5641E3EF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405-41E7-A52F-63E5641E3EF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405-41E7-A52F-63E5641E3EF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405-41E7-A52F-63E5641E3EF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405-41E7-A52F-63E5641E3EF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405-41E7-A52F-63E5641E3E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4-5405-41E7-A52F-63E5641E3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F7C-479C-8747-D8256DDBB4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F7C-479C-8747-D8256DDBB4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F7C-479C-8747-D8256DDBB4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F7C-479C-8747-D8256DDBB4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F7C-479C-8747-D8256DDBB47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F7C-479C-8747-D8256DDBB47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F7C-479C-8747-D8256DDBB47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F7C-479C-8747-D8256DDBB47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F7C-479C-8747-D8256DDBB47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F7C-479C-8747-D8256DDBB4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4-AF7C-479C-8747-D8256DDBB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123-4344-B7DD-A0F528D06E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123-4344-B7DD-A0F528D06E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123-4344-B7DD-A0F528D06E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123-4344-B7DD-A0F528D06E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123-4344-B7DD-A0F528D06E7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123-4344-B7DD-A0F528D06E7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123-4344-B7DD-A0F528D06E7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123-4344-B7DD-A0F528D06E7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123-4344-B7DD-A0F528D06E7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123-4344-B7DD-A0F528D06E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4-9123-4344-B7DD-A0F528D06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'DEF Dashboard'!$C$100</c:f>
              <c:strCache>
                <c:ptCount val="1"/>
                <c:pt idx="0">
                  <c:v>Summer MW</c:v>
                </c:pt>
              </c:strCache>
            </c:strRef>
          </c:tx>
          <c:spPr>
            <a:solidFill>
              <a:srgbClr val="77BC1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'DEF Dashboard'!$B$101:$B$104</c:f>
              <c:strCache>
                <c:ptCount val="4"/>
                <c:pt idx="0">
                  <c:v>Space Heating</c:v>
                </c:pt>
                <c:pt idx="1">
                  <c:v>Space Cooling</c:v>
                </c:pt>
                <c:pt idx="2">
                  <c:v>Water Heater</c:v>
                </c:pt>
                <c:pt idx="3">
                  <c:v>Pool Pump</c:v>
                </c:pt>
              </c:strCache>
            </c:strRef>
          </c:cat>
          <c:val>
            <c:numRef>
              <c:f>'DEF Dashboard'!$C$101:$C$104</c:f>
              <c:numCache>
                <c:formatCode>#,##0</c:formatCode>
                <c:ptCount val="4"/>
                <c:pt idx="0">
                  <c:v>0</c:v>
                </c:pt>
                <c:pt idx="1">
                  <c:v>1065.5077627102787</c:v>
                </c:pt>
                <c:pt idx="2">
                  <c:v>187.827</c:v>
                </c:pt>
                <c:pt idx="3">
                  <c:v>181.08099999999999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1-45D3-9B7D-DE80E7842B40}"/>
            </c:ext>
          </c:extLst>
        </c:ser>
        <c:ser>
          <c:idx val="1"/>
          <c:order val="1"/>
          <c:tx>
            <c:strRef>
              <c:f>'DEF Dashboard'!$D$100</c:f>
              <c:strCache>
                <c:ptCount val="1"/>
                <c:pt idx="0">
                  <c:v>Winter MW</c:v>
                </c:pt>
              </c:strCache>
            </c:strRef>
          </c:tx>
          <c:spPr>
            <a:solidFill>
              <a:srgbClr val="0070C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'DEF Dashboard'!$B$101:$B$104</c:f>
              <c:strCache>
                <c:ptCount val="4"/>
                <c:pt idx="0">
                  <c:v>Space Heating</c:v>
                </c:pt>
                <c:pt idx="1">
                  <c:v>Space Cooling</c:v>
                </c:pt>
                <c:pt idx="2">
                  <c:v>Water Heater</c:v>
                </c:pt>
                <c:pt idx="3">
                  <c:v>Pool Pump</c:v>
                </c:pt>
              </c:strCache>
            </c:strRef>
          </c:cat>
          <c:val>
            <c:numRef>
              <c:f>'DEF Dashboard'!$D$101:$D$104</c:f>
              <c:numCache>
                <c:formatCode>#,##0</c:formatCode>
                <c:ptCount val="4"/>
                <c:pt idx="0">
                  <c:v>2195.8488277157794</c:v>
                </c:pt>
                <c:pt idx="1">
                  <c:v>0</c:v>
                </c:pt>
                <c:pt idx="2">
                  <c:v>354.27300000000002</c:v>
                </c:pt>
                <c:pt idx="3">
                  <c:v>76.38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71-45D3-9B7D-DE80E7842B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956069840"/>
        <c:axId val="1956073104"/>
      </c:barChart>
      <c:catAx>
        <c:axId val="19560698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956073104"/>
        <c:crosses val="autoZero"/>
        <c:auto val="1"/>
        <c:lblAlgn val="ctr"/>
        <c:lblOffset val="100"/>
        <c:noMultiLvlLbl val="0"/>
      </c:catAx>
      <c:valAx>
        <c:axId val="195607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Technical Potential (MW)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19560698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'DEF Dashboard'!$G$100</c:f>
              <c:strCache>
                <c:ptCount val="1"/>
                <c:pt idx="0">
                  <c:v>Summer MW</c:v>
                </c:pt>
              </c:strCache>
            </c:strRef>
          </c:tx>
          <c:spPr>
            <a:solidFill>
              <a:srgbClr val="77BC1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'DEF Dashboard'!$F$101:$F$102</c:f>
              <c:strCache>
                <c:ptCount val="2"/>
                <c:pt idx="0">
                  <c:v>Space Heating</c:v>
                </c:pt>
                <c:pt idx="1">
                  <c:v>Space Cooling</c:v>
                </c:pt>
              </c:strCache>
            </c:strRef>
          </c:cat>
          <c:val>
            <c:numRef>
              <c:f>'DEF Dashboard'!$G$101:$G$102</c:f>
              <c:numCache>
                <c:formatCode>#,##0</c:formatCode>
                <c:ptCount val="2"/>
                <c:pt idx="0">
                  <c:v>0</c:v>
                </c:pt>
                <c:pt idx="1">
                  <c:v>103.58199999999999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7-43BD-8A50-F2575DB80C0A}"/>
            </c:ext>
          </c:extLst>
        </c:ser>
        <c:ser>
          <c:idx val="1"/>
          <c:order val="1"/>
          <c:tx>
            <c:strRef>
              <c:f>'DEF Dashboard'!$H$100</c:f>
              <c:strCache>
                <c:ptCount val="1"/>
                <c:pt idx="0">
                  <c:v>Winter MW</c:v>
                </c:pt>
              </c:strCache>
            </c:strRef>
          </c:tx>
          <c:spPr>
            <a:solidFill>
              <a:srgbClr val="0070C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'DEF Dashboard'!$F$101:$F$102</c:f>
              <c:strCache>
                <c:ptCount val="2"/>
                <c:pt idx="0">
                  <c:v>Space Heating</c:v>
                </c:pt>
                <c:pt idx="1">
                  <c:v>Space Cooling</c:v>
                </c:pt>
              </c:strCache>
            </c:strRef>
          </c:cat>
          <c:val>
            <c:numRef>
              <c:f>'DEF Dashboard'!$H$101:$H$102</c:f>
              <c:numCache>
                <c:formatCode>#,##0</c:formatCode>
                <c:ptCount val="2"/>
                <c:pt idx="0">
                  <c:v>72.974000000000004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17-43BD-8A50-F2575DB80C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956067120"/>
        <c:axId val="1956073648"/>
      </c:barChart>
      <c:catAx>
        <c:axId val="19560671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956073648"/>
        <c:crosses val="autoZero"/>
        <c:auto val="1"/>
        <c:lblAlgn val="ctr"/>
        <c:lblOffset val="100"/>
        <c:noMultiLvlLbl val="0"/>
      </c:catAx>
      <c:valAx>
        <c:axId val="1956073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Technical Potential (MW)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19560671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'DEF Dashboard'!$K$101</c:f>
              <c:strCache>
                <c:ptCount val="1"/>
                <c:pt idx="0">
                  <c:v>Summer MW</c:v>
                </c:pt>
              </c:strCache>
            </c:strRef>
          </c:tx>
          <c:spPr>
            <a:solidFill>
              <a:srgbClr val="77BC1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'DEF Dashboard'!$J$102:$J$105</c:f>
              <c:strCache>
                <c:ptCount val="4"/>
                <c:pt idx="0">
                  <c:v>0-50 kW</c:v>
                </c:pt>
                <c:pt idx="1">
                  <c:v>51-300 kW</c:v>
                </c:pt>
                <c:pt idx="2">
                  <c:v>301-500 kW</c:v>
                </c:pt>
                <c:pt idx="3">
                  <c:v>501 kW+</c:v>
                </c:pt>
              </c:strCache>
            </c:strRef>
          </c:cat>
          <c:val>
            <c:numRef>
              <c:f>'DEF Dashboard'!$K$102:$K$105</c:f>
              <c:numCache>
                <c:formatCode>#,##0</c:formatCode>
                <c:ptCount val="4"/>
                <c:pt idx="0">
                  <c:v>503.12400000000002</c:v>
                </c:pt>
                <c:pt idx="1">
                  <c:v>702.43200000000002</c:v>
                </c:pt>
                <c:pt idx="2">
                  <c:v>174.06800000000001</c:v>
                </c:pt>
                <c:pt idx="3">
                  <c:v>374.10399999999998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03-4401-879B-8053504D02EF}"/>
            </c:ext>
          </c:extLst>
        </c:ser>
        <c:ser>
          <c:idx val="1"/>
          <c:order val="1"/>
          <c:tx>
            <c:strRef>
              <c:f>'DEF Dashboard'!$L$101</c:f>
              <c:strCache>
                <c:ptCount val="1"/>
                <c:pt idx="0">
                  <c:v>Winter MW</c:v>
                </c:pt>
              </c:strCache>
            </c:strRef>
          </c:tx>
          <c:spPr>
            <a:solidFill>
              <a:srgbClr val="0070C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'DEF Dashboard'!$J$102:$J$105</c:f>
              <c:strCache>
                <c:ptCount val="4"/>
                <c:pt idx="0">
                  <c:v>0-50 kW</c:v>
                </c:pt>
                <c:pt idx="1">
                  <c:v>51-300 kW</c:v>
                </c:pt>
                <c:pt idx="2">
                  <c:v>301-500 kW</c:v>
                </c:pt>
                <c:pt idx="3">
                  <c:v>501 kW+</c:v>
                </c:pt>
              </c:strCache>
            </c:strRef>
          </c:cat>
          <c:val>
            <c:numRef>
              <c:f>'DEF Dashboard'!$L$102:$L$105</c:f>
              <c:numCache>
                <c:formatCode>#,##0</c:formatCode>
                <c:ptCount val="4"/>
                <c:pt idx="0">
                  <c:v>537.12300000000005</c:v>
                </c:pt>
                <c:pt idx="1">
                  <c:v>684.14700000000005</c:v>
                </c:pt>
                <c:pt idx="2">
                  <c:v>160.32499999999999</c:v>
                </c:pt>
                <c:pt idx="3">
                  <c:v>333.58300000000003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03-4401-879B-8053504D02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956077456"/>
        <c:axId val="1956070928"/>
      </c:barChart>
      <c:catAx>
        <c:axId val="19560774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956070928"/>
        <c:crosses val="autoZero"/>
        <c:auto val="1"/>
        <c:lblAlgn val="ctr"/>
        <c:lblOffset val="100"/>
        <c:noMultiLvlLbl val="0"/>
      </c:catAx>
      <c:valAx>
        <c:axId val="1956070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Technical Potential (MW)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19560774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78</xdr:row>
      <xdr:rowOff>0</xdr:rowOff>
    </xdr:from>
    <xdr:to>
      <xdr:col>7</xdr:col>
      <xdr:colOff>2343150</xdr:colOff>
      <xdr:row>78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78</xdr:row>
      <xdr:rowOff>0</xdr:rowOff>
    </xdr:from>
    <xdr:to>
      <xdr:col>7</xdr:col>
      <xdr:colOff>2343150</xdr:colOff>
      <xdr:row>78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381000</xdr:colOff>
      <xdr:row>78</xdr:row>
      <xdr:rowOff>0</xdr:rowOff>
    </xdr:from>
    <xdr:to>
      <xdr:col>7</xdr:col>
      <xdr:colOff>2343150</xdr:colOff>
      <xdr:row>78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78</xdr:row>
      <xdr:rowOff>0</xdr:rowOff>
    </xdr:from>
    <xdr:to>
      <xdr:col>7</xdr:col>
      <xdr:colOff>2343150</xdr:colOff>
      <xdr:row>78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381000</xdr:colOff>
      <xdr:row>78</xdr:row>
      <xdr:rowOff>0</xdr:rowOff>
    </xdr:from>
    <xdr:to>
      <xdr:col>7</xdr:col>
      <xdr:colOff>2343150</xdr:colOff>
      <xdr:row>78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442912</xdr:colOff>
      <xdr:row>106</xdr:row>
      <xdr:rowOff>33337</xdr:rowOff>
    </xdr:from>
    <xdr:to>
      <xdr:col>3</xdr:col>
      <xdr:colOff>1095374</xdr:colOff>
      <xdr:row>123</xdr:row>
      <xdr:rowOff>171449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9525</xdr:colOff>
      <xdr:row>107</xdr:row>
      <xdr:rowOff>64293</xdr:rowOff>
    </xdr:from>
    <xdr:to>
      <xdr:col>7</xdr:col>
      <xdr:colOff>1452562</xdr:colOff>
      <xdr:row>125</xdr:row>
      <xdr:rowOff>11905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1166812</xdr:colOff>
      <xdr:row>107</xdr:row>
      <xdr:rowOff>119063</xdr:rowOff>
    </xdr:from>
    <xdr:to>
      <xdr:col>12</xdr:col>
      <xdr:colOff>523874</xdr:colOff>
      <xdr:row>127</xdr:row>
      <xdr:rowOff>66675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93</xdr:row>
      <xdr:rowOff>0</xdr:rowOff>
    </xdr:from>
    <xdr:to>
      <xdr:col>5</xdr:col>
      <xdr:colOff>1319000</xdr:colOff>
      <xdr:row>129</xdr:row>
      <xdr:rowOff>107260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038320"/>
          <a:ext cx="8535140" cy="6690940"/>
        </a:xfrm>
        <a:prstGeom prst="rect">
          <a:avLst/>
        </a:prstGeom>
      </xdr:spPr>
    </xdr:pic>
    <xdr:clientData/>
  </xdr:twoCellAnchor>
  <xdr:twoCellAnchor editAs="oneCell">
    <xdr:from>
      <xdr:col>5</xdr:col>
      <xdr:colOff>1036320</xdr:colOff>
      <xdr:row>92</xdr:row>
      <xdr:rowOff>7620</xdr:rowOff>
    </xdr:from>
    <xdr:to>
      <xdr:col>13</xdr:col>
      <xdr:colOff>526477</xdr:colOff>
      <xdr:row>128</xdr:row>
      <xdr:rowOff>92018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2460" y="16863060"/>
          <a:ext cx="8039797" cy="66680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C.Home.RemoteAccess.tfr0qbi\Goals%20DSM\2003%20IRP\List%20of%20Measures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dudata\CSPA%20Projects\610025%20-%20FEECA%20Potential%20Study\TEAPOT%20model%20and%20output\Result%20Comparison%201112\Res\Res_Output_093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2005"/>
      <sheetName val="Index"/>
      <sheetName val="unknown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Summary"/>
      <sheetName val="Appendix"/>
      <sheetName val="DEF_Input"/>
      <sheetName val="DEF_2018_9_30"/>
      <sheetName val="FPL_Input"/>
      <sheetName val="FPL_2018_9_30"/>
      <sheetName val="FPU_Input"/>
      <sheetName val="FPU_2018_9_30"/>
      <sheetName val="Gulf_Input"/>
      <sheetName val="Gulf_2018_9_30"/>
      <sheetName val="JEA_Input"/>
      <sheetName val="JEA_2018_9_30"/>
      <sheetName val="OUC_Input"/>
      <sheetName val="OUC_2018_9_30"/>
      <sheetName val="TECO_Input"/>
      <sheetName val="TECO_2018_9_30"/>
    </sheetNames>
    <sheetDataSet>
      <sheetData sheetId="0"/>
      <sheetData sheetId="1"/>
      <sheetData sheetId="2">
        <row r="2">
          <cell r="B2" t="str">
            <v>Final Measure List</v>
          </cell>
          <cell r="C2" t="str">
            <v>Final Measure List</v>
          </cell>
        </row>
        <row r="3">
          <cell r="B3" t="str">
            <v>Smart Power Strip</v>
          </cell>
          <cell r="C3" t="str">
            <v>Smart Power Strip</v>
          </cell>
        </row>
        <row r="4">
          <cell r="B4" t="str">
            <v>ENERGY STAR Personal Computer</v>
          </cell>
          <cell r="C4" t="str">
            <v>ENERGY STAR Personal Computer</v>
          </cell>
        </row>
        <row r="5">
          <cell r="B5" t="str">
            <v>ENERGY STAR TV</v>
          </cell>
          <cell r="C5" t="str">
            <v>ENERGY STAR TV</v>
          </cell>
        </row>
        <row r="6">
          <cell r="B6" t="str">
            <v>Energy Star Air Purifier</v>
          </cell>
          <cell r="C6" t="str">
            <v>ENERGY STAR Air Purifier / Cleaner</v>
          </cell>
        </row>
        <row r="7">
          <cell r="B7" t="str">
            <v>ENERGY STAR Imaging Equipment</v>
          </cell>
          <cell r="C7" t="str">
            <v>ENERGY STAR Imaging Equipment</v>
          </cell>
        </row>
        <row r="8">
          <cell r="B8" t="str">
            <v>Removal of 2nd Refrigerator-Freezer</v>
          </cell>
          <cell r="C8" t="str">
            <v>Removal of 2nd Refrigerator/Freezer</v>
          </cell>
        </row>
        <row r="9">
          <cell r="B9" t="str">
            <v>ENERGY STAR Refrigerator</v>
          </cell>
          <cell r="C9" t="str">
            <v>ENERGY STAR Refrigerator</v>
          </cell>
        </row>
        <row r="10">
          <cell r="B10" t="str">
            <v>ENERGY STAR Dishwasher</v>
          </cell>
          <cell r="C10" t="str">
            <v>ENERGY STAR Dishwasher</v>
          </cell>
        </row>
        <row r="11">
          <cell r="B11" t="str">
            <v>ENERGY STAR Freezer</v>
          </cell>
          <cell r="C11" t="str">
            <v>ENERGY STAR Freezer</v>
          </cell>
        </row>
        <row r="12">
          <cell r="B12" t="str">
            <v>High Efficiency Convection Oven</v>
          </cell>
          <cell r="C12" t="str">
            <v>High Efficiency Convection Oven</v>
          </cell>
        </row>
        <row r="13">
          <cell r="B13" t="str">
            <v>High Efficiency Induction Cooktop</v>
          </cell>
          <cell r="C13" t="str">
            <v>High-Efficiency Induction Cooktop</v>
          </cell>
        </row>
        <row r="14">
          <cell r="B14" t="str">
            <v>Energy Star Clothes Washer</v>
          </cell>
          <cell r="C14" t="str">
            <v xml:space="preserve">ENERGY STAR Clothes Washer </v>
          </cell>
        </row>
        <row r="15">
          <cell r="B15" t="str">
            <v>ENERGY STAR Clothes Dryer</v>
          </cell>
          <cell r="C15" t="str">
            <v>ENERGY STAR Clothes Dryer</v>
          </cell>
        </row>
        <row r="16">
          <cell r="B16" t="str">
            <v>Heat Pump Clothes Dryer</v>
          </cell>
          <cell r="C16" t="str">
            <v>Heat Pump Clothes Dryer</v>
          </cell>
        </row>
        <row r="17">
          <cell r="B17" t="str">
            <v>Energy Star Audio-Video Equipment</v>
          </cell>
          <cell r="C17" t="str">
            <v>ENERGY STAR Audio/Video Equipment</v>
          </cell>
        </row>
        <row r="18">
          <cell r="B18" t="str">
            <v>ENERGY STAR Door</v>
          </cell>
          <cell r="C18" t="str">
            <v>ENERGY STAR Door</v>
          </cell>
        </row>
        <row r="19">
          <cell r="B19" t="str">
            <v>Storm Door</v>
          </cell>
          <cell r="C19" t="str">
            <v>Storm Door</v>
          </cell>
        </row>
        <row r="20">
          <cell r="B20" t="str">
            <v>Green Roof</v>
          </cell>
          <cell r="C20" t="str">
            <v>Green Roof</v>
          </cell>
        </row>
        <row r="21">
          <cell r="B21" t="str">
            <v>Ceiling Insulation(R2 to R38)</v>
          </cell>
          <cell r="C21" t="str">
            <v>Ceiling Insulation (R2 to R38)</v>
          </cell>
        </row>
        <row r="22">
          <cell r="B22" t="str">
            <v>Ceiling Insulation(R12 to R38)</v>
          </cell>
          <cell r="C22" t="str">
            <v>Ceiling Insulation (R12 to R38)</v>
          </cell>
        </row>
        <row r="23">
          <cell r="B23" t="str">
            <v>Ceiling Insulation(R19 to R38)</v>
          </cell>
          <cell r="C23" t="str">
            <v>Ceiling Insulation (R19 to R38)</v>
          </cell>
        </row>
        <row r="24">
          <cell r="B24" t="str">
            <v>Ceiling Insulation(R30 to R38)</v>
          </cell>
          <cell r="C24" t="str">
            <v>Ceiling Insulation (R30 to R38)</v>
          </cell>
        </row>
        <row r="25">
          <cell r="B25" t="str">
            <v>Spray Foam Insulation(Base R2)</v>
          </cell>
          <cell r="C25" t="str">
            <v>Spray Foam Insulation (Base: R2)</v>
          </cell>
        </row>
        <row r="26">
          <cell r="B26" t="str">
            <v>Spray Foam Insulation(Base R12)</v>
          </cell>
          <cell r="C26" t="str">
            <v>Spray Foam Insulation (Base: R12)</v>
          </cell>
        </row>
        <row r="27">
          <cell r="B27" t="str">
            <v>Spray Foam Insulation(Base R19)</v>
          </cell>
          <cell r="C27" t="str">
            <v>Spray Foam Insulation (Base: R19)</v>
          </cell>
        </row>
        <row r="28">
          <cell r="B28" t="str">
            <v>Spray Foam Insulation(Base R30)</v>
          </cell>
          <cell r="C28" t="str">
            <v>Spray Foam Insulation (Base: R30)</v>
          </cell>
        </row>
        <row r="29">
          <cell r="B29" t="str">
            <v>Wall Insulation</v>
          </cell>
          <cell r="C29" t="str">
            <v>Wall Insulation</v>
          </cell>
        </row>
        <row r="30">
          <cell r="B30" t="str">
            <v>Sealed crawlspace</v>
          </cell>
          <cell r="C30" t="str">
            <v>Sealed crawlspace</v>
          </cell>
        </row>
        <row r="31">
          <cell r="B31" t="str">
            <v>Duct Insulation</v>
          </cell>
          <cell r="C31" t="str">
            <v>Duct Insulation</v>
          </cell>
        </row>
        <row r="32">
          <cell r="B32" t="str">
            <v>Floor Insulation</v>
          </cell>
          <cell r="C32" t="str">
            <v>Floor Insulation</v>
          </cell>
        </row>
        <row r="33">
          <cell r="B33" t="str">
            <v>Radiant Barrier</v>
          </cell>
          <cell r="C33" t="str">
            <v>Radiant Barrier</v>
          </cell>
        </row>
        <row r="34">
          <cell r="B34" t="str">
            <v>ENERGY STAR Certified Roof Products</v>
          </cell>
          <cell r="C34" t="str">
            <v>ENERGY STAR Certified Roof Products</v>
          </cell>
        </row>
        <row r="35">
          <cell r="B35" t="str">
            <v>Air Sealing-Infiltration Control</v>
          </cell>
          <cell r="C35" t="str">
            <v>Air Sealing/Infiltration Control</v>
          </cell>
        </row>
        <row r="36">
          <cell r="B36" t="str">
            <v>Window Sun Protection</v>
          </cell>
          <cell r="C36" t="str">
            <v>Window Sun Protection</v>
          </cell>
        </row>
        <row r="37">
          <cell r="B37" t="str">
            <v>ENERGY STAR Windows</v>
          </cell>
          <cell r="C37" t="str">
            <v>ENERGY STAR Windows</v>
          </cell>
        </row>
        <row r="38">
          <cell r="B38" t="str">
            <v>Duct Repair</v>
          </cell>
          <cell r="C38" t="str">
            <v>Duct Repair</v>
          </cell>
        </row>
        <row r="39">
          <cell r="B39" t="str">
            <v>Smart Thermostat</v>
          </cell>
          <cell r="C39" t="str">
            <v>Smart Thermostats</v>
          </cell>
        </row>
        <row r="40">
          <cell r="B40" t="str">
            <v>Programmable Thermostat</v>
          </cell>
          <cell r="C40" t="str">
            <v>Programmable Thermostat</v>
          </cell>
        </row>
        <row r="41">
          <cell r="B41" t="str">
            <v>ENERGY STAR Ceiling Fan</v>
          </cell>
          <cell r="C41" t="str">
            <v>ENERGY STAR Ceiling Fan</v>
          </cell>
        </row>
        <row r="42">
          <cell r="B42" t="str">
            <v>Central AC Tune Up</v>
          </cell>
          <cell r="C42" t="str">
            <v>Central AC Tune Up</v>
          </cell>
        </row>
        <row r="43">
          <cell r="B43" t="str">
            <v>Heat Pump Tune Up</v>
          </cell>
          <cell r="C43" t="str">
            <v>Heat Pump Tune Up</v>
          </cell>
        </row>
        <row r="44">
          <cell r="B44" t="str">
            <v>15 SEER Central AC</v>
          </cell>
          <cell r="C44" t="str">
            <v>15 SEER Central AC</v>
          </cell>
        </row>
        <row r="45">
          <cell r="B45" t="str">
            <v>16 SEER Central AC</v>
          </cell>
          <cell r="C45" t="str">
            <v>16 SEER Central AC</v>
          </cell>
        </row>
        <row r="46">
          <cell r="B46" t="str">
            <v>17 SEER Central AC</v>
          </cell>
          <cell r="C46" t="str">
            <v>17 SEER Central AC</v>
          </cell>
        </row>
        <row r="47">
          <cell r="B47" t="str">
            <v>18 SEER Central AC</v>
          </cell>
          <cell r="C47" t="str">
            <v>18 SEER Central AC</v>
          </cell>
        </row>
        <row r="48">
          <cell r="B48" t="str">
            <v>21 SEER Central AC</v>
          </cell>
          <cell r="C48" t="str">
            <v>21 SEER Central AC</v>
          </cell>
        </row>
        <row r="49">
          <cell r="B49" t="str">
            <v>15 SEER Air Source Heat Pump</v>
          </cell>
          <cell r="C49" t="str">
            <v>15 SEER Air Source Heat Pump</v>
          </cell>
        </row>
        <row r="50">
          <cell r="B50" t="str">
            <v>14 SEER ASHP from base electric resistance heating</v>
          </cell>
          <cell r="C50" t="str">
            <v>14 SEER Air Source Heat Pump from base electric resistance heating</v>
          </cell>
        </row>
        <row r="51">
          <cell r="B51" t="str">
            <v>21 SEER ASHP from base electric resistance heating</v>
          </cell>
          <cell r="C51" t="str">
            <v>21 SEER Air Source Heat Pump from base electric resistance heating</v>
          </cell>
        </row>
        <row r="52">
          <cell r="B52" t="str">
            <v>16 SEER Air Source Heat Pump</v>
          </cell>
          <cell r="C52" t="str">
            <v>16 SEER Air Source Heat Pump</v>
          </cell>
        </row>
        <row r="53">
          <cell r="B53" t="str">
            <v>17 SEER Air Source Heat Pump</v>
          </cell>
          <cell r="C53" t="str">
            <v>17 SEER Air Source Heat Pump</v>
          </cell>
        </row>
        <row r="54">
          <cell r="B54" t="str">
            <v>18 SEER Air Source Heat Pump</v>
          </cell>
          <cell r="C54" t="str">
            <v>18 SEER Air Source Heat Pump</v>
          </cell>
        </row>
        <row r="55">
          <cell r="B55" t="str">
            <v>21 SEER Air Source Heat Pump</v>
          </cell>
          <cell r="C55" t="str">
            <v>21 SEER Air Source Heat Pump</v>
          </cell>
        </row>
        <row r="56">
          <cell r="B56" t="str">
            <v>Variable Refrigerant Flow (VRF) HVAC Systems</v>
          </cell>
          <cell r="C56" t="str">
            <v>Variable Refrigerant Flow (VRF) HVAC Systems</v>
          </cell>
        </row>
        <row r="57">
          <cell r="B57" t="str">
            <v>HVAC ECM Motor</v>
          </cell>
          <cell r="C57" t="str">
            <v>HVAC ECM Motor</v>
          </cell>
        </row>
        <row r="58">
          <cell r="B58" t="str">
            <v>ENERGY STAR Room AC</v>
          </cell>
          <cell r="C58" t="str">
            <v>ENERGY STAR Room AC</v>
          </cell>
        </row>
        <row r="59">
          <cell r="B59" t="str">
            <v>Ground Source Heat Pump</v>
          </cell>
          <cell r="C59" t="str">
            <v xml:space="preserve">Ground Source Heat Pump (GSHP) </v>
          </cell>
        </row>
        <row r="60">
          <cell r="B60" t="str">
            <v>ENERGY STAR Dehumidifier</v>
          </cell>
          <cell r="C60" t="str">
            <v>ENERGY STAR Dehumidifier</v>
          </cell>
        </row>
        <row r="61">
          <cell r="B61" t="str">
            <v>Exterior Lighting Controls</v>
          </cell>
          <cell r="C61" t="str">
            <v>Exterior Lighting Controls</v>
          </cell>
        </row>
        <row r="62">
          <cell r="B62" t="str">
            <v>Interior Lighting Controls</v>
          </cell>
          <cell r="C62" t="str">
            <v>Interior Lighting Controls</v>
          </cell>
        </row>
        <row r="63">
          <cell r="B63" t="str">
            <v>CFL-13W</v>
          </cell>
          <cell r="C63" t="str">
            <v>CFL - 13W</v>
          </cell>
        </row>
        <row r="64">
          <cell r="B64" t="str">
            <v>CFL - 15W Flood</v>
          </cell>
          <cell r="C64" t="str">
            <v>CFL - 15W Flood</v>
          </cell>
        </row>
        <row r="65">
          <cell r="B65" t="str">
            <v>CFL-23W</v>
          </cell>
          <cell r="C65" t="str">
            <v>CFL - 23W</v>
          </cell>
        </row>
        <row r="66">
          <cell r="B66" t="str">
            <v>Low Wattage T8 Fixture</v>
          </cell>
          <cell r="C66" t="str">
            <v>Low Wattage T8 Fixture</v>
          </cell>
        </row>
        <row r="67">
          <cell r="B67" t="str">
            <v>Linear LED</v>
          </cell>
          <cell r="C67" t="str">
            <v>Linear LED</v>
          </cell>
        </row>
        <row r="68">
          <cell r="B68" t="str">
            <v>LED - 9W</v>
          </cell>
          <cell r="C68" t="str">
            <v>LED - 9W</v>
          </cell>
        </row>
        <row r="69">
          <cell r="B69" t="str">
            <v>LED - 9W Flood</v>
          </cell>
          <cell r="C69" t="str">
            <v>LED - 9W Flood</v>
          </cell>
        </row>
        <row r="70">
          <cell r="B70" t="str">
            <v>LED - 14W</v>
          </cell>
          <cell r="C70" t="str">
            <v>LED - 14W</v>
          </cell>
        </row>
        <row r="71">
          <cell r="B71" t="str">
            <v>LED Specialty Lamps-5W Chandelier</v>
          </cell>
          <cell r="C71" t="str">
            <v>LED -5W Chandelier</v>
          </cell>
        </row>
        <row r="72">
          <cell r="B72" t="str">
            <v>CFL - 15W Flood (Exterior)</v>
          </cell>
          <cell r="C72" t="str">
            <v>CFL - 15W Flood (Exterior)</v>
          </cell>
        </row>
        <row r="73">
          <cell r="B73" t="str">
            <v>LED - 9W Flood (Exterior)</v>
          </cell>
          <cell r="C73" t="str">
            <v>LED - 9W Flood (Exterior)</v>
          </cell>
        </row>
        <row r="74">
          <cell r="B74" t="str">
            <v>Solar Attic Fan</v>
          </cell>
          <cell r="C74" t="str">
            <v>Solar Attic Fan</v>
          </cell>
        </row>
        <row r="75">
          <cell r="B75" t="str">
            <v>ENERGY STAR Bathroom Ventilating Fan</v>
          </cell>
          <cell r="C75" t="str">
            <v>ENERGY STAR Bathroom Ventilating Fan</v>
          </cell>
        </row>
        <row r="76">
          <cell r="B76" t="str">
            <v>Variable Speed Pool Pump</v>
          </cell>
          <cell r="C76" t="str">
            <v>Variable Speed Pool Pump</v>
          </cell>
        </row>
        <row r="77">
          <cell r="B77" t="str">
            <v>Two Speed Pool Pump</v>
          </cell>
          <cell r="C77" t="str">
            <v>Two Speed Pool Pump</v>
          </cell>
        </row>
        <row r="78">
          <cell r="B78" t="str">
            <v>Solar Powered Pool Pumps</v>
          </cell>
          <cell r="C78" t="str">
            <v>Solar Powered Pool Pumps</v>
          </cell>
        </row>
        <row r="79">
          <cell r="B79" t="str">
            <v>Heat Pump Pool Heater</v>
          </cell>
          <cell r="C79" t="str">
            <v>Heat Pump Pool Heater</v>
          </cell>
        </row>
        <row r="80">
          <cell r="B80" t="str">
            <v>Solar Pool Heater</v>
          </cell>
          <cell r="C80" t="str">
            <v>Solar Pool Heater</v>
          </cell>
        </row>
        <row r="81">
          <cell r="B81" t="str">
            <v>Heat Trap</v>
          </cell>
          <cell r="C81" t="str">
            <v>Heat Trap</v>
          </cell>
        </row>
        <row r="82">
          <cell r="B82" t="str">
            <v>Low Flow Showerhead</v>
          </cell>
          <cell r="C82" t="str">
            <v>Low Flow Showerhead</v>
          </cell>
        </row>
        <row r="83">
          <cell r="B83" t="str">
            <v>Faucet Aerator</v>
          </cell>
          <cell r="C83" t="str">
            <v>Faucet Aerator</v>
          </cell>
        </row>
        <row r="84">
          <cell r="B84" t="str">
            <v>Water Heater Timeclock</v>
          </cell>
          <cell r="C84" t="str">
            <v>Water Heater Timeclock</v>
          </cell>
        </row>
        <row r="85">
          <cell r="B85" t="str">
            <v>Water Heater Blanket</v>
          </cell>
          <cell r="C85" t="str">
            <v>Water Heater Blanket</v>
          </cell>
        </row>
        <row r="86">
          <cell r="B86" t="str">
            <v>Hot Water Pipe Insulation</v>
          </cell>
          <cell r="C86" t="str">
            <v>Hot Water Pipe Insulation</v>
          </cell>
        </row>
        <row r="87">
          <cell r="B87" t="str">
            <v>Heat Pump Water Heater</v>
          </cell>
          <cell r="C87" t="str">
            <v>Heat Pump Water Heater</v>
          </cell>
        </row>
        <row r="88">
          <cell r="B88" t="str">
            <v>Solar Water Heater</v>
          </cell>
          <cell r="C88" t="str">
            <v>Solar Water Heater</v>
          </cell>
        </row>
        <row r="89">
          <cell r="B89" t="str">
            <v>Instantaneous Hot Water System</v>
          </cell>
          <cell r="C89" t="str">
            <v>Instantaneous Hot Water System</v>
          </cell>
        </row>
        <row r="90">
          <cell r="B90" t="str">
            <v>Water Heater Thermostat Setback</v>
          </cell>
          <cell r="C90" t="str">
            <v>Water Heater Thermostat Setback (temperature check card)</v>
          </cell>
        </row>
        <row r="91">
          <cell r="B91" t="str">
            <v>Drain Water Heat Recovery</v>
          </cell>
          <cell r="C91" t="str">
            <v>Drain Water Heat Recovery</v>
          </cell>
        </row>
        <row r="92">
          <cell r="B92" t="str">
            <v>Thermostatic Shower Restriction Valve</v>
          </cell>
          <cell r="C92" t="str">
            <v>Thermostatic Shower Restriction Valve</v>
          </cell>
        </row>
        <row r="93">
          <cell r="B93" t="str">
            <v>Home Energy Management System</v>
          </cell>
          <cell r="C93" t="str">
            <v>Home Energy Management System</v>
          </cell>
        </row>
        <row r="94">
          <cell r="B94" t="str">
            <v>ENERGY STAR Certified Home</v>
          </cell>
          <cell r="C94" t="str">
            <v>ENERGY STAR Certified Home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O140"/>
  <sheetViews>
    <sheetView tabSelected="1" zoomScale="80" zoomScaleNormal="80" workbookViewId="0">
      <selection activeCell="D10" sqref="D10:E10"/>
    </sheetView>
  </sheetViews>
  <sheetFormatPr defaultColWidth="9.7109375" defaultRowHeight="15"/>
  <cols>
    <col min="1" max="1" width="9.7109375" style="2"/>
    <col min="2" max="2" width="41" style="2" customWidth="1"/>
    <col min="3" max="3" width="19.42578125" style="2" customWidth="1"/>
    <col min="4" max="4" width="20.7109375" style="2" customWidth="1"/>
    <col min="5" max="5" width="19.7109375" style="2" customWidth="1"/>
    <col min="6" max="6" width="22.5703125" style="2" customWidth="1"/>
    <col min="7" max="7" width="28.5703125" style="2" customWidth="1"/>
    <col min="8" max="8" width="22.140625" style="2" customWidth="1"/>
    <col min="9" max="9" width="19.42578125" style="2" customWidth="1"/>
    <col min="10" max="10" width="20.7109375" style="2" customWidth="1"/>
    <col min="11" max="11" width="21.85546875" style="2" customWidth="1"/>
    <col min="12" max="12" width="25.140625" style="2" customWidth="1"/>
    <col min="13" max="13" width="20.7109375" style="2" customWidth="1"/>
    <col min="14" max="14" width="24.85546875" style="2" customWidth="1"/>
    <col min="15" max="15" width="24" style="2" customWidth="1"/>
    <col min="16" max="16" width="24.140625" style="2" customWidth="1"/>
    <col min="17" max="17" width="28.42578125" style="2" customWidth="1"/>
    <col min="18" max="18" width="32.42578125" style="2" customWidth="1"/>
    <col min="19" max="16384" width="9.7109375" style="2"/>
  </cols>
  <sheetData>
    <row r="1" spans="1:15">
      <c r="A1" s="1" t="s">
        <v>0</v>
      </c>
    </row>
    <row r="3" spans="1:15">
      <c r="A3" s="3" t="s">
        <v>150</v>
      </c>
      <c r="G3" s="3" t="s">
        <v>1</v>
      </c>
      <c r="L3" s="3" t="s">
        <v>2</v>
      </c>
    </row>
    <row r="5" spans="1:15" ht="25.15" customHeight="1" thickBot="1">
      <c r="B5" s="4"/>
      <c r="C5" s="5" t="s">
        <v>3</v>
      </c>
      <c r="D5" s="5" t="s">
        <v>60</v>
      </c>
      <c r="E5" s="5" t="s">
        <v>19</v>
      </c>
      <c r="G5" s="4"/>
      <c r="H5" s="5" t="s">
        <v>3</v>
      </c>
      <c r="I5" s="5" t="s">
        <v>60</v>
      </c>
      <c r="J5" s="5" t="s">
        <v>19</v>
      </c>
      <c r="L5" s="4"/>
      <c r="M5" s="5" t="s">
        <v>3</v>
      </c>
      <c r="N5" s="5" t="s">
        <v>60</v>
      </c>
      <c r="O5" s="5" t="s">
        <v>19</v>
      </c>
    </row>
    <row r="6" spans="1:15" ht="25.15" customHeight="1" thickTop="1" thickBot="1">
      <c r="B6" s="6" t="s">
        <v>6</v>
      </c>
      <c r="C6" s="10">
        <f>C22</f>
        <v>4998.0811944557736</v>
      </c>
      <c r="D6" s="10">
        <f>SUM(G22,K22)</f>
        <v>3227.1855058227416</v>
      </c>
      <c r="E6" s="10">
        <f>SUM(C6:D6)</f>
        <v>8225.2667002785147</v>
      </c>
      <c r="F6" s="28"/>
      <c r="G6" s="6" t="s">
        <v>7</v>
      </c>
      <c r="H6" s="7">
        <f>'DEF Inputs'!G12</f>
        <v>4713</v>
      </c>
      <c r="I6" s="7">
        <f>'DEF Inputs'!H12</f>
        <v>2277</v>
      </c>
      <c r="J6" s="7">
        <f>SUM(H6:I6)</f>
        <v>6990</v>
      </c>
      <c r="L6" s="6" t="s">
        <v>7</v>
      </c>
      <c r="M6" s="7">
        <f>'DEF Inputs'!G8</f>
        <v>4698</v>
      </c>
      <c r="N6" s="7">
        <f>'DEF Inputs'!H8</f>
        <v>2307</v>
      </c>
      <c r="O6" s="7">
        <f>SUM(M6:N6)</f>
        <v>7005</v>
      </c>
    </row>
    <row r="7" spans="1:15" ht="25.15" customHeight="1" thickTop="1" thickBot="1">
      <c r="B7" s="6" t="s">
        <v>8</v>
      </c>
      <c r="C7" s="10">
        <f>C86</f>
        <v>1434.4157627102786</v>
      </c>
      <c r="D7" s="10">
        <f>SUM(G86,K86)</f>
        <v>1857.31</v>
      </c>
      <c r="E7" s="10">
        <f>SUM(C7:D7)</f>
        <v>3291.7257627102786</v>
      </c>
      <c r="G7" s="6" t="s">
        <v>9</v>
      </c>
      <c r="H7" s="7">
        <f>'DEF Inputs'!B12</f>
        <v>735</v>
      </c>
      <c r="I7" s="7">
        <f>'DEF Inputs'!E12</f>
        <v>270</v>
      </c>
      <c r="J7" s="7">
        <f>SUM(H7:I7)</f>
        <v>1005</v>
      </c>
      <c r="L7" s="6" t="s">
        <v>9</v>
      </c>
      <c r="M7" s="7">
        <f>'DEF Inputs'!B8</f>
        <v>734</v>
      </c>
      <c r="N7" s="7">
        <f>'DEF Inputs'!E8</f>
        <v>272</v>
      </c>
      <c r="O7" s="7">
        <f>SUM(M7:N7)</f>
        <v>1006</v>
      </c>
    </row>
    <row r="8" spans="1:15" ht="25.15" customHeight="1" thickTop="1" thickBot="1">
      <c r="B8" s="6" t="s">
        <v>10</v>
      </c>
      <c r="C8" s="8">
        <f>C7/C6</f>
        <v>0.28699328940502894</v>
      </c>
      <c r="D8" s="8">
        <f>D7/D6</f>
        <v>0.57552006125736976</v>
      </c>
      <c r="E8" s="9">
        <f>E7/E6</f>
        <v>0.40019684256545968</v>
      </c>
      <c r="G8" s="6" t="s">
        <v>10</v>
      </c>
      <c r="H8" s="8">
        <f>H7/H6</f>
        <v>0.15595162316995545</v>
      </c>
      <c r="I8" s="8">
        <f t="shared" ref="I8:J8" si="0">I7/I6</f>
        <v>0.11857707509881422</v>
      </c>
      <c r="J8" s="8">
        <f t="shared" si="0"/>
        <v>0.14377682403433475</v>
      </c>
      <c r="L8" s="6" t="s">
        <v>10</v>
      </c>
      <c r="M8" s="9">
        <f>M7/M6</f>
        <v>0.15623669646658153</v>
      </c>
      <c r="N8" s="9">
        <f t="shared" ref="N8:O8" si="1">N7/N6</f>
        <v>0.11790203727785002</v>
      </c>
      <c r="O8" s="9">
        <f t="shared" si="1"/>
        <v>0.14361170592433975</v>
      </c>
    </row>
    <row r="9" spans="1:15" ht="25.15" customHeight="1" thickTop="1" thickBot="1">
      <c r="B9" s="6" t="s">
        <v>11</v>
      </c>
      <c r="C9" s="10">
        <f>C33</f>
        <v>5651.7587097394262</v>
      </c>
      <c r="D9" s="10">
        <f>SUM(G33,K33)</f>
        <v>3024.9349250076557</v>
      </c>
      <c r="E9" s="10">
        <f>SUM(C9:D9)</f>
        <v>8676.6936347470819</v>
      </c>
      <c r="G9" s="6" t="s">
        <v>12</v>
      </c>
      <c r="H9" s="7">
        <f>'DEF Inputs'!G13</f>
        <v>5262</v>
      </c>
      <c r="I9" s="7">
        <f>'DEF Inputs'!H13</f>
        <v>1546</v>
      </c>
      <c r="J9" s="7">
        <f>SUM(H9:I9)</f>
        <v>6808</v>
      </c>
      <c r="L9" s="6" t="s">
        <v>12</v>
      </c>
      <c r="M9" s="7">
        <f>'DEF Inputs'!G9</f>
        <v>5175</v>
      </c>
      <c r="N9" s="7">
        <f>'DEF Inputs'!H9</f>
        <v>1599</v>
      </c>
      <c r="O9" s="7">
        <f>SUM(M9:N9)</f>
        <v>6774</v>
      </c>
    </row>
    <row r="10" spans="1:15" ht="25.15" customHeight="1" thickTop="1" thickBot="1">
      <c r="B10" s="6" t="s">
        <v>13</v>
      </c>
      <c r="C10" s="7">
        <f>C96</f>
        <v>2626.5018277157797</v>
      </c>
      <c r="D10" s="7">
        <f>SUM(G96,K96)</f>
        <v>1788.152</v>
      </c>
      <c r="E10" s="7">
        <f>SUM(C10:D10)</f>
        <v>4414.6538277157797</v>
      </c>
      <c r="F10" s="28"/>
      <c r="G10" s="6" t="s">
        <v>14</v>
      </c>
      <c r="H10" s="7">
        <f>'DEF Inputs'!B13</f>
        <v>868</v>
      </c>
      <c r="I10" s="7">
        <f>'DEF Inputs'!E13</f>
        <v>89</v>
      </c>
      <c r="J10" s="7">
        <f>SUM(H10:I10)</f>
        <v>957</v>
      </c>
      <c r="L10" s="6" t="s">
        <v>14</v>
      </c>
      <c r="M10" s="7">
        <f>'DEF Inputs'!B9</f>
        <v>856</v>
      </c>
      <c r="N10" s="7">
        <f>'DEF Inputs'!E9</f>
        <v>92</v>
      </c>
      <c r="O10" s="7">
        <f>SUM(M10:N10)</f>
        <v>948</v>
      </c>
    </row>
    <row r="11" spans="1:15" ht="25.15" customHeight="1" thickTop="1" thickBot="1">
      <c r="B11" s="6" t="s">
        <v>15</v>
      </c>
      <c r="C11" s="8">
        <f>C10/C9</f>
        <v>0.46472292300618656</v>
      </c>
      <c r="D11" s="8">
        <f>D10/D9</f>
        <v>0.59113734487874126</v>
      </c>
      <c r="E11" s="9">
        <f>E10/E9</f>
        <v>0.50879448019654128</v>
      </c>
      <c r="G11" s="6" t="s">
        <v>15</v>
      </c>
      <c r="H11" s="9">
        <f>H10/H9</f>
        <v>0.16495629038388446</v>
      </c>
      <c r="I11" s="9">
        <f t="shared" ref="I11:J11" si="2">I10/I9</f>
        <v>5.7567917205692105E-2</v>
      </c>
      <c r="J11" s="9">
        <f t="shared" si="2"/>
        <v>0.14056991774383079</v>
      </c>
      <c r="L11" s="6" t="s">
        <v>15</v>
      </c>
      <c r="M11" s="9">
        <f>M10/M9</f>
        <v>0.16541062801932366</v>
      </c>
      <c r="N11" s="9">
        <f t="shared" ref="N11:O11" si="3">N10/N9</f>
        <v>5.7535959974984369E-2</v>
      </c>
      <c r="O11" s="9">
        <f t="shared" si="3"/>
        <v>0.13994685562444642</v>
      </c>
    </row>
    <row r="12" spans="1:15" ht="15.75" thickTop="1"/>
    <row r="14" spans="1:15">
      <c r="A14" s="3" t="s">
        <v>105</v>
      </c>
    </row>
    <row r="16" spans="1:15">
      <c r="B16" s="2" t="s">
        <v>3</v>
      </c>
      <c r="F16" s="2" t="s">
        <v>63</v>
      </c>
      <c r="J16" s="2" t="s">
        <v>62</v>
      </c>
    </row>
    <row r="17" spans="1:12" ht="25.15" customHeight="1">
      <c r="B17" s="11" t="s">
        <v>16</v>
      </c>
      <c r="C17" s="124" t="s">
        <v>58</v>
      </c>
      <c r="D17" s="124" t="s">
        <v>61</v>
      </c>
      <c r="F17" s="11" t="s">
        <v>16</v>
      </c>
      <c r="G17" s="124" t="s">
        <v>58</v>
      </c>
      <c r="H17" s="124" t="s">
        <v>61</v>
      </c>
      <c r="J17" s="11" t="s">
        <v>16</v>
      </c>
      <c r="K17" s="124" t="s">
        <v>58</v>
      </c>
      <c r="L17" s="124" t="s">
        <v>61</v>
      </c>
    </row>
    <row r="18" spans="1:12" ht="25.15" customHeight="1" thickBot="1">
      <c r="B18" s="12" t="s">
        <v>17</v>
      </c>
      <c r="C18" s="107">
        <f>('DEF Inputs'!I51+'DEF Inputs'!I51*'DEF Inputs'!$B$49)/1000</f>
        <v>3575.2133119997075</v>
      </c>
      <c r="D18" s="116">
        <f>C18/$C$22</f>
        <v>0.71531717331154765</v>
      </c>
      <c r="F18" s="12" t="s">
        <v>64</v>
      </c>
      <c r="G18" s="107">
        <f>('DEF Inputs'!I56+'DEF Inputs'!I56*'DEF Inputs'!$B$49)/1000</f>
        <v>152.96989478522244</v>
      </c>
      <c r="H18" s="116">
        <f>G18/$G$22</f>
        <v>0.47253339447925485</v>
      </c>
      <c r="J18" s="12" t="s">
        <v>68</v>
      </c>
      <c r="K18" s="107">
        <f>('DEF Inputs'!I61+'DEF Inputs'!I61*'DEF Inputs'!$B$49)/1000</f>
        <v>677.37357012008511</v>
      </c>
      <c r="L18" s="116">
        <f>K18/$K$22</f>
        <v>0.23329853660337377</v>
      </c>
    </row>
    <row r="19" spans="1:12" ht="25.15" customHeight="1" thickBot="1">
      <c r="B19" s="13" t="s">
        <v>18</v>
      </c>
      <c r="C19" s="107">
        <f>('DEF Inputs'!I52+'DEF Inputs'!I52*'DEF Inputs'!$B$49)/1000</f>
        <v>909.54852160817893</v>
      </c>
      <c r="D19" s="116">
        <f t="shared" ref="D19:D20" si="4">C19/$C$22</f>
        <v>0.18197954099207406</v>
      </c>
      <c r="F19" s="13" t="s">
        <v>65</v>
      </c>
      <c r="G19" s="107">
        <f>('DEF Inputs'!I57+'DEF Inputs'!I57*'DEF Inputs'!$B$49)/1000</f>
        <v>63.373417330953203</v>
      </c>
      <c r="H19" s="116">
        <f t="shared" ref="H19:H21" si="5">G19/$G$22</f>
        <v>0.19576437607668848</v>
      </c>
      <c r="J19" s="13" t="s">
        <v>69</v>
      </c>
      <c r="K19" s="107">
        <f>('DEF Inputs'!I62+'DEF Inputs'!I62*'DEF Inputs'!$B$49)/1000</f>
        <v>957.24837174311472</v>
      </c>
      <c r="L19" s="116">
        <f t="shared" ref="L19:L21" si="6">K19/$K$22</f>
        <v>0.32969199588646464</v>
      </c>
    </row>
    <row r="20" spans="1:12" ht="25.15" customHeight="1" thickBot="1">
      <c r="B20" s="13" t="s">
        <v>72</v>
      </c>
      <c r="C20" s="107">
        <f>('DEF Inputs'!I53+'DEF Inputs'!I53*'DEF Inputs'!$B$49)/1000</f>
        <v>513.31936084788663</v>
      </c>
      <c r="D20" s="116">
        <f t="shared" si="4"/>
        <v>0.10270328569637822</v>
      </c>
      <c r="F20" s="13" t="s">
        <v>66</v>
      </c>
      <c r="G20" s="107">
        <f>('DEF Inputs'!I58+'DEF Inputs'!I58*'DEF Inputs'!$B$49)/1000</f>
        <v>56.209480811348612</v>
      </c>
      <c r="H20" s="116">
        <f t="shared" si="5"/>
        <v>0.17363453643604776</v>
      </c>
      <c r="J20" s="13" t="s">
        <v>70</v>
      </c>
      <c r="K20" s="107">
        <f>('DEF Inputs'!I63+'DEF Inputs'!I63*'DEF Inputs'!$B$49)/1000</f>
        <v>350.04256819088772</v>
      </c>
      <c r="L20" s="116">
        <f t="shared" si="6"/>
        <v>0.12056038574599724</v>
      </c>
    </row>
    <row r="21" spans="1:12" ht="25.15" customHeight="1" thickBot="1">
      <c r="B21" s="13"/>
      <c r="C21" s="14"/>
      <c r="D21" s="15"/>
      <c r="F21" s="13" t="s">
        <v>67</v>
      </c>
      <c r="G21" s="107">
        <f>('DEF Inputs'!I59+'DEF Inputs'!I59*'DEF Inputs'!$B$49)/1000</f>
        <v>51.170136652510145</v>
      </c>
      <c r="H21" s="116">
        <f t="shared" si="5"/>
        <v>0.15806769300800885</v>
      </c>
      <c r="J21" s="13" t="s">
        <v>71</v>
      </c>
      <c r="K21" s="107">
        <f>('DEF Inputs'!I64+'DEF Inputs'!I64*'DEF Inputs'!$B$49)/1000</f>
        <v>918.79806618861937</v>
      </c>
      <c r="L21" s="116">
        <f t="shared" si="6"/>
        <v>0.31644908176416425</v>
      </c>
    </row>
    <row r="22" spans="1:12" ht="25.15" customHeight="1">
      <c r="B22" s="16" t="s">
        <v>19</v>
      </c>
      <c r="C22" s="117">
        <f>SUM(C18:C21)</f>
        <v>4998.0811944557736</v>
      </c>
      <c r="D22" s="118">
        <f>SUM(D18:D21)</f>
        <v>0.99999999999999989</v>
      </c>
      <c r="F22" s="16" t="s">
        <v>19</v>
      </c>
      <c r="G22" s="117">
        <f>SUM(G18:G21)</f>
        <v>323.72292958003442</v>
      </c>
      <c r="H22" s="118">
        <f>SUM(H18:H21)</f>
        <v>0.99999999999999989</v>
      </c>
      <c r="J22" s="16" t="s">
        <v>19</v>
      </c>
      <c r="K22" s="117">
        <f>SUM(K18:K21)</f>
        <v>2903.4625762427072</v>
      </c>
      <c r="L22" s="118">
        <f>SUM(L18:L21)</f>
        <v>1</v>
      </c>
    </row>
    <row r="23" spans="1:12" ht="25.15" customHeight="1">
      <c r="B23" s="119"/>
      <c r="C23" s="120"/>
      <c r="D23" s="121"/>
      <c r="F23" s="119"/>
      <c r="G23" s="122"/>
      <c r="H23" s="123"/>
      <c r="J23" s="119"/>
      <c r="K23" s="122"/>
      <c r="L23" s="123"/>
    </row>
    <row r="24" spans="1:12" ht="25.15" customHeight="1">
      <c r="B24" s="119"/>
      <c r="C24" s="120"/>
      <c r="D24" s="121"/>
      <c r="F24" s="119"/>
      <c r="G24" s="122"/>
      <c r="H24" s="123"/>
      <c r="J24" s="119"/>
      <c r="K24" s="122"/>
      <c r="L24" s="123"/>
    </row>
    <row r="25" spans="1:12">
      <c r="A25" s="3" t="s">
        <v>106</v>
      </c>
    </row>
    <row r="27" spans="1:12">
      <c r="B27" s="2" t="s">
        <v>3</v>
      </c>
      <c r="F27" s="2" t="s">
        <v>63</v>
      </c>
      <c r="J27" s="2" t="s">
        <v>62</v>
      </c>
    </row>
    <row r="28" spans="1:12" ht="25.15" customHeight="1">
      <c r="B28" s="11" t="s">
        <v>16</v>
      </c>
      <c r="C28" s="11" t="s">
        <v>58</v>
      </c>
      <c r="D28" s="11" t="s">
        <v>61</v>
      </c>
      <c r="F28" s="11" t="s">
        <v>16</v>
      </c>
      <c r="G28" s="124" t="s">
        <v>58</v>
      </c>
      <c r="H28" s="124" t="s">
        <v>61</v>
      </c>
      <c r="J28" s="11" t="s">
        <v>16</v>
      </c>
      <c r="K28" s="124" t="s">
        <v>58</v>
      </c>
      <c r="L28" s="124" t="s">
        <v>61</v>
      </c>
    </row>
    <row r="29" spans="1:12" ht="25.15" customHeight="1" thickBot="1">
      <c r="B29" s="12" t="s">
        <v>17</v>
      </c>
      <c r="C29" s="107">
        <f>('DEF Inputs'!H51+'DEF Inputs'!H51*'DEF Inputs'!$B$50)/1000</f>
        <v>4062.5490442109685</v>
      </c>
      <c r="D29" s="116">
        <f>C29/$C$33</f>
        <v>0.71881148025837638</v>
      </c>
      <c r="F29" s="12" t="s">
        <v>64</v>
      </c>
      <c r="G29" s="107">
        <f>('DEF Inputs'!H56+'DEF Inputs'!H56*'DEF Inputs'!$B$50)/1000</f>
        <v>125.76708088571634</v>
      </c>
      <c r="H29" s="116">
        <f>G29/$G$33</f>
        <v>0.46433642985426854</v>
      </c>
      <c r="J29" s="12" t="s">
        <v>68</v>
      </c>
      <c r="K29" s="107">
        <f>('DEF Inputs'!H61+'DEF Inputs'!H61*'DEF Inputs'!$B$50)/1000</f>
        <v>636.25487671831843</v>
      </c>
      <c r="L29" s="116">
        <f>K29/$K$33</f>
        <v>0.23102252458685824</v>
      </c>
    </row>
    <row r="30" spans="1:12" ht="25.15" customHeight="1" thickBot="1">
      <c r="B30" s="13" t="s">
        <v>18</v>
      </c>
      <c r="C30" s="107">
        <f>('DEF Inputs'!H52+'DEF Inputs'!H52*'DEF Inputs'!$B$50)/1000</f>
        <v>958.88417246078234</v>
      </c>
      <c r="D30" s="116">
        <f t="shared" ref="D30:D31" si="7">C30/$C$33</f>
        <v>0.16966120135461191</v>
      </c>
      <c r="F30" s="13" t="s">
        <v>65</v>
      </c>
      <c r="G30" s="107">
        <f>('DEF Inputs'!H57+'DEF Inputs'!H57*'DEF Inputs'!$B$50)/1000</f>
        <v>56.744469534335195</v>
      </c>
      <c r="H30" s="116">
        <f t="shared" ref="H30:H32" si="8">G30/$G$33</f>
        <v>0.20950255195546941</v>
      </c>
      <c r="J30" s="13" t="s">
        <v>69</v>
      </c>
      <c r="K30" s="107">
        <f>('DEF Inputs'!H62+'DEF Inputs'!H62*'DEF Inputs'!$B$50)/1000</f>
        <v>822.84658799105296</v>
      </c>
      <c r="L30" s="116">
        <f t="shared" ref="L30:L32" si="9">K30/$K$33</f>
        <v>0.298773499522479</v>
      </c>
    </row>
    <row r="31" spans="1:12" ht="25.15" customHeight="1" thickBot="1">
      <c r="B31" s="13" t="s">
        <v>72</v>
      </c>
      <c r="C31" s="107">
        <f>('DEF Inputs'!H53+'DEF Inputs'!H53*'DEF Inputs'!$B$50)/1000</f>
        <v>630.32549306767544</v>
      </c>
      <c r="D31" s="116">
        <f t="shared" si="7"/>
        <v>0.1115273183870117</v>
      </c>
      <c r="F31" s="13" t="s">
        <v>66</v>
      </c>
      <c r="G31" s="107">
        <f>('DEF Inputs'!H58+'DEF Inputs'!H58*'DEF Inputs'!$B$50)/1000</f>
        <v>50.081086994076742</v>
      </c>
      <c r="H31" s="116">
        <f t="shared" si="8"/>
        <v>0.18490111223287287</v>
      </c>
      <c r="J31" s="13" t="s">
        <v>70</v>
      </c>
      <c r="K31" s="107">
        <f>('DEF Inputs'!H63+'DEF Inputs'!H63*'DEF Inputs'!$B$50)/1000</f>
        <v>314.59902077815326</v>
      </c>
      <c r="L31" s="116">
        <f t="shared" si="9"/>
        <v>0.11423010286001933</v>
      </c>
    </row>
    <row r="32" spans="1:12" ht="25.15" customHeight="1" thickBot="1">
      <c r="B32" s="13"/>
      <c r="C32" s="14"/>
      <c r="D32" s="15"/>
      <c r="F32" s="13" t="s">
        <v>67</v>
      </c>
      <c r="G32" s="107">
        <f>('DEF Inputs'!H59+'DEF Inputs'!H59*'DEF Inputs'!$B$50)/1000</f>
        <v>38.260719763098159</v>
      </c>
      <c r="H32" s="116">
        <f t="shared" si="8"/>
        <v>0.14125990595738921</v>
      </c>
      <c r="J32" s="13" t="s">
        <v>71</v>
      </c>
      <c r="K32" s="107">
        <f>('DEF Inputs'!H64+'DEF Inputs'!H64*'DEF Inputs'!$B$50)/1000</f>
        <v>980.38108234290451</v>
      </c>
      <c r="L32" s="116">
        <f t="shared" si="9"/>
        <v>0.35597387303064337</v>
      </c>
    </row>
    <row r="33" spans="1:12" ht="25.15" customHeight="1">
      <c r="B33" s="16" t="s">
        <v>19</v>
      </c>
      <c r="C33" s="117">
        <f>SUM(C29:C32)</f>
        <v>5651.7587097394262</v>
      </c>
      <c r="D33" s="118">
        <f>SUM(D29:D32)</f>
        <v>1</v>
      </c>
      <c r="F33" s="16" t="s">
        <v>19</v>
      </c>
      <c r="G33" s="117">
        <f>SUM(G29:G32)</f>
        <v>270.85335717722643</v>
      </c>
      <c r="H33" s="118">
        <f>SUM(H29:H32)</f>
        <v>1</v>
      </c>
      <c r="J33" s="16" t="s">
        <v>19</v>
      </c>
      <c r="K33" s="117">
        <f>SUM(K29:K32)</f>
        <v>2754.0815678304293</v>
      </c>
      <c r="L33" s="118">
        <f>SUM(L29:L32)</f>
        <v>1</v>
      </c>
    </row>
    <row r="36" spans="1:12">
      <c r="A36" s="3" t="s">
        <v>115</v>
      </c>
    </row>
    <row r="38" spans="1:12">
      <c r="B38" s="2" t="s">
        <v>3</v>
      </c>
      <c r="F38" s="2" t="s">
        <v>63</v>
      </c>
      <c r="J38" s="2" t="s">
        <v>62</v>
      </c>
    </row>
    <row r="39" spans="1:12" ht="25.15" customHeight="1">
      <c r="B39" s="132" t="s">
        <v>20</v>
      </c>
      <c r="C39" s="124" t="s">
        <v>58</v>
      </c>
      <c r="D39" s="124" t="s">
        <v>61</v>
      </c>
      <c r="F39" s="132" t="s">
        <v>20</v>
      </c>
      <c r="G39" s="124" t="s">
        <v>58</v>
      </c>
      <c r="H39" s="124" t="s">
        <v>61</v>
      </c>
      <c r="J39" s="11" t="s">
        <v>20</v>
      </c>
      <c r="K39" s="124" t="s">
        <v>58</v>
      </c>
      <c r="L39" s="124" t="s">
        <v>61</v>
      </c>
    </row>
    <row r="40" spans="1:12" ht="25.15" customHeight="1" thickBot="1">
      <c r="B40" s="133" t="s">
        <v>21</v>
      </c>
      <c r="C40" s="107">
        <v>0</v>
      </c>
      <c r="D40" s="116">
        <f>C40/$C$22</f>
        <v>0</v>
      </c>
      <c r="F40" s="133" t="s">
        <v>21</v>
      </c>
      <c r="G40" s="107">
        <v>0</v>
      </c>
      <c r="H40" s="116">
        <f>G40/$G$22</f>
        <v>0</v>
      </c>
      <c r="J40" s="12" t="s">
        <v>99</v>
      </c>
      <c r="K40" s="107">
        <f>'DEF Inputs'!H38+'DEF Inputs'!H38*'DEF Inputs'!$B$49</f>
        <v>2902.7193246034394</v>
      </c>
      <c r="L40" s="116">
        <f>K40/$K$22</f>
        <v>0.99974401197888707</v>
      </c>
    </row>
    <row r="41" spans="1:12" ht="25.15" customHeight="1" thickBot="1">
      <c r="B41" s="134" t="s">
        <v>22</v>
      </c>
      <c r="C41" s="107">
        <f>'DEF Inputs'!D38+'DEF Inputs'!D38*'DEF Inputs'!$B$49</f>
        <v>2931.5904698385725</v>
      </c>
      <c r="D41" s="116">
        <f>C41/$C$22</f>
        <v>0.58654318643132508</v>
      </c>
      <c r="F41" s="134" t="s">
        <v>22</v>
      </c>
      <c r="G41" s="107">
        <f>'DEF Inputs'!G38+'DEF Inputs'!G38*'DEF Inputs'!$B$49</f>
        <v>143.18807517413211</v>
      </c>
      <c r="H41" s="125">
        <f>G41/$G$22</f>
        <v>0.44231675328000375</v>
      </c>
      <c r="J41" s="13"/>
      <c r="K41" s="126"/>
      <c r="L41" s="125"/>
    </row>
    <row r="42" spans="1:12" ht="25.15" customHeight="1" thickBot="1">
      <c r="B42" s="134" t="s">
        <v>79</v>
      </c>
      <c r="C42" s="107">
        <f>'DEF Inputs'!E38+'DEF Inputs'!E38*'DEF Inputs'!$B$49</f>
        <v>338.10674775795337</v>
      </c>
      <c r="D42" s="116">
        <f t="shared" ref="D42:D43" si="10">C42/$C$22</f>
        <v>6.764730995827066E-2</v>
      </c>
      <c r="F42" s="134"/>
      <c r="G42" s="107"/>
      <c r="H42" s="125"/>
      <c r="J42" s="13"/>
      <c r="K42" s="126"/>
      <c r="L42" s="125"/>
    </row>
    <row r="43" spans="1:12" ht="25.15" customHeight="1" thickBot="1">
      <c r="B43" s="134" t="s">
        <v>78</v>
      </c>
      <c r="C43" s="107">
        <f>'DEF Inputs'!F38+'DEF Inputs'!F38*'DEF Inputs'!$B$49</f>
        <v>287.26274388747282</v>
      </c>
      <c r="D43" s="116">
        <f t="shared" si="10"/>
        <v>5.7474605295753309E-2</v>
      </c>
      <c r="F43" s="134"/>
      <c r="G43" s="107"/>
      <c r="H43" s="125"/>
      <c r="J43" s="13"/>
      <c r="K43" s="126"/>
      <c r="L43" s="125"/>
    </row>
    <row r="44" spans="1:12" ht="25.15" customHeight="1">
      <c r="B44" s="135" t="s">
        <v>19</v>
      </c>
      <c r="C44" s="117">
        <f>SUM(C38:C43)</f>
        <v>3556.9599614839985</v>
      </c>
      <c r="D44" s="118">
        <f>SUM(D38:D43)</f>
        <v>0.71166510168534902</v>
      </c>
      <c r="F44" s="135" t="s">
        <v>19</v>
      </c>
      <c r="G44" s="117">
        <f>SUM(G38:G43)</f>
        <v>143.18807517413211</v>
      </c>
      <c r="H44" s="118">
        <f>SUM(H38:H43)</f>
        <v>0.44231675328000375</v>
      </c>
      <c r="J44" s="16" t="s">
        <v>19</v>
      </c>
      <c r="K44" s="117">
        <f>SUM(K40:K43)</f>
        <v>2902.7193246034394</v>
      </c>
      <c r="L44" s="118">
        <f>SUM(L40:L43)</f>
        <v>0.99974401197888707</v>
      </c>
    </row>
    <row r="47" spans="1:12">
      <c r="A47" s="3" t="s">
        <v>116</v>
      </c>
    </row>
    <row r="49" spans="1:12">
      <c r="B49" s="2" t="s">
        <v>3</v>
      </c>
      <c r="F49" s="2" t="s">
        <v>63</v>
      </c>
      <c r="J49" s="2" t="s">
        <v>62</v>
      </c>
    </row>
    <row r="50" spans="1:12" ht="25.15" customHeight="1">
      <c r="B50" s="11" t="s">
        <v>20</v>
      </c>
      <c r="C50" s="124" t="s">
        <v>58</v>
      </c>
      <c r="D50" s="124" t="s">
        <v>61</v>
      </c>
      <c r="F50" s="11" t="s">
        <v>20</v>
      </c>
      <c r="G50" s="124" t="s">
        <v>58</v>
      </c>
      <c r="H50" s="124" t="s">
        <v>61</v>
      </c>
      <c r="J50" s="11" t="s">
        <v>20</v>
      </c>
      <c r="K50" s="124" t="s">
        <v>58</v>
      </c>
      <c r="L50" s="124" t="s">
        <v>61</v>
      </c>
    </row>
    <row r="51" spans="1:12" ht="25.15" customHeight="1" thickBot="1">
      <c r="B51" s="12" t="s">
        <v>21</v>
      </c>
      <c r="C51" s="107">
        <f>'DEF Inputs'!D39+'DEF Inputs'!D39*'DEF Inputs'!$B$50</f>
        <v>3669.1327659640424</v>
      </c>
      <c r="D51" s="116">
        <f>C51/$C$33</f>
        <v>0.6492019483494913</v>
      </c>
      <c r="F51" s="12" t="s">
        <v>21</v>
      </c>
      <c r="G51" s="107">
        <f>'DEF Inputs'!G39+'DEF Inputs'!G39*'DEF Inputs'!$B$50</f>
        <v>86.146183673045726</v>
      </c>
      <c r="H51" s="116">
        <f>G51/$G$33</f>
        <v>0.31805470152130338</v>
      </c>
      <c r="J51" s="12" t="s">
        <v>99</v>
      </c>
      <c r="K51" s="107">
        <f>'DEF Inputs'!H39+'DEF Inputs'!H39*'DEF Inputs'!$B$50</f>
        <v>2753.7559191110595</v>
      </c>
      <c r="L51" s="116">
        <f>K51/$K$33</f>
        <v>0.99988175777973554</v>
      </c>
    </row>
    <row r="52" spans="1:12" ht="25.15" customHeight="1" thickBot="1">
      <c r="B52" s="13" t="s">
        <v>22</v>
      </c>
      <c r="C52" s="107">
        <v>0</v>
      </c>
      <c r="D52" s="116">
        <f t="shared" ref="D52:D54" si="11">C52/$C$33</f>
        <v>0</v>
      </c>
      <c r="F52" s="13" t="s">
        <v>22</v>
      </c>
      <c r="G52" s="107">
        <v>0</v>
      </c>
      <c r="H52" s="116">
        <f>G52/SUM($G$51:$G$54)</f>
        <v>0</v>
      </c>
      <c r="J52" s="13"/>
      <c r="K52" s="126"/>
      <c r="L52" s="125"/>
    </row>
    <row r="53" spans="1:12" ht="25.15" customHeight="1" thickBot="1">
      <c r="B53" s="13" t="s">
        <v>79</v>
      </c>
      <c r="C53" s="107">
        <f>'DEF Inputs'!E39+'DEF Inputs'!E39*'DEF Inputs'!$B$50</f>
        <v>650.8812659640422</v>
      </c>
      <c r="D53" s="116">
        <f t="shared" si="11"/>
        <v>0.11516437615116287</v>
      </c>
      <c r="F53" s="13"/>
      <c r="G53" s="107"/>
      <c r="H53" s="116"/>
      <c r="J53" s="13"/>
      <c r="K53" s="126"/>
      <c r="L53" s="125"/>
    </row>
    <row r="54" spans="1:12" ht="25.15" customHeight="1" thickBot="1">
      <c r="B54" s="13" t="s">
        <v>78</v>
      </c>
      <c r="C54" s="107">
        <f>'DEF Inputs'!F39+'DEF Inputs'!F39*'DEF Inputs'!$B$50</f>
        <v>218.33313401529242</v>
      </c>
      <c r="D54" s="116">
        <f t="shared" si="11"/>
        <v>3.8631007661216778E-2</v>
      </c>
      <c r="F54" s="13"/>
      <c r="G54" s="107"/>
      <c r="H54" s="116"/>
      <c r="J54" s="13"/>
      <c r="K54" s="126"/>
      <c r="L54" s="125"/>
    </row>
    <row r="55" spans="1:12" ht="25.15" customHeight="1">
      <c r="B55" s="16" t="s">
        <v>19</v>
      </c>
      <c r="C55" s="117">
        <f>SUM(C49:C54)</f>
        <v>4538.3471659433771</v>
      </c>
      <c r="D55" s="118">
        <f>SUM(D49:D54)</f>
        <v>0.80299733216187097</v>
      </c>
      <c r="F55" s="16" t="s">
        <v>19</v>
      </c>
      <c r="G55" s="117">
        <f>SUM(G49:G54)</f>
        <v>86.146183673045726</v>
      </c>
      <c r="H55" s="118">
        <f>SUM(H49:H54)</f>
        <v>0.31805470152130338</v>
      </c>
      <c r="J55" s="16" t="s">
        <v>19</v>
      </c>
      <c r="K55" s="117">
        <f>SUM(K51:K54)</f>
        <v>2753.7559191110595</v>
      </c>
      <c r="L55" s="118">
        <f>SUM(L51:L54)</f>
        <v>0.99988175777973554</v>
      </c>
    </row>
    <row r="56" spans="1:12">
      <c r="A56" s="3"/>
    </row>
    <row r="57" spans="1:12">
      <c r="A57" s="3" t="s">
        <v>135</v>
      </c>
    </row>
    <row r="59" spans="1:12">
      <c r="B59" s="2" t="s">
        <v>3</v>
      </c>
      <c r="F59" s="2" t="s">
        <v>63</v>
      </c>
      <c r="J59" s="2" t="s">
        <v>62</v>
      </c>
    </row>
    <row r="60" spans="1:12">
      <c r="B60" s="132" t="s">
        <v>20</v>
      </c>
      <c r="C60" s="124" t="s">
        <v>58</v>
      </c>
      <c r="D60" s="124" t="s">
        <v>61</v>
      </c>
      <c r="F60" s="132" t="s">
        <v>20</v>
      </c>
      <c r="G60" s="124" t="s">
        <v>58</v>
      </c>
      <c r="H60" s="124" t="s">
        <v>61</v>
      </c>
      <c r="J60" s="11" t="s">
        <v>20</v>
      </c>
      <c r="K60" s="124" t="s">
        <v>58</v>
      </c>
      <c r="L60" s="124" t="s">
        <v>61</v>
      </c>
    </row>
    <row r="61" spans="1:12" ht="25.15" customHeight="1" thickBot="1">
      <c r="B61" s="133" t="s">
        <v>21</v>
      </c>
      <c r="C61" s="107">
        <v>0</v>
      </c>
      <c r="D61" s="116">
        <f>C61/$C$22</f>
        <v>0</v>
      </c>
      <c r="F61" s="133" t="s">
        <v>21</v>
      </c>
      <c r="G61" s="107">
        <v>0</v>
      </c>
      <c r="H61" s="116">
        <f>G61/$G$22</f>
        <v>0</v>
      </c>
      <c r="J61" s="12" t="s">
        <v>99</v>
      </c>
      <c r="K61" s="107">
        <f>('DEF Inputs'!G29+'DEF Inputs'!G29*'DEF Inputs'!$B$49)/1000</f>
        <v>2266.2028514607982</v>
      </c>
      <c r="L61" s="116">
        <f>K61/$K$22</f>
        <v>0.78051732782911576</v>
      </c>
    </row>
    <row r="62" spans="1:12" ht="25.15" customHeight="1" thickBot="1">
      <c r="B62" s="134" t="s">
        <v>22</v>
      </c>
      <c r="C62" s="107">
        <f>('DEF Inputs'!C28+'DEF Inputs'!C28*'DEF Inputs'!$B$49)/1000</f>
        <v>2126.5782366657227</v>
      </c>
      <c r="D62" s="116">
        <f>C62/$C$22</f>
        <v>0.42547892959895772</v>
      </c>
      <c r="F62" s="134" t="s">
        <v>22</v>
      </c>
      <c r="G62" s="107">
        <f>('DEF Inputs'!E29+'DEF Inputs'!E29*'DEF Inputs'!$B$49)/1000</f>
        <v>143.1876108751062</v>
      </c>
      <c r="H62" s="125">
        <f>G62/$G$22</f>
        <v>0.44231531903181343</v>
      </c>
      <c r="J62" s="13"/>
      <c r="K62" s="126"/>
      <c r="L62" s="125"/>
    </row>
    <row r="63" spans="1:12" ht="25.15" customHeight="1" thickBot="1">
      <c r="B63" s="134" t="s">
        <v>79</v>
      </c>
      <c r="C63" s="107">
        <f>('DEF Inputs'!K28+'DEF Inputs'!K28*'DEF Inputs'!$B$49)/1000</f>
        <v>245.9707234966487</v>
      </c>
      <c r="D63" s="116">
        <f t="shared" ref="D63:D64" si="12">C63/$C$22</f>
        <v>4.9213030746578686E-2</v>
      </c>
      <c r="F63" s="134"/>
      <c r="G63" s="107"/>
      <c r="H63" s="125"/>
      <c r="J63" s="13"/>
      <c r="K63" s="126"/>
      <c r="L63" s="125"/>
    </row>
    <row r="64" spans="1:12" ht="25.15" customHeight="1" thickBot="1">
      <c r="B64" s="134" t="s">
        <v>78</v>
      </c>
      <c r="C64" s="107">
        <f>('DEF Inputs'!I28+'DEF Inputs'!I28*'DEF Inputs'!$B$49)/1000</f>
        <v>208.91402652695174</v>
      </c>
      <c r="D64" s="116">
        <f t="shared" si="12"/>
        <v>4.1798846076909278E-2</v>
      </c>
      <c r="F64" s="134"/>
      <c r="G64" s="107"/>
      <c r="H64" s="125"/>
      <c r="J64" s="13"/>
      <c r="K64" s="126"/>
      <c r="L64" s="125"/>
    </row>
    <row r="65" spans="1:12" ht="25.15" customHeight="1">
      <c r="B65" s="135" t="s">
        <v>19</v>
      </c>
      <c r="C65" s="117">
        <f>SUM(C59:C64)</f>
        <v>2581.4629866893229</v>
      </c>
      <c r="D65" s="118">
        <f>SUM(D59:D64)</f>
        <v>0.51649080642244571</v>
      </c>
      <c r="F65" s="135" t="s">
        <v>19</v>
      </c>
      <c r="G65" s="117">
        <f>SUM(G59:G64)</f>
        <v>143.1876108751062</v>
      </c>
      <c r="H65" s="118">
        <f>SUM(H59:H64)</f>
        <v>0.44231531903181343</v>
      </c>
      <c r="J65" s="16" t="s">
        <v>19</v>
      </c>
      <c r="K65" s="117">
        <f>SUM(K61:K64)</f>
        <v>2266.2028514607982</v>
      </c>
      <c r="L65" s="118">
        <f>SUM(L61:L64)</f>
        <v>0.78051732782911576</v>
      </c>
    </row>
    <row r="66" spans="1:12" ht="25.15" customHeight="1"/>
    <row r="68" spans="1:12">
      <c r="A68" s="3" t="s">
        <v>132</v>
      </c>
    </row>
    <row r="70" spans="1:12">
      <c r="B70" s="2" t="s">
        <v>3</v>
      </c>
      <c r="F70" s="2" t="s">
        <v>63</v>
      </c>
      <c r="J70" s="2" t="s">
        <v>62</v>
      </c>
    </row>
    <row r="71" spans="1:12" ht="25.15" customHeight="1">
      <c r="B71" s="11" t="s">
        <v>20</v>
      </c>
      <c r="C71" s="124" t="s">
        <v>58</v>
      </c>
      <c r="D71" s="124" t="s">
        <v>61</v>
      </c>
      <c r="F71" s="11" t="s">
        <v>20</v>
      </c>
      <c r="G71" s="124" t="s">
        <v>58</v>
      </c>
      <c r="H71" s="124" t="s">
        <v>61</v>
      </c>
      <c r="J71" s="11" t="s">
        <v>20</v>
      </c>
      <c r="K71" s="124" t="s">
        <v>58</v>
      </c>
      <c r="L71" s="124" t="s">
        <v>61</v>
      </c>
    </row>
    <row r="72" spans="1:12" ht="25.15" customHeight="1" thickBot="1">
      <c r="B72" s="12" t="s">
        <v>21</v>
      </c>
      <c r="C72" s="107">
        <f>('DEF Inputs'!C20+'DEF Inputs'!C20*'DEF Inputs'!$B$50)/1000</f>
        <v>2663.1778956395951</v>
      </c>
      <c r="D72" s="116">
        <f>C72/$C$33</f>
        <v>0.47121224249192706</v>
      </c>
      <c r="F72" s="12" t="s">
        <v>21</v>
      </c>
      <c r="G72" s="107">
        <f>('DEF Inputs'!E21+'DEF Inputs'!E21*'DEF Inputs'!$B$50)/1000</f>
        <v>86.146049907005576</v>
      </c>
      <c r="H72" s="116">
        <f>G72/$G$33</f>
        <v>0.31805420765243814</v>
      </c>
      <c r="J72" s="12" t="s">
        <v>99</v>
      </c>
      <c r="K72" s="107">
        <f>('DEF Inputs'!G21+'DEF Inputs'!G21*'DEF Inputs'!$B$50)/1000</f>
        <v>1950.2171714359204</v>
      </c>
      <c r="L72" s="116">
        <f>K72/$K$33</f>
        <v>0.70811888588043326</v>
      </c>
    </row>
    <row r="73" spans="1:12" ht="25.15" customHeight="1" thickBot="1">
      <c r="B73" s="13" t="s">
        <v>22</v>
      </c>
      <c r="C73" s="107">
        <v>0</v>
      </c>
      <c r="D73" s="116">
        <f t="shared" ref="D73:D75" si="13">C73/$C$33</f>
        <v>0</v>
      </c>
      <c r="F73" s="13" t="s">
        <v>22</v>
      </c>
      <c r="G73" s="107">
        <v>0</v>
      </c>
      <c r="H73" s="116">
        <f>G73/SUM($G$51:$G$54)</f>
        <v>0</v>
      </c>
      <c r="J73" s="13"/>
      <c r="K73" s="126"/>
      <c r="L73" s="125"/>
    </row>
    <row r="74" spans="1:12" ht="25.15" customHeight="1" thickBot="1">
      <c r="B74" s="13" t="s">
        <v>79</v>
      </c>
      <c r="C74" s="107">
        <f>('DEF Inputs'!K20+'DEF Inputs'!K20*'DEF Inputs'!$B$50)/1000</f>
        <v>473.51248770407108</v>
      </c>
      <c r="D74" s="116">
        <f t="shared" si="13"/>
        <v>8.3781440790826389E-2</v>
      </c>
      <c r="F74" s="13"/>
      <c r="G74" s="107"/>
      <c r="H74" s="116"/>
      <c r="J74" s="13"/>
      <c r="K74" s="126"/>
      <c r="L74" s="125"/>
    </row>
    <row r="75" spans="1:12" ht="25.15" customHeight="1" thickBot="1">
      <c r="B75" s="13" t="s">
        <v>78</v>
      </c>
      <c r="C75" s="107">
        <f>('DEF Inputs'!I20+'DEF Inputs'!I20*'DEF Inputs'!$B$50)/1000</f>
        <v>158.78446466212026</v>
      </c>
      <c r="D75" s="116">
        <f t="shared" si="13"/>
        <v>2.8094699865458518E-2</v>
      </c>
      <c r="F75" s="13"/>
      <c r="G75" s="107"/>
      <c r="H75" s="116"/>
      <c r="J75" s="13"/>
      <c r="K75" s="126"/>
      <c r="L75" s="125"/>
    </row>
    <row r="76" spans="1:12" ht="25.15" customHeight="1">
      <c r="B76" s="16" t="s">
        <v>19</v>
      </c>
      <c r="C76" s="117">
        <f>SUM(C70:C75)</f>
        <v>3295.4748480057865</v>
      </c>
      <c r="D76" s="118">
        <f>SUM(D70:D75)</f>
        <v>0.58308838314821199</v>
      </c>
      <c r="F76" s="16" t="s">
        <v>19</v>
      </c>
      <c r="G76" s="117">
        <f>SUM(G70:G75)</f>
        <v>86.146049907005576</v>
      </c>
      <c r="H76" s="118">
        <f>SUM(H70:H75)</f>
        <v>0.31805420765243814</v>
      </c>
      <c r="J76" s="16" t="s">
        <v>19</v>
      </c>
      <c r="K76" s="117">
        <f>SUM(K72:K75)</f>
        <v>1950.2171714359204</v>
      </c>
      <c r="L76" s="118">
        <f>SUM(L72:L75)</f>
        <v>0.70811888588043326</v>
      </c>
    </row>
    <row r="78" spans="1:12">
      <c r="A78" s="3" t="s">
        <v>133</v>
      </c>
    </row>
    <row r="80" spans="1:12">
      <c r="B80" s="2" t="s">
        <v>3</v>
      </c>
      <c r="F80" s="2" t="s">
        <v>63</v>
      </c>
      <c r="J80" s="2" t="s">
        <v>62</v>
      </c>
    </row>
    <row r="81" spans="1:12" ht="25.15" customHeight="1">
      <c r="B81" s="132" t="s">
        <v>20</v>
      </c>
      <c r="C81" s="124" t="s">
        <v>58</v>
      </c>
      <c r="D81" s="124" t="s">
        <v>61</v>
      </c>
      <c r="F81" s="132" t="s">
        <v>20</v>
      </c>
      <c r="G81" s="124" t="s">
        <v>58</v>
      </c>
      <c r="H81" s="124" t="s">
        <v>61</v>
      </c>
      <c r="J81" s="11" t="s">
        <v>20</v>
      </c>
      <c r="K81" s="124" t="s">
        <v>58</v>
      </c>
      <c r="L81" s="124" t="s">
        <v>61</v>
      </c>
    </row>
    <row r="82" spans="1:12" ht="25.15" customHeight="1" thickBot="1">
      <c r="B82" s="133" t="s">
        <v>21</v>
      </c>
      <c r="C82" s="107">
        <v>0</v>
      </c>
      <c r="D82" s="116">
        <f>C82/$C$22</f>
        <v>0</v>
      </c>
      <c r="F82" s="133" t="s">
        <v>21</v>
      </c>
      <c r="G82" s="107">
        <v>0</v>
      </c>
      <c r="H82" s="116">
        <f>G82/$G$22</f>
        <v>0</v>
      </c>
      <c r="J82" s="12" t="s">
        <v>99</v>
      </c>
      <c r="K82" s="107">
        <f>SUM('DEF Inputs'!M44:M47)/1000</f>
        <v>1753.7280000000001</v>
      </c>
      <c r="L82" s="116">
        <f>K82/$K$22</f>
        <v>0.60401260699886561</v>
      </c>
    </row>
    <row r="83" spans="1:12" ht="25.15" customHeight="1" thickBot="1">
      <c r="B83" s="134" t="s">
        <v>22</v>
      </c>
      <c r="C83" s="200">
        <f>SUM('DEF Inputs'!C44:C46)/1000</f>
        <v>1065.5077627102787</v>
      </c>
      <c r="D83" s="116">
        <f>C83/$C$22</f>
        <v>0.21318336402622182</v>
      </c>
      <c r="F83" s="134" t="s">
        <v>22</v>
      </c>
      <c r="G83" s="107">
        <f>SUM('DEF Inputs'!J44:J47)/1000</f>
        <v>103.58199999999999</v>
      </c>
      <c r="H83" s="125">
        <f>G83/$G$22</f>
        <v>0.31997115599558196</v>
      </c>
      <c r="J83" s="13"/>
      <c r="K83" s="126"/>
      <c r="L83" s="125"/>
    </row>
    <row r="84" spans="1:12" ht="25.15" customHeight="1" thickBot="1">
      <c r="B84" s="134" t="s">
        <v>79</v>
      </c>
      <c r="C84" s="107">
        <f>SUM('DEF Inputs'!E44:E46)/1000</f>
        <v>187.827</v>
      </c>
      <c r="D84" s="116">
        <f t="shared" ref="D84:D85" si="14">C84/$C$22</f>
        <v>3.7579821674035833E-2</v>
      </c>
      <c r="F84" s="134"/>
      <c r="G84" s="107"/>
      <c r="H84" s="125"/>
      <c r="J84" s="13"/>
      <c r="K84" s="126"/>
      <c r="L84" s="125"/>
    </row>
    <row r="85" spans="1:12" ht="25.15" customHeight="1" thickBot="1">
      <c r="B85" s="134" t="s">
        <v>78</v>
      </c>
      <c r="C85" s="200">
        <f>SUM('DEF Inputs'!D44:D46)/1000</f>
        <v>181.08099999999999</v>
      </c>
      <c r="D85" s="116">
        <f t="shared" si="14"/>
        <v>3.6230103704771317E-2</v>
      </c>
      <c r="F85" s="134"/>
      <c r="G85" s="107"/>
      <c r="H85" s="125"/>
      <c r="J85" s="13"/>
      <c r="K85" s="126"/>
      <c r="L85" s="125"/>
    </row>
    <row r="86" spans="1:12" ht="25.15" customHeight="1">
      <c r="B86" s="135" t="s">
        <v>19</v>
      </c>
      <c r="C86" s="117">
        <f>SUM(C83:C85)</f>
        <v>1434.4157627102786</v>
      </c>
      <c r="D86" s="118">
        <f>SUM(D80:D85)</f>
        <v>0.28699328940502894</v>
      </c>
      <c r="F86" s="135" t="s">
        <v>19</v>
      </c>
      <c r="G86" s="117">
        <f>SUM(G80:G85)</f>
        <v>103.58199999999999</v>
      </c>
      <c r="H86" s="118">
        <f>SUM(H80:H85)</f>
        <v>0.31997115599558196</v>
      </c>
      <c r="J86" s="16" t="s">
        <v>19</v>
      </c>
      <c r="K86" s="117">
        <f>SUM(K82:K85)</f>
        <v>1753.7280000000001</v>
      </c>
      <c r="L86" s="118">
        <f>SUM(L82:L85)</f>
        <v>0.60401260699886561</v>
      </c>
    </row>
    <row r="88" spans="1:12">
      <c r="A88" s="3" t="s">
        <v>134</v>
      </c>
    </row>
    <row r="90" spans="1:12">
      <c r="B90" s="2" t="s">
        <v>3</v>
      </c>
      <c r="F90" s="2" t="s">
        <v>63</v>
      </c>
      <c r="J90" s="2" t="s">
        <v>62</v>
      </c>
    </row>
    <row r="91" spans="1:12" ht="25.15" customHeight="1">
      <c r="B91" s="11" t="s">
        <v>20</v>
      </c>
      <c r="C91" s="124" t="s">
        <v>58</v>
      </c>
      <c r="D91" s="124" t="s">
        <v>61</v>
      </c>
      <c r="F91" s="11" t="s">
        <v>20</v>
      </c>
      <c r="G91" s="124" t="s">
        <v>58</v>
      </c>
      <c r="H91" s="124" t="s">
        <v>61</v>
      </c>
      <c r="J91" s="11" t="s">
        <v>20</v>
      </c>
      <c r="K91" s="124" t="s">
        <v>58</v>
      </c>
      <c r="L91" s="124" t="s">
        <v>61</v>
      </c>
    </row>
    <row r="92" spans="1:12" ht="25.15" customHeight="1" thickBot="1">
      <c r="B92" s="12" t="s">
        <v>21</v>
      </c>
      <c r="C92" s="107">
        <f>SUM('DEF Inputs'!B44:B46)/1000</f>
        <v>2195.8488277157794</v>
      </c>
      <c r="D92" s="116">
        <f>C92/$C$33</f>
        <v>0.38852487172387068</v>
      </c>
      <c r="F92" s="12" t="s">
        <v>21</v>
      </c>
      <c r="G92" s="214">
        <f>SUM('DEF Inputs'!I43:I47)/1000</f>
        <v>72.974000000000004</v>
      </c>
      <c r="H92" s="116">
        <f>G92/$G$33</f>
        <v>0.26942254200028692</v>
      </c>
      <c r="J92" s="12" t="s">
        <v>99</v>
      </c>
      <c r="K92" s="214">
        <f>SUM('DEF Inputs'!L43:L47)/1000</f>
        <v>1715.1780000000001</v>
      </c>
      <c r="L92" s="116">
        <f>K92/$K$33</f>
        <v>0.62277676160156659</v>
      </c>
    </row>
    <row r="93" spans="1:12" ht="25.15" customHeight="1" thickBot="1">
      <c r="B93" s="13" t="s">
        <v>22</v>
      </c>
      <c r="C93" s="107">
        <v>0</v>
      </c>
      <c r="D93" s="116">
        <f t="shared" ref="D93:D95" si="15">C93/$C$33</f>
        <v>0</v>
      </c>
      <c r="F93" s="13" t="s">
        <v>22</v>
      </c>
      <c r="G93" s="107">
        <v>0</v>
      </c>
      <c r="H93" s="116">
        <f>G93/SUM($G$51:$G$54)</f>
        <v>0</v>
      </c>
      <c r="J93" s="13"/>
      <c r="K93" s="126"/>
      <c r="L93" s="125"/>
    </row>
    <row r="94" spans="1:12" ht="25.15" customHeight="1" thickBot="1">
      <c r="B94" s="13" t="s">
        <v>79</v>
      </c>
      <c r="C94" s="107">
        <f>SUM('DEF Inputs'!G44:G46)/1000</f>
        <v>354.27300000000002</v>
      </c>
      <c r="D94" s="116">
        <f t="shared" si="15"/>
        <v>6.2683673913661073E-2</v>
      </c>
      <c r="F94" s="13"/>
      <c r="G94" s="107"/>
      <c r="H94" s="116"/>
      <c r="J94" s="13"/>
      <c r="K94" s="126"/>
      <c r="L94" s="125"/>
    </row>
    <row r="95" spans="1:12" ht="25.15" customHeight="1" thickBot="1">
      <c r="B95" s="13" t="s">
        <v>78</v>
      </c>
      <c r="C95" s="107">
        <f>SUM('DEF Inputs'!F44:F46)/1000</f>
        <v>76.38</v>
      </c>
      <c r="D95" s="116">
        <f t="shared" si="15"/>
        <v>1.3514377368654773E-2</v>
      </c>
      <c r="F95" s="13"/>
      <c r="G95" s="107"/>
      <c r="H95" s="116"/>
      <c r="J95" s="13"/>
      <c r="K95" s="126"/>
      <c r="L95" s="125"/>
    </row>
    <row r="96" spans="1:12" ht="25.15" customHeight="1">
      <c r="B96" s="16" t="s">
        <v>19</v>
      </c>
      <c r="C96" s="117">
        <f>SUM(C90:C95)</f>
        <v>2626.5018277157797</v>
      </c>
      <c r="D96" s="118">
        <f>SUM(D90:D95)</f>
        <v>0.46472292300618656</v>
      </c>
      <c r="F96" s="16" t="s">
        <v>19</v>
      </c>
      <c r="G96" s="117">
        <f>SUM(G90:G95)</f>
        <v>72.974000000000004</v>
      </c>
      <c r="H96" s="118">
        <f>SUM(H90:H95)</f>
        <v>0.26942254200028692</v>
      </c>
      <c r="J96" s="16" t="s">
        <v>19</v>
      </c>
      <c r="K96" s="117">
        <f>SUM(K92:K95)</f>
        <v>1715.1780000000001</v>
      </c>
      <c r="L96" s="118">
        <f>SUM(L92:L95)</f>
        <v>0.62277676160156659</v>
      </c>
    </row>
    <row r="99" spans="2:12">
      <c r="B99" s="2" t="s">
        <v>3</v>
      </c>
    </row>
    <row r="100" spans="2:12">
      <c r="B100" s="132" t="s">
        <v>20</v>
      </c>
      <c r="C100" s="124" t="s">
        <v>151</v>
      </c>
      <c r="D100" s="124" t="s">
        <v>152</v>
      </c>
      <c r="F100" s="132" t="s">
        <v>20</v>
      </c>
      <c r="G100" s="124" t="s">
        <v>151</v>
      </c>
      <c r="H100" s="124" t="s">
        <v>152</v>
      </c>
      <c r="J100" s="2" t="s">
        <v>62</v>
      </c>
    </row>
    <row r="101" spans="2:12" ht="15.75" thickBot="1">
      <c r="B101" s="210" t="s">
        <v>21</v>
      </c>
      <c r="C101" s="107">
        <v>0</v>
      </c>
      <c r="D101" s="208">
        <v>2195.8488277157794</v>
      </c>
      <c r="F101" s="133" t="s">
        <v>21</v>
      </c>
      <c r="G101" s="107">
        <v>0</v>
      </c>
      <c r="H101" s="215">
        <f>G92</f>
        <v>72.974000000000004</v>
      </c>
      <c r="J101" s="11" t="s">
        <v>16</v>
      </c>
      <c r="K101" s="124" t="s">
        <v>151</v>
      </c>
      <c r="L101" s="124" t="s">
        <v>152</v>
      </c>
    </row>
    <row r="102" spans="2:12" ht="15.75" thickBot="1">
      <c r="B102" s="211" t="s">
        <v>22</v>
      </c>
      <c r="C102" s="200">
        <v>1065.5077627102787</v>
      </c>
      <c r="D102" s="208">
        <v>0</v>
      </c>
      <c r="F102" s="134" t="s">
        <v>22</v>
      </c>
      <c r="G102" s="107">
        <v>103.58199999999999</v>
      </c>
      <c r="H102" s="212">
        <v>0</v>
      </c>
      <c r="J102" s="12" t="s">
        <v>68</v>
      </c>
      <c r="K102" s="107">
        <f>'DEF Inputs'!M44/1000</f>
        <v>503.12400000000002</v>
      </c>
      <c r="L102" s="208">
        <f>'DEF Inputs'!L44/1000</f>
        <v>537.12300000000005</v>
      </c>
    </row>
    <row r="103" spans="2:12" ht="15.75" thickBot="1">
      <c r="B103" s="211" t="s">
        <v>79</v>
      </c>
      <c r="C103" s="107">
        <v>187.827</v>
      </c>
      <c r="D103" s="208">
        <v>354.27300000000002</v>
      </c>
      <c r="F103" s="134"/>
      <c r="G103" s="107"/>
      <c r="H103" s="212"/>
      <c r="J103" s="13" t="s">
        <v>69</v>
      </c>
      <c r="K103" s="107">
        <f>'DEF Inputs'!M45/1000</f>
        <v>702.43200000000002</v>
      </c>
      <c r="L103" s="208">
        <f>'DEF Inputs'!L45/1000</f>
        <v>684.14700000000005</v>
      </c>
    </row>
    <row r="104" spans="2:12" ht="15.75" thickBot="1">
      <c r="B104" s="211" t="s">
        <v>78</v>
      </c>
      <c r="C104" s="200">
        <v>181.08099999999999</v>
      </c>
      <c r="D104" s="208">
        <v>76.38</v>
      </c>
      <c r="F104" s="134"/>
      <c r="G104" s="107"/>
      <c r="H104" s="212"/>
      <c r="J104" s="13" t="s">
        <v>70</v>
      </c>
      <c r="K104" s="107">
        <f>'DEF Inputs'!M46/1000</f>
        <v>174.06800000000001</v>
      </c>
      <c r="L104" s="208">
        <f>'DEF Inputs'!L46/1000</f>
        <v>160.32499999999999</v>
      </c>
    </row>
    <row r="105" spans="2:12" ht="15.75" thickBot="1">
      <c r="B105" s="135" t="s">
        <v>19</v>
      </c>
      <c r="C105" s="117">
        <v>1434.4157627102786</v>
      </c>
      <c r="D105" s="209">
        <v>2626.5018277157797</v>
      </c>
      <c r="F105" s="135" t="s">
        <v>19</v>
      </c>
      <c r="G105" s="117">
        <v>103.58199999999999</v>
      </c>
      <c r="H105" s="217">
        <f>SUM(H101:H104)</f>
        <v>72.974000000000004</v>
      </c>
      <c r="J105" s="13" t="s">
        <v>71</v>
      </c>
      <c r="K105" s="107">
        <f>'DEF Inputs'!M47/1000</f>
        <v>374.10399999999998</v>
      </c>
      <c r="L105" s="208">
        <f>'DEF Inputs'!L47/1000</f>
        <v>333.58300000000003</v>
      </c>
    </row>
    <row r="106" spans="2:12">
      <c r="J106" s="16" t="s">
        <v>19</v>
      </c>
      <c r="K106" s="216">
        <f>SUM(K102:K105)</f>
        <v>1753.7280000000001</v>
      </c>
      <c r="L106" s="209">
        <f>SUM(L102:L105)</f>
        <v>1715.1780000000001</v>
      </c>
    </row>
    <row r="128" spans="3:5">
      <c r="C128" s="2" t="s">
        <v>3</v>
      </c>
      <c r="D128" s="2" t="s">
        <v>60</v>
      </c>
      <c r="E128" s="2" t="s">
        <v>19</v>
      </c>
    </row>
    <row r="129" spans="2:8">
      <c r="B129" s="2" t="s">
        <v>6</v>
      </c>
      <c r="C129" s="28">
        <v>4998.0811944557736</v>
      </c>
      <c r="D129" s="28">
        <v>3227.1855058227416</v>
      </c>
      <c r="E129" s="28">
        <v>8225.2667002785147</v>
      </c>
    </row>
    <row r="130" spans="2:8">
      <c r="B130" s="2" t="s">
        <v>8</v>
      </c>
      <c r="C130" s="28">
        <v>1434.4157627102786</v>
      </c>
      <c r="D130" s="28">
        <v>1857.31</v>
      </c>
      <c r="E130" s="28">
        <v>3291.7257627102786</v>
      </c>
    </row>
    <row r="131" spans="2:8">
      <c r="B131" s="2" t="s">
        <v>10</v>
      </c>
      <c r="C131" s="213">
        <v>0.28699328940502894</v>
      </c>
      <c r="D131" s="213">
        <v>0.57552006125736976</v>
      </c>
      <c r="E131" s="213">
        <v>0.40019684256545968</v>
      </c>
    </row>
    <row r="132" spans="2:8">
      <c r="B132" s="2" t="s">
        <v>11</v>
      </c>
      <c r="C132" s="28">
        <v>5651.7587097394262</v>
      </c>
      <c r="D132" s="28">
        <v>3024.9349250076557</v>
      </c>
      <c r="E132" s="28">
        <v>8676.6936347470819</v>
      </c>
    </row>
    <row r="133" spans="2:8">
      <c r="B133" s="2" t="s">
        <v>13</v>
      </c>
      <c r="C133" s="28">
        <v>2626.5018277157797</v>
      </c>
      <c r="D133" s="28">
        <v>1446.26</v>
      </c>
      <c r="E133" s="28">
        <v>4072.7618277157799</v>
      </c>
    </row>
    <row r="134" spans="2:8">
      <c r="B134" s="2" t="s">
        <v>15</v>
      </c>
      <c r="C134" s="213">
        <v>0.46472292300618656</v>
      </c>
      <c r="D134" s="213">
        <v>0.47811276468909153</v>
      </c>
      <c r="E134" s="213">
        <v>0.46939099144930191</v>
      </c>
    </row>
    <row r="137" spans="2:8">
      <c r="C137" s="2" t="s">
        <v>6</v>
      </c>
      <c r="D137" s="2" t="s">
        <v>8</v>
      </c>
      <c r="E137" s="2" t="s">
        <v>10</v>
      </c>
      <c r="F137" s="2" t="s">
        <v>11</v>
      </c>
      <c r="G137" s="2" t="s">
        <v>13</v>
      </c>
      <c r="H137" s="2" t="s">
        <v>15</v>
      </c>
    </row>
    <row r="138" spans="2:8">
      <c r="B138" s="2" t="s">
        <v>3</v>
      </c>
      <c r="C138" s="28">
        <v>4998.0811944557736</v>
      </c>
      <c r="D138" s="28">
        <v>1434.4157627102786</v>
      </c>
      <c r="E138" s="213">
        <v>0.28699328940502894</v>
      </c>
      <c r="F138" s="28">
        <v>5651.7587097394262</v>
      </c>
      <c r="G138" s="28">
        <v>2626.5018277157797</v>
      </c>
      <c r="H138" s="213">
        <v>0.46472292300618656</v>
      </c>
    </row>
    <row r="139" spans="2:8">
      <c r="B139" s="2" t="s">
        <v>60</v>
      </c>
      <c r="C139" s="28">
        <v>3227.1855058227416</v>
      </c>
      <c r="D139" s="28">
        <v>1857.31</v>
      </c>
      <c r="E139" s="213">
        <v>0.57552006125736976</v>
      </c>
      <c r="F139" s="28">
        <v>3024.9349250076557</v>
      </c>
      <c r="G139" s="28">
        <v>1446.26</v>
      </c>
      <c r="H139" s="213">
        <v>0.47811276468909153</v>
      </c>
    </row>
    <row r="140" spans="2:8">
      <c r="B140" s="2" t="s">
        <v>19</v>
      </c>
      <c r="C140" s="28">
        <v>8225.2667002785147</v>
      </c>
      <c r="D140" s="28">
        <v>3291.7257627102786</v>
      </c>
      <c r="E140" s="213">
        <v>0.40019684256545968</v>
      </c>
      <c r="F140" s="28">
        <v>8676.6936347470819</v>
      </c>
      <c r="G140" s="28">
        <v>4072.7618277157799</v>
      </c>
      <c r="H140" s="213">
        <v>0.46939099144930191</v>
      </c>
    </row>
  </sheetData>
  <pageMargins left="0.7" right="0.7" top="0.75" bottom="0.75" header="0.3" footer="0.3"/>
  <pageSetup paperSize="17" scale="5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A1:W93"/>
  <sheetViews>
    <sheetView topLeftCell="A28" workbookViewId="0">
      <selection activeCell="M44" sqref="M44:M47"/>
    </sheetView>
  </sheetViews>
  <sheetFormatPr defaultColWidth="8.85546875" defaultRowHeight="15"/>
  <cols>
    <col min="1" max="1" width="17.85546875" style="108" customWidth="1"/>
    <col min="2" max="2" width="22.28515625" style="108" customWidth="1"/>
    <col min="3" max="5" width="21.7109375" style="108" customWidth="1"/>
    <col min="6" max="6" width="24.42578125" style="108" customWidth="1"/>
    <col min="7" max="7" width="18.7109375" style="108" customWidth="1"/>
    <col min="8" max="8" width="21.7109375" style="108" customWidth="1"/>
    <col min="9" max="9" width="17.7109375" style="108" customWidth="1"/>
    <col min="10" max="10" width="13.28515625" style="108" customWidth="1"/>
    <col min="11" max="11" width="10.85546875" style="108" customWidth="1"/>
    <col min="12" max="16384" width="8.85546875" style="108"/>
  </cols>
  <sheetData>
    <row r="1" spans="1:12">
      <c r="A1" s="222" t="s">
        <v>114</v>
      </c>
      <c r="B1" s="222"/>
      <c r="C1" s="222"/>
      <c r="D1" s="222"/>
      <c r="E1" s="222"/>
      <c r="F1" s="222"/>
      <c r="G1" s="222"/>
      <c r="H1" s="222"/>
    </row>
    <row r="2" spans="1:12">
      <c r="A2" s="18"/>
      <c r="B2" s="19" t="s">
        <v>23</v>
      </c>
      <c r="C2" s="23" t="s">
        <v>24</v>
      </c>
      <c r="D2" s="17" t="s">
        <v>25</v>
      </c>
      <c r="E2" s="17" t="s">
        <v>59</v>
      </c>
      <c r="F2" s="17" t="s">
        <v>26</v>
      </c>
      <c r="G2" s="17" t="s">
        <v>27</v>
      </c>
      <c r="H2" s="22" t="s">
        <v>28</v>
      </c>
    </row>
    <row r="3" spans="1:12">
      <c r="A3" s="19" t="s">
        <v>29</v>
      </c>
      <c r="B3" s="21">
        <v>2581.4627052282735</v>
      </c>
      <c r="C3" s="21">
        <v>143.18807517413211</v>
      </c>
      <c r="D3" s="20">
        <v>2502</v>
      </c>
      <c r="E3" s="20">
        <f>SUM(C3:D3)</f>
        <v>2645.1880751741319</v>
      </c>
      <c r="F3" s="20">
        <v>5510.2811903061802</v>
      </c>
      <c r="G3" s="20">
        <v>9192.9500613612763</v>
      </c>
      <c r="H3" s="26">
        <v>0.56899999999999995</v>
      </c>
    </row>
    <row r="4" spans="1:12">
      <c r="A4" s="19" t="s">
        <v>30</v>
      </c>
      <c r="B4" s="21">
        <v>3295.4755983747541</v>
      </c>
      <c r="C4" s="21">
        <v>86.146183673045698</v>
      </c>
      <c r="D4" s="20">
        <v>2352</v>
      </c>
      <c r="E4" s="20">
        <f>SUM(C4:D4)</f>
        <v>2438.1461836730459</v>
      </c>
      <c r="F4" s="20">
        <v>6023.9335616030412</v>
      </c>
      <c r="G4" s="20">
        <v>9537.0625129158871</v>
      </c>
      <c r="H4" s="26">
        <v>0.60099999999999998</v>
      </c>
    </row>
    <row r="6" spans="1:12">
      <c r="A6" s="221" t="s">
        <v>56</v>
      </c>
      <c r="B6" s="221"/>
      <c r="C6" s="221"/>
      <c r="D6" s="221"/>
      <c r="E6" s="221"/>
      <c r="F6" s="221"/>
      <c r="G6" s="221"/>
      <c r="H6" s="221"/>
      <c r="I6" s="221"/>
      <c r="J6" s="221"/>
    </row>
    <row r="7" spans="1:12">
      <c r="A7" s="18"/>
      <c r="B7" s="19" t="s">
        <v>23</v>
      </c>
      <c r="C7" s="23" t="s">
        <v>24</v>
      </c>
      <c r="D7" s="17" t="s">
        <v>25</v>
      </c>
      <c r="E7" s="17" t="s">
        <v>59</v>
      </c>
      <c r="F7" s="17" t="s">
        <v>26</v>
      </c>
      <c r="G7" s="17" t="s">
        <v>100</v>
      </c>
      <c r="H7" s="17" t="s">
        <v>101</v>
      </c>
      <c r="I7" s="17" t="s">
        <v>27</v>
      </c>
      <c r="J7" s="22" t="s">
        <v>28</v>
      </c>
      <c r="K7"/>
      <c r="L7"/>
    </row>
    <row r="8" spans="1:12">
      <c r="A8" s="19" t="s">
        <v>29</v>
      </c>
      <c r="B8" s="21">
        <v>734</v>
      </c>
      <c r="C8" s="21">
        <v>252</v>
      </c>
      <c r="D8" s="20">
        <v>20</v>
      </c>
      <c r="E8" s="20">
        <f>SUM(C8:D8)</f>
        <v>272</v>
      </c>
      <c r="F8" s="20">
        <f>SUM(B8:D8)</f>
        <v>1006</v>
      </c>
      <c r="G8" s="20">
        <v>4698</v>
      </c>
      <c r="H8" s="20">
        <v>2307</v>
      </c>
      <c r="I8" s="20">
        <v>7005</v>
      </c>
      <c r="J8" s="26">
        <f>F8/I8</f>
        <v>0.14361170592433975</v>
      </c>
      <c r="K8"/>
      <c r="L8"/>
    </row>
    <row r="9" spans="1:12">
      <c r="A9" s="19" t="s">
        <v>30</v>
      </c>
      <c r="B9" s="21">
        <v>856</v>
      </c>
      <c r="C9" s="21">
        <v>86</v>
      </c>
      <c r="D9" s="20">
        <v>6</v>
      </c>
      <c r="E9" s="20">
        <f>SUM(C9:D9)</f>
        <v>92</v>
      </c>
      <c r="F9" s="20">
        <f>SUM(B9:D9)</f>
        <v>948</v>
      </c>
      <c r="G9" s="20">
        <v>5175</v>
      </c>
      <c r="H9" s="20">
        <v>1599</v>
      </c>
      <c r="I9" s="20">
        <v>6773</v>
      </c>
      <c r="J9" s="26">
        <f>F9/I9</f>
        <v>0.13996751808652</v>
      </c>
      <c r="K9"/>
      <c r="L9"/>
    </row>
    <row r="10" spans="1:12">
      <c r="A10" s="222" t="s">
        <v>57</v>
      </c>
      <c r="B10" s="222"/>
      <c r="C10" s="222"/>
      <c r="D10" s="222"/>
      <c r="E10" s="222"/>
      <c r="F10" s="222"/>
      <c r="G10" s="222"/>
      <c r="H10" s="222"/>
      <c r="I10" s="222"/>
      <c r="J10" s="222"/>
      <c r="K10"/>
      <c r="L10"/>
    </row>
    <row r="11" spans="1:12">
      <c r="A11" s="18"/>
      <c r="B11" s="19" t="s">
        <v>23</v>
      </c>
      <c r="C11" s="23" t="s">
        <v>24</v>
      </c>
      <c r="D11" s="17" t="s">
        <v>25</v>
      </c>
      <c r="E11" s="17" t="s">
        <v>59</v>
      </c>
      <c r="F11" s="17" t="s">
        <v>26</v>
      </c>
      <c r="G11" s="17" t="s">
        <v>100</v>
      </c>
      <c r="H11" s="17" t="s">
        <v>101</v>
      </c>
      <c r="I11" s="17" t="s">
        <v>27</v>
      </c>
      <c r="J11" s="22" t="s">
        <v>28</v>
      </c>
      <c r="K11"/>
      <c r="L11"/>
    </row>
    <row r="12" spans="1:12">
      <c r="A12" s="19" t="s">
        <v>29</v>
      </c>
      <c r="B12" s="21">
        <v>735</v>
      </c>
      <c r="C12" s="21">
        <v>250</v>
      </c>
      <c r="D12" s="20">
        <v>20</v>
      </c>
      <c r="E12" s="20">
        <f>SUM(C12:D12)</f>
        <v>270</v>
      </c>
      <c r="F12" s="20">
        <f>SUM(B12:D12)</f>
        <v>1005</v>
      </c>
      <c r="G12" s="20">
        <v>4713</v>
      </c>
      <c r="H12" s="20">
        <v>2277</v>
      </c>
      <c r="I12" s="20">
        <v>6990</v>
      </c>
      <c r="J12" s="26">
        <f>F12/I12</f>
        <v>0.14377682403433475</v>
      </c>
      <c r="K12"/>
      <c r="L12"/>
    </row>
    <row r="13" spans="1:12">
      <c r="A13" s="19" t="s">
        <v>30</v>
      </c>
      <c r="B13" s="21">
        <v>868</v>
      </c>
      <c r="C13" s="21">
        <v>83</v>
      </c>
      <c r="D13" s="20">
        <v>6</v>
      </c>
      <c r="E13" s="20">
        <f>SUM(C13:D13)</f>
        <v>89</v>
      </c>
      <c r="F13" s="20">
        <f>SUM(B13:D13)</f>
        <v>957</v>
      </c>
      <c r="G13" s="20">
        <v>5262</v>
      </c>
      <c r="H13" s="20">
        <v>1546</v>
      </c>
      <c r="I13" s="20">
        <v>6809</v>
      </c>
      <c r="J13" s="26">
        <f>F13/I13</f>
        <v>0.14054927302100162</v>
      </c>
      <c r="K13"/>
      <c r="L13"/>
    </row>
    <row r="14" spans="1:12">
      <c r="A14" s="109"/>
      <c r="B14" s="24"/>
      <c r="C14" s="24"/>
      <c r="D14" s="27"/>
      <c r="E14" s="27"/>
      <c r="F14" s="27"/>
      <c r="G14" s="27"/>
      <c r="H14" s="25"/>
    </row>
    <row r="15" spans="1:12">
      <c r="A15" s="234" t="s">
        <v>73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6"/>
    </row>
    <row r="16" spans="1:12">
      <c r="A16" s="137"/>
      <c r="B16" s="237" t="s">
        <v>74</v>
      </c>
      <c r="C16" s="237"/>
      <c r="D16" s="220" t="s">
        <v>75</v>
      </c>
      <c r="E16" s="220"/>
      <c r="F16" s="220" t="s">
        <v>76</v>
      </c>
      <c r="G16" s="220"/>
      <c r="H16" s="238" t="s">
        <v>77</v>
      </c>
      <c r="I16" s="238"/>
      <c r="J16" s="238"/>
      <c r="K16" s="239"/>
    </row>
    <row r="17" spans="1:11">
      <c r="A17" s="137" t="s">
        <v>82</v>
      </c>
      <c r="B17" s="174" t="s">
        <v>17</v>
      </c>
      <c r="C17" s="174">
        <v>1452979</v>
      </c>
      <c r="D17" s="27" t="s">
        <v>64</v>
      </c>
      <c r="E17" s="27">
        <v>33176</v>
      </c>
      <c r="F17" s="27" t="s">
        <v>68</v>
      </c>
      <c r="G17" s="27">
        <v>492510.74973799998</v>
      </c>
      <c r="H17" s="25" t="s">
        <v>83</v>
      </c>
      <c r="I17" s="140" t="s">
        <v>31</v>
      </c>
      <c r="J17" s="170" t="s">
        <v>84</v>
      </c>
      <c r="K17" s="141">
        <v>222274</v>
      </c>
    </row>
    <row r="18" spans="1:11">
      <c r="A18" s="137"/>
      <c r="B18" s="174" t="s">
        <v>18</v>
      </c>
      <c r="C18" s="174">
        <v>424913</v>
      </c>
      <c r="D18" s="27" t="s">
        <v>65</v>
      </c>
      <c r="E18" s="27">
        <v>15473</v>
      </c>
      <c r="F18" s="27" t="s">
        <v>69</v>
      </c>
      <c r="G18" s="27">
        <v>627323.73910100001</v>
      </c>
      <c r="H18" s="25" t="s">
        <v>85</v>
      </c>
      <c r="I18" s="170" t="s">
        <v>31</v>
      </c>
      <c r="J18" s="170" t="s">
        <v>86</v>
      </c>
      <c r="K18" s="141">
        <v>115215</v>
      </c>
    </row>
    <row r="19" spans="1:11">
      <c r="A19" s="137"/>
      <c r="B19" s="174" t="s">
        <v>72</v>
      </c>
      <c r="C19" s="174">
        <v>269782</v>
      </c>
      <c r="D19" s="27" t="s">
        <v>66</v>
      </c>
      <c r="E19" s="27">
        <v>12912</v>
      </c>
      <c r="F19" s="27" t="s">
        <v>70</v>
      </c>
      <c r="G19" s="27">
        <v>147008.4</v>
      </c>
      <c r="H19" s="25" t="s">
        <v>87</v>
      </c>
      <c r="I19" s="170" t="s">
        <v>31</v>
      </c>
      <c r="J19" s="170" t="s">
        <v>88</v>
      </c>
      <c r="K19" s="141">
        <v>44367</v>
      </c>
    </row>
    <row r="20" spans="1:11">
      <c r="A20" s="137"/>
      <c r="B20" s="174" t="s">
        <v>19</v>
      </c>
      <c r="C20" s="174">
        <v>2147674</v>
      </c>
      <c r="D20" s="27" t="s">
        <v>80</v>
      </c>
      <c r="E20" s="27">
        <v>7911</v>
      </c>
      <c r="F20" s="27" t="s">
        <v>81</v>
      </c>
      <c r="G20" s="27">
        <v>305876.2</v>
      </c>
      <c r="H20" s="25" t="s">
        <v>89</v>
      </c>
      <c r="I20" s="140">
        <v>128049</v>
      </c>
      <c r="J20" s="170" t="s">
        <v>90</v>
      </c>
      <c r="K20" s="141">
        <v>381856</v>
      </c>
    </row>
    <row r="21" spans="1:11">
      <c r="A21" s="137"/>
      <c r="B21" s="174"/>
      <c r="C21" s="174"/>
      <c r="D21" s="27" t="s">
        <v>19</v>
      </c>
      <c r="E21" s="27">
        <v>69471</v>
      </c>
      <c r="F21" s="27" t="s">
        <v>19</v>
      </c>
      <c r="G21" s="27">
        <v>1572719.0888389999</v>
      </c>
      <c r="H21" s="25"/>
      <c r="I21" s="173"/>
      <c r="J21" s="173"/>
      <c r="K21" s="139"/>
    </row>
    <row r="22" spans="1:11">
      <c r="A22" s="137"/>
      <c r="B22" s="24"/>
      <c r="C22" s="24"/>
      <c r="D22" s="27"/>
      <c r="E22" s="27"/>
      <c r="F22" s="27"/>
      <c r="G22" s="27"/>
      <c r="H22" s="25"/>
      <c r="I22" s="138"/>
      <c r="J22" s="138"/>
      <c r="K22" s="139"/>
    </row>
    <row r="23" spans="1:11">
      <c r="A23" s="234" t="s">
        <v>102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6"/>
    </row>
    <row r="24" spans="1:11" s="131" customFormat="1">
      <c r="A24" s="142"/>
      <c r="B24" s="237" t="s">
        <v>91</v>
      </c>
      <c r="C24" s="237"/>
      <c r="D24" s="220" t="s">
        <v>92</v>
      </c>
      <c r="E24" s="220"/>
      <c r="F24" s="220" t="s">
        <v>76</v>
      </c>
      <c r="G24" s="220"/>
      <c r="H24" s="238" t="s">
        <v>77</v>
      </c>
      <c r="I24" s="238"/>
      <c r="J24" s="238"/>
      <c r="K24" s="239"/>
    </row>
    <row r="25" spans="1:11">
      <c r="A25" s="137" t="s">
        <v>82</v>
      </c>
      <c r="B25" s="174" t="s">
        <v>17</v>
      </c>
      <c r="C25" s="174">
        <v>1410266</v>
      </c>
      <c r="D25" s="27" t="s">
        <v>64</v>
      </c>
      <c r="E25" s="27">
        <v>83177</v>
      </c>
      <c r="F25" s="27" t="s">
        <v>68</v>
      </c>
      <c r="G25" s="27">
        <v>613870.26138200006</v>
      </c>
      <c r="H25" s="25" t="s">
        <v>83</v>
      </c>
      <c r="I25" s="140" t="s">
        <v>31</v>
      </c>
      <c r="J25" s="170" t="s">
        <v>84</v>
      </c>
      <c r="K25" s="141">
        <v>135188</v>
      </c>
    </row>
    <row r="26" spans="1:11">
      <c r="A26" s="137"/>
      <c r="B26" s="174" t="s">
        <v>18</v>
      </c>
      <c r="C26" s="174">
        <v>342967</v>
      </c>
      <c r="D26" s="27" t="s">
        <v>65</v>
      </c>
      <c r="E26" s="27">
        <v>22811</v>
      </c>
      <c r="F26" s="27" t="s">
        <v>69</v>
      </c>
      <c r="G26" s="27">
        <v>857048.91550399992</v>
      </c>
      <c r="H26" s="25" t="s">
        <v>85</v>
      </c>
      <c r="I26" s="170" t="s">
        <v>31</v>
      </c>
      <c r="J26" s="170" t="s">
        <v>86</v>
      </c>
      <c r="K26" s="141">
        <v>70074</v>
      </c>
    </row>
    <row r="27" spans="1:11">
      <c r="A27" s="137"/>
      <c r="B27" s="174" t="s">
        <v>72</v>
      </c>
      <c r="C27" s="174">
        <v>254687</v>
      </c>
      <c r="D27" s="27" t="s">
        <v>66</v>
      </c>
      <c r="E27" s="27">
        <v>13982</v>
      </c>
      <c r="F27" s="27" t="s">
        <v>70</v>
      </c>
      <c r="G27" s="27">
        <v>212382.80499999999</v>
      </c>
      <c r="H27" s="25" t="s">
        <v>87</v>
      </c>
      <c r="I27" s="170" t="s">
        <v>31</v>
      </c>
      <c r="J27" s="170" t="s">
        <v>88</v>
      </c>
      <c r="K27" s="141">
        <v>26984</v>
      </c>
    </row>
    <row r="28" spans="1:11">
      <c r="A28" s="137"/>
      <c r="B28" s="174" t="s">
        <v>19</v>
      </c>
      <c r="C28" s="174">
        <v>2007919</v>
      </c>
      <c r="D28" s="27" t="s">
        <v>80</v>
      </c>
      <c r="E28" s="27">
        <v>15228</v>
      </c>
      <c r="F28" s="27" t="s">
        <v>81</v>
      </c>
      <c r="G28" s="27">
        <v>456450.83080000005</v>
      </c>
      <c r="H28" s="25" t="s">
        <v>89</v>
      </c>
      <c r="I28" s="140">
        <v>197257</v>
      </c>
      <c r="J28" s="170" t="s">
        <v>90</v>
      </c>
      <c r="K28" s="141">
        <v>232246</v>
      </c>
    </row>
    <row r="29" spans="1:11">
      <c r="A29" s="137"/>
      <c r="B29" s="174"/>
      <c r="C29" s="174"/>
      <c r="D29" s="27" t="s">
        <v>19</v>
      </c>
      <c r="E29" s="27">
        <v>135198</v>
      </c>
      <c r="F29" s="27" t="s">
        <v>19</v>
      </c>
      <c r="G29" s="27">
        <v>2139752.812686</v>
      </c>
      <c r="H29" s="25"/>
      <c r="I29" s="173"/>
      <c r="J29" s="173"/>
      <c r="K29" s="139"/>
    </row>
    <row r="30" spans="1:11">
      <c r="A30" s="137"/>
      <c r="B30" s="24"/>
      <c r="C30" s="24"/>
      <c r="D30" s="27"/>
      <c r="E30" s="27"/>
      <c r="F30" s="27"/>
      <c r="G30" s="27"/>
      <c r="H30" s="25"/>
      <c r="I30" s="138"/>
      <c r="J30" s="138"/>
      <c r="K30" s="139"/>
    </row>
    <row r="31" spans="1:11">
      <c r="A31" s="234" t="s">
        <v>137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6"/>
    </row>
    <row r="32" spans="1:11" s="151" customFormat="1" ht="24.75">
      <c r="A32" s="145"/>
      <c r="B32" s="146" t="s">
        <v>93</v>
      </c>
      <c r="C32" s="146" t="s">
        <v>94</v>
      </c>
      <c r="D32" s="147" t="s">
        <v>95</v>
      </c>
      <c r="E32" s="147" t="s">
        <v>113</v>
      </c>
      <c r="F32" s="147" t="s">
        <v>24</v>
      </c>
      <c r="G32" s="147" t="s">
        <v>96</v>
      </c>
      <c r="H32" s="148" t="s">
        <v>25</v>
      </c>
      <c r="I32" s="149" t="s">
        <v>26</v>
      </c>
      <c r="J32" s="149" t="s">
        <v>27</v>
      </c>
      <c r="K32" s="150" t="s">
        <v>28</v>
      </c>
    </row>
    <row r="33" spans="1:13">
      <c r="A33" s="137" t="s">
        <v>29</v>
      </c>
      <c r="B33" s="176">
        <v>42604</v>
      </c>
      <c r="C33" s="175">
        <v>17</v>
      </c>
      <c r="D33" s="177">
        <v>2437.4217342439701</v>
      </c>
      <c r="E33" s="177">
        <v>4677.866</v>
      </c>
      <c r="F33" s="177">
        <v>135.19843839197625</v>
      </c>
      <c r="G33" s="177">
        <v>322.29500000000002</v>
      </c>
      <c r="H33" s="177">
        <v>2139.7528126860002</v>
      </c>
      <c r="I33" s="177">
        <v>4712.3729853219465</v>
      </c>
      <c r="J33" s="177">
        <v>8680</v>
      </c>
      <c r="K33" s="178">
        <v>0.54290011351635326</v>
      </c>
    </row>
    <row r="34" spans="1:13">
      <c r="A34" s="143" t="s">
        <v>30</v>
      </c>
      <c r="B34" s="176">
        <v>42394</v>
      </c>
      <c r="C34" s="175">
        <v>8</v>
      </c>
      <c r="D34" s="177">
        <v>2657.5796051221469</v>
      </c>
      <c r="E34" s="177">
        <v>4773.67</v>
      </c>
      <c r="F34" s="177">
        <v>69.471107873321941</v>
      </c>
      <c r="G34" s="177">
        <v>228.46</v>
      </c>
      <c r="H34" s="177">
        <v>1572.7190888389998</v>
      </c>
      <c r="I34" s="177">
        <v>4299.769801834469</v>
      </c>
      <c r="J34" s="177">
        <v>7691</v>
      </c>
      <c r="K34" s="178">
        <v>0.55906511530808334</v>
      </c>
    </row>
    <row r="35" spans="1:13" s="202" customFormat="1">
      <c r="A35" s="143"/>
      <c r="B35" s="203"/>
      <c r="C35" s="204"/>
      <c r="D35" s="205"/>
      <c r="E35" s="205"/>
      <c r="F35" s="205"/>
      <c r="G35" s="205"/>
      <c r="H35" s="205"/>
      <c r="I35" s="205"/>
      <c r="J35" s="205"/>
      <c r="K35" s="206"/>
    </row>
    <row r="36" spans="1:13">
      <c r="A36" s="234" t="s">
        <v>138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6"/>
      <c r="L36" s="202"/>
      <c r="M36" s="202"/>
    </row>
    <row r="37" spans="1:13" ht="36.75">
      <c r="A37" s="145"/>
      <c r="B37" s="146" t="s">
        <v>93</v>
      </c>
      <c r="C37" s="146" t="s">
        <v>94</v>
      </c>
      <c r="D37" s="147" t="s">
        <v>139</v>
      </c>
      <c r="E37" s="147" t="s">
        <v>140</v>
      </c>
      <c r="F37" s="147" t="s">
        <v>142</v>
      </c>
      <c r="G37" s="147" t="s">
        <v>141</v>
      </c>
      <c r="H37" s="148" t="s">
        <v>25</v>
      </c>
      <c r="I37" s="149"/>
      <c r="J37" s="149"/>
      <c r="K37" s="150"/>
      <c r="L37" s="151"/>
      <c r="M37" s="151"/>
    </row>
    <row r="38" spans="1:13">
      <c r="A38" s="137" t="s">
        <v>29</v>
      </c>
      <c r="B38" s="176">
        <v>42604</v>
      </c>
      <c r="C38" s="201">
        <v>17</v>
      </c>
      <c r="D38" s="177">
        <f>(C28+760094)/1000</f>
        <v>2768.0129999999999</v>
      </c>
      <c r="E38" s="177">
        <f>(K28+86995)/1000</f>
        <v>319.24099999999999</v>
      </c>
      <c r="F38" s="177">
        <f>(I28+73977)/1000</f>
        <v>271.23399999999998</v>
      </c>
      <c r="G38" s="177">
        <f>F33+0</f>
        <v>135.19843839197625</v>
      </c>
      <c r="H38" s="177">
        <f>H33+601</f>
        <v>2740.7528126860002</v>
      </c>
      <c r="I38" s="177"/>
      <c r="J38" s="177"/>
      <c r="K38" s="178"/>
      <c r="L38" s="202"/>
      <c r="M38" s="202"/>
    </row>
    <row r="39" spans="1:13">
      <c r="A39" s="143" t="s">
        <v>30</v>
      </c>
      <c r="B39" s="176">
        <v>42394</v>
      </c>
      <c r="C39" s="201">
        <v>8</v>
      </c>
      <c r="D39" s="177">
        <f>(C20+811235)/1000</f>
        <v>2958.9090000000001</v>
      </c>
      <c r="E39" s="177">
        <f>(K20+143036)/1000</f>
        <v>524.89200000000005</v>
      </c>
      <c r="F39" s="177">
        <f>(I20+48022)/1000</f>
        <v>176.071</v>
      </c>
      <c r="G39" s="177">
        <f>F34+0</f>
        <v>69.471107873321941</v>
      </c>
      <c r="H39" s="177">
        <f>H34+648</f>
        <v>2220.7190888389996</v>
      </c>
      <c r="I39" s="177"/>
      <c r="J39" s="177"/>
      <c r="K39" s="178"/>
      <c r="L39" s="202"/>
      <c r="M39" s="202"/>
    </row>
    <row r="40" spans="1:13">
      <c r="A40" s="109"/>
      <c r="B40" s="24"/>
      <c r="C40" s="24"/>
      <c r="D40" s="27"/>
      <c r="E40" s="27"/>
      <c r="F40" s="27"/>
      <c r="G40" s="27"/>
      <c r="H40" s="25"/>
    </row>
    <row r="41" spans="1:13">
      <c r="A41" s="240" t="s">
        <v>136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180"/>
      <c r="M41" s="180"/>
    </row>
    <row r="42" spans="1:13" s="179" customFormat="1">
      <c r="A42" s="250" t="s">
        <v>128</v>
      </c>
      <c r="B42" s="250"/>
      <c r="C42" s="250"/>
      <c r="D42" s="250"/>
      <c r="E42" s="250"/>
      <c r="F42" s="250"/>
      <c r="G42" s="251"/>
      <c r="H42" s="250" t="s">
        <v>129</v>
      </c>
      <c r="I42" s="250"/>
      <c r="J42" s="250"/>
      <c r="K42" s="250" t="s">
        <v>130</v>
      </c>
      <c r="L42" s="250"/>
      <c r="M42" s="250"/>
    </row>
    <row r="43" spans="1:13" s="179" customFormat="1">
      <c r="A43" s="192" t="s">
        <v>117</v>
      </c>
      <c r="B43" s="181" t="s">
        <v>122</v>
      </c>
      <c r="C43" s="181" t="s">
        <v>123</v>
      </c>
      <c r="D43" s="181" t="s">
        <v>124</v>
      </c>
      <c r="E43" s="181" t="s">
        <v>125</v>
      </c>
      <c r="F43" s="183" t="s">
        <v>126</v>
      </c>
      <c r="G43" s="183" t="s">
        <v>127</v>
      </c>
      <c r="H43" s="182" t="s">
        <v>16</v>
      </c>
      <c r="I43" s="183" t="s">
        <v>118</v>
      </c>
      <c r="J43" s="184" t="s">
        <v>119</v>
      </c>
      <c r="K43" s="182" t="s">
        <v>16</v>
      </c>
      <c r="L43" s="183" t="s">
        <v>120</v>
      </c>
      <c r="M43" s="184" t="s">
        <v>121</v>
      </c>
    </row>
    <row r="44" spans="1:13">
      <c r="A44" s="193" t="s">
        <v>17</v>
      </c>
      <c r="B44" s="186">
        <v>1485571.0202658193</v>
      </c>
      <c r="C44" s="186">
        <v>748361.54537087353</v>
      </c>
      <c r="D44" s="186">
        <v>181081</v>
      </c>
      <c r="E44" s="186">
        <v>109332</v>
      </c>
      <c r="F44" s="186">
        <v>76380</v>
      </c>
      <c r="G44" s="186">
        <v>206218</v>
      </c>
      <c r="H44" s="195" t="s">
        <v>64</v>
      </c>
      <c r="I44" s="188">
        <v>34849</v>
      </c>
      <c r="J44" s="198">
        <v>63726</v>
      </c>
      <c r="K44" s="195" t="s">
        <v>68</v>
      </c>
      <c r="L44" s="188">
        <v>537123</v>
      </c>
      <c r="M44" s="189">
        <v>503124</v>
      </c>
    </row>
    <row r="45" spans="1:13">
      <c r="A45" s="194" t="s">
        <v>131</v>
      </c>
      <c r="B45" s="188">
        <v>434444.26086098643</v>
      </c>
      <c r="C45" s="188">
        <v>181996.10764005163</v>
      </c>
      <c r="D45" s="188"/>
      <c r="E45" s="188">
        <v>56672</v>
      </c>
      <c r="F45" s="188"/>
      <c r="G45" s="188">
        <v>106893</v>
      </c>
      <c r="H45" s="195" t="s">
        <v>65</v>
      </c>
      <c r="I45" s="188">
        <v>16253</v>
      </c>
      <c r="J45" s="198">
        <v>17477</v>
      </c>
      <c r="K45" s="195" t="s">
        <v>69</v>
      </c>
      <c r="L45" s="188">
        <v>684147</v>
      </c>
      <c r="M45" s="189">
        <v>702432</v>
      </c>
    </row>
    <row r="46" spans="1:13">
      <c r="A46" s="195" t="s">
        <v>72</v>
      </c>
      <c r="B46" s="185">
        <v>275833.54658897361</v>
      </c>
      <c r="C46" s="185">
        <v>135150.1096993534</v>
      </c>
      <c r="D46" s="186"/>
      <c r="E46" s="186">
        <v>21823</v>
      </c>
      <c r="F46" s="186"/>
      <c r="G46" s="186">
        <v>41162</v>
      </c>
      <c r="H46" s="195" t="s">
        <v>66</v>
      </c>
      <c r="I46" s="188">
        <v>13563</v>
      </c>
      <c r="J46" s="189">
        <v>10712</v>
      </c>
      <c r="K46" s="195" t="s">
        <v>70</v>
      </c>
      <c r="L46" s="188">
        <v>160325</v>
      </c>
      <c r="M46" s="189">
        <v>174068</v>
      </c>
    </row>
    <row r="47" spans="1:13">
      <c r="A47" s="196"/>
      <c r="B47" s="197"/>
      <c r="C47" s="197"/>
      <c r="D47" s="187"/>
      <c r="E47" s="187"/>
      <c r="F47" s="187"/>
      <c r="G47" s="187"/>
      <c r="H47" s="199" t="s">
        <v>80</v>
      </c>
      <c r="I47" s="190">
        <v>8309</v>
      </c>
      <c r="J47" s="191">
        <v>11667</v>
      </c>
      <c r="K47" s="199" t="s">
        <v>81</v>
      </c>
      <c r="L47" s="190">
        <v>333583</v>
      </c>
      <c r="M47" s="191">
        <v>374104</v>
      </c>
    </row>
    <row r="48" spans="1:13">
      <c r="A48" s="162" t="s">
        <v>110</v>
      </c>
      <c r="B48" s="24"/>
      <c r="C48" s="24"/>
      <c r="D48" s="27"/>
      <c r="E48" s="27"/>
      <c r="F48" s="27"/>
      <c r="G48" s="27"/>
      <c r="H48" s="25"/>
    </row>
    <row r="49" spans="1:10">
      <c r="A49" s="109" t="s">
        <v>97</v>
      </c>
      <c r="B49" s="136">
        <f>(11219-10593)/(10593)</f>
        <v>5.9095629189087132E-2</v>
      </c>
      <c r="C49" s="24"/>
      <c r="D49" s="227" t="s">
        <v>109</v>
      </c>
      <c r="E49" s="228"/>
      <c r="F49" s="228"/>
      <c r="G49" s="228"/>
      <c r="H49" s="228"/>
      <c r="I49" s="229"/>
    </row>
    <row r="50" spans="1:10">
      <c r="A50" s="109" t="s">
        <v>98</v>
      </c>
      <c r="B50" s="169">
        <f>(12001-9678)/(9678)</f>
        <v>0.24002893159743749</v>
      </c>
      <c r="C50" s="24"/>
      <c r="D50" s="230" t="s">
        <v>111</v>
      </c>
      <c r="E50" s="230"/>
      <c r="F50" s="161" t="s">
        <v>108</v>
      </c>
      <c r="G50" s="161" t="s">
        <v>107</v>
      </c>
      <c r="H50" s="161" t="s">
        <v>104</v>
      </c>
      <c r="I50" s="161" t="s">
        <v>103</v>
      </c>
      <c r="J50" s="25"/>
    </row>
    <row r="51" spans="1:10">
      <c r="A51" s="109"/>
      <c r="B51" s="24"/>
      <c r="C51" s="24"/>
      <c r="D51" s="110" t="s">
        <v>17</v>
      </c>
      <c r="E51" s="171">
        <v>924706</v>
      </c>
      <c r="F51" s="155">
        <v>3.5429344999999999</v>
      </c>
      <c r="G51" s="156">
        <v>3.6505904</v>
      </c>
      <c r="H51" s="157">
        <f>E51*F51</f>
        <v>3276172.7897569998</v>
      </c>
      <c r="I51" s="111">
        <f>E51*G51</f>
        <v>3375722.8464223999</v>
      </c>
      <c r="J51" s="25"/>
    </row>
    <row r="52" spans="1:10">
      <c r="A52" s="109"/>
      <c r="B52" s="24"/>
      <c r="C52" s="24"/>
      <c r="D52" s="112" t="s">
        <v>18</v>
      </c>
      <c r="E52" s="172">
        <v>431225</v>
      </c>
      <c r="F52" s="158">
        <v>1.7932068999999999</v>
      </c>
      <c r="G52" s="128">
        <v>1.9915296</v>
      </c>
      <c r="H52" s="127">
        <f t="shared" ref="H52:H53" si="0">E52*F52</f>
        <v>773275.64545249997</v>
      </c>
      <c r="I52" s="113">
        <f t="shared" ref="I52:I53" si="1">E52*G52</f>
        <v>858797.35175999999</v>
      </c>
      <c r="J52" s="25"/>
    </row>
    <row r="53" spans="1:10">
      <c r="A53" s="109"/>
      <c r="B53" s="24"/>
      <c r="C53" s="24"/>
      <c r="D53" s="112" t="s">
        <v>72</v>
      </c>
      <c r="E53" s="172">
        <v>168898</v>
      </c>
      <c r="F53" s="158">
        <v>3.0095983999999998</v>
      </c>
      <c r="G53" s="168">
        <v>2.8696435999999999</v>
      </c>
      <c r="H53" s="127">
        <f t="shared" si="0"/>
        <v>508315.15056319995</v>
      </c>
      <c r="I53" s="113">
        <f t="shared" si="1"/>
        <v>484677.06475279998</v>
      </c>
      <c r="J53" s="25"/>
    </row>
    <row r="54" spans="1:10">
      <c r="A54" s="109"/>
      <c r="B54" s="24"/>
      <c r="C54" s="24"/>
      <c r="D54" s="112" t="s">
        <v>19</v>
      </c>
      <c r="E54" s="172">
        <v>1524829</v>
      </c>
      <c r="F54" s="159"/>
      <c r="G54" s="127"/>
      <c r="H54" s="127">
        <f>SUM(H51:H53)</f>
        <v>4557763.5857726997</v>
      </c>
      <c r="I54" s="113">
        <f>SUM(I51:I53)</f>
        <v>4719197.2629352007</v>
      </c>
      <c r="J54" s="25"/>
    </row>
    <row r="55" spans="1:10">
      <c r="A55" s="109"/>
      <c r="B55" s="24"/>
      <c r="C55" s="24"/>
      <c r="D55" s="114"/>
      <c r="E55" s="115"/>
      <c r="F55" s="158"/>
      <c r="G55" s="164"/>
      <c r="H55" s="153"/>
      <c r="I55" s="154"/>
      <c r="J55" s="25"/>
    </row>
    <row r="56" spans="1:10">
      <c r="A56" s="110" t="s">
        <v>68</v>
      </c>
      <c r="B56" s="171">
        <f>43114+43114*0.0423</f>
        <v>44937.722199999997</v>
      </c>
      <c r="C56" s="24"/>
      <c r="D56" s="110" t="s">
        <v>64</v>
      </c>
      <c r="E56" s="165">
        <v>124529</v>
      </c>
      <c r="F56" s="158">
        <v>0.81445044</v>
      </c>
      <c r="G56" s="164">
        <v>1.1598459000000001</v>
      </c>
      <c r="H56" s="27">
        <f>E56*F56</f>
        <v>101422.69884276</v>
      </c>
      <c r="I56" s="152">
        <f>E56*G56</f>
        <v>144434.45008110002</v>
      </c>
      <c r="J56" s="25"/>
    </row>
    <row r="57" spans="1:10">
      <c r="A57" s="112" t="s">
        <v>69</v>
      </c>
      <c r="B57" s="172">
        <f>10479+10479*0.0423</f>
        <v>10922.261699999999</v>
      </c>
      <c r="C57" s="24"/>
      <c r="D57" s="112" t="s">
        <v>65</v>
      </c>
      <c r="E57" s="166">
        <v>14816</v>
      </c>
      <c r="F57" s="158">
        <v>3.0885935</v>
      </c>
      <c r="G57" s="164">
        <v>4.0386943000000004</v>
      </c>
      <c r="H57" s="27">
        <f t="shared" ref="H57:H59" si="2">E57*F57</f>
        <v>45760.601296000001</v>
      </c>
      <c r="I57" s="152">
        <f t="shared" ref="I57:I59" si="3">E57*G57</f>
        <v>59837.294748800006</v>
      </c>
      <c r="J57" s="25"/>
    </row>
    <row r="58" spans="1:10">
      <c r="A58" s="112" t="s">
        <v>70</v>
      </c>
      <c r="B58" s="172">
        <f>1024+1024*0.0423</f>
        <v>1067.3152</v>
      </c>
      <c r="C58" s="24"/>
      <c r="D58" s="112" t="s">
        <v>66</v>
      </c>
      <c r="E58" s="166">
        <v>7474</v>
      </c>
      <c r="F58" s="158">
        <v>5.4036701999999996</v>
      </c>
      <c r="G58" s="164">
        <v>7.1010293000000004</v>
      </c>
      <c r="H58" s="27">
        <f t="shared" si="2"/>
        <v>40387.031074799997</v>
      </c>
      <c r="I58" s="152">
        <f t="shared" si="3"/>
        <v>53073.092988200005</v>
      </c>
      <c r="J58" s="25"/>
    </row>
    <row r="59" spans="1:10">
      <c r="A59" s="112" t="s">
        <v>81</v>
      </c>
      <c r="B59" s="172">
        <f>1113+1113*0.0423</f>
        <v>1160.0799</v>
      </c>
      <c r="C59" s="24"/>
      <c r="D59" s="112" t="s">
        <v>80</v>
      </c>
      <c r="E59" s="166">
        <v>3032</v>
      </c>
      <c r="F59" s="158">
        <v>10.176352</v>
      </c>
      <c r="G59" s="164">
        <v>15.935005</v>
      </c>
      <c r="H59" s="27">
        <f t="shared" si="2"/>
        <v>30854.699263999999</v>
      </c>
      <c r="I59" s="152">
        <f t="shared" si="3"/>
        <v>48314.935160000001</v>
      </c>
      <c r="J59" s="25"/>
    </row>
    <row r="60" spans="1:10">
      <c r="A60" s="114" t="s">
        <v>19</v>
      </c>
      <c r="B60" s="163">
        <f>SUM(B56:B59)</f>
        <v>58087.378999999986</v>
      </c>
      <c r="C60" s="24"/>
      <c r="D60" s="114" t="s">
        <v>19</v>
      </c>
      <c r="E60" s="163">
        <v>149851</v>
      </c>
      <c r="F60" s="159"/>
      <c r="G60" s="167"/>
      <c r="H60" s="27">
        <f>SUM(H56:H59)</f>
        <v>218425.03047756001</v>
      </c>
      <c r="I60" s="152">
        <f>SUM(I56:I59)</f>
        <v>305659.77297810005</v>
      </c>
      <c r="J60" s="25"/>
    </row>
    <row r="61" spans="1:10">
      <c r="A61" s="109"/>
      <c r="B61" s="24"/>
      <c r="C61" s="24"/>
      <c r="D61" s="110" t="s">
        <v>68</v>
      </c>
      <c r="E61" s="165">
        <f>43114+43114*0.0423</f>
        <v>44937.722199999997</v>
      </c>
      <c r="F61" s="130">
        <v>11.417953000000001</v>
      </c>
      <c r="G61" s="130">
        <v>14.232526999999999</v>
      </c>
      <c r="H61" s="27">
        <f>E61*F61</f>
        <v>513096.80000665662</v>
      </c>
      <c r="I61" s="152">
        <f>E61*G61</f>
        <v>639577.3445299993</v>
      </c>
    </row>
    <row r="62" spans="1:10">
      <c r="A62" s="109"/>
      <c r="B62" s="24"/>
      <c r="C62" s="24"/>
      <c r="D62" s="112" t="s">
        <v>69</v>
      </c>
      <c r="E62" s="166">
        <f>10479+10479*0.0423</f>
        <v>10922.261699999999</v>
      </c>
      <c r="F62" s="130">
        <v>60.753943999999997</v>
      </c>
      <c r="G62" s="130">
        <v>82.751692000000006</v>
      </c>
      <c r="H62" s="27">
        <f t="shared" ref="H62:H64" si="4">E62*F62</f>
        <v>663570.4756751447</v>
      </c>
      <c r="I62" s="152">
        <f t="shared" ref="I62:I64" si="5">E62*G62</f>
        <v>903835.63614179636</v>
      </c>
    </row>
    <row r="63" spans="1:10">
      <c r="A63" s="109"/>
      <c r="B63" s="24"/>
      <c r="C63" s="24"/>
      <c r="D63" s="112" t="s">
        <v>70</v>
      </c>
      <c r="E63" s="166">
        <f>1024+1024*0.0423</f>
        <v>1067.3152</v>
      </c>
      <c r="F63" s="130">
        <v>237.70201</v>
      </c>
      <c r="G63" s="130">
        <v>309.66561999999999</v>
      </c>
      <c r="H63" s="27">
        <f t="shared" si="4"/>
        <v>253702.968343552</v>
      </c>
      <c r="I63" s="152">
        <f t="shared" si="5"/>
        <v>330510.823143424</v>
      </c>
    </row>
    <row r="64" spans="1:10">
      <c r="A64" s="109"/>
      <c r="B64" s="24"/>
      <c r="C64" s="24"/>
      <c r="D64" s="112" t="s">
        <v>81</v>
      </c>
      <c r="E64" s="166">
        <f>1113+1113*0.0423</f>
        <v>1160.0799</v>
      </c>
      <c r="F64" s="130">
        <v>681.51466000000005</v>
      </c>
      <c r="G64" s="130">
        <v>747.81985999999995</v>
      </c>
      <c r="H64" s="27">
        <f t="shared" si="4"/>
        <v>790611.45862133405</v>
      </c>
      <c r="I64" s="152">
        <f t="shared" si="5"/>
        <v>867530.78840681387</v>
      </c>
    </row>
    <row r="65" spans="1:23">
      <c r="A65" s="109"/>
      <c r="B65" s="24"/>
      <c r="C65" s="24"/>
      <c r="D65" s="114" t="s">
        <v>19</v>
      </c>
      <c r="E65" s="163">
        <f>SUM(E61:E64)</f>
        <v>58087.378999999986</v>
      </c>
      <c r="F65" s="160"/>
      <c r="G65" s="144"/>
      <c r="H65" s="144">
        <f>SUM(H61:H64)</f>
        <v>2220981.7026466876</v>
      </c>
      <c r="I65" s="129">
        <f>SUM(I61:I64)</f>
        <v>2741454.5922220335</v>
      </c>
    </row>
    <row r="66" spans="1:23">
      <c r="A66" s="109"/>
      <c r="B66" s="24"/>
      <c r="C66" s="24"/>
      <c r="D66" s="27"/>
      <c r="E66" s="27"/>
      <c r="F66" s="27"/>
      <c r="G66" s="27"/>
      <c r="H66" s="25"/>
    </row>
    <row r="67" spans="1:23">
      <c r="A67" s="109"/>
      <c r="B67" s="24"/>
      <c r="C67" s="24"/>
      <c r="D67" s="27"/>
      <c r="E67" s="27"/>
      <c r="F67" s="27"/>
      <c r="G67" s="27"/>
      <c r="H67" s="25"/>
    </row>
    <row r="68" spans="1:23" ht="15.75" thickBot="1">
      <c r="A68" s="109"/>
      <c r="B68" s="24"/>
      <c r="C68" s="24"/>
      <c r="D68" s="27"/>
      <c r="E68" s="27"/>
      <c r="F68" s="27"/>
      <c r="G68" s="27"/>
      <c r="H68" s="25"/>
    </row>
    <row r="69" spans="1:23" ht="15.75" thickBot="1">
      <c r="A69" s="109"/>
      <c r="B69" s="24"/>
      <c r="C69" s="24"/>
      <c r="D69" s="27"/>
      <c r="E69" s="27"/>
      <c r="F69" s="27"/>
      <c r="G69" s="27"/>
      <c r="H69" s="25"/>
      <c r="N69" s="224" t="s">
        <v>33</v>
      </c>
      <c r="O69" s="225"/>
      <c r="P69" s="225"/>
      <c r="Q69" s="225"/>
      <c r="R69" s="225"/>
      <c r="S69" s="225"/>
      <c r="T69" s="225"/>
      <c r="U69" s="225"/>
      <c r="V69" s="225"/>
      <c r="W69" s="226"/>
    </row>
    <row r="70" spans="1:23">
      <c r="A70" s="109"/>
      <c r="B70" s="24"/>
      <c r="C70" s="24"/>
      <c r="D70" s="27"/>
      <c r="E70" s="27"/>
      <c r="F70" s="27"/>
      <c r="G70" s="27"/>
      <c r="H70" s="25"/>
      <c r="N70" s="244" t="s">
        <v>36</v>
      </c>
      <c r="O70" s="248"/>
      <c r="P70" s="248"/>
      <c r="Q70" s="248"/>
      <c r="R70" s="249"/>
      <c r="S70" s="244" t="s">
        <v>37</v>
      </c>
      <c r="T70" s="248"/>
      <c r="U70" s="248"/>
      <c r="V70" s="248"/>
      <c r="W70" s="249"/>
    </row>
    <row r="71" spans="1:23">
      <c r="A71" s="109"/>
      <c r="B71" s="24"/>
      <c r="C71" s="24"/>
      <c r="D71" s="27"/>
      <c r="E71" s="27"/>
      <c r="F71" s="27"/>
      <c r="G71" s="27"/>
      <c r="H71" s="25"/>
      <c r="N71" s="29" t="s">
        <v>38</v>
      </c>
      <c r="O71" s="223" t="s">
        <v>39</v>
      </c>
      <c r="P71" s="223"/>
      <c r="Q71" s="223" t="s">
        <v>40</v>
      </c>
      <c r="R71" s="241"/>
      <c r="S71" s="29" t="s">
        <v>38</v>
      </c>
      <c r="T71" s="223" t="s">
        <v>39</v>
      </c>
      <c r="U71" s="223"/>
      <c r="V71" s="223" t="s">
        <v>40</v>
      </c>
      <c r="W71" s="241"/>
    </row>
    <row r="72" spans="1:23" ht="15.75" thickBot="1">
      <c r="A72" s="109"/>
      <c r="B72" s="24"/>
      <c r="C72" s="24"/>
      <c r="D72" s="27"/>
      <c r="E72" s="27"/>
      <c r="F72" s="27"/>
      <c r="G72" s="27"/>
      <c r="H72" s="25"/>
      <c r="N72" s="30" t="s">
        <v>41</v>
      </c>
      <c r="O72" s="100" t="s">
        <v>41</v>
      </c>
      <c r="P72" s="100" t="s">
        <v>42</v>
      </c>
      <c r="Q72" s="100" t="s">
        <v>41</v>
      </c>
      <c r="R72" s="31" t="s">
        <v>42</v>
      </c>
      <c r="S72" s="30" t="s">
        <v>41</v>
      </c>
      <c r="T72" s="100" t="s">
        <v>41</v>
      </c>
      <c r="U72" s="100" t="s">
        <v>42</v>
      </c>
      <c r="V72" s="100" t="s">
        <v>41</v>
      </c>
      <c r="W72" s="31" t="s">
        <v>42</v>
      </c>
    </row>
    <row r="73" spans="1:23" ht="15.75" thickBot="1">
      <c r="A73" s="231" t="s">
        <v>32</v>
      </c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3"/>
      <c r="N73" s="40"/>
      <c r="O73" s="101">
        <v>98.972980829495683</v>
      </c>
      <c r="P73" s="34">
        <v>2.1000000000000001E-2</v>
      </c>
      <c r="Q73" s="101">
        <v>174.38096622339714</v>
      </c>
      <c r="R73" s="41">
        <v>3.6999999999999998E-2</v>
      </c>
      <c r="S73" s="33"/>
      <c r="T73" s="42">
        <v>105.24585796656143</v>
      </c>
      <c r="U73" s="43">
        <v>0.02</v>
      </c>
      <c r="V73" s="42">
        <v>189.44254433981058</v>
      </c>
      <c r="W73" s="44">
        <v>3.5999999999999997E-2</v>
      </c>
    </row>
    <row r="74" spans="1:23">
      <c r="A74" s="244" t="s">
        <v>34</v>
      </c>
      <c r="B74" s="246" t="s">
        <v>35</v>
      </c>
      <c r="C74" s="244" t="s">
        <v>36</v>
      </c>
      <c r="D74" s="248"/>
      <c r="E74" s="248"/>
      <c r="F74" s="248"/>
      <c r="G74" s="248"/>
      <c r="H74" s="249"/>
      <c r="I74" s="244" t="s">
        <v>37</v>
      </c>
      <c r="J74" s="248"/>
      <c r="K74" s="248"/>
      <c r="L74" s="248"/>
      <c r="M74" s="249"/>
      <c r="N74" s="46"/>
      <c r="O74" s="101">
        <v>155.52896987492178</v>
      </c>
      <c r="P74" s="34">
        <v>3.3000000000000002E-2</v>
      </c>
      <c r="Q74" s="101">
        <v>282.7799452271305</v>
      </c>
      <c r="R74" s="41">
        <v>0.06</v>
      </c>
      <c r="S74" s="45"/>
      <c r="T74" s="42">
        <v>173.65566564482637</v>
      </c>
      <c r="U74" s="43">
        <v>3.3000000000000002E-2</v>
      </c>
      <c r="V74" s="42">
        <v>310.47528100135622</v>
      </c>
      <c r="W74" s="44">
        <v>5.8999999999999997E-2</v>
      </c>
    </row>
    <row r="75" spans="1:23">
      <c r="A75" s="245"/>
      <c r="B75" s="247"/>
      <c r="C75" s="29" t="s">
        <v>38</v>
      </c>
      <c r="D75" s="223" t="s">
        <v>39</v>
      </c>
      <c r="E75" s="223"/>
      <c r="F75" s="223"/>
      <c r="G75" s="223" t="s">
        <v>40</v>
      </c>
      <c r="H75" s="241"/>
      <c r="I75" s="29" t="s">
        <v>38</v>
      </c>
      <c r="J75" s="223" t="s">
        <v>39</v>
      </c>
      <c r="K75" s="223"/>
      <c r="L75" s="223" t="s">
        <v>40</v>
      </c>
      <c r="M75" s="241"/>
      <c r="N75" s="46"/>
      <c r="O75" s="101">
        <v>282.7799452271305</v>
      </c>
      <c r="P75" s="34">
        <v>0.06</v>
      </c>
      <c r="Q75" s="101">
        <v>56.555989045426102</v>
      </c>
      <c r="R75" s="41">
        <v>1.2E-2</v>
      </c>
      <c r="S75" s="45"/>
      <c r="T75" s="42">
        <v>310.47528100135622</v>
      </c>
      <c r="U75" s="43">
        <v>5.8999999999999997E-2</v>
      </c>
      <c r="V75" s="42">
        <v>63.147514779936863</v>
      </c>
      <c r="W75" s="44">
        <v>1.2E-2</v>
      </c>
    </row>
    <row r="76" spans="1:23">
      <c r="A76" s="245"/>
      <c r="B76" s="247"/>
      <c r="C76" s="30" t="s">
        <v>41</v>
      </c>
      <c r="D76" s="100" t="s">
        <v>41</v>
      </c>
      <c r="E76" s="100"/>
      <c r="F76" s="100" t="s">
        <v>42</v>
      </c>
      <c r="G76" s="100" t="s">
        <v>41</v>
      </c>
      <c r="H76" s="31" t="s">
        <v>42</v>
      </c>
      <c r="I76" s="30" t="s">
        <v>41</v>
      </c>
      <c r="J76" s="100" t="s">
        <v>41</v>
      </c>
      <c r="K76" s="100" t="s">
        <v>42</v>
      </c>
      <c r="L76" s="100" t="s">
        <v>41</v>
      </c>
      <c r="M76" s="31" t="s">
        <v>42</v>
      </c>
      <c r="N76" s="46"/>
      <c r="O76" s="101">
        <v>65.981987219663793</v>
      </c>
      <c r="P76" s="34">
        <v>1.4E-2</v>
      </c>
      <c r="Q76" s="101">
        <v>14.138997261356526</v>
      </c>
      <c r="R76" s="41">
        <v>3.0000000000000001E-3</v>
      </c>
      <c r="S76" s="45"/>
      <c r="T76" s="42">
        <v>184.18025144148254</v>
      </c>
      <c r="U76" s="43">
        <v>3.5000000000000003E-2</v>
      </c>
      <c r="V76" s="42">
        <v>36.836050288296505</v>
      </c>
      <c r="W76" s="44">
        <v>7.0000000000000001E-3</v>
      </c>
    </row>
    <row r="77" spans="1:23" ht="24">
      <c r="A77" s="242" t="s">
        <v>3</v>
      </c>
      <c r="B77" s="32" t="s">
        <v>43</v>
      </c>
      <c r="C77" s="33"/>
      <c r="D77" s="101">
        <v>97</v>
      </c>
      <c r="E77" s="101"/>
      <c r="F77" s="34">
        <v>2.1000000000000001E-2</v>
      </c>
      <c r="G77" s="35">
        <v>175</v>
      </c>
      <c r="H77" s="36">
        <v>3.6999999999999998E-2</v>
      </c>
      <c r="I77" s="33"/>
      <c r="J77" s="37">
        <v>105</v>
      </c>
      <c r="K77" s="34">
        <v>0.02</v>
      </c>
      <c r="L77" s="38">
        <v>189</v>
      </c>
      <c r="M77" s="39">
        <v>3.5999999999999997E-2</v>
      </c>
      <c r="N77" s="46"/>
      <c r="O77" s="101">
        <v>51.842989958307257</v>
      </c>
      <c r="P77" s="34">
        <v>1.0999999999999999E-2</v>
      </c>
      <c r="Q77" s="101">
        <v>9.4259981742376837</v>
      </c>
      <c r="R77" s="41">
        <v>2E-3</v>
      </c>
      <c r="S77" s="45"/>
      <c r="T77" s="42">
        <v>10.524585796656144</v>
      </c>
      <c r="U77" s="43">
        <v>2E-3</v>
      </c>
      <c r="V77" s="42">
        <v>2.1049171593312286</v>
      </c>
      <c r="W77" s="44">
        <v>4.0000000000000002E-4</v>
      </c>
    </row>
    <row r="78" spans="1:23" ht="24">
      <c r="A78" s="242"/>
      <c r="B78" s="32" t="s">
        <v>44</v>
      </c>
      <c r="C78" s="45"/>
      <c r="D78" s="101">
        <v>157</v>
      </c>
      <c r="E78" s="101"/>
      <c r="F78" s="34">
        <v>3.3000000000000002E-2</v>
      </c>
      <c r="G78" s="35">
        <v>282</v>
      </c>
      <c r="H78" s="36">
        <v>0.06</v>
      </c>
      <c r="I78" s="45"/>
      <c r="J78" s="37">
        <v>169</v>
      </c>
      <c r="K78" s="34">
        <v>3.3000000000000002E-2</v>
      </c>
      <c r="L78" s="38">
        <v>304</v>
      </c>
      <c r="M78" s="39">
        <v>5.8999999999999997E-2</v>
      </c>
      <c r="N78" s="53"/>
      <c r="O78" s="101">
        <v>80.120984481020315</v>
      </c>
      <c r="P78" s="49">
        <v>1.7000000000000001E-2</v>
      </c>
      <c r="Q78" s="101">
        <v>14.138997261356526</v>
      </c>
      <c r="R78" s="54">
        <v>3.0000000000000001E-3</v>
      </c>
      <c r="S78" s="45"/>
      <c r="T78" s="42">
        <v>89.458979271577221</v>
      </c>
      <c r="U78" s="55">
        <v>1.7000000000000001E-2</v>
      </c>
      <c r="V78" s="42">
        <v>15.786878694984216</v>
      </c>
      <c r="W78" s="44">
        <v>3.0000000000000001E-3</v>
      </c>
    </row>
    <row r="79" spans="1:23" ht="24">
      <c r="A79" s="242"/>
      <c r="B79" s="32" t="s">
        <v>45</v>
      </c>
      <c r="C79" s="45"/>
      <c r="D79" s="101">
        <v>282</v>
      </c>
      <c r="E79" s="101"/>
      <c r="F79" s="34">
        <v>0.06</v>
      </c>
      <c r="G79" s="35">
        <v>56</v>
      </c>
      <c r="H79" s="101">
        <v>863.53277358231333</v>
      </c>
      <c r="I79" s="45"/>
      <c r="J79" s="37">
        <v>304</v>
      </c>
      <c r="K79" s="34">
        <v>5.8999999999999997E-2</v>
      </c>
      <c r="L79" s="38">
        <v>61</v>
      </c>
      <c r="M79" s="39">
        <v>1.2E-2</v>
      </c>
      <c r="N79" s="63">
        <v>4712.999087118842</v>
      </c>
      <c r="O79" s="64">
        <v>735.22785759053932</v>
      </c>
      <c r="P79" s="65">
        <v>0.156</v>
      </c>
      <c r="Q79" s="66">
        <v>556.13389228002336</v>
      </c>
      <c r="R79" s="67">
        <v>0.11799999999999999</v>
      </c>
      <c r="S79" s="63">
        <v>5262.2928983280717</v>
      </c>
      <c r="T79" s="64">
        <v>868.27832822413188</v>
      </c>
      <c r="U79" s="68">
        <v>0.16500000000000001</v>
      </c>
      <c r="V79" s="66">
        <v>620.95056200271245</v>
      </c>
      <c r="W79" s="69">
        <v>0.11799999999999999</v>
      </c>
    </row>
    <row r="80" spans="1:23" ht="36">
      <c r="A80" s="242"/>
      <c r="B80" s="32" t="s">
        <v>46</v>
      </c>
      <c r="C80" s="45"/>
      <c r="D80" s="101">
        <v>65</v>
      </c>
      <c r="E80" s="101"/>
      <c r="F80" s="34">
        <v>1.4E-2</v>
      </c>
      <c r="G80" s="35">
        <v>13</v>
      </c>
      <c r="H80" s="36">
        <v>3.0000000000000001E-3</v>
      </c>
      <c r="I80" s="45"/>
      <c r="J80" s="37">
        <v>180</v>
      </c>
      <c r="K80" s="34">
        <v>3.5000000000000003E-2</v>
      </c>
      <c r="L80" s="38">
        <v>36</v>
      </c>
      <c r="M80" s="39">
        <v>7.0000000000000001E-3</v>
      </c>
      <c r="N80" s="46"/>
      <c r="O80" s="75">
        <v>107.50531764654022</v>
      </c>
      <c r="P80" s="71">
        <v>6.2E-2</v>
      </c>
      <c r="Q80" s="75">
        <v>31.211221252221353</v>
      </c>
      <c r="R80" s="76">
        <v>1.7999999999999999E-2</v>
      </c>
      <c r="S80" s="45"/>
      <c r="T80" s="75">
        <v>52.88648565693957</v>
      </c>
      <c r="U80" s="77">
        <v>4.7E-2</v>
      </c>
      <c r="V80" s="75">
        <v>14.62817688383435</v>
      </c>
      <c r="W80" s="44">
        <v>1.2999999999999999E-2</v>
      </c>
    </row>
    <row r="81" spans="1:23" ht="36">
      <c r="A81" s="242"/>
      <c r="B81" s="32" t="s">
        <v>47</v>
      </c>
      <c r="C81" s="45"/>
      <c r="D81" s="101">
        <v>51</v>
      </c>
      <c r="E81" s="101"/>
      <c r="F81" s="34">
        <v>1.0999999999999999E-2</v>
      </c>
      <c r="G81" s="35">
        <v>10</v>
      </c>
      <c r="H81" s="36">
        <v>2E-3</v>
      </c>
      <c r="I81" s="45"/>
      <c r="J81" s="37">
        <v>10</v>
      </c>
      <c r="K81" s="34">
        <v>2E-3</v>
      </c>
      <c r="L81" s="38">
        <v>2</v>
      </c>
      <c r="M81" s="39">
        <v>0</v>
      </c>
      <c r="N81" s="46"/>
      <c r="O81" s="75">
        <v>142.18445237123061</v>
      </c>
      <c r="P81" s="34">
        <v>8.2000000000000003E-2</v>
      </c>
      <c r="Q81" s="75">
        <v>142.18445237123061</v>
      </c>
      <c r="R81" s="41">
        <v>8.2000000000000003E-2</v>
      </c>
      <c r="S81" s="45"/>
      <c r="T81" s="75">
        <v>30.381598143348263</v>
      </c>
      <c r="U81" s="43">
        <v>2.7E-2</v>
      </c>
      <c r="V81" s="75">
        <v>30.381598143348263</v>
      </c>
      <c r="W81" s="44">
        <v>2.7E-2</v>
      </c>
    </row>
    <row r="82" spans="1:23" ht="36">
      <c r="A82" s="242"/>
      <c r="B82" s="47" t="s">
        <v>48</v>
      </c>
      <c r="C82" s="48"/>
      <c r="D82" s="102">
        <v>82</v>
      </c>
      <c r="E82" s="102"/>
      <c r="F82" s="49">
        <v>1.7000000000000001E-2</v>
      </c>
      <c r="G82" s="50">
        <v>16</v>
      </c>
      <c r="H82" s="51">
        <v>3.0000000000000001E-3</v>
      </c>
      <c r="I82" s="45"/>
      <c r="J82" s="52">
        <v>89</v>
      </c>
      <c r="K82" s="49">
        <v>1.7000000000000001E-2</v>
      </c>
      <c r="L82" s="33">
        <v>18</v>
      </c>
      <c r="M82" s="39">
        <v>3.0000000000000001E-3</v>
      </c>
      <c r="N82" s="63">
        <v>1733.9567362345197</v>
      </c>
      <c r="O82" s="64">
        <v>249.68977001777083</v>
      </c>
      <c r="P82" s="65">
        <v>0.14399999999999999</v>
      </c>
      <c r="Q82" s="66">
        <v>171.66171688721747</v>
      </c>
      <c r="R82" s="67">
        <v>9.9000000000000005E-2</v>
      </c>
      <c r="S82" s="63">
        <v>1125.2443756795653</v>
      </c>
      <c r="T82" s="64">
        <v>83.268083800287826</v>
      </c>
      <c r="U82" s="68">
        <v>7.3999999999999996E-2</v>
      </c>
      <c r="V82" s="66">
        <v>45.009775027182613</v>
      </c>
      <c r="W82" s="69">
        <v>0.04</v>
      </c>
    </row>
    <row r="83" spans="1:23">
      <c r="A83" s="242"/>
      <c r="B83" s="56" t="s">
        <v>49</v>
      </c>
      <c r="C83" s="57">
        <v>4698</v>
      </c>
      <c r="D83" s="103">
        <v>734</v>
      </c>
      <c r="E83" s="103"/>
      <c r="F83" s="58">
        <v>0.156</v>
      </c>
      <c r="G83" s="57">
        <v>553</v>
      </c>
      <c r="H83" s="59">
        <v>0.11799999999999999</v>
      </c>
      <c r="I83" s="57">
        <v>5175</v>
      </c>
      <c r="J83" s="60">
        <v>856</v>
      </c>
      <c r="K83" s="58">
        <v>0.16500000000000001</v>
      </c>
      <c r="L83" s="61">
        <v>609</v>
      </c>
      <c r="M83" s="62">
        <v>0.11799999999999999</v>
      </c>
      <c r="N83" s="46"/>
      <c r="O83" s="75">
        <v>8.6845869543903103</v>
      </c>
      <c r="P83" s="34">
        <v>1.6E-2</v>
      </c>
      <c r="Q83" s="75">
        <v>2.7139334232469721</v>
      </c>
      <c r="R83" s="41">
        <v>5.0000000000000001E-3</v>
      </c>
      <c r="S83" s="45"/>
      <c r="T83" s="75">
        <v>4.2096994569586057</v>
      </c>
      <c r="U83" s="43">
        <v>0.01</v>
      </c>
      <c r="V83" s="75">
        <v>1.2629098370875815</v>
      </c>
      <c r="W83" s="44">
        <v>3.0000000000000001E-3</v>
      </c>
    </row>
    <row r="84" spans="1:23" ht="24">
      <c r="A84" s="243" t="s">
        <v>4</v>
      </c>
      <c r="B84" s="70" t="s">
        <v>50</v>
      </c>
      <c r="C84" s="45"/>
      <c r="D84" s="104">
        <v>109</v>
      </c>
      <c r="E84" s="104"/>
      <c r="F84" s="71">
        <v>6.2E-2</v>
      </c>
      <c r="G84" s="72">
        <v>31</v>
      </c>
      <c r="H84" s="73">
        <v>1.7999999999999999E-2</v>
      </c>
      <c r="I84" s="45"/>
      <c r="J84" s="74">
        <v>55</v>
      </c>
      <c r="K84" s="71">
        <v>4.7E-2</v>
      </c>
      <c r="L84" s="48">
        <v>16</v>
      </c>
      <c r="M84" s="39">
        <v>1.2999999999999999E-2</v>
      </c>
      <c r="N84" s="46"/>
      <c r="O84" s="75">
        <v>10.855733692987888</v>
      </c>
      <c r="P84" s="34">
        <v>0.02</v>
      </c>
      <c r="Q84" s="75">
        <v>10.855733692987888</v>
      </c>
      <c r="R84" s="41">
        <v>0.02</v>
      </c>
      <c r="S84" s="45"/>
      <c r="T84" s="75">
        <v>1.6838797827834422</v>
      </c>
      <c r="U84" s="43">
        <v>4.0000000000000001E-3</v>
      </c>
      <c r="V84" s="75">
        <v>1.6838797827834422</v>
      </c>
      <c r="W84" s="44">
        <v>4.0000000000000001E-3</v>
      </c>
    </row>
    <row r="85" spans="1:23">
      <c r="A85" s="218"/>
      <c r="B85" s="32" t="s">
        <v>51</v>
      </c>
      <c r="C85" s="45"/>
      <c r="D85" s="101">
        <v>144</v>
      </c>
      <c r="E85" s="101"/>
      <c r="F85" s="34">
        <v>8.2000000000000003E-2</v>
      </c>
      <c r="G85" s="35">
        <v>144</v>
      </c>
      <c r="H85" s="36">
        <v>8.2000000000000003E-2</v>
      </c>
      <c r="I85" s="45"/>
      <c r="J85" s="37">
        <v>31</v>
      </c>
      <c r="K85" s="34">
        <v>2.7E-2</v>
      </c>
      <c r="L85" s="38">
        <v>31</v>
      </c>
      <c r="M85" s="39">
        <v>2.7E-2</v>
      </c>
      <c r="N85" s="63">
        <v>542.78668464939437</v>
      </c>
      <c r="O85" s="64">
        <v>19.540320647378195</v>
      </c>
      <c r="P85" s="87">
        <v>3.5999999999999997E-2</v>
      </c>
      <c r="Q85" s="66">
        <v>13.026880431585464</v>
      </c>
      <c r="R85" s="88">
        <v>2.4E-2</v>
      </c>
      <c r="S85" s="63">
        <v>420.96994569586053</v>
      </c>
      <c r="T85" s="64">
        <v>5.8935792397420474</v>
      </c>
      <c r="U85" s="89">
        <v>1.4E-2</v>
      </c>
      <c r="V85" s="66">
        <v>2.9467896198710237</v>
      </c>
      <c r="W85" s="90">
        <v>7.0000000000000001E-3</v>
      </c>
    </row>
    <row r="86" spans="1:23" ht="15.75" thickBot="1">
      <c r="A86" s="219"/>
      <c r="B86" s="56" t="s">
        <v>52</v>
      </c>
      <c r="C86" s="57">
        <v>1757</v>
      </c>
      <c r="D86" s="103">
        <v>252</v>
      </c>
      <c r="E86" s="103"/>
      <c r="F86" s="58">
        <v>0.14399999999999999</v>
      </c>
      <c r="G86" s="57">
        <v>175</v>
      </c>
      <c r="H86" s="59">
        <v>9.9000000000000005E-2</v>
      </c>
      <c r="I86" s="57">
        <v>1166</v>
      </c>
      <c r="J86" s="60">
        <v>86</v>
      </c>
      <c r="K86" s="58">
        <v>7.3999999999999996E-2</v>
      </c>
      <c r="L86" s="61">
        <v>47</v>
      </c>
      <c r="M86" s="62">
        <v>0.04</v>
      </c>
      <c r="N86" s="97">
        <v>6989.742508002756</v>
      </c>
      <c r="O86" s="106">
        <v>1004.4579482556883</v>
      </c>
      <c r="P86" s="94">
        <v>0.14399999999999999</v>
      </c>
      <c r="Q86" s="106">
        <v>740.82248959882634</v>
      </c>
      <c r="R86" s="98">
        <v>0.106</v>
      </c>
      <c r="S86" s="97">
        <v>6808.5072197034979</v>
      </c>
      <c r="T86" s="106">
        <v>957.43999126416179</v>
      </c>
      <c r="U86" s="98">
        <v>0.14000000000000001</v>
      </c>
      <c r="V86" s="106">
        <v>668.90712664976604</v>
      </c>
      <c r="W86" s="99">
        <v>9.7000000000000003E-2</v>
      </c>
    </row>
    <row r="87" spans="1:23" ht="24">
      <c r="A87" s="218" t="s">
        <v>5</v>
      </c>
      <c r="B87" s="32" t="s">
        <v>53</v>
      </c>
      <c r="C87" s="45"/>
      <c r="D87" s="101">
        <v>9</v>
      </c>
      <c r="E87" s="101"/>
      <c r="F87" s="34">
        <v>1.6E-2</v>
      </c>
      <c r="G87" s="35">
        <v>3</v>
      </c>
      <c r="H87" s="36">
        <v>5.0000000000000001E-3</v>
      </c>
      <c r="I87" s="45"/>
      <c r="J87" s="37">
        <v>4</v>
      </c>
      <c r="K87" s="34">
        <v>0.01</v>
      </c>
      <c r="L87" s="38">
        <v>1</v>
      </c>
      <c r="M87" s="39">
        <v>3.0000000000000001E-3</v>
      </c>
    </row>
    <row r="88" spans="1:23">
      <c r="A88" s="218"/>
      <c r="B88" s="32" t="s">
        <v>51</v>
      </c>
      <c r="C88" s="45"/>
      <c r="D88" s="101">
        <v>11</v>
      </c>
      <c r="E88" s="101"/>
      <c r="F88" s="34">
        <v>0.02</v>
      </c>
      <c r="G88" s="78">
        <v>11</v>
      </c>
      <c r="H88" s="36">
        <v>0.02</v>
      </c>
      <c r="I88" s="45"/>
      <c r="J88" s="37">
        <v>2</v>
      </c>
      <c r="K88" s="34">
        <v>4.0000000000000001E-3</v>
      </c>
      <c r="L88" s="38">
        <v>2</v>
      </c>
      <c r="M88" s="39">
        <v>4.0000000000000001E-3</v>
      </c>
    </row>
    <row r="89" spans="1:23">
      <c r="A89" s="219"/>
      <c r="B89" s="79" t="s">
        <v>54</v>
      </c>
      <c r="C89" s="80">
        <v>550</v>
      </c>
      <c r="D89" s="105">
        <v>20</v>
      </c>
      <c r="E89" s="105"/>
      <c r="F89" s="81">
        <v>3.5999999999999997E-2</v>
      </c>
      <c r="G89" s="82">
        <v>13</v>
      </c>
      <c r="H89" s="83">
        <v>2.4E-2</v>
      </c>
      <c r="I89" s="80">
        <v>433</v>
      </c>
      <c r="J89" s="84">
        <v>6</v>
      </c>
      <c r="K89" s="81">
        <v>1.4E-2</v>
      </c>
      <c r="L89" s="85">
        <v>3</v>
      </c>
      <c r="M89" s="86">
        <v>7.0000000000000001E-3</v>
      </c>
    </row>
    <row r="90" spans="1:23" ht="15.75" thickBot="1">
      <c r="A90" s="91" t="s">
        <v>55</v>
      </c>
      <c r="B90" s="92"/>
      <c r="C90" s="93">
        <v>7005</v>
      </c>
      <c r="D90" s="106">
        <v>1006</v>
      </c>
      <c r="E90" s="106"/>
      <c r="F90" s="94">
        <v>0.14399999999999999</v>
      </c>
      <c r="G90" s="95">
        <v>741</v>
      </c>
      <c r="H90" s="94">
        <v>0.106</v>
      </c>
      <c r="I90" s="93">
        <v>6773</v>
      </c>
      <c r="J90" s="92">
        <v>948</v>
      </c>
      <c r="K90" s="94">
        <v>0.14000000000000001</v>
      </c>
      <c r="L90" s="92">
        <v>659</v>
      </c>
      <c r="M90" s="96">
        <v>9.7000000000000003E-2</v>
      </c>
    </row>
    <row r="93" spans="1:23">
      <c r="A93" s="108" t="s">
        <v>112</v>
      </c>
    </row>
  </sheetData>
  <mergeCells count="40">
    <mergeCell ref="A42:G42"/>
    <mergeCell ref="H42:J42"/>
    <mergeCell ref="K42:M42"/>
    <mergeCell ref="A1:H1"/>
    <mergeCell ref="A15:K15"/>
    <mergeCell ref="B16:C16"/>
    <mergeCell ref="D16:E16"/>
    <mergeCell ref="F16:G16"/>
    <mergeCell ref="H16:K16"/>
    <mergeCell ref="A36:K36"/>
    <mergeCell ref="N70:R70"/>
    <mergeCell ref="S70:W70"/>
    <mergeCell ref="D75:F75"/>
    <mergeCell ref="G75:H75"/>
    <mergeCell ref="J75:K75"/>
    <mergeCell ref="L75:M75"/>
    <mergeCell ref="T71:U71"/>
    <mergeCell ref="V71:W71"/>
    <mergeCell ref="I74:M74"/>
    <mergeCell ref="A77:A83"/>
    <mergeCell ref="A84:A86"/>
    <mergeCell ref="A74:A76"/>
    <mergeCell ref="B74:B76"/>
    <mergeCell ref="C74:H74"/>
    <mergeCell ref="A87:A89"/>
    <mergeCell ref="D24:E24"/>
    <mergeCell ref="A6:J6"/>
    <mergeCell ref="A10:J10"/>
    <mergeCell ref="O71:P71"/>
    <mergeCell ref="N69:W69"/>
    <mergeCell ref="D49:I49"/>
    <mergeCell ref="D50:E50"/>
    <mergeCell ref="A73:M73"/>
    <mergeCell ref="A23:K23"/>
    <mergeCell ref="B24:C24"/>
    <mergeCell ref="F24:G24"/>
    <mergeCell ref="H24:K24"/>
    <mergeCell ref="A31:K31"/>
    <mergeCell ref="A41:K41"/>
    <mergeCell ref="Q71:R71"/>
  </mergeCells>
  <pageMargins left="0.7" right="0.7" top="0.75" bottom="0.75" header="0.3" footer="0.3"/>
  <pageSetup paperSize="17" scale="63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A1:A7"/>
  <sheetViews>
    <sheetView showGridLines="0" zoomScale="80" zoomScaleNormal="80" workbookViewId="0">
      <selection activeCell="G31" sqref="G31"/>
    </sheetView>
  </sheetViews>
  <sheetFormatPr defaultRowHeight="15"/>
  <sheetData>
    <row r="1" spans="1:1">
      <c r="A1" s="207" t="s">
        <v>143</v>
      </c>
    </row>
    <row r="2" spans="1:1">
      <c r="A2" t="s">
        <v>146</v>
      </c>
    </row>
    <row r="3" spans="1:1" s="202" customFormat="1">
      <c r="A3" s="202" t="s">
        <v>145</v>
      </c>
    </row>
    <row r="4" spans="1:1">
      <c r="A4" t="s">
        <v>144</v>
      </c>
    </row>
    <row r="5" spans="1:1">
      <c r="A5" t="s">
        <v>147</v>
      </c>
    </row>
    <row r="6" spans="1:1">
      <c r="A6" t="s">
        <v>148</v>
      </c>
    </row>
    <row r="7" spans="1:1">
      <c r="A7" t="s">
        <v>149</v>
      </c>
    </row>
  </sheetData>
  <pageMargins left="0.7" right="0.7" top="0.75" bottom="0.75" header="0.3" footer="0.3"/>
  <pageSetup paperSize="1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671F7517D69E4A89F110ED39055774" ma:contentTypeVersion="1" ma:contentTypeDescription="Create a new document." ma:contentTypeScope="" ma:versionID="d0e8074ae2ee894a8dcf60a8ae621136">
  <xsd:schema xmlns:xsd="http://www.w3.org/2001/XMLSchema" xmlns:xs="http://www.w3.org/2001/XMLSchema" xmlns:p="http://schemas.microsoft.com/office/2006/metadata/properties" xmlns:ns2="f792618e-d348-406a-95bf-9db844544cd3" targetNamespace="http://schemas.microsoft.com/office/2006/metadata/properties" ma:root="true" ma:fieldsID="ed843c090c0af5e8fb6c4402d21ae8b0" ns2:_="">
    <xsd:import namespace="f792618e-d348-406a-95bf-9db844544cd3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92618e-d348-406a-95bf-9db844544c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94E794-1175-4F75-90BC-3341A07C16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92618e-d348-406a-95bf-9db844544c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FF63B0-647B-4719-BAD5-32F7FDF4F1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3584E8-D2B8-4694-9F80-AE20A642043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DEF Dashboard</vt:lpstr>
      <vt:lpstr>DEF Inputs</vt:lpstr>
      <vt:lpstr>NOTES</vt:lpstr>
      <vt:lpstr>adjust</vt:lpstr>
      <vt:lpstr>diff</vt:lpstr>
      <vt:lpstr>diff_season</vt:lpstr>
      <vt:lpstr>diff_utility</vt:lpstr>
      <vt:lpstr>enduse</vt:lpstr>
      <vt:lpstr>season</vt:lpstr>
      <vt:lpstr>utility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Bieler</dc:creator>
  <cp:lastModifiedBy>West, Monique</cp:lastModifiedBy>
  <cp:lastPrinted>2019-05-17T12:33:41Z</cp:lastPrinted>
  <dcterms:created xsi:type="dcterms:W3CDTF">2018-11-30T18:35:50Z</dcterms:created>
  <dcterms:modified xsi:type="dcterms:W3CDTF">2019-05-17T12:42:11Z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0x0101009C671F7517D69E4A89F110ED39055774</vt:lpwstr>
  </property>
</Properties>
</file>