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<sst xmlns="http://schemas.openxmlformats.org/spreadsheetml/2006/main" count="1258" uniqueCount="468">
  <si>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</si>
  <si>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</si>
  <si>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</si>
  <si>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</si>
  <si>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</si>
  <si>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</si>
  <si>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</si>
  <si>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</si>
  <si>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</si>
  <si>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</si>
  <si>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</si>
  <si>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</si>
  <si>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</si>
  <si>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</si>
  <si>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</si>
  <si>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</si>
  <si>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</si>
  <si>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</si>
  <si>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</si>
  <si>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</si>
  <si>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</si>
  <si>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</si>
  <si>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</si>
  <si>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</si>
  <si>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</si>
  <si>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</si>
  <si>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</si>
  <si>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</si>
  <si>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</si>
  <si>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</si>
  <si>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</si>
  <si>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</si>
  <si>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</si>
  <si>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</si>
  <si>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</si>
  <si>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</si>
  <si>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</si>
  <si>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</si>
  <si>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</si>
  <si>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</si>
  <si>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</si>
  <si>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</si>
  <si>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</si>
  <si>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</si>
  <si>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</si>
  <si>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</si>
  <si>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</si>
  <si>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</si>
  <si>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</si>
  <si>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</si>
  <si>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</si>
  <si>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</si>
  <si>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</si>
  <si>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</si>
  <si>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</si>
  <si>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</si>
  <si>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</si>
  <si>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</si>
  <si>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</si>
  <si>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</si>
  <si>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</si>
  <si>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</si>
  <si>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</si>
  <si>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</si>
  <si>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</si>
  <si>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</si>
  <si>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</si>
  <si>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</si>
  <si>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</si>
  <si>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</si>
  <si>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</si>
  <si>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</si>
  <si>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</si>
  <si>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</si>
  <si>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</si>
  <si>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</si>
  <si>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</si>
  <si>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</si>
  <si>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</si>
  <si>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</si>
  <si>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</si>
  <si>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</si>
  <si>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</si>
  <si>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</si>
  <si>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</si>
  <si>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</si>
  <si>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</si>
  <si>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</si>
  <si>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</si>
  <si>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</si>
  <si>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</si>
  <si>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</si>
  <si>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</si>
  <si>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</si>
  <si>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</si>
  <si>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</si>
  <si>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</si>
  <si>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</si>
  <si>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</si>
  <si>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</si>
  <si>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</si>
  <si>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</si>
  <si>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</si>
  <si>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</si>
  <si>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</si>
  <si>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</si>
  <si>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</si>
  <si>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</si>
  <si>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</si>
  <si>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</si>
  <si>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</si>
  <si>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</si>
  <si>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</si>
  <si>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</si>
  <si>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</si>
  <si>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</si>
  <si>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</si>
  <si>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</si>
  <si>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</si>
  <si>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</si>
  <si>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</si>
  <si>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</si>
  <si>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</si>
  <si>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</si>
  <si>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</si>
  <si>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</si>
  <si>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</si>
  <si>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</si>
  <si>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</si>
  <si>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</si>
  <si>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</si>
  <si>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</si>
  <si>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</si>
  <si>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</si>
  <si>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</si>
  <si>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</si>
  <si>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</si>
  <si>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</si>
  <si>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</si>
  <si>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</si>
  <si>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</si>
  <si>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</si>
  <si>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</si>
  <si>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</si>
  <si>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</si>
  <si>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</si>
  <si>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</si>
  <si>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</si>
  <si>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</si>
  <si>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</si>
  <si>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</si>
  <si>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</si>
  <si>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</si>
  <si>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</si>
  <si>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</si>
  <si>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</si>
  <si>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</si>
  <si>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</si>
  <si>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</si>
  <si>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</si>
  <si>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</si>
  <si>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</si>
  <si>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</si>
  <si>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</si>
  <si>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</si>
  <si>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</si>
  <si>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</si>
  <si>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</si>
  <si>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</si>
  <si>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</si>
  <si>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</si>
  <si>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</si>
  <si>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</si>
  <si>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</si>
  <si>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</si>
  <si>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</si>
  <si>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</si>
  <si>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</si>
  <si>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</si>
  <si>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</si>
  <si>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</si>
  <si>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</si>
  <si>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</si>
  <si>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</si>
  <si>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</si>
  <si>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</si>
  <si>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</si>
  <si>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</si>
  <si>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</si>
  <si>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</si>
  <si>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</si>
  <si>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</si>
  <si>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</si>
  <si>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</si>
  <si>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</si>
  <si>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</si>
  <si>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</si>
  <si>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</si>
  <si>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</si>
  <si>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</si>
  <si>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</si>
  <si>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</si>
  <si>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</si>
  <si>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</si>
  <si>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</si>
  <si>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</si>
  <si>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</si>
  <si>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</si>
  <si>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</si>
  <si>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</si>
  <si>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</si>
  <si>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</si>
  <si>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</si>
  <si>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</si>
  <si>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</si>
  <si>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</si>
  <si>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</si>
  <si>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</si>
  <si>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</si>
  <si>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</si>
  <si>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</si>
  <si>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</si>
  <si>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</si>
  <si>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</si>
  <si>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</si>
  <si>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</si>
  <si>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</si>
  <si>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</si>
  <si>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</si>
  <si>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</si>
  <si>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</si>
  <si>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</si>
  <si>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</si>
  <si>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</si>
  <si>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</si>
  <si>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</si>
  <si>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</si>
  <si>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</si>
  <si>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</si>
  <si>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</si>
  <si>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</si>
  <si>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</si>
  <si>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</si>
  <si>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</si>
  <si>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</si>
  <si>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</si>
  <si>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</si>
  <si>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</si>
  <si>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</si>
  <si>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</si>
  <si>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</si>
  <si>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</si>
  <si>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</si>
  <si>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</si>
  <si>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</si>
  <si>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</si>
  <si>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</si>
  <si>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</si>
  <si>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</si>
  <si>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</si>
  <si>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</si>
  <si>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</si>
  <si>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</si>
  <si>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</si>
  <si>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</si>
  <si>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</si>
  <si>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</si>
  <si>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</si>
  <si>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</si>
  <si>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</si>
  <si>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</si>
  <si>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</si>
  <si>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</si>
  <si>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</si>
  <si>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</si>
  <si>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</si>
  <si>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</si>
  <si>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</si>
  <si>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</si>
  <si>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</si>
  <si>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</si>
  <si>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</si>
  <si>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</si>
  <si>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</si>
  <si>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</si>
  <si>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</si>
  <si>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</si>
  <si>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</si>
  <si>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</si>
  <si>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</si>
  <si>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</si>
  <si>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</si>
  <si>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</si>
  <si>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</si>
  <si>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</si>
  <si>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</si>
  <si>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</si>
  <si>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</si>
  <si>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</si>
  <si>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</si>
  <si>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</si>
  <si>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</si>
  <si>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</si>
  <si>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</si>
  <si>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</si>
  <si>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</si>
  <si>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</si>
  <si>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</si>
  <si>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</si>
  <si>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</si>
  <si>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</si>
  <si>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</si>
  <si>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</si>
  <si>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</si>
  <si>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</si>
  <si>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</si>
  <si>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</si>
  <si>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</si>
  <si>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</si>
  <si>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</si>
  <si>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</si>
  <si>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</si>
  <si>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</si>
  <si>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</si>
  <si>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</si>
  <si>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</si>
  <si>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</si>
  <si>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</si>
  <si>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</si>
  <si>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</si>
  <si>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</si>
  <si>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</si>
  <si>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</si>
  <si>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</si>
  <si>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</si>
  <si>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</si>
  <si>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</si>
  <si>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</si>
  <si>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</si>
  <si>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</si>
  <si>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</si>
  <si>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</si>
  <si>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</si>
  <si>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</si>
  <si>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</si>
  <si>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</si>
  <si>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</si>
  <si>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</si>
  <si>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</si>
  <si>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</si>
  <si>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</si>
  <si>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</si>
  <si>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</si>
  <si>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</si>
  <si>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</si>
  <si>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</si>
  <si>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</si>
  <si>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</si>
  <si>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</si>
  <si>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</si>
  <si>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</si>
  <si>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</si>
  <si>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</si>
  <si>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</si>
  <si>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</si>
  <si>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</si>
  <si>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</si>
  <si>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</si>
  <si>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</si>
  <si>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</si>
  <si>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</si>
  <si>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</si>
  <si>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</si>
  <si>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</si>
  <si>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</si>
  <si>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</si>
  <si>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</si>
  <si>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</si>
  <si>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</si>
  <si>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</si>
  <si>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</si>
  <si>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</si>
  <si>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</si>
  <si>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</si>
  <si>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</si>
  <si>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</si>
  <si>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</si>
  <si>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</si>
  <si>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</si>
  <si>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</si>
  <si>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</si>
  <si>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</si>
  <si>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</si>
  <si>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</si>
  <si>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</si>
  <si>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</si>
  <si>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</si>
  <si>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</si>
  <si>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</si>
  <si>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</si>
  <si>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</si>
  <si>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</si>
  <si>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</si>
  <si>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</si>
  <si>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</si>
  <si>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</si>
  <si>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</si>
  <si>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</si>
  <si>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</si>
  <si>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</si>
  <si>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</si>
  <si>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</si>
  <si>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</si>
  <si>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</si>
  <si>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</si>
  <si>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</si>
  <si>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</si>
  <si>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</si>
  <si>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</si>
  <si>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</si>
  <si>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</si>
  <si>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</si>
  <si>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</si>
  <si>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</si>
  <si>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</si>
  <si>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</si>
  <si>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</si>
  <si>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</si>
  <si>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</si>
  <si>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</si>
  <si>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</si>
  <si>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</si>
  <si>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</si>
  <si>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</si>
  <si>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</si>
  <si>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</si>
  <si>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</si>
  <si>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</si>
  <si>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</si>
  <si>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</si>
  <si>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</si>
  <si>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</si>
  <si>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</si>
  <si>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</si>
  <si>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</si>
  <si>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</si>
  <si>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</si>
  <si>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</si>
  <si>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</si>
  <si>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</si>
  <si>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</si>
  <si>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</si>
  <si>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</si>
  <si>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</si>
  <si>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</si>
  <si>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</si>
  <si>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</si>
  <si>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</si>
  <si>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</si>
  <si>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</si>
  <si>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</si>
  <si>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</si>
  <si>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</si>
  <si>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</si>
  <si>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</si>
  <si>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</si>
  <si>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</si>
  <si>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Commercial DR - CPP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</si>
</sst>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43599.31716643518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1017593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43599.31716643518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Commercial DR - CPP</v>
      </c>
      <c r="J2" t="s">
        <v>55</v>
      </c>
    </row>
    <row r="3" ht="12.75">
      <c r="J3" s="35">
        <f>+Title_RESULTS!I4</f>
        <v>43599.31716643518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1017593</v>
      </c>
      <c r="H5" t="s">
        <v>59</v>
      </c>
    </row>
    <row r="6" spans="3:7" ht="12.75">
      <c r="C6" t="s">
        <v>61</v>
      </c>
      <c r="G6" s="36">
        <f>+'Value of Defferal'!E3</f>
        <v>623427.5598288542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85777.81082942894</v>
      </c>
      <c r="D19" s="5">
        <f>IF((Title_RESULTS!$H$8-Title_RESULTS!$H$7)&lt;=('Sheet3(F_21)'!A19-Title_RESULTS!$H$7),((Title_RESULTS!$C$8*Partcipation!$C$26*8760*Title_RESULTS!$H$21/100000)),0)</f>
        <v>811184.3166760169</v>
      </c>
      <c r="E19" s="5">
        <f>IF($G19=0,0,((Title_RESULTS!$H$14*((1+Title_RESULTS!$H$15/100)^($A19-Title_RESULTS!$H$7))*'EUE_Line Losses'!$B$25*Partcipation!$C$26))/1000)</f>
        <v>6390.659610513244</v>
      </c>
      <c r="F19" s="5">
        <f>IF($G19=0,0,(Title_RESULTS!$H$19/100*((1+Title_RESULTS!$H$20/100)^($A19-Title_RESULTS!$H$7))*$D19*1000)/1000)</f>
        <v>1829.1053083545899</v>
      </c>
      <c r="G19" s="5">
        <f>(+Title_RESULTS!$H$22/100*((1+Title_RESULTS!$H$23/100)^(+'Sheet4(F_22)'!A19-Title_RESULTS!$H$7)))*'Sheet3(F_21)'!D19</f>
        <v>34753.48014480053</v>
      </c>
      <c r="H19" s="5">
        <f>IF($G19=0,0,(($D19))*(Partcipation!$G19/100))</f>
        <v>25735.85733865662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103015.19855444069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83244.80201576633</v>
      </c>
      <c r="D20" s="5">
        <f>IF((Title_RESULTS!$H$8-Title_RESULTS!$H$7)&lt;=('Sheet3(F_21)'!A20-Title_RESULTS!$H$7),((Title_RESULTS!$C$8*Partcipation!$C$26*8760*Title_RESULTS!$H$21/100000)),0)</f>
        <v>811184.3166760169</v>
      </c>
      <c r="E20" s="5">
        <f>IF($G20=0,0,((Title_RESULTS!$H$14*((1+Title_RESULTS!$H$15/100)^($A20-Title_RESULTS!$H$7))*'EUE_Line Losses'!$B$25*Partcipation!$C$26))/1000)</f>
        <v>6544.03544116556</v>
      </c>
      <c r="F20" s="5">
        <f>IF($G20=0,0,(Title_RESULTS!$H$19/100*((1+Title_RESULTS!$H$20/100)^($A20-Title_RESULTS!$H$7))*$D20*1000)/1000)</f>
        <v>1873.0038357551</v>
      </c>
      <c r="G20" s="5">
        <f>(+Title_RESULTS!$H$22/100*((1+Title_RESULTS!$H$23/100)^(+'Sheet4(F_22)'!A20-Title_RESULTS!$H$7)))*'Sheet3(F_21)'!D20</f>
        <v>36331.28814337448</v>
      </c>
      <c r="H20" s="5">
        <f>IF($G20=0,0,(($D20))*(Partcipation!$G20/100))</f>
        <v>26887.13554535699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101105.99389070447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80448.37875894492</v>
      </c>
      <c r="D21" s="5">
        <f>IF((Title_RESULTS!$H$8-Title_RESULTS!$H$7)&lt;=('Sheet3(F_21)'!A21-Title_RESULTS!$H$7),((Title_RESULTS!$C$8*Partcipation!$C$26*8760*Title_RESULTS!$H$21/100000)),0)</f>
        <v>811184.3166760169</v>
      </c>
      <c r="E21" s="5">
        <f>IF($G21=0,0,((Title_RESULTS!$H$14*((1+Title_RESULTS!$H$15/100)^($A21-Title_RESULTS!$H$7))*'EUE_Line Losses'!$B$25*Partcipation!$C$26))/1000)</f>
        <v>6701.0922917535345</v>
      </c>
      <c r="F21" s="5">
        <f>IF($G21=0,0,(Title_RESULTS!$H$19/100*((1+Title_RESULTS!$H$20/100)^($A21-Title_RESULTS!$H$7))*$D21*1000)/1000)</f>
        <v>1917.9559278132226</v>
      </c>
      <c r="G21" s="5">
        <f>(+Title_RESULTS!$H$22/100*((1+Title_RESULTS!$H$23/100)^(+'Sheet4(F_22)'!A21-Title_RESULTS!$H$7)))*'Sheet3(F_21)'!D21</f>
        <v>37980.728625083684</v>
      </c>
      <c r="H21" s="5">
        <f>IF($G21=0,0,(($D21))*(Partcipation!$G21/100))</f>
        <v>27952.6273769925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99095.52822660287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77785.88876125074</v>
      </c>
      <c r="D22" s="5">
        <f>IF((Title_RESULTS!$H$8-Title_RESULTS!$H$7)&lt;=('Sheet3(F_21)'!A22-Title_RESULTS!$H$7),((Title_RESULTS!$C$8*Partcipation!$C$26*8760*Title_RESULTS!$H$21/100000)),0)</f>
        <v>811184.3166760169</v>
      </c>
      <c r="E22" s="5">
        <f>IF($G22=0,0,((Title_RESULTS!$H$14*((1+Title_RESULTS!$H$15/100)^($A22-Title_RESULTS!$H$7))*'EUE_Line Losses'!$B$25*Partcipation!$C$26))/1000)</f>
        <v>6861.918506755617</v>
      </c>
      <c r="F22" s="5">
        <f>IF($G22=0,0,(Title_RESULTS!$H$19/100*((1+Title_RESULTS!$H$20/100)^($A22-Title_RESULTS!$H$7))*$D22*1000)/1000)</f>
        <v>1963.9868700807397</v>
      </c>
      <c r="G22" s="5">
        <f>(+Title_RESULTS!$H$22/100*((1+Title_RESULTS!$H$23/100)^(+'Sheet4(F_22)'!A22-Title_RESULTS!$H$7)))*'Sheet3(F_21)'!D22</f>
        <v>39705.05370466248</v>
      </c>
      <c r="H22" s="5">
        <f>IF($G22=0,0,(($D22))*(Partcipation!$G22/100))</f>
        <v>28858.30249522486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97458.54534752472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75243.90159614524</v>
      </c>
      <c r="D23" s="5">
        <f>IF((Title_RESULTS!$H$8-Title_RESULTS!$H$7)&lt;=('Sheet3(F_21)'!A23-Title_RESULTS!$H$7),((Title_RESULTS!$C$8*Partcipation!$C$26*8760*Title_RESULTS!$H$21/100000)),0)</f>
        <v>811184.3166760169</v>
      </c>
      <c r="E23" s="5">
        <f>IF($G23=0,0,((Title_RESULTS!$H$14*((1+Title_RESULTS!$H$15/100)^($A23-Title_RESULTS!$H$7))*'EUE_Line Losses'!$B$25*Partcipation!$C$26))/1000)</f>
        <v>7026.604550917754</v>
      </c>
      <c r="F23" s="5">
        <f>IF($G23=0,0,(Title_RESULTS!$H$19/100*((1+Title_RESULTS!$H$20/100)^($A23-Title_RESULTS!$H$7))*$D23*1000)/1000)</f>
        <v>2011.1225549626777</v>
      </c>
      <c r="G23" s="5">
        <f>(+Title_RESULTS!$H$22/100*((1+Title_RESULTS!$H$23/100)^(+'Sheet4(F_22)'!A23-Title_RESULTS!$H$7)))*'Sheet3(F_21)'!D23</f>
        <v>41507.663142854166</v>
      </c>
      <c r="H23" s="5">
        <f>IF($G23=0,0,(($D23))*(Partcipation!$G23/100))</f>
        <v>30149.99056007594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95639.3012848039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72810.47086212179</v>
      </c>
      <c r="D24" s="5">
        <f>IF((Title_RESULTS!$H$8-Title_RESULTS!$H$7)&lt;=('Sheet3(F_21)'!A24-Title_RESULTS!$H$7),((Title_RESULTS!$C$8*Partcipation!$C$26*8760*Title_RESULTS!$H$21/100000)),0)</f>
        <v>811184.3166760169</v>
      </c>
      <c r="E24" s="5">
        <f>IF($G24=0,0,((Title_RESULTS!$H$14*((1+Title_RESULTS!$H$15/100)^($A24-Title_RESULTS!$H$7))*'EUE_Line Losses'!$B$25*Partcipation!$C$26))/1000)</f>
        <v>7195.24306013978</v>
      </c>
      <c r="F24" s="5">
        <f>IF($G24=0,0,(Title_RESULTS!$H$19/100*((1+Title_RESULTS!$H$20/100)^($A24-Title_RESULTS!$H$7))*$D24*1000)/1000)</f>
        <v>2059.3894962817817</v>
      </c>
      <c r="G24" s="5">
        <f>(+Title_RESULTS!$H$22/100*((1+Title_RESULTS!$H$23/100)^(+'Sheet4(F_22)'!A24-Title_RESULTS!$H$7)))*'Sheet3(F_21)'!D24</f>
        <v>43392.11104953975</v>
      </c>
      <c r="H24" s="5">
        <f>IF($G24=0,0,(($D24))*(Partcipation!$G24/100))</f>
        <v>32449.36120167032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93007.8532664128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70452.79960597586</v>
      </c>
      <c r="D25" s="5">
        <f>IF((Title_RESULTS!$H$8-Title_RESULTS!$H$7)&lt;=('Sheet3(F_21)'!A25-Title_RESULTS!$H$7),((Title_RESULTS!$C$8*Partcipation!$C$26*8760*Title_RESULTS!$H$21/100000)),0)</f>
        <v>811184.3166760169</v>
      </c>
      <c r="E25" s="5">
        <f>IF($G25=0,0,((Title_RESULTS!$H$14*((1+Title_RESULTS!$H$15/100)^($A25-Title_RESULTS!$H$7))*'EUE_Line Losses'!$B$25*Partcipation!$C$26))/1000)</f>
        <v>7367.928893583134</v>
      </c>
      <c r="F25" s="5">
        <f>IF($G25=0,0,(Title_RESULTS!$H$19/100*((1+Title_RESULTS!$H$20/100)^($A25-Title_RESULTS!$H$7))*$D25*1000)/1000)</f>
        <v>2108.814844192544</v>
      </c>
      <c r="G25" s="5">
        <f>(+Title_RESULTS!$H$22/100*((1+Title_RESULTS!$H$23/100)^(+'Sheet4(F_22)'!A25-Title_RESULTS!$H$7)))*'Sheet3(F_21)'!D25</f>
        <v>45362.11289118886</v>
      </c>
      <c r="H25" s="5">
        <f>IF($G25=0,0,(($D25))*(Partcipation!$G25/100))</f>
        <v>33873.42262522026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91418.23360972013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68119.39215910117</v>
      </c>
      <c r="D26" s="5">
        <f>IF((Title_RESULTS!$H$8-Title_RESULTS!$H$7)&lt;=('Sheet3(F_21)'!A26-Title_RESULTS!$H$7),((Title_RESULTS!$C$8*Partcipation!$C$26*8760*Title_RESULTS!$H$21/100000)),0)</f>
        <v>811184.3166760169</v>
      </c>
      <c r="E26" s="5">
        <f>IF($G26=0,0,((Title_RESULTS!$H$14*((1+Title_RESULTS!$H$15/100)^($A26-Title_RESULTS!$H$7))*'EUE_Line Losses'!$B$25*Partcipation!$C$26))/1000)</f>
        <v>7544.759187029129</v>
      </c>
      <c r="F26" s="5">
        <f>IF($G26=0,0,(Title_RESULTS!$H$19/100*((1+Title_RESULTS!$H$20/100)^($A26-Title_RESULTS!$H$7))*$D26*1000)/1000)</f>
        <v>2159.426400453165</v>
      </c>
      <c r="G26" s="5">
        <f>(+Title_RESULTS!$H$22/100*((1+Title_RESULTS!$H$23/100)^(+'Sheet4(F_22)'!A26-Title_RESULTS!$H$7)))*'Sheet3(F_21)'!D26</f>
        <v>47421.55281644884</v>
      </c>
      <c r="H26" s="5">
        <f>IF($G26=0,0,(($D26))*(Partcipation!$G26/100))</f>
        <v>36392.010056936226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88853.1205060961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65785.98471222648</v>
      </c>
      <c r="D27" s="5">
        <f>IF((Title_RESULTS!$H$8-Title_RESULTS!$H$7)&lt;=('Sheet3(F_21)'!A27-Title_RESULTS!$H$7),((Title_RESULTS!$C$8*Partcipation!$C$26*8760*Title_RESULTS!$H$21/100000)),0)</f>
        <v>811184.3166760169</v>
      </c>
      <c r="E27" s="5">
        <f>IF($G27=0,0,((Title_RESULTS!$H$14*((1+Title_RESULTS!$H$15/100)^($A27-Title_RESULTS!$H$7))*'EUE_Line Losses'!$B$25*Partcipation!$C$26))/1000)</f>
        <v>7725.83340751783</v>
      </c>
      <c r="F27" s="5">
        <f>IF($G27=0,0,(Title_RESULTS!$H$19/100*((1+Title_RESULTS!$H$20/100)^($A27-Title_RESULTS!$H$7))*$D27*1000)/1000)</f>
        <v>2211.2526340640416</v>
      </c>
      <c r="G27" s="5">
        <f>(+Title_RESULTS!$H$22/100*((1+Title_RESULTS!$H$23/100)^(+'Sheet4(F_22)'!A27-Title_RESULTS!$H$7)))*'Sheet3(F_21)'!D27</f>
        <v>49574.49131431562</v>
      </c>
      <c r="H27" s="5">
        <f>IF($G27=0,0,(($D27))*(Partcipation!$G27/100))</f>
        <v>37296.97223386497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88000.58983425901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63452.577265351785</v>
      </c>
      <c r="D28" s="5">
        <f>IF((Title_RESULTS!$H$8-Title_RESULTS!$H$7)&lt;=('Sheet3(F_21)'!A28-Title_RESULTS!$H$7),((Title_RESULTS!$C$8*Partcipation!$C$26*8760*Title_RESULTS!$H$21/100000)),0)</f>
        <v>811184.3166760169</v>
      </c>
      <c r="E28" s="5">
        <f>IF($G28=0,0,((Title_RESULTS!$H$14*((1+Title_RESULTS!$H$15/100)^($A28-Title_RESULTS!$H$7))*'EUE_Line Losses'!$B$25*Partcipation!$C$26))/1000)</f>
        <v>7911.253409298258</v>
      </c>
      <c r="F28" s="5">
        <f>IF($G28=0,0,(Title_RESULTS!$H$19/100*((1+Title_RESULTS!$H$20/100)^($A28-Title_RESULTS!$H$7))*$D28*1000)/1000)</f>
        <v>2264.3226972815783</v>
      </c>
      <c r="G28" s="5">
        <f>(+Title_RESULTS!$H$22/100*((1+Title_RESULTS!$H$23/100)^(+'Sheet4(F_22)'!A28-Title_RESULTS!$H$7)))*'Sheet3(F_21)'!D28</f>
        <v>51825.173219985554</v>
      </c>
      <c r="H28" s="5">
        <f>IF($G28=0,0,(($D28))*(Partcipation!$G28/100))</f>
        <v>39535.16023633708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85918.16635558009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61119.16981847711</v>
      </c>
      <c r="D29" s="5">
        <f>IF((Title_RESULTS!$H$8-Title_RESULTS!$H$7)&lt;=('Sheet3(F_21)'!A29-Title_RESULTS!$H$7),((Title_RESULTS!$C$8*Partcipation!$C$26*8760*Title_RESULTS!$H$21/100000)),0)</f>
        <v>811184.3166760169</v>
      </c>
      <c r="E29" s="5">
        <f>IF($G29=0,0,((Title_RESULTS!$H$14*((1+Title_RESULTS!$H$15/100)^($A29-Title_RESULTS!$H$7))*'EUE_Line Losses'!$B$25*Partcipation!$C$26))/1000)</f>
        <v>8101.123491121416</v>
      </c>
      <c r="F29" s="5">
        <f>IF($G29=0,0,(Title_RESULTS!$H$19/100*((1+Title_RESULTS!$H$20/100)^($A29-Title_RESULTS!$H$7))*$D29*1000)/1000)</f>
        <v>2318.6664420163365</v>
      </c>
      <c r="G29" s="5">
        <f>(+Title_RESULTS!$H$22/100*((1+Title_RESULTS!$H$23/100)^(+'Sheet4(F_22)'!A29-Title_RESULTS!$H$7)))*'Sheet3(F_21)'!D29</f>
        <v>54178.0360841729</v>
      </c>
      <c r="H29" s="5">
        <f>IF($G29=0,0,(($D29))*(Partcipation!$G29/100))</f>
        <v>40436.85677604452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85280.13905974323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58785.76237160241</v>
      </c>
      <c r="D30" s="5">
        <f>IF((Title_RESULTS!$H$8-Title_RESULTS!$H$7)&lt;=('Sheet3(F_21)'!A30-Title_RESULTS!$H$7),((Title_RESULTS!$C$8*Partcipation!$C$26*8760*Title_RESULTS!$H$21/100000)),0)</f>
        <v>811184.3166760169</v>
      </c>
      <c r="E30" s="5">
        <f>IF($G30=0,0,((Title_RESULTS!$H$14*((1+Title_RESULTS!$H$15/100)^($A30-Title_RESULTS!$H$7))*'EUE_Line Losses'!$B$25*Partcipation!$C$26))/1000)</f>
        <v>8295.550454908329</v>
      </c>
      <c r="F30" s="5">
        <f>IF($G30=0,0,(Title_RESULTS!$H$19/100*((1+Title_RESULTS!$H$20/100)^($A30-Title_RESULTS!$H$7))*$D30*1000)/1000)</f>
        <v>2374.3144366247284</v>
      </c>
      <c r="G30" s="5">
        <f>(+Title_RESULTS!$H$22/100*((1+Title_RESULTS!$H$23/100)^(+'Sheet4(F_22)'!A30-Title_RESULTS!$H$7)))*'Sheet3(F_21)'!D30</f>
        <v>56637.71892239436</v>
      </c>
      <c r="H30" s="5">
        <f>IF($G30=0,0,(($D30))*(Partcipation!$G30/100))</f>
        <v>43046.12979881455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83047.21638671527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56452.35492472771</v>
      </c>
      <c r="D31" s="5">
        <f>IF((Title_RESULTS!$H$8-Title_RESULTS!$H$7)&lt;=('Sheet3(F_21)'!A31-Title_RESULTS!$H$7),((Title_RESULTS!$C$8*Partcipation!$C$26*8760*Title_RESULTS!$H$21/100000)),0)</f>
        <v>811184.3166760169</v>
      </c>
      <c r="E31" s="5">
        <f>IF($G31=0,0,((Title_RESULTS!$H$14*((1+Title_RESULTS!$H$15/100)^($A31-Title_RESULTS!$H$7))*'EUE_Line Losses'!$B$25*Partcipation!$C$26))/1000)</f>
        <v>8494.643665826128</v>
      </c>
      <c r="F31" s="5">
        <f>IF($G31=0,0,(Title_RESULTS!$H$19/100*((1+Title_RESULTS!$H$20/100)^($A31-Title_RESULTS!$H$7))*$D31*1000)/1000)</f>
        <v>2431.297983103722</v>
      </c>
      <c r="G31" s="5">
        <f>(+Title_RESULTS!$H$22/100*((1+Title_RESULTS!$H$23/100)^(+'Sheet4(F_22)'!A31-Title_RESULTS!$H$7)))*'Sheet3(F_21)'!D31</f>
        <v>59209.07136147106</v>
      </c>
      <c r="H31" s="5">
        <f>IF($G31=0,0,(($D31))*(Partcipation!$G31/100))</f>
        <v>44696.6570550493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81890.71088007934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54118.94747785301</v>
      </c>
      <c r="D32" s="5">
        <f>IF((Title_RESULTS!$H$8-Title_RESULTS!$H$7)&lt;=('Sheet3(F_21)'!A32-Title_RESULTS!$H$7),((Title_RESULTS!$C$8*Partcipation!$C$26*8760*Title_RESULTS!$H$21/100000)),0)</f>
        <v>811184.3166760169</v>
      </c>
      <c r="E32" s="5">
        <f>IF($G32=0,0,((Title_RESULTS!$H$14*((1+Title_RESULTS!$H$15/100)^($A32-Title_RESULTS!$H$7))*'EUE_Line Losses'!$B$25*Partcipation!$C$26))/1000)</f>
        <v>8698.515113805955</v>
      </c>
      <c r="F32" s="5">
        <f>IF($G32=0,0,(Title_RESULTS!$H$19/100*((1+Title_RESULTS!$H$20/100)^($A32-Title_RESULTS!$H$7))*$D32*1000)/1000)</f>
        <v>2489.6491346982107</v>
      </c>
      <c r="G32" s="5">
        <f>(+Title_RESULTS!$H$22/100*((1+Title_RESULTS!$H$23/100)^(+'Sheet4(F_22)'!A32-Title_RESULTS!$H$7)))*'Sheet3(F_21)'!D32</f>
        <v>61897.16320128186</v>
      </c>
      <c r="H32" s="5">
        <f>IF($G32=0,0,(($D32))*(Partcipation!$G32/100))</f>
        <v>45597.81564034868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81606.45928729036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51785.54003097834</v>
      </c>
      <c r="D33" s="5">
        <f>IF((Title_RESULTS!$H$8-Title_RESULTS!$H$7)&lt;=('Sheet3(F_21)'!A33-Title_RESULTS!$H$7),((Title_RESULTS!$C$8*Partcipation!$C$26*8760*Title_RESULTS!$H$21/100000)),0)</f>
        <v>811184.3166760169</v>
      </c>
      <c r="E33" s="5">
        <f>IF($G33=0,0,((Title_RESULTS!$H$14*((1+Title_RESULTS!$H$15/100)^($A33-Title_RESULTS!$H$7))*'EUE_Line Losses'!$B$25*Partcipation!$C$26))/1000)</f>
        <v>8907.2794765373</v>
      </c>
      <c r="F33" s="5">
        <f>IF($G33=0,0,(Title_RESULTS!$H$19/100*((1+Title_RESULTS!$H$20/100)^($A33-Title_RESULTS!$H$7))*$D33*1000)/1000)</f>
        <v>2549.4007139309683</v>
      </c>
      <c r="G33" s="5">
        <f>(+Title_RESULTS!$H$22/100*((1+Title_RESULTS!$H$23/100)^(+'Sheet4(F_22)'!A33-Title_RESULTS!$H$7)))*'Sheet3(F_21)'!D33</f>
        <v>64707.294410620074</v>
      </c>
      <c r="H33" s="5">
        <f>IF($G33=0,0,(($D33))*(Partcipation!$G33/100))</f>
        <v>48069.17974799546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79880.33488407123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49671.2488800608</v>
      </c>
      <c r="D34" s="5">
        <f>IF((Title_RESULTS!$H$8-Title_RESULTS!$H$7)&lt;=('Sheet3(F_21)'!A34-Title_RESULTS!$H$7),((Title_RESULTS!$C$8*Partcipation!$C$26*8760*Title_RESULTS!$H$21/100000)),0)</f>
        <v>811184.3166760169</v>
      </c>
      <c r="E34" s="5">
        <f>IF($G34=0,0,((Title_RESULTS!$H$14*((1+Title_RESULTS!$H$15/100)^($A34-Title_RESULTS!$H$7))*'EUE_Line Losses'!$B$25*Partcipation!$C$26))/1000)</f>
        <v>9121.05418397419</v>
      </c>
      <c r="F34" s="5">
        <f>IF($G34=0,0,(Title_RESULTS!$H$19/100*((1+Title_RESULTS!$H$20/100)^($A34-Title_RESULTS!$H$7))*$D34*1000)/1000)</f>
        <v>2610.5863310653112</v>
      </c>
      <c r="G34" s="5">
        <f>(+Title_RESULTS!$H$22/100*((1+Title_RESULTS!$H$23/100)^(+'Sheet4(F_22)'!A34-Title_RESULTS!$H$7)))*'Sheet3(F_21)'!D34</f>
        <v>67645.00557686223</v>
      </c>
      <c r="H34" s="5">
        <f>IF($G34=0,0,(($D34))*(Partcipation!$G34/100))</f>
        <v>49064.954717992165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79982.94025397036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47995.11611980597</v>
      </c>
      <c r="D35" s="5">
        <f>IF((Title_RESULTS!$H$8-Title_RESULTS!$H$7)&lt;=('Sheet3(F_21)'!A35-Title_RESULTS!$H$7),((Title_RESULTS!$C$8*Partcipation!$C$26*8760*Title_RESULTS!$H$21/100000)),0)</f>
        <v>811184.3166760169</v>
      </c>
      <c r="E35" s="5">
        <f>IF($G35=0,0,((Title_RESULTS!$H$14*((1+Title_RESULTS!$H$15/100)^($A35-Title_RESULTS!$H$7))*'EUE_Line Losses'!$B$25*Partcipation!$C$26))/1000)</f>
        <v>9339.959484389576</v>
      </c>
      <c r="F35" s="5">
        <f>IF($G35=0,0,(Title_RESULTS!$H$19/100*((1+Title_RESULTS!$H$20/100)^($A35-Title_RESULTS!$H$7))*$D35*1000)/1000)</f>
        <v>2673.240403010879</v>
      </c>
      <c r="G35" s="5">
        <f>(+Title_RESULTS!$H$22/100*((1+Title_RESULTS!$H$23/100)^(+'Sheet4(F_22)'!A35-Title_RESULTS!$H$7)))*'Sheet3(F_21)'!D35</f>
        <v>70716.08883005178</v>
      </c>
      <c r="H35" s="5">
        <f>IF($G35=0,0,(($D35))*(Partcipation!$G35/100))</f>
        <v>51104.57017133878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79619.83466591942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46538.02545425671</v>
      </c>
      <c r="D36" s="5">
        <f>IF((Title_RESULTS!$H$8-Title_RESULTS!$H$7)&lt;=('Sheet3(F_21)'!A36-Title_RESULTS!$H$7),((Title_RESULTS!$C$8*Partcipation!$C$26*8760*Title_RESULTS!$H$21/100000)),0)</f>
        <v>811184.3166760169</v>
      </c>
      <c r="E36" s="5">
        <f>IF($G36=0,0,((Title_RESULTS!$H$14*((1+Title_RESULTS!$H$15/100)^($A36-Title_RESULTS!$H$7))*'EUE_Line Losses'!$B$25*Partcipation!$C$26))/1000)</f>
        <v>9564.118512014924</v>
      </c>
      <c r="F36" s="5">
        <f>IF($G36=0,0,(Title_RESULTS!$H$19/100*((1+Title_RESULTS!$H$20/100)^($A36-Title_RESULTS!$H$7))*$D36*1000)/1000)</f>
        <v>2737.39817268314</v>
      </c>
      <c r="G36" s="5">
        <f>(+Title_RESULTS!$H$22/100*((1+Title_RESULTS!$H$23/100)^(+'Sheet4(F_22)'!A36-Title_RESULTS!$H$7)))*'Sheet3(F_21)'!D36</f>
        <v>73926.59926293614</v>
      </c>
      <c r="H36" s="5">
        <f>IF($G36=0,0,(($D36))*(Partcipation!$G36/100))</f>
        <v>51046.156547064755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81719.98485482618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45080.93478870746</v>
      </c>
      <c r="D37" s="5">
        <f>IF((Title_RESULTS!$H$8-Title_RESULTS!$H$7)&lt;=('Sheet3(F_21)'!A37-Title_RESULTS!$H$7),((Title_RESULTS!$C$8*Partcipation!$C$26*8760*Title_RESULTS!$H$21/100000)),0)</f>
        <v>811184.3166760169</v>
      </c>
      <c r="E37" s="5">
        <f>IF($G37=0,0,((Title_RESULTS!$H$14*((1+Title_RESULTS!$H$15/100)^($A37-Title_RESULTS!$H$7))*'EUE_Line Losses'!$B$25*Partcipation!$C$26))/1000)</f>
        <v>9793.657356303282</v>
      </c>
      <c r="F37" s="5">
        <f>IF($G37=0,0,(Title_RESULTS!$H$19/100*((1+Title_RESULTS!$H$20/100)^($A37-Title_RESULTS!$H$7))*$D37*1000)/1000)</f>
        <v>2803.0957288275354</v>
      </c>
      <c r="G37" s="5">
        <f>(+Title_RESULTS!$H$22/100*((1+Title_RESULTS!$H$23/100)^(+'Sheet4(F_22)'!A37-Title_RESULTS!$H$7)))*'Sheet3(F_21)'!D37</f>
        <v>77282.86686947345</v>
      </c>
      <c r="H37" s="5">
        <f>IF($G37=0,0,(($D37))*(Partcipation!$G37/100))</f>
        <v>54277.05825971962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80683.4964835921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43623.84412315819</v>
      </c>
      <c r="D38" s="5">
        <f>IF((Title_RESULTS!$H$8-Title_RESULTS!$H$7)&lt;=('Sheet3(F_21)'!A38-Title_RESULTS!$H$7),((Title_RESULTS!$C$8*Partcipation!$C$26*8760*Title_RESULTS!$H$21/100000)),0)</f>
        <v>811184.3166760169</v>
      </c>
      <c r="E38" s="5">
        <f>IF($G38=0,0,((Title_RESULTS!$H$14*((1+Title_RESULTS!$H$15/100)^($A38-Title_RESULTS!$H$7))*'EUE_Line Losses'!$B$25*Partcipation!$C$26))/1000)</f>
        <v>10028.705132854559</v>
      </c>
      <c r="F38" s="5">
        <f>IF($G38=0,0,(Title_RESULTS!$H$19/100*((1+Title_RESULTS!$H$20/100)^($A38-Title_RESULTS!$H$7))*$D38*1000)/1000)</f>
        <v>2870.3700263193955</v>
      </c>
      <c r="G38" s="5">
        <f>(+Title_RESULTS!$H$22/100*((1+Title_RESULTS!$H$23/100)^(+'Sheet4(F_22)'!A38-Title_RESULTS!$H$7)))*'Sheet3(F_21)'!D38</f>
        <v>80791.50902534755</v>
      </c>
      <c r="H38" s="5">
        <f>IF($G38=0,0,(($D38))*(Partcipation!$G38/100))</f>
        <v>57149.83562590846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80164.59268177123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42166.75345760893</v>
      </c>
      <c r="D39" s="5">
        <f>IF((Title_RESULTS!$H$8-Title_RESULTS!$H$7)&lt;=('Sheet3(F_21)'!A39-Title_RESULTS!$H$7),((Title_RESULTS!$C$8*Partcipation!$C$26*8760*Title_RESULTS!$H$21/100000)),0)</f>
        <v>811184.3166760169</v>
      </c>
      <c r="E39" s="5">
        <f>IF($G39=0,0,((Title_RESULTS!$H$14*((1+Title_RESULTS!$H$15/100)^($A39-Title_RESULTS!$H$7))*'EUE_Line Losses'!$B$25*Partcipation!$C$26))/1000)</f>
        <v>10269.394056043071</v>
      </c>
      <c r="F39" s="5">
        <f>IF($G39=0,0,(Title_RESULTS!$H$19/100*((1+Title_RESULTS!$H$20/100)^($A39-Title_RESULTS!$H$7))*$D39*1000)/1000)</f>
        <v>2939.258906951062</v>
      </c>
      <c r="G39" s="5">
        <f>(+Title_RESULTS!$H$22/100*((1+Title_RESULTS!$H$23/100)^(+'Sheet4(F_22)'!A39-Title_RESULTS!$H$7)))*'Sheet3(F_21)'!D39</f>
        <v>84459.44353509834</v>
      </c>
      <c r="H39" s="5">
        <f>IF($G39=0,0,(($D39))*(Partcipation!$G39/100))</f>
        <v>59553.80654548544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80281.04341021595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40709.66279205968</v>
      </c>
      <c r="D40" s="5">
        <f>IF((Title_RESULTS!$H$8-Title_RESULTS!$H$7)&lt;=('Sheet3(F_21)'!A40-Title_RESULTS!$H$7),((Title_RESULTS!$C$8*Partcipation!$C$26*8760*Title_RESULTS!$H$21/100000)),0)</f>
        <v>811184.3166760169</v>
      </c>
      <c r="E40" s="5">
        <f>IF($G40=0,0,((Title_RESULTS!$H$14*((1+Title_RESULTS!$H$15/100)^($A40-Title_RESULTS!$H$7))*'EUE_Line Losses'!$B$25*Partcipation!$C$26))/1000)</f>
        <v>10515.859513388103</v>
      </c>
      <c r="F40" s="5">
        <f>IF($G40=0,0,(Title_RESULTS!$H$19/100*((1+Title_RESULTS!$H$20/100)^($A40-Title_RESULTS!$H$7))*$D40*1000)/1000)</f>
        <v>3009.801120717887</v>
      </c>
      <c r="G40" s="5">
        <f>(+Title_RESULTS!$H$22/100*((1+Title_RESULTS!$H$23/100)^(+'Sheet4(F_22)'!A40-Title_RESULTS!$H$7)))*'Sheet3(F_21)'!D40</f>
        <v>88293.90227159181</v>
      </c>
      <c r="H40" s="5">
        <f>IF($G40=0,0,(($D40))*(Partcipation!$G40/100))</f>
        <v>58948.14379739202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83581.08190036548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1341169.3668056093</v>
      </c>
      <c r="D42" s="9">
        <f t="shared" si="1"/>
        <v>17846054.96687237</v>
      </c>
      <c r="E42" s="9">
        <f t="shared" si="1"/>
        <v>182399.18879984063</v>
      </c>
      <c r="F42" s="9">
        <f t="shared" si="1"/>
        <v>52205.459969188625</v>
      </c>
      <c r="G42" s="9">
        <f t="shared" si="1"/>
        <v>1267598.3544035559</v>
      </c>
      <c r="H42" s="9">
        <f t="shared" si="1"/>
        <v>922122.0043534895</v>
      </c>
      <c r="I42" s="9">
        <f t="shared" si="1"/>
        <v>0</v>
      </c>
      <c r="J42" s="9">
        <f t="shared" si="1"/>
        <v>1921250.365624705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640692.6320213851</v>
      </c>
      <c r="D44" s="5"/>
      <c r="E44" s="5">
        <f>NPV(Title_RESULTS!$C$37,E17:E41)+'Sheet3(F_21)'!E16</f>
        <v>74536.96482437261</v>
      </c>
      <c r="F44" s="5">
        <f>NPV(Title_RESULTS!$C$37,F17:F41)+'Sheet3(F_21)'!F16</f>
        <v>21333.628504421296</v>
      </c>
      <c r="G44" s="5">
        <f>NPV(Title_RESULTS!$C$37,G17:G41)+'Sheet3(F_21)'!G16</f>
        <v>489609.2994191793</v>
      </c>
      <c r="H44" s="5">
        <f>NPV(Title_RESULTS!$C$37,H17:H41)+'Sheet3(F_21)'!H16</f>
        <v>359548.78598416795</v>
      </c>
      <c r="I44" s="5">
        <f>NPV(Title_RESULTS!$C$37,I17:I41)+'Sheet3(F_21)'!I16</f>
        <v>0</v>
      </c>
      <c r="J44" s="5">
        <f>NPV(Title_RESULTS!$C$37,J17:J41)+'Sheet3(F_21)'!J16</f>
        <v>866623.7387851902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Commercial DR - CPP</v>
      </c>
      <c r="F2" t="s">
        <v>55</v>
      </c>
    </row>
    <row r="3" spans="6:7" ht="12.75">
      <c r="F3" s="35">
        <f>+Title_RESULTS!I4</f>
        <v>43599.31716643518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0</v>
      </c>
      <c r="C31" s="5">
        <f>$B31*'Sheet2(F_12)'!$E31/100</f>
        <v>0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0</v>
      </c>
      <c r="G31" s="5">
        <f>+$F31*'Sheet2(F_12)'!$I31</f>
        <v>0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0</v>
      </c>
      <c r="C32" s="5">
        <f>$B32*'Sheet2(F_12)'!$E32/100</f>
        <v>0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0</v>
      </c>
      <c r="G32" s="5">
        <f>+$F32*'Sheet2(F_12)'!$I32</f>
        <v>0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0</v>
      </c>
      <c r="C33" s="5">
        <f>$B33*'Sheet2(F_12)'!$E33/100</f>
        <v>0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0</v>
      </c>
      <c r="G33" s="5">
        <f>+$F33*'Sheet2(F_12)'!$I33</f>
        <v>0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0</v>
      </c>
      <c r="C34" s="5">
        <f>$B34*'Sheet2(F_12)'!$E34/100</f>
        <v>0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0</v>
      </c>
      <c r="G34" s="5">
        <f>+$F34*'Sheet2(F_12)'!$I34</f>
        <v>0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0</v>
      </c>
      <c r="C35" s="5">
        <f>$B35*'Sheet2(F_12)'!$E35/100</f>
        <v>0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0</v>
      </c>
      <c r="G35" s="5">
        <f>+$F35*'Sheet2(F_12)'!$I35</f>
        <v>0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0</v>
      </c>
      <c r="C36" s="5">
        <f>$B36*'Sheet2(F_12)'!$E36/100</f>
        <v>0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0</v>
      </c>
      <c r="G36" s="5">
        <f>+$F36*'Sheet2(F_12)'!$I36</f>
        <v>0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0</v>
      </c>
      <c r="C37" s="5">
        <f>$B37*'Sheet2(F_12)'!$E37/100</f>
        <v>0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0</v>
      </c>
      <c r="G37" s="5">
        <f>+$F37*'Sheet2(F_12)'!$I37</f>
        <v>0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0</v>
      </c>
      <c r="C38" s="5">
        <f>$B38*'Sheet2(F_12)'!$E38/100</f>
        <v>0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0</v>
      </c>
      <c r="G38" s="5">
        <f>+$F38*'Sheet2(F_12)'!$I38</f>
        <v>0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0</v>
      </c>
      <c r="C39" s="5">
        <f>$B39*'Sheet2(F_12)'!$E39/100</f>
        <v>0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0</v>
      </c>
      <c r="G39" s="5">
        <f>+$F39*'Sheet2(F_12)'!$I39</f>
        <v>0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0</v>
      </c>
      <c r="C40" s="5">
        <f>$B40*'Sheet2(F_12)'!$E40/100</f>
        <v>0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0</v>
      </c>
      <c r="G40" s="5">
        <f>+$F40*'Sheet2(F_12)'!$I40</f>
        <v>0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0</v>
      </c>
      <c r="C42" s="5">
        <f t="shared" si="2"/>
        <v>0</v>
      </c>
      <c r="D42" s="5">
        <f t="shared" si="2"/>
        <v>0</v>
      </c>
      <c r="E42" s="5">
        <f t="shared" si="2"/>
        <v>0</v>
      </c>
      <c r="F42" s="5">
        <f t="shared" si="2"/>
        <v>0</v>
      </c>
      <c r="G42" s="5">
        <f t="shared" si="2"/>
        <v>0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0</v>
      </c>
      <c r="D44" s="5"/>
      <c r="E44" s="5">
        <f>NPV(+Title_RESULTS!$C$37,E17:E41)+E16</f>
        <v>0</v>
      </c>
      <c r="F44" s="5">
        <f>NPV(+Title_RESULTS!$C$37,F17:F41)+F16</f>
        <v>0</v>
      </c>
      <c r="G44" s="5">
        <f>NPV(+Title_RESULTS!$C$37,G17:G41)+G16</f>
        <v>0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Commercial DR - CPP</v>
      </c>
      <c r="J2" t="s">
        <v>42</v>
      </c>
    </row>
    <row r="3" spans="9:10" ht="12.75">
      <c r="I3" s="4"/>
      <c r="J3" s="35">
        <f>+Title_RESULTS!I4</f>
        <v>43599.31716643518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Commercial DR - CPP</v>
      </c>
      <c r="H2" t="s">
        <v>108</v>
      </c>
    </row>
    <row r="3" ht="12.75">
      <c r="H3" s="35">
        <f>+Title_RESULTS!I4</f>
        <v>43599.31716643518</v>
      </c>
    </row>
    <row r="5" spans="3:6" ht="12.75">
      <c r="C5" t="s">
        <v>60</v>
      </c>
      <c r="F5" s="38">
        <f>+'Value of Defferal'!L4</f>
        <v>36366.331596799995</v>
      </c>
    </row>
    <row r="6" spans="3:6" ht="12.75">
      <c r="C6" t="s">
        <v>62</v>
      </c>
      <c r="F6" s="38">
        <f>+'Value of Defferal'!L5</f>
        <v>81160.2548736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2896.8019192733586</v>
      </c>
      <c r="D17" s="5">
        <f>(+B17+C17)*+Partcipation!$H17</f>
        <v>2896.8019192733586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11173.4525952</v>
      </c>
      <c r="G17" s="5">
        <f>(+E17+F17)*Partcipation!$H17</f>
        <v>11173.4525952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2966.3251653359193</v>
      </c>
      <c r="D18" s="5">
        <f>(+B18+C18)*+Partcipation!$H18</f>
        <v>2966.3251653359193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11441.6154574848</v>
      </c>
      <c r="G18" s="5">
        <f>(+E18+F18)*Partcipation!$H18</f>
        <v>11441.6154574848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5003.66764845454</v>
      </c>
      <c r="C19" s="5">
        <f>IF(+Title_RESULTS!$H$9&lt;='Sheet4(F_22)'!$A19,(+Title_RESULTS!$H$16*((1+Title_RESULTS!$H$18/100)^('Sheet4(F_22)'!$A19-Title_RESULTS!$H$7))*Title_RESULTS!$C$8*Partcipation!$C$26/1000),0)</f>
        <v>3037.5169693039816</v>
      </c>
      <c r="D19" s="5">
        <f>(+B19+C19)*+Partcipation!$H19</f>
        <v>8041.184617758521</v>
      </c>
      <c r="E19" s="5">
        <f>VLOOKUP(A19,'Value of Defferal'!$I26:$P$58,'Value of Defferal'!$K$13)</f>
        <v>11166.89321743663</v>
      </c>
      <c r="F19" s="5">
        <f>IF(+'Value of Defferal'!P26=0,0,Title_RESULTS!$H$17*Title_RESULTS!$C$7*Partcipation!$C$26*(1+Title_RESULTS!$H$18/100)^('Sheet4(F_22)'!A19-Title_RESULTS!$H$7))/1000</f>
        <v>11716.214228464438</v>
      </c>
      <c r="G19" s="5">
        <f>(+E19+F19)*Partcipation!$H19</f>
        <v>22883.107445901067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4855.909922632217</v>
      </c>
      <c r="C20" s="5">
        <f>IF(+Title_RESULTS!$H$9&lt;='Sheet4(F_22)'!$A20,(+Title_RESULTS!$H$16*((1+Title_RESULTS!$H$18/100)^('Sheet4(F_22)'!$A20-Title_RESULTS!$H$7))*Title_RESULTS!$C$8*Partcipation!$C$26/1000),0)</f>
        <v>3110.4173765672776</v>
      </c>
      <c r="D20" s="5">
        <f>(+B20+C20)*+Partcipation!$H20</f>
        <v>7966.3272991994945</v>
      </c>
      <c r="E20" s="5">
        <f>VLOOKUP(A20,'Value of Defferal'!$I27:$P$58,'Value of Defferal'!$K$13)</f>
        <v>10837.13615477105</v>
      </c>
      <c r="F20" s="5">
        <f>IF(+'Value of Defferal'!P27=0,0,Title_RESULTS!$H$17*Title_RESULTS!$C$7*Partcipation!$C$26*(1+Title_RESULTS!$H$18/100)^('Sheet4(F_22)'!A20-Title_RESULTS!$H$7))/1000</f>
        <v>11997.403369947582</v>
      </c>
      <c r="G20" s="5">
        <f>(+E20+F20)*Partcipation!$H20</f>
        <v>22834.53952471863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4692.786470934816</v>
      </c>
      <c r="C21" s="5">
        <f>IF(+Title_RESULTS!$H$9&lt;='Sheet4(F_22)'!$A21,(+Title_RESULTS!$H$16*((1+Title_RESULTS!$H$18/100)^('Sheet4(F_22)'!$A21-Title_RESULTS!$H$7))*Title_RESULTS!$C$8*Partcipation!$C$26/1000),0)</f>
        <v>3185.0673936048925</v>
      </c>
      <c r="D21" s="5">
        <f>(+B21+C21)*+Partcipation!$H21</f>
        <v>7877.853864539708</v>
      </c>
      <c r="E21" s="5">
        <f>VLOOKUP(A21,'Value of Defferal'!$I28:$P$58,'Value of Defferal'!$K$13)</f>
        <v>10473.086762536297</v>
      </c>
      <c r="F21" s="5">
        <f>IF(+'Value of Defferal'!P28=0,0,Title_RESULTS!$H$17*Title_RESULTS!$C$7*Partcipation!$C$26*(1+Title_RESULTS!$H$18/100)^('Sheet4(F_22)'!A21-Title_RESULTS!$H$7))/1000</f>
        <v>12285.341050826326</v>
      </c>
      <c r="G21" s="5">
        <f>(+E21+F21)*Partcipation!$H21</f>
        <v>22758.42781336262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4537.475733379532</v>
      </c>
      <c r="C22" s="5">
        <f>IF(+Title_RESULTS!$H$9&lt;='Sheet4(F_22)'!$A22,(+Title_RESULTS!$H$16*((1+Title_RESULTS!$H$18/100)^('Sheet4(F_22)'!$A22-Title_RESULTS!$H$7))*Title_RESULTS!$C$8*Partcipation!$C$26/1000),0)</f>
        <v>3261.509011051409</v>
      </c>
      <c r="D22" s="5">
        <f>(+B22+C22)*+Partcipation!$H22</f>
        <v>7798.984744430942</v>
      </c>
      <c r="E22" s="5">
        <f>VLOOKUP(A22,'Value of Defferal'!$I29:$P$58,'Value of Defferal'!$K$13)</f>
        <v>10126.473329420522</v>
      </c>
      <c r="F22" s="5">
        <f>IF(+'Value of Defferal'!P29=0,0,Title_RESULTS!$H$17*Title_RESULTS!$C$7*Partcipation!$C$26*(1+Title_RESULTS!$H$18/100)^('Sheet4(F_22)'!A22-Title_RESULTS!$H$7))/1000</f>
        <v>12580.189236046153</v>
      </c>
      <c r="G22" s="5">
        <f>(+E22+F22)*Partcipation!$H22</f>
        <v>22706.662565466675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4389.194274365411</v>
      </c>
      <c r="C23" s="5">
        <f>IF(+Title_RESULTS!$H$9&lt;='Sheet4(F_22)'!$A23,(+Title_RESULTS!$H$16*((1+Title_RESULTS!$H$18/100)^('Sheet4(F_22)'!$A23-Title_RESULTS!$H$7))*Title_RESULTS!$C$8*Partcipation!$C$26/1000),0)</f>
        <v>3339.7852273166436</v>
      </c>
      <c r="D23" s="5">
        <f>(+B23+C23)*+Partcipation!$H23</f>
        <v>7728.979501682054</v>
      </c>
      <c r="E23" s="5">
        <f>VLOOKUP(A23,'Value of Defferal'!$I30:$P$58,'Value of Defferal'!$K$13)</f>
        <v>9795.547429606246</v>
      </c>
      <c r="F23" s="5">
        <f>IF(+'Value of Defferal'!P30=0,0,Title_RESULTS!$H$17*Title_RESULTS!$C$7*Partcipation!$C$26*(1+Title_RESULTS!$H$18/100)^('Sheet4(F_22)'!A23-Title_RESULTS!$H$7))/1000</f>
        <v>12882.113777711265</v>
      </c>
      <c r="G23" s="5">
        <f>(+E23+F23)*Partcipation!$H23</f>
        <v>22677.661207317513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4247.245225761215</v>
      </c>
      <c r="C24" s="5">
        <f>IF(+Title_RESULTS!$H$9&lt;='Sheet4(F_22)'!$A24,(+Title_RESULTS!$H$16*((1+Title_RESULTS!$H$18/100)^('Sheet4(F_22)'!$A24-Title_RESULTS!$H$7))*Title_RESULTS!$C$8*Partcipation!$C$26/1000),0)</f>
        <v>3419.9400727722423</v>
      </c>
      <c r="D24" s="5">
        <f>(+B24+C24)*+Partcipation!$H24</f>
        <v>7667.185298533457</v>
      </c>
      <c r="E24" s="5">
        <f>VLOOKUP(A24,'Value of Defferal'!$I31:$P$58,'Value of Defferal'!$K$13)</f>
        <v>9478.753833498924</v>
      </c>
      <c r="F24" s="5">
        <f>IF(+'Value of Defferal'!P31=0,0,Title_RESULTS!$H$17*Title_RESULTS!$C$7*Partcipation!$C$26*(1+Title_RESULTS!$H$18/100)^('Sheet4(F_22)'!A24-Title_RESULTS!$H$7))/1000</f>
        <v>13191.284508376333</v>
      </c>
      <c r="G24" s="5">
        <f>(+E24+F24)*Partcipation!$H24</f>
        <v>22670.038341875257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4109.715446486162</v>
      </c>
      <c r="C25" s="5">
        <f>IF(+Title_RESULTS!$H$9&lt;='Sheet4(F_22)'!$A25,(+Title_RESULTS!$H$16*((1+Title_RESULTS!$H$18/100)^('Sheet4(F_22)'!$A25-Title_RESULTS!$H$7))*Title_RESULTS!$C$8*Partcipation!$C$26/1000),0)</f>
        <v>3502.0186345187763</v>
      </c>
      <c r="D25" s="5">
        <f>(+B25+C25)*+Partcipation!$H25</f>
        <v>7611.734081004939</v>
      </c>
      <c r="E25" s="5">
        <f>VLOOKUP(A25,'Value of Defferal'!$I32:$P$58,'Value of Defferal'!$K$13)</f>
        <v>9171.82290457192</v>
      </c>
      <c r="F25" s="5">
        <f>IF(+'Value of Defferal'!P32=0,0,Title_RESULTS!$H$17*Title_RESULTS!$C$7*Partcipation!$C$26*(1+Title_RESULTS!$H$18/100)^('Sheet4(F_22)'!A25-Title_RESULTS!$H$7))/1000</f>
        <v>13507.875336577365</v>
      </c>
      <c r="G25" s="5">
        <f>(+E25+F25)*Partcipation!$H25</f>
        <v>22679.698241149286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3973.6010453410113</v>
      </c>
      <c r="C26" s="5">
        <f>IF(+Title_RESULTS!$H$9&lt;='Sheet4(F_22)'!$A26,(+Title_RESULTS!$H$16*((1+Title_RESULTS!$H$18/100)^('Sheet4(F_22)'!$A26-Title_RESULTS!$H$7))*Title_RESULTS!$C$8*Partcipation!$C$26/1000),0)</f>
        <v>3586.067081747227</v>
      </c>
      <c r="D26" s="5">
        <f>(+B26+C26)*+Partcipation!$H26</f>
        <v>7559.668127088238</v>
      </c>
      <c r="E26" s="5">
        <f>VLOOKUP(A26,'Value of Defferal'!$I33:$P$58,'Value of Defferal'!$K$13)</f>
        <v>8868.05073388974</v>
      </c>
      <c r="F26" s="5">
        <f>IF(+'Value of Defferal'!P33=0,0,Title_RESULTS!$H$17*Title_RESULTS!$C$7*Partcipation!$C$26*(1+Title_RESULTS!$H$18/100)^('Sheet4(F_22)'!A26-Title_RESULTS!$H$7))/1000</f>
        <v>13832.064344655222</v>
      </c>
      <c r="G26" s="5">
        <f>(+E26+F26)*Partcipation!$H26</f>
        <v>22700.115078544964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3837.4866441958598</v>
      </c>
      <c r="C27" s="5">
        <f>IF(+Title_RESULTS!$H$9&lt;='Sheet4(F_22)'!$A27,(+Title_RESULTS!$H$16*((1+Title_RESULTS!$H$18/100)^('Sheet4(F_22)'!$A27-Title_RESULTS!$H$7))*Title_RESULTS!$C$8*Partcipation!$C$26/1000),0)</f>
        <v>3672.1326917091606</v>
      </c>
      <c r="D27" s="5">
        <f>(+B27+C27)*+Partcipation!$H27</f>
        <v>7509.61933590502</v>
      </c>
      <c r="E27" s="5">
        <f>VLOOKUP(A27,'Value of Defferal'!$I34:$P$58,'Value of Defferal'!$K$13)</f>
        <v>8564.27856320756</v>
      </c>
      <c r="F27" s="5">
        <f>IF(+'Value of Defferal'!P34=0,0,Title_RESULTS!$H$17*Title_RESULTS!$C$7*Partcipation!$C$26*(1+Title_RESULTS!$H$18/100)^('Sheet4(F_22)'!A27-Title_RESULTS!$H$7))/1000</f>
        <v>14164.03388892695</v>
      </c>
      <c r="G27" s="5">
        <f>(+E27+F27)*Partcipation!$H27</f>
        <v>22728.31245213451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3701.3722430507087</v>
      </c>
      <c r="C28" s="5">
        <f>IF(+Title_RESULTS!$H$9&lt;='Sheet4(F_22)'!$A28,(+Title_RESULTS!$H$16*((1+Title_RESULTS!$H$18/100)^('Sheet4(F_22)'!$A28-Title_RESULTS!$H$7))*Title_RESULTS!$C$8*Partcipation!$C$26/1000),0)</f>
        <v>3760.2638763101804</v>
      </c>
      <c r="D28" s="5">
        <f>(+B28+C28)*+Partcipation!$H28</f>
        <v>7461.636119360889</v>
      </c>
      <c r="E28" s="5">
        <f>VLOOKUP(A28,'Value of Defferal'!$I35:$P$58,'Value of Defferal'!$K$13)</f>
        <v>8260.50639252538</v>
      </c>
      <c r="F28" s="5">
        <f>IF(+'Value of Defferal'!P35=0,0,Title_RESULTS!$H$17*Title_RESULTS!$C$7*Partcipation!$C$26*(1+Title_RESULTS!$H$18/100)^('Sheet4(F_22)'!A28-Title_RESULTS!$H$7))/1000</f>
        <v>14503.970702261195</v>
      </c>
      <c r="G28" s="5">
        <f>(+E28+F28)*Partcipation!$H28</f>
        <v>22764.477094786576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3565.2578419055576</v>
      </c>
      <c r="C29" s="5">
        <f>IF(+Title_RESULTS!$H$9&lt;='Sheet4(F_22)'!$A29,(+Title_RESULTS!$H$16*((1+Title_RESULTS!$H$18/100)^('Sheet4(F_22)'!$A29-Title_RESULTS!$H$7))*Title_RESULTS!$C$8*Partcipation!$C$26/1000),0)</f>
        <v>3850.5102093416244</v>
      </c>
      <c r="D29" s="5">
        <f>(+B29+C29)*+Partcipation!$H29</f>
        <v>7415.768051247182</v>
      </c>
      <c r="E29" s="5">
        <f>VLOOKUP(A29,'Value of Defferal'!$I36:$P$58,'Value of Defferal'!$K$13)</f>
        <v>7956.7342218431995</v>
      </c>
      <c r="F29" s="5">
        <f>IF(+'Value of Defferal'!P36=0,0,Title_RESULTS!$H$17*Title_RESULTS!$C$7*Partcipation!$C$26*(1+Title_RESULTS!$H$18/100)^('Sheet4(F_22)'!A29-Title_RESULTS!$H$7))/1000</f>
        <v>14852.065999115463</v>
      </c>
      <c r="G29" s="5">
        <f>(+E29+F29)*Partcipation!$H29</f>
        <v>22808.800220958663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3429.143440760406</v>
      </c>
      <c r="C30" s="5">
        <f>IF(+Title_RESULTS!$H$9&lt;='Sheet4(F_22)'!$A30,(+Title_RESULTS!$H$16*((1+Title_RESULTS!$H$18/100)^('Sheet4(F_22)'!$A30-Title_RESULTS!$H$7))*Title_RESULTS!$C$8*Partcipation!$C$26/1000),0)</f>
        <v>3942.9224543658233</v>
      </c>
      <c r="D30" s="5">
        <f>(+B30+C30)*+Partcipation!$H30</f>
        <v>7372.065895126229</v>
      </c>
      <c r="E30" s="5">
        <f>VLOOKUP(A30,'Value of Defferal'!$I37:$P$58,'Value of Defferal'!$K$13)</f>
        <v>7652.962051161018</v>
      </c>
      <c r="F30" s="5">
        <f>IF(+'Value of Defferal'!P37=0,0,Title_RESULTS!$H$17*Title_RESULTS!$C$7*Partcipation!$C$26*(1+Title_RESULTS!$H$18/100)^('Sheet4(F_22)'!A30-Title_RESULTS!$H$7))/1000</f>
        <v>15208.515583094233</v>
      </c>
      <c r="G30" s="5">
        <f>(+E30+F30)*Partcipation!$H30</f>
        <v>22861.47763425525</v>
      </c>
      <c r="H30" s="5">
        <f>+'Sheet5(p_5)'!$F30*'Sheet2(F_12)'!$I30</f>
        <v>0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3293.0290396152545</v>
      </c>
      <c r="C31" s="5">
        <f>IF(+Title_RESULTS!$H$9&lt;='Sheet4(F_22)'!$A31,(+Title_RESULTS!$H$16*((1+Title_RESULTS!$H$18/100)^('Sheet4(F_22)'!$A31-Title_RESULTS!$H$7))*Title_RESULTS!$C$8*Partcipation!$C$26/1000),0)</f>
        <v>4037.552593270603</v>
      </c>
      <c r="D31" s="5">
        <f>(+B31+C31)*+Partcipation!$H31</f>
        <v>7330.581632885858</v>
      </c>
      <c r="E31" s="5">
        <f>VLOOKUP(A31,'Value of Defferal'!$I38:$P$58,'Value of Defferal'!$K$13)</f>
        <v>7349.189880478836</v>
      </c>
      <c r="F31" s="5">
        <f>IF(+'Value of Defferal'!P38=0,0,Title_RESULTS!$H$17*Title_RESULTS!$C$7*Partcipation!$C$26*(1+Title_RESULTS!$H$18/100)^('Sheet4(F_22)'!A31-Title_RESULTS!$H$7))/1000</f>
        <v>15573.519957088496</v>
      </c>
      <c r="G31" s="5">
        <f>(+E31+F31)*Partcipation!$H31</f>
        <v>22922.70983756733</v>
      </c>
      <c r="H31" s="5">
        <f>+'Sheet5(p_5)'!$F31*'Sheet2(F_12)'!$I31</f>
        <v>0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3156.9146384701025</v>
      </c>
      <c r="C32" s="5">
        <f>IF(+Title_RESULTS!$H$9&lt;='Sheet4(F_22)'!$A32,(+Title_RESULTS!$H$16*((1+Title_RESULTS!$H$18/100)^('Sheet4(F_22)'!$A32-Title_RESULTS!$H$7))*Title_RESULTS!$C$8*Partcipation!$C$26/1000),0)</f>
        <v>4134.453855509098</v>
      </c>
      <c r="D32" s="5">
        <f>(+B32+C32)*+Partcipation!$H32</f>
        <v>7291.3684939792</v>
      </c>
      <c r="E32" s="5">
        <f>VLOOKUP(A32,'Value of Defferal'!$I39:$P$58,'Value of Defferal'!$K$13)</f>
        <v>7045.417709796655</v>
      </c>
      <c r="F32" s="5">
        <f>IF(+'Value of Defferal'!P39=0,0,Title_RESULTS!$H$17*Title_RESULTS!$C$7*Partcipation!$C$26*(1+Title_RESULTS!$H$18/100)^('Sheet4(F_22)'!A32-Title_RESULTS!$H$7))/1000</f>
        <v>15947.284436058619</v>
      </c>
      <c r="G32" s="5">
        <f>(+E32+F32)*Partcipation!$H32</f>
        <v>22992.702145855274</v>
      </c>
      <c r="H32" s="5">
        <f>+'Sheet5(p_5)'!$F32*'Sheet2(F_12)'!$I32</f>
        <v>0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3020.8002373249524</v>
      </c>
      <c r="C33" s="5">
        <f>IF(+Title_RESULTS!$H$9&lt;='Sheet4(F_22)'!$A33,(+Title_RESULTS!$H$16*((1+Title_RESULTS!$H$18/100)^('Sheet4(F_22)'!$A33-Title_RESULTS!$H$7))*Title_RESULTS!$C$8*Partcipation!$C$26/1000),0)</f>
        <v>4233.680748041316</v>
      </c>
      <c r="D33" s="5">
        <f>(+B33+C33)*+Partcipation!$H33</f>
        <v>7254.480985366268</v>
      </c>
      <c r="E33" s="5">
        <f>VLOOKUP(A33,'Value of Defferal'!$I40:$P$58,'Value of Defferal'!$K$13)</f>
        <v>6741.645539114476</v>
      </c>
      <c r="F33" s="5">
        <f>IF(+'Value of Defferal'!P40=0,0,Title_RESULTS!$H$17*Title_RESULTS!$C$7*Partcipation!$C$26*(1+Title_RESULTS!$H$18/100)^('Sheet4(F_22)'!A33-Title_RESULTS!$H$7))/1000</f>
        <v>16330.019262524025</v>
      </c>
      <c r="G33" s="5">
        <f>(+E33+F33)*Partcipation!$H33</f>
        <v>23071.6648016385</v>
      </c>
      <c r="H33" s="5">
        <f>+'Sheet5(p_5)'!$F33*'Sheet2(F_12)'!$I33</f>
        <v>0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2897.467523083774</v>
      </c>
      <c r="C34" s="5">
        <f>IF(+Title_RESULTS!$H$9&lt;='Sheet4(F_22)'!$A34,(+Title_RESULTS!$H$16*((1+Title_RESULTS!$H$18/100)^('Sheet4(F_22)'!$A34-Title_RESULTS!$H$7))*Title_RESULTS!$C$8*Partcipation!$C$26/1000),0)</f>
        <v>4335.289085994306</v>
      </c>
      <c r="D34" s="5">
        <f>(+B34+C34)*+Partcipation!$H34</f>
        <v>7232.75660907808</v>
      </c>
      <c r="E34" s="5">
        <f>VLOOKUP(A34,'Value of Defferal'!$I41:$P$58,'Value of Defferal'!$K$13)</f>
        <v>6466.3987907471555</v>
      </c>
      <c r="F34" s="5">
        <f>IF(+'Value of Defferal'!P41=0,0,Title_RESULTS!$H$17*Title_RESULTS!$C$7*Partcipation!$C$26*(1+Title_RESULTS!$H$18/100)^('Sheet4(F_22)'!A34-Title_RESULTS!$H$7))/1000</f>
        <v>16721.9397248246</v>
      </c>
      <c r="G34" s="5">
        <f>(+E34+F34)*Partcipation!$H34</f>
        <v>23188.338515571755</v>
      </c>
      <c r="H34" s="5">
        <f>+'Sheet5(p_5)'!$F34*'Sheet2(F_12)'!$I34</f>
        <v>0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2799.6938542770563</v>
      </c>
      <c r="C35" s="5">
        <f>IF(+Title_RESULTS!$H$9&lt;='Sheet4(F_22)'!$A35,(+Title_RESULTS!$H$16*((1+Title_RESULTS!$H$18/100)^('Sheet4(F_22)'!$A35-Title_RESULTS!$H$7))*Title_RESULTS!$C$8*Partcipation!$C$26/1000),0)</f>
        <v>4439.336024058171</v>
      </c>
      <c r="D35" s="5">
        <f>(+B35+C35)*+Partcipation!$H35</f>
        <v>7239.029878335226</v>
      </c>
      <c r="E35" s="5">
        <f>VLOOKUP(A35,'Value of Defferal'!$I42:$P$58,'Value of Defferal'!$K$13)</f>
        <v>6248.193227198414</v>
      </c>
      <c r="F35" s="5">
        <f>IF(+'Value of Defferal'!P42=0,0,Title_RESULTS!$H$17*Title_RESULTS!$C$7*Partcipation!$C$26*(1+Title_RESULTS!$H$18/100)^('Sheet4(F_22)'!A35-Title_RESULTS!$H$7))/1000</f>
        <v>17123.26627822039</v>
      </c>
      <c r="G35" s="5">
        <f>(+E35+F35)*Partcipation!$H35</f>
        <v>23371.459505418807</v>
      </c>
      <c r="H35" s="5">
        <f>+'Sheet5(p_5)'!$F35*'Sheet2(F_12)'!$I35</f>
        <v>0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2714.697544000826</v>
      </c>
      <c r="C36" s="5">
        <f>IF(+Title_RESULTS!$H$9&lt;='Sheet4(F_22)'!$A36,(+Title_RESULTS!$H$16*((1+Title_RESULTS!$H$18/100)^('Sheet4(F_22)'!$A36-Title_RESULTS!$H$7))*Title_RESULTS!$C$8*Partcipation!$C$26/1000),0)</f>
        <v>4545.880088635567</v>
      </c>
      <c r="D36" s="5">
        <f>(+B36+C36)*+Partcipation!$H36</f>
        <v>7260.577632636392</v>
      </c>
      <c r="E36" s="5">
        <f>VLOOKUP(A36,'Value of Defferal'!$I43:$P$58,'Value of Defferal'!$K$13)</f>
        <v>6058.503426153388</v>
      </c>
      <c r="F36" s="5">
        <f>IF(+'Value of Defferal'!P43=0,0,Title_RESULTS!$H$17*Title_RESULTS!$C$7*Partcipation!$C$26*(1+Title_RESULTS!$H$18/100)^('Sheet4(F_22)'!A36-Title_RESULTS!$H$7))/1000</f>
        <v>17534.22466889768</v>
      </c>
      <c r="G36" s="5">
        <f>(+E36+F36)*Partcipation!$H36</f>
        <v>23592.72809505107</v>
      </c>
      <c r="H36" s="5">
        <f>+'Sheet5(p_5)'!$F36*'Sheet2(F_12)'!$I36</f>
        <v>0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2629.7012337245965</v>
      </c>
      <c r="C37" s="5">
        <f>IF(+Title_RESULTS!$H$9&lt;='Sheet4(F_22)'!$A37,(+Title_RESULTS!$H$16*((1+Title_RESULTS!$H$18/100)^('Sheet4(F_22)'!$A37-Title_RESULTS!$H$7))*Title_RESULTS!$C$8*Partcipation!$C$26/1000),0)</f>
        <v>4654.98121076282</v>
      </c>
      <c r="D37" s="5">
        <f>(+B37+C37)*+Partcipation!$H37</f>
        <v>7284.682444487416</v>
      </c>
      <c r="E37" s="5">
        <f>VLOOKUP(A37,'Value of Defferal'!$I44:$P$58,'Value of Defferal'!$K$13)</f>
        <v>5868.813625108363</v>
      </c>
      <c r="F37" s="5">
        <f>IF(+'Value of Defferal'!P44=0,0,Title_RESULTS!$H$17*Title_RESULTS!$C$7*Partcipation!$C$26*(1+Title_RESULTS!$H$18/100)^('Sheet4(F_22)'!A37-Title_RESULTS!$H$7))/1000</f>
        <v>17955.04606095123</v>
      </c>
      <c r="G37" s="5">
        <f>(+E37+F37)*Partcipation!$H37</f>
        <v>23823.859686059594</v>
      </c>
      <c r="H37" s="5">
        <f>+'Sheet5(p_5)'!$F37*'Sheet2(F_12)'!$I37</f>
        <v>0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2544.704923448365</v>
      </c>
      <c r="C38" s="5">
        <f>IF(+Title_RESULTS!$H$9&lt;='Sheet4(F_22)'!$A38,(+Title_RESULTS!$H$16*((1+Title_RESULTS!$H$18/100)^('Sheet4(F_22)'!$A38-Title_RESULTS!$H$7))*Title_RESULTS!$C$8*Partcipation!$C$26/1000),0)</f>
        <v>4766.700759821128</v>
      </c>
      <c r="D38" s="5">
        <f>(+B38+C38)*+Partcipation!$H38</f>
        <v>7311.405683269493</v>
      </c>
      <c r="E38" s="5">
        <f>VLOOKUP(A38,'Value of Defferal'!$I45:$P$58,'Value of Defferal'!$K$13)</f>
        <v>5679.123824063336</v>
      </c>
      <c r="F38" s="5">
        <f>IF(+'Value of Defferal'!P45=0,0,Title_RESULTS!$H$17*Title_RESULTS!$C$7*Partcipation!$C$26*(1+Title_RESULTS!$H$18/100)^('Sheet4(F_22)'!A38-Title_RESULTS!$H$7))/1000</f>
        <v>18385.96716641405</v>
      </c>
      <c r="G38" s="5">
        <f>(+E38+F38)*Partcipation!$H38</f>
        <v>24065.090990477387</v>
      </c>
      <c r="H38" s="5">
        <f>+'Sheet5(p_5)'!$F38*'Sheet2(F_12)'!$I38</f>
        <v>0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2459.708613172135</v>
      </c>
      <c r="C39" s="5">
        <f>IF(+Title_RESULTS!$H$9&lt;='Sheet4(F_22)'!$A39,(+Title_RESULTS!$H$16*((1+Title_RESULTS!$H$18/100)^('Sheet4(F_22)'!$A39-Title_RESULTS!$H$7))*Title_RESULTS!$C$8*Partcipation!$C$26/1000),0)</f>
        <v>4881.101578056835</v>
      </c>
      <c r="D39" s="5">
        <f>(+B39+C39)*+Partcipation!$H39</f>
        <v>7340.810191228969</v>
      </c>
      <c r="E39" s="5">
        <f>VLOOKUP(A39,'Value of Defferal'!$I46:$P$58,'Value of Defferal'!$K$13)</f>
        <v>5489.43402301831</v>
      </c>
      <c r="F39" s="5">
        <f>IF(+'Value of Defferal'!P46=0,0,Title_RESULTS!$H$17*Title_RESULTS!$C$7*Partcipation!$C$26*(1+Title_RESULTS!$H$18/100)^('Sheet4(F_22)'!A39-Title_RESULTS!$H$7))/1000</f>
        <v>18827.230378407996</v>
      </c>
      <c r="G39" s="5">
        <f>(+E39+F39)*Partcipation!$H39</f>
        <v>24316.664401426307</v>
      </c>
      <c r="H39" s="5">
        <f>+'Sheet5(p_5)'!$F39*'Sheet2(F_12)'!$I39</f>
        <v>0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2374.7123028959054</v>
      </c>
      <c r="C40" s="5">
        <f>IF(+Title_RESULTS!$H$9&lt;='Sheet4(F_22)'!$A40,(+Title_RESULTS!$H$16*((1+Title_RESULTS!$H$18/100)^('Sheet4(F_22)'!$A40-Title_RESULTS!$H$7))*Title_RESULTS!$C$8*Partcipation!$C$26/1000),0)</f>
        <v>4998.248015930199</v>
      </c>
      <c r="D40" s="5">
        <f>(+B40+C40)*+Partcipation!$H40</f>
        <v>7372.960318826104</v>
      </c>
      <c r="E40" s="5">
        <f>VLOOKUP(A40,'Value of Defferal'!$I47:$P$58,'Value of Defferal'!$K$13)</f>
        <v>5299.744221973285</v>
      </c>
      <c r="F40" s="5">
        <f>IF(+'Value of Defferal'!P47=0,0,Title_RESULTS!$H$17*Title_RESULTS!$C$7*Partcipation!$C$26*(1+Title_RESULTS!$H$18/100)^('Sheet4(F_22)'!A40-Title_RESULTS!$H$7))/1000</f>
        <v>19279.08390748978</v>
      </c>
      <c r="G40" s="5">
        <f>(+E40+F40)*Partcipation!$H40</f>
        <v>24578.828129463065</v>
      </c>
      <c r="H40" s="5">
        <f>+'Sheet5(p_5)'!$F40*'Sheet2(F_12)'!$I40</f>
        <v>0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78234.28584728041</v>
      </c>
      <c r="C42" s="5">
        <f t="shared" si="1"/>
        <v>92558.50204329855</v>
      </c>
      <c r="D42" s="5">
        <f t="shared" si="1"/>
        <v>170792.78789057894</v>
      </c>
      <c r="E42" s="5">
        <f t="shared" si="1"/>
        <v>174598.7098621207</v>
      </c>
      <c r="F42" s="5">
        <f t="shared" si="1"/>
        <v>357013.72191956424</v>
      </c>
      <c r="G42" s="5">
        <f t="shared" si="1"/>
        <v>531612.4317816849</v>
      </c>
      <c r="H42" s="5">
        <f t="shared" si="1"/>
        <v>0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37373.45316288641</v>
      </c>
      <c r="C44" s="5">
        <f>NPV(Title_RESULTS!$C$37,'Sheet4(F_22)'!C17:C41)+'Sheet4(F_22)'!C16</f>
        <v>40720.146842929</v>
      </c>
      <c r="D44" s="5">
        <f>NPV(Title_RESULTS!$C$37,'Sheet4(F_22)'!D17:D41)+'Sheet4(F_22)'!D16</f>
        <v>78093.60000581542</v>
      </c>
      <c r="E44" s="5">
        <f>NPV(Title_RESULTS!$C$37,'Sheet4(F_22)'!E17:E41)+'Sheet4(F_22)'!E16</f>
        <v>83407.88996362005</v>
      </c>
      <c r="F44" s="5">
        <f>NPV(Title_RESULTS!$C$37,'Sheet4(F_22)'!F17:F41)+'Sheet4(F_22)'!F16</f>
        <v>157064.4604285472</v>
      </c>
      <c r="G44" s="5">
        <f>NPV(Title_RESULTS!$C$37,'Sheet4(F_22)'!G17:G41)+'Sheet4(F_22)'!G16</f>
        <v>240472.35039216725</v>
      </c>
      <c r="H44" s="5">
        <f>NPV(Title_RESULTS!$C$37,'Sheet4(F_22)'!H17:H41)+'Sheet4(F_22)'!H16</f>
        <v>0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Commercial DR - CPP</v>
      </c>
      <c r="P2" t="s">
        <v>121</v>
      </c>
    </row>
    <row r="3" ht="12.75">
      <c r="P3" s="35">
        <f>+Title_RESULTS!I4</f>
        <v>43599.31716643518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1353</v>
      </c>
      <c r="C16" s="5">
        <f>(Partcipation!$C15+(Partcipation!$C16-Partcipation!$C15)/2)*(Title_RESULTS!$C$27*((1+Title_RESULTS!$C$28/100)^('Sheet9(F_25)'!$A16-Title_RESULTS!$H$7)))/1000</f>
        <v>7.5</v>
      </c>
      <c r="D16" s="5">
        <f>SUM(B16:C16)</f>
        <v>1360.5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17796.8584627371</v>
      </c>
      <c r="G16" s="5">
        <f>SUM(E16:F16)</f>
        <v>17796.8584627371</v>
      </c>
      <c r="H16" s="5">
        <f>IF(Partcipation!$B17&lt;Partcipation!$B16,0,IF(Partcipation!$B16=0,0,(Partcipation!$B16-Partcipation!$B15)*(+Title_RESULTS!$C$29*(1+Title_RESULTS!$C$30/100)^(+'Sheet8(F_24)'!$A16-Title_RESULTS!$H$7))/1000))</f>
        <v>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0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1385.472</v>
      </c>
      <c r="C17" s="5">
        <f>(Partcipation!$C16+(Partcipation!$C17-Partcipation!$C16)/2)*(Title_RESULTS!$C$27*((1+Title_RESULTS!$C$28/100)^('Sheet9(F_25)'!$A17-Title_RESULTS!$H$7)))/1000</f>
        <v>23.04</v>
      </c>
      <c r="D17" s="5">
        <f>SUM(B17:C17)</f>
        <v>1408.512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53390.5753882113</v>
      </c>
      <c r="G17" s="5">
        <f>SUM(E17:F17)</f>
        <v>53390.5753882113</v>
      </c>
      <c r="H17" s="5">
        <f>IF(Partcipation!$B18&lt;Partcipation!$B17,0,IF(Partcipation!$B17=0,0,(Partcipation!$B17-Partcipation!$B16)*(+Title_RESULTS!$C$29*(1+Title_RESULTS!$C$30/100)^(+'Sheet8(F_24)'!$A17-Title_RESULTS!$H$7))/1000))</f>
        <v>0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0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1418.723328</v>
      </c>
      <c r="C18" s="5">
        <f>(Partcipation!$C17+(Partcipation!$C18-Partcipation!$C17)/2)*(Title_RESULTS!$C$27*((1+Title_RESULTS!$C$28/100)^('Sheet9(F_25)'!$A18-Title_RESULTS!$H$7)))/1000</f>
        <v>39.3216</v>
      </c>
      <c r="D18" s="5">
        <f>SUM(B18:C18)</f>
        <v>1458.044928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88984.2923136855</v>
      </c>
      <c r="G18" s="5">
        <f>SUM(E18:F18)</f>
        <v>88984.2923136855</v>
      </c>
      <c r="H18" s="5">
        <f>IF(Partcipation!$B19&lt;Partcipation!$B18,0,IF(Partcipation!$B18=0,0,(Partcipation!$B18-Partcipation!$B17)*(+Title_RESULTS!$C$29*(1+Title_RESULTS!$C$30/100)^(+'Sheet8(F_24)'!$A18-Title_RESULTS!$H$7))/1000))</f>
        <v>0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0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48.318382080000006</v>
      </c>
      <c r="D19" s="5">
        <f aca="true" t="shared" si="1" ref="D19:D40">SUM(B19:C19)</f>
        <v>48.318382080000006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106781.1507764226</v>
      </c>
      <c r="G19" s="5">
        <f aca="true" t="shared" si="2" ref="G19:G40">SUM(E19:F19)</f>
        <v>106781.1507764226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49.47802324992</v>
      </c>
      <c r="D20" s="5">
        <f t="shared" si="1"/>
        <v>49.47802324992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106781.1507764226</v>
      </c>
      <c r="G20" s="5">
        <f t="shared" si="2"/>
        <v>106781.1507764226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50.665495807918084</v>
      </c>
      <c r="D21" s="5">
        <f t="shared" si="1"/>
        <v>50.665495807918084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106781.1507764226</v>
      </c>
      <c r="G21" s="5">
        <f t="shared" si="2"/>
        <v>106781.1507764226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51.881467707308104</v>
      </c>
      <c r="D22" s="5">
        <f t="shared" si="1"/>
        <v>51.881467707308104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106781.1507764226</v>
      </c>
      <c r="G22" s="5">
        <f t="shared" si="2"/>
        <v>106781.1507764226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53.12662293228351</v>
      </c>
      <c r="D23" s="5">
        <f t="shared" si="1"/>
        <v>53.12662293228351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106781.1507764226</v>
      </c>
      <c r="G23" s="5">
        <f t="shared" si="2"/>
        <v>106781.1507764226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54.40166188265832</v>
      </c>
      <c r="D24" s="5">
        <f t="shared" si="1"/>
        <v>54.40166188265832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106781.1507764226</v>
      </c>
      <c r="G24" s="5">
        <f t="shared" si="2"/>
        <v>106781.1507764226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55.707301767842104</v>
      </c>
      <c r="D25" s="5">
        <f t="shared" si="1"/>
        <v>55.707301767842104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106781.1507764226</v>
      </c>
      <c r="G25" s="5">
        <f t="shared" si="2"/>
        <v>106781.1507764226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57.044277010270314</v>
      </c>
      <c r="D26" s="5">
        <f t="shared" si="1"/>
        <v>57.044277010270314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106781.1507764226</v>
      </c>
      <c r="G26" s="5">
        <f t="shared" si="2"/>
        <v>106781.1507764226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58.41333965851681</v>
      </c>
      <c r="D27" s="5">
        <f t="shared" si="1"/>
        <v>58.41333965851681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106781.1507764226</v>
      </c>
      <c r="G27" s="5">
        <f t="shared" si="2"/>
        <v>106781.1507764226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59.815259810321216</v>
      </c>
      <c r="D28" s="5">
        <f t="shared" si="1"/>
        <v>59.815259810321216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106781.1507764226</v>
      </c>
      <c r="G28" s="5">
        <f t="shared" si="2"/>
        <v>106781.1507764226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61.25082604576892</v>
      </c>
      <c r="D29" s="5">
        <f t="shared" si="1"/>
        <v>61.25082604576892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106781.1507764226</v>
      </c>
      <c r="G29" s="5">
        <f t="shared" si="2"/>
        <v>106781.1507764226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62.720845870867365</v>
      </c>
      <c r="D30" s="5">
        <f t="shared" si="1"/>
        <v>62.720845870867365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106781.1507764226</v>
      </c>
      <c r="G30" s="5">
        <f t="shared" si="2"/>
        <v>106781.1507764226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64.22614617176819</v>
      </c>
      <c r="D31" s="5">
        <f t="shared" si="1"/>
        <v>64.22614617176819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106781.1507764226</v>
      </c>
      <c r="G31" s="5">
        <f t="shared" si="2"/>
        <v>106781.1507764226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0</v>
      </c>
      <c r="L31" s="5">
        <f>($K31)*Partcipation!$E88*Title_RESULTS!$C$12/100</f>
        <v>0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0</v>
      </c>
      <c r="N31" s="5">
        <f>'Sheet2(F_12)'!$I31*('Sheet6(p_6)'!$L31+'Sheet6(p_6)'!$M31)</f>
        <v>0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65.76757367989063</v>
      </c>
      <c r="D32" s="5">
        <f t="shared" si="1"/>
        <v>65.76757367989063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106781.1507764226</v>
      </c>
      <c r="G32" s="5">
        <f t="shared" si="2"/>
        <v>106781.1507764226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0</v>
      </c>
      <c r="L32" s="5">
        <f>($K32)*Partcipation!$E89*Title_RESULTS!$C$12/100</f>
        <v>0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0</v>
      </c>
      <c r="N32" s="5">
        <f>'Sheet2(F_12)'!$I32*('Sheet6(p_6)'!$L32+'Sheet6(p_6)'!$M32)</f>
        <v>0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67.34599544820799</v>
      </c>
      <c r="D33" s="5">
        <f t="shared" si="1"/>
        <v>67.34599544820799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106781.1507764226</v>
      </c>
      <c r="G33" s="5">
        <f t="shared" si="2"/>
        <v>106781.1507764226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0</v>
      </c>
      <c r="L33" s="5">
        <f>($K33)*Partcipation!$E90*Title_RESULTS!$C$12/100</f>
        <v>0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0</v>
      </c>
      <c r="N33" s="5">
        <f>'Sheet2(F_12)'!$I33*('Sheet6(p_6)'!$L33+'Sheet6(p_6)'!$M33)</f>
        <v>0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68.96229933896498</v>
      </c>
      <c r="D34" s="5">
        <f t="shared" si="1"/>
        <v>68.96229933896498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106781.1507764226</v>
      </c>
      <c r="G34" s="5">
        <f t="shared" si="2"/>
        <v>106781.1507764226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0</v>
      </c>
      <c r="L34" s="5">
        <f>($K34)*Partcipation!$E91*Title_RESULTS!$C$12/100</f>
        <v>0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0</v>
      </c>
      <c r="N34" s="5">
        <f>'Sheet2(F_12)'!$I34*('Sheet6(p_6)'!$L34+'Sheet6(p_6)'!$M34)</f>
        <v>0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70.61739452310016</v>
      </c>
      <c r="D35" s="5">
        <f t="shared" si="1"/>
        <v>70.61739452310016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106781.1507764226</v>
      </c>
      <c r="G35" s="5">
        <f t="shared" si="2"/>
        <v>106781.1507764226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0</v>
      </c>
      <c r="L35" s="5">
        <f>($K35)*Partcipation!$E92*Title_RESULTS!$C$12/100</f>
        <v>0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0</v>
      </c>
      <c r="N35" s="5">
        <f>'Sheet2(F_12)'!$I35*('Sheet6(p_6)'!$L35+'Sheet6(p_6)'!$M35)</f>
        <v>0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72.31221199165455</v>
      </c>
      <c r="D36" s="5">
        <f t="shared" si="1"/>
        <v>72.31221199165455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106781.1507764226</v>
      </c>
      <c r="G36" s="5">
        <f t="shared" si="2"/>
        <v>106781.1507764226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0</v>
      </c>
      <c r="L36" s="5">
        <f>($K36)*Partcipation!$E93*Title_RESULTS!$C$12/100</f>
        <v>0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0</v>
      </c>
      <c r="N36" s="5">
        <f>'Sheet2(F_12)'!$I36*('Sheet6(p_6)'!$L36+'Sheet6(p_6)'!$M36)</f>
        <v>0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74.04770507945426</v>
      </c>
      <c r="D37" s="5">
        <f t="shared" si="1"/>
        <v>74.04770507945426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106781.1507764226</v>
      </c>
      <c r="G37" s="5">
        <f t="shared" si="2"/>
        <v>106781.1507764226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0</v>
      </c>
      <c r="L37" s="5">
        <f>($K37)*Partcipation!$E94*Title_RESULTS!$C$12/100</f>
        <v>0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0</v>
      </c>
      <c r="N37" s="5">
        <f>'Sheet2(F_12)'!$I37*('Sheet6(p_6)'!$L37+'Sheet6(p_6)'!$M37)</f>
        <v>0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75.82485000136114</v>
      </c>
      <c r="D38" s="5">
        <f t="shared" si="1"/>
        <v>75.82485000136114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106781.1507764226</v>
      </c>
      <c r="G38" s="5">
        <f t="shared" si="2"/>
        <v>106781.1507764226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0</v>
      </c>
      <c r="L38" s="5">
        <f>($K38)*Partcipation!$E95*Title_RESULTS!$C$12/100</f>
        <v>0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0</v>
      </c>
      <c r="N38" s="5">
        <f>'Sheet2(F_12)'!$I38*('Sheet6(p_6)'!$L38+'Sheet6(p_6)'!$M38)</f>
        <v>0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77.64464640139384</v>
      </c>
      <c r="D39" s="5">
        <f t="shared" si="1"/>
        <v>77.64464640139384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106781.1507764226</v>
      </c>
      <c r="G39" s="5">
        <f t="shared" si="2"/>
        <v>106781.1507764226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0</v>
      </c>
      <c r="L39" s="5">
        <f>($K39)*Partcipation!$E96*Title_RESULTS!$C$12/100</f>
        <v>0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0</v>
      </c>
      <c r="N39" s="5">
        <f>'Sheet2(F_12)'!$I39*('Sheet6(p_6)'!$L39+'Sheet6(p_6)'!$M39)</f>
        <v>0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79.50811791502728</v>
      </c>
      <c r="D40" s="5">
        <f t="shared" si="1"/>
        <v>79.50811791502728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106781.1507764226</v>
      </c>
      <c r="G40" s="5">
        <f t="shared" si="2"/>
        <v>106781.1507764226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0</v>
      </c>
      <c r="L40" s="5">
        <f>($K40)*Partcipation!$E97*Title_RESULTS!$C$12/100</f>
        <v>0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0</v>
      </c>
      <c r="N40" s="5">
        <f>'Sheet2(F_12)'!$I40*('Sheet6(p_6)'!$L40+'Sheet6(p_6)'!$M40)</f>
        <v>0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4157.195328</v>
      </c>
      <c r="C42" s="5">
        <f t="shared" si="4"/>
        <v>1448.9420443744978</v>
      </c>
      <c r="D42" s="5">
        <f t="shared" si="4"/>
        <v>5606.137372374497</v>
      </c>
      <c r="E42" s="5">
        <f t="shared" si="4"/>
        <v>0</v>
      </c>
      <c r="F42" s="5">
        <f t="shared" si="4"/>
        <v>2509357.0432459307</v>
      </c>
      <c r="G42" s="5">
        <f t="shared" si="4"/>
        <v>2509357.0432459307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3884.183282263485</v>
      </c>
      <c r="C44" s="5">
        <f>NPV(Title_RESULTS!$C$37,'Sheet6(p_6)'!C17:C41)+'Sheet6(p_6)'!C16</f>
        <v>626.8680497211082</v>
      </c>
      <c r="D44" s="5">
        <f>NPV(Title_RESULTS!$C$37,'Sheet6(p_6)'!D17:D41)+'Sheet6(p_6)'!D16</f>
        <v>4511.051331984594</v>
      </c>
      <c r="E44" s="5">
        <f>NPV(Title_RESULTS!$C$37,'Sheet6(p_6)'!E17:E41)+'Sheet6(p_6)'!E16</f>
        <v>0</v>
      </c>
      <c r="F44" s="5">
        <f>NPV(Title_RESULTS!$C$37,'Sheet6(p_6)'!F17:F41)+'Sheet6(p_6)'!F16</f>
        <v>1168571.194757668</v>
      </c>
      <c r="G44" s="5">
        <f>NPV(Title_RESULTS!$C$37,'Sheet6(p_6)'!G17:G41)+'Sheet6(p_6)'!G16</f>
        <v>1168571.194757668</v>
      </c>
      <c r="H44" s="5">
        <f>NPV(Title_RESULTS!$C$37,'Sheet6(p_6)'!H17:H41)+'Sheet6(p_6)'!H16</f>
        <v>0</v>
      </c>
      <c r="I44" s="5">
        <f>NPV(Title_RESULTS!$C$37,'Sheet6(p_6)'!I17:I41)+'Sheet6(p_6)'!I16</f>
        <v>0</v>
      </c>
      <c r="J44" s="5">
        <f>NPV(Title_RESULTS!$C$37,'Sheet6(p_6)'!J17:J41)+'Sheet6(p_6)'!J16</f>
        <v>0</v>
      </c>
      <c r="K44" s="5"/>
      <c r="L44" s="5">
        <f>NPV(Title_RESULTS!$C$37,'Sheet6(p_6)'!L17:L41)+'Sheet6(p_6)'!L16</f>
        <v>0</v>
      </c>
      <c r="M44" s="5">
        <f>NPV(Title_RESULTS!$C$37,'Sheet6(p_6)'!M17:M41)+'Sheet6(p_6)'!M16</f>
        <v>0</v>
      </c>
      <c r="N44" s="5">
        <f>NPV(Title_RESULTS!$C$37,'Sheet6(p_6)'!N17:N41)+'Sheet6(p_6)'!N16</f>
        <v>0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Commercial DR - CPP</v>
      </c>
      <c r="M2" t="s">
        <v>55</v>
      </c>
    </row>
    <row r="3" ht="12.75">
      <c r="M3" s="35">
        <f>+Title_RESULTS!I4</f>
        <v>43599.31716643518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1360.5</v>
      </c>
      <c r="D16" s="5">
        <f>IF(A16&gt;=(Title_RESULTS!$H$7+Title_RESULTS!$C$17),0,(+'Sheet6(p_6)'!$J16))</f>
        <v>0</v>
      </c>
      <c r="E16" s="5">
        <f>IF(A16&gt;=(Title_RESULTS!$H$7+Title_RESULTS!$C$17),0,(+'f-11B'!$N15))</f>
        <v>0</v>
      </c>
      <c r="F16" s="5">
        <f>IF(A16&gt;=(Title_RESULTS!$H$7+Title_RESULTS!$C$17),0,(SUM(B16:E16)))</f>
        <v>1360.5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-1360.5</v>
      </c>
      <c r="M16" s="23">
        <f>IF(A16&gt;=(Title_RESULTS!$H$7+Title_RESULTS!$C$17),0,(+$L16/(1+Title_RESULTS!$C$37)^('Sheet7(F_23)'!$A16-Title_RESULTS!$H$7)))</f>
        <v>-1360.5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1408.512</v>
      </c>
      <c r="D17" s="5">
        <f>IF(A17&gt;=(Title_RESULTS!$H$7+Title_RESULTS!$C$17),0,(+'Sheet6(p_6)'!$J17))</f>
        <v>0</v>
      </c>
      <c r="E17" s="5">
        <f>IF(A17&gt;=(Title_RESULTS!$H$7+Title_RESULTS!$C$17),0,(+'f-11B'!$N16))</f>
        <v>0</v>
      </c>
      <c r="F17" s="5">
        <f>IF(A17&gt;=(Title_RESULTS!$H$7+Title_RESULTS!$C$17),0,(SUM(B17:E17)))</f>
        <v>1408.512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14070.25451447336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14070.25451447336</v>
      </c>
      <c r="L17" s="23">
        <f>IF(A17&gt;=(Title_RESULTS!$H$7+Title_RESULTS!$C$17),0,(+$K17-$F17))</f>
        <v>12661.742514473359</v>
      </c>
      <c r="M17" s="23">
        <f>IF(A17&gt;=(Title_RESULTS!$H$7+Title_RESULTS!$C$17),0,(+M16+$L17/(1+Title_RESULTS!$C$37)^('Sheet7(F_23)'!$A17-Title_RESULTS!$H$7)))</f>
        <v>10464.063424050579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1458.044928</v>
      </c>
      <c r="D18" s="5">
        <f>IF(A18&gt;=(Title_RESULTS!$H$7+Title_RESULTS!$C$17),0,(+'Sheet6(p_6)'!$J18))</f>
        <v>0</v>
      </c>
      <c r="E18" s="5">
        <f>IF(A18&gt;=(Title_RESULTS!$H$7+Title_RESULTS!$C$17),0,(+'f-11B'!$N17))</f>
        <v>0</v>
      </c>
      <c r="F18" s="5">
        <f>IF(A18&gt;=(Title_RESULTS!$H$7+Title_RESULTS!$C$17),0,(SUM(B18:E18)))</f>
        <v>1458.044928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14407.940622820719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14407.940622820719</v>
      </c>
      <c r="L18" s="23">
        <f>IF(A18&gt;=(Title_RESULTS!$H$7+Title_RESULTS!$C$17),0,(+$K18-$F18))</f>
        <v>12949.89569482072</v>
      </c>
      <c r="M18" s="23">
        <f>IF(A18&gt;=(Title_RESULTS!$H$7+Title_RESULTS!$C$17),0,(+M17+$L18/(1+Title_RESULTS!$C$37)^('Sheet7(F_23)'!$A18-Title_RESULTS!$H$7)))</f>
        <v>21758.109244808948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48.318382080000006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48.318382080000006</v>
      </c>
      <c r="G19" s="5">
        <f>IF(A19&gt;=(Title_RESULTS!$H$7+Title_RESULTS!$C$17),0,('Sheet3(F_21)'!$J19))</f>
        <v>103015.19855444069</v>
      </c>
      <c r="H19" s="5">
        <f>IF(A19&gt;=(Title_RESULTS!$H$7+Title_RESULTS!$C$17),0,(+'Sheet4(F_22)'!$D19+'Sheet4(F_22)'!$G19))</f>
        <v>30924.292063659588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133939.49061810027</v>
      </c>
      <c r="L19" s="23">
        <f>IF(A19&gt;=(Title_RESULTS!$H$7+Title_RESULTS!$C$17),0,(+$K19-$F19))</f>
        <v>133891.17223602027</v>
      </c>
      <c r="M19" s="23">
        <f>IF(A19&gt;=(Title_RESULTS!$H$7+Title_RESULTS!$C$17),0,(+M18+$L19/(1+Title_RESULTS!$C$37)^('Sheet7(F_23)'!$A19-Title_RESULTS!$H$7)))</f>
        <v>130808.40715326894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49.47802324992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49.47802324992</v>
      </c>
      <c r="G20" s="5">
        <f>IF(A20&gt;=(Title_RESULTS!$H$7+Title_RESULTS!$C$17),0,('Sheet3(F_21)'!$J20))</f>
        <v>101105.99389070447</v>
      </c>
      <c r="H20" s="5">
        <f>IF(A20&gt;=(Title_RESULTS!$H$7+Title_RESULTS!$C$17),0,(+'Sheet4(F_22)'!$D20+'Sheet4(F_22)'!$G20))</f>
        <v>30800.866823918128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131906.8607146226</v>
      </c>
      <c r="L20" s="23">
        <f>IF(A20&gt;=(Title_RESULTS!$H$7+Title_RESULTS!$C$17),0,(+$K20-$F20))</f>
        <v>131857.38269137268</v>
      </c>
      <c r="M20" s="23">
        <f>IF(A20&gt;=(Title_RESULTS!$H$7+Title_RESULTS!$C$17),0,(+M19+$L20/(1+Title_RESULTS!$C$37)^('Sheet7(F_23)'!$A20-Title_RESULTS!$H$7)))</f>
        <v>231101.49458672176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50.665495807918084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50.665495807918084</v>
      </c>
      <c r="G21" s="5">
        <f>IF(A21&gt;=(Title_RESULTS!$H$7+Title_RESULTS!$C$17),0,('Sheet3(F_21)'!$J21))</f>
        <v>99095.52822660287</v>
      </c>
      <c r="H21" s="5">
        <f>IF(A21&gt;=(Title_RESULTS!$H$7+Title_RESULTS!$C$17),0,(+'Sheet4(F_22)'!$D21+'Sheet4(F_22)'!$G21))</f>
        <v>30636.28167790233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129731.8099045052</v>
      </c>
      <c r="L21" s="23">
        <f>IF(A21&gt;=(Title_RESULTS!$H$7+Title_RESULTS!$C$17),0,(+$K21-$F21))</f>
        <v>129681.14440869728</v>
      </c>
      <c r="M21" s="23">
        <f>IF(A21&gt;=(Title_RESULTS!$H$7+Title_RESULTS!$C$17),0,(+M20+$L21/(1+Title_RESULTS!$C$37)^('Sheet7(F_23)'!$A21-Title_RESULTS!$H$7)))</f>
        <v>323217.48413606855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51.881467707308104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51.881467707308104</v>
      </c>
      <c r="G22" s="5">
        <f>IF(A22&gt;=(Title_RESULTS!$H$7+Title_RESULTS!$C$17),0,('Sheet3(F_21)'!$J22))</f>
        <v>97458.54534752472</v>
      </c>
      <c r="H22" s="5">
        <f>IF(A22&gt;=(Title_RESULTS!$H$7+Title_RESULTS!$C$17),0,(+'Sheet4(F_22)'!$D22+'Sheet4(F_22)'!$G22))</f>
        <v>30505.647309897617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127964.19265742233</v>
      </c>
      <c r="L22" s="23">
        <f>IF(A22&gt;=(Title_RESULTS!$H$7+Title_RESULTS!$C$17),0,(+$K22-$F22))</f>
        <v>127912.31118971502</v>
      </c>
      <c r="M22" s="23">
        <f>IF(A22&gt;=(Title_RESULTS!$H$7+Title_RESULTS!$C$17),0,(+M21+$L22/(1+Title_RESULTS!$C$37)^('Sheet7(F_23)'!$A22-Title_RESULTS!$H$7)))</f>
        <v>408069.5012700583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53.12662293228351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53.12662293228351</v>
      </c>
      <c r="G23" s="5">
        <f>IF(A23&gt;=(Title_RESULTS!$H$7+Title_RESULTS!$C$17),0,('Sheet3(F_21)'!$J23))</f>
        <v>95639.3012848039</v>
      </c>
      <c r="H23" s="5">
        <f>IF(A23&gt;=(Title_RESULTS!$H$7+Title_RESULTS!$C$17),0,(+'Sheet4(F_22)'!$D23+'Sheet4(F_22)'!$G23))</f>
        <v>30406.640708999566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126045.94199380347</v>
      </c>
      <c r="L23" s="23">
        <f>IF(A23&gt;=(Title_RESULTS!$H$7+Title_RESULTS!$C$17),0,(+$K23-$F23))</f>
        <v>125992.81537087119</v>
      </c>
      <c r="M23" s="23">
        <f>IF(A23&gt;=(Title_RESULTS!$H$7+Title_RESULTS!$C$17),0,(+M22+$L23/(1+Title_RESULTS!$C$37)^('Sheet7(F_23)'!$A23-Title_RESULTS!$H$7)))</f>
        <v>486122.0776533036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54.40166188265832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54.40166188265832</v>
      </c>
      <c r="G24" s="5">
        <f>IF(A24&gt;=(Title_RESULTS!$H$7+Title_RESULTS!$C$17),0,('Sheet3(F_21)'!$J24))</f>
        <v>93007.8532664128</v>
      </c>
      <c r="H24" s="5">
        <f>IF(A24&gt;=(Title_RESULTS!$H$7+Title_RESULTS!$C$17),0,(+'Sheet4(F_22)'!$D24+'Sheet4(F_22)'!$G24))</f>
        <v>30337.223640408716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123345.07690682152</v>
      </c>
      <c r="L24" s="23">
        <f>IF(A24&gt;=(Title_RESULTS!$H$7+Title_RESULTS!$C$17),0,(+$K24-$F24))</f>
        <v>123290.67524493886</v>
      </c>
      <c r="M24" s="23">
        <f>IF(A24&gt;=(Title_RESULTS!$H$7+Title_RESULTS!$C$17),0,(+M23+$L24/(1+Title_RESULTS!$C$37)^('Sheet7(F_23)'!$A24-Title_RESULTS!$H$7)))</f>
        <v>557450.6170542841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55.707301767842104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55.707301767842104</v>
      </c>
      <c r="G25" s="5">
        <f>IF(A25&gt;=(Title_RESULTS!$H$7+Title_RESULTS!$C$17),0,('Sheet3(F_21)'!$J25))</f>
        <v>91418.23360972013</v>
      </c>
      <c r="H25" s="5">
        <f>IF(A25&gt;=(Title_RESULTS!$H$7+Title_RESULTS!$C$17),0,(+'Sheet4(F_22)'!$D25+'Sheet4(F_22)'!$G25))</f>
        <v>30291.432322154225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121709.66593187436</v>
      </c>
      <c r="L25" s="23">
        <f>IF(A25&gt;=(Title_RESULTS!$H$7+Title_RESULTS!$C$17),0,(+$K25-$F25))</f>
        <v>121653.95863010651</v>
      </c>
      <c r="M25" s="23">
        <f>IF(A25&gt;=(Title_RESULTS!$H$7+Title_RESULTS!$C$17),0,(+M24+$L25/(1+Title_RESULTS!$C$37)^('Sheet7(F_23)'!$A25-Title_RESULTS!$H$7)))</f>
        <v>623178.7026033374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57.044277010270314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57.044277010270314</v>
      </c>
      <c r="G26" s="5">
        <f>IF(A26&gt;=(Title_RESULTS!$H$7+Title_RESULTS!$C$17),0,('Sheet3(F_21)'!$J26))</f>
        <v>88853.1205060961</v>
      </c>
      <c r="H26" s="5">
        <f>IF(A26&gt;=(Title_RESULTS!$H$7+Title_RESULTS!$C$17),0,(+'Sheet4(F_22)'!$D26+'Sheet4(F_22)'!$G26))</f>
        <v>30259.783205633204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119112.9037117293</v>
      </c>
      <c r="L26" s="23">
        <f>IF(A26&gt;=(Title_RESULTS!$H$7+Title_RESULTS!$C$17),0,(+$K26-$F26))</f>
        <v>119055.85943471904</v>
      </c>
      <c r="M26" s="23">
        <f>IF(A26&gt;=(Title_RESULTS!$H$7+Title_RESULTS!$C$17),0,(+M25+$L26/(1+Title_RESULTS!$C$37)^('Sheet7(F_23)'!$A26-Title_RESULTS!$H$7)))</f>
        <v>683250.0190209532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58.41333965851681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58.41333965851681</v>
      </c>
      <c r="G27" s="5">
        <f>IF(A27&gt;=(Title_RESULTS!$H$7+Title_RESULTS!$C$17),0,('Sheet3(F_21)'!$J27))</f>
        <v>88000.58983425901</v>
      </c>
      <c r="H27" s="5">
        <f>IF(A27&gt;=(Title_RESULTS!$H$7+Title_RESULTS!$C$17),0,(+'Sheet4(F_22)'!$D27+'Sheet4(F_22)'!$G27))</f>
        <v>30237.93178803953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118238.52162229853</v>
      </c>
      <c r="L27" s="23">
        <f>IF(A27&gt;=(Title_RESULTS!$H$7+Title_RESULTS!$C$17),0,(+$K27-$F27))</f>
        <v>118180.10828264001</v>
      </c>
      <c r="M27" s="23">
        <f>IF(A27&gt;=(Title_RESULTS!$H$7+Title_RESULTS!$C$17),0,(+M26+$L27/(1+Title_RESULTS!$C$37)^('Sheet7(F_23)'!$A27-Title_RESULTS!$H$7)))</f>
        <v>738936.8361645908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59.815259810321216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59.815259810321216</v>
      </c>
      <c r="G28" s="5">
        <f>IF(A28&gt;=(Title_RESULTS!$H$7+Title_RESULTS!$C$17),0,('Sheet3(F_21)'!$J28))</f>
        <v>85918.16635558009</v>
      </c>
      <c r="H28" s="5">
        <f>IF(A28&gt;=(Title_RESULTS!$H$7+Title_RESULTS!$C$17),0,(+'Sheet4(F_22)'!$D28+'Sheet4(F_22)'!$G28))</f>
        <v>30226.113214147466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116144.27956972756</v>
      </c>
      <c r="L28" s="23">
        <f>IF(A28&gt;=(Title_RESULTS!$H$7+Title_RESULTS!$C$17),0,(+$K28-$F28))</f>
        <v>116084.46430991724</v>
      </c>
      <c r="M28" s="23">
        <f>IF(A28&gt;=(Title_RESULTS!$H$7+Title_RESULTS!$C$17),0,(+M27+$L28/(1+Title_RESULTS!$C$37)^('Sheet7(F_23)'!$A28-Title_RESULTS!$H$7)))</f>
        <v>790019.5252709854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61.25082604576892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61.25082604576892</v>
      </c>
      <c r="G29" s="5">
        <f>IF(A29&gt;=(Title_RESULTS!$H$7+Title_RESULTS!$C$17),0,('Sheet3(F_21)'!$J29))</f>
        <v>85280.13905974323</v>
      </c>
      <c r="H29" s="5">
        <f>IF(A29&gt;=(Title_RESULTS!$H$7+Title_RESULTS!$C$17),0,(+'Sheet4(F_22)'!$D29+'Sheet4(F_22)'!$G29))</f>
        <v>30224.568272205845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115504.70733194907</v>
      </c>
      <c r="L29" s="23">
        <f>IF(A29&gt;=(Title_RESULTS!$H$7+Title_RESULTS!$C$17),0,(+$K29-$F29))</f>
        <v>115443.4565059033</v>
      </c>
      <c r="M29" s="23">
        <f>IF(A29&gt;=(Title_RESULTS!$H$7+Title_RESULTS!$C$17),0,(+M28+$L29/(1+Title_RESULTS!$C$37)^('Sheet7(F_23)'!$A29-Title_RESULTS!$H$7)))</f>
        <v>837461.2652458943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62.720845870867365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62.720845870867365</v>
      </c>
      <c r="G30" s="5">
        <f>IF(A30&gt;=(Title_RESULTS!$H$7+Title_RESULTS!$C$17),0,('Sheet3(F_21)'!$J30))</f>
        <v>83047.21638671527</v>
      </c>
      <c r="H30" s="5">
        <f>IF(A30&gt;=(Title_RESULTS!$H$7+Title_RESULTS!$C$17),0,(+'Sheet4(F_22)'!$D30+'Sheet4(F_22)'!$G30))</f>
        <v>30233.54352938148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113280.75991609675</v>
      </c>
      <c r="L30" s="23">
        <f>IF(A30&gt;=(Title_RESULTS!$H$7+Title_RESULTS!$C$17),0,(+$K30-$F30))</f>
        <v>113218.03907022589</v>
      </c>
      <c r="M30" s="23">
        <f>IF(A30&gt;=(Title_RESULTS!$H$7+Title_RESULTS!$C$17),0,(+M29+$L30/(1+Title_RESULTS!$C$37)^('Sheet7(F_23)'!$A30-Title_RESULTS!$H$7)))</f>
        <v>880912.1429364644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64.22614617176819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64.22614617176819</v>
      </c>
      <c r="G31" s="5">
        <f>IF(A31&gt;=(Title_RESULTS!$H$7+Title_RESULTS!$C$17),0,('Sheet3(F_21)'!$J31))</f>
        <v>81890.71088007934</v>
      </c>
      <c r="H31" s="5">
        <f>IF(A31&gt;=(Title_RESULTS!$H$7+Title_RESULTS!$C$17),0,(+'Sheet4(F_22)'!$D31+'Sheet4(F_22)'!$G31))</f>
        <v>30253.291470453187</v>
      </c>
      <c r="I31" s="5">
        <f>IF(A31&gt;=(Title_RESULTS!$H$7+Title_RESULTS!$C$17),0,(+'Sheet4(F_22)'!$H31))</f>
        <v>0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112144.00235053252</v>
      </c>
      <c r="L31" s="23">
        <f>IF(A31&gt;=(Title_RESULTS!$H$7+Title_RESULTS!$C$17),0,(+$K31-$F31))</f>
        <v>112079.77620436075</v>
      </c>
      <c r="M31" s="23">
        <f>IF(A31&gt;=(Title_RESULTS!$H$7+Title_RESULTS!$C$17),0,(+M30+$L31/(1+Title_RESULTS!$C$37)^('Sheet7(F_23)'!$A31-Title_RESULTS!$H$7)))</f>
        <v>921082.1416086676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65.76757367989063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65.76757367989063</v>
      </c>
      <c r="G32" s="5">
        <f>IF(A32&gt;=(Title_RESULTS!$H$7+Title_RESULTS!$C$17),0,('Sheet3(F_21)'!$J32))</f>
        <v>81606.45928729036</v>
      </c>
      <c r="H32" s="5">
        <f>IF(A32&gt;=(Title_RESULTS!$H$7+Title_RESULTS!$C$17),0,(+'Sheet4(F_22)'!$D32+'Sheet4(F_22)'!$G32))</f>
        <v>30284.070639834474</v>
      </c>
      <c r="I32" s="5">
        <f>IF(A32&gt;=(Title_RESULTS!$H$7+Title_RESULTS!$C$17),0,(+'Sheet4(F_22)'!$H32))</f>
        <v>0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111890.52992712484</v>
      </c>
      <c r="L32" s="23">
        <f>IF(A32&gt;=(Title_RESULTS!$H$7+Title_RESULTS!$C$17),0,(+$K32-$F32))</f>
        <v>111824.76235344495</v>
      </c>
      <c r="M32" s="23">
        <f>IF(A32&gt;=(Title_RESULTS!$H$7+Title_RESULTS!$C$17),0,(+M31+$L32/(1+Title_RESULTS!$C$37)^('Sheet7(F_23)'!$A32-Title_RESULTS!$H$7)))</f>
        <v>958510.7933897718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67.34599544820799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67.34599544820799</v>
      </c>
      <c r="G33" s="5">
        <f>IF(A33&gt;=(Title_RESULTS!$H$7+Title_RESULTS!$C$17),0,('Sheet3(F_21)'!$J33))</f>
        <v>79880.33488407123</v>
      </c>
      <c r="H33" s="5">
        <f>IF(A33&gt;=(Title_RESULTS!$H$7+Title_RESULTS!$C$17),0,(+'Sheet4(F_22)'!$D33+'Sheet4(F_22)'!$G33))</f>
        <v>30326.145787004767</v>
      </c>
      <c r="I33" s="5">
        <f>IF(A33&gt;=(Title_RESULTS!$H$7+Title_RESULTS!$C$17),0,(+'Sheet4(F_22)'!$H33))</f>
        <v>0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110206.48067107599</v>
      </c>
      <c r="L33" s="23">
        <f>IF(A33&gt;=(Title_RESULTS!$H$7+Title_RESULTS!$C$17),0,(+$K33-$F33))</f>
        <v>110139.13467562778</v>
      </c>
      <c r="M33" s="23">
        <f>IF(A33&gt;=(Title_RESULTS!$H$7+Title_RESULTS!$C$17),0,(+M32+$L33/(1+Title_RESULTS!$C$37)^('Sheet7(F_23)'!$A33-Title_RESULTS!$H$7)))</f>
        <v>992937.8185796177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68.96229933896498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68.96229933896498</v>
      </c>
      <c r="G34" s="5">
        <f>IF(A34&gt;=(Title_RESULTS!$H$7+Title_RESULTS!$C$17),0,('Sheet3(F_21)'!$J34))</f>
        <v>79982.94025397036</v>
      </c>
      <c r="H34" s="5">
        <f>IF(A34&gt;=(Title_RESULTS!$H$7+Title_RESULTS!$C$17),0,(+'Sheet4(F_22)'!$D34+'Sheet4(F_22)'!$G34))</f>
        <v>30421.095124649837</v>
      </c>
      <c r="I34" s="5">
        <f>IF(A34&gt;=(Title_RESULTS!$H$7+Title_RESULTS!$C$17),0,(+'Sheet4(F_22)'!$H34))</f>
        <v>0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110404.0353786202</v>
      </c>
      <c r="L34" s="23">
        <f>IF(A34&gt;=(Title_RESULTS!$H$7+Title_RESULTS!$C$17),0,(+$K34-$F34))</f>
        <v>110335.07307928124</v>
      </c>
      <c r="M34" s="23">
        <f>IF(A34&gt;=(Title_RESULTS!$H$7+Title_RESULTS!$C$17),0,(+M33+$L34/(1+Title_RESULTS!$C$37)^('Sheet7(F_23)'!$A34-Title_RESULTS!$H$7)))</f>
        <v>1025145.7669767834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70.61739452310016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70.61739452310016</v>
      </c>
      <c r="G35" s="5">
        <f>IF(A35&gt;=(Title_RESULTS!$H$7+Title_RESULTS!$C$17),0,('Sheet3(F_21)'!$J35))</f>
        <v>79619.83466591942</v>
      </c>
      <c r="H35" s="5">
        <f>IF(A35&gt;=(Title_RESULTS!$H$7+Title_RESULTS!$C$17),0,(+'Sheet4(F_22)'!$D35+'Sheet4(F_22)'!$G35))</f>
        <v>30610.489383754033</v>
      </c>
      <c r="I35" s="5">
        <f>IF(A35&gt;=(Title_RESULTS!$H$7+Title_RESULTS!$C$17),0,(+'Sheet4(F_22)'!$H35))</f>
        <v>0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110230.32404967345</v>
      </c>
      <c r="L35" s="23">
        <f>IF(A35&gt;=(Title_RESULTS!$H$7+Title_RESULTS!$C$17),0,(+$K35-$F35))</f>
        <v>110159.70665515035</v>
      </c>
      <c r="M35" s="23">
        <f>IF(A35&gt;=(Title_RESULTS!$H$7+Title_RESULTS!$C$17),0,(+M34+$L35/(1+Title_RESULTS!$C$37)^('Sheet7(F_23)'!$A35-Title_RESULTS!$H$7)))</f>
        <v>1055176.3582404638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72.31221199165455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72.31221199165455</v>
      </c>
      <c r="G36" s="5">
        <f>IF(A36&gt;=(Title_RESULTS!$H$7+Title_RESULTS!$C$17),0,('Sheet3(F_21)'!$J36))</f>
        <v>81719.98485482618</v>
      </c>
      <c r="H36" s="5">
        <f>IF(A36&gt;=(Title_RESULTS!$H$7+Title_RESULTS!$C$17),0,(+'Sheet4(F_22)'!$D36+'Sheet4(F_22)'!$G36))</f>
        <v>30853.30572768746</v>
      </c>
      <c r="I36" s="5">
        <f>IF(A36&gt;=(Title_RESULTS!$H$7+Title_RESULTS!$C$17),0,(+'Sheet4(F_22)'!$H36))</f>
        <v>0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112573.29058251364</v>
      </c>
      <c r="L36" s="23">
        <f>IF(A36&gt;=(Title_RESULTS!$H$7+Title_RESULTS!$C$17),0,(+$K36-$F36))</f>
        <v>112500.97837052199</v>
      </c>
      <c r="M36" s="23">
        <f>IF(A36&gt;=(Title_RESULTS!$H$7+Title_RESULTS!$C$17),0,(+M35+$L36/(1+Title_RESULTS!$C$37)^('Sheet7(F_23)'!$A36-Title_RESULTS!$H$7)))</f>
        <v>1083817.4157306931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74.04770507945426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74.04770507945426</v>
      </c>
      <c r="G37" s="5">
        <f>IF(A37&gt;=(Title_RESULTS!$H$7+Title_RESULTS!$C$17),0,('Sheet3(F_21)'!$J37))</f>
        <v>80683.4964835921</v>
      </c>
      <c r="H37" s="5">
        <f>IF(A37&gt;=(Title_RESULTS!$H$7+Title_RESULTS!$C$17),0,(+'Sheet4(F_22)'!$D37+'Sheet4(F_22)'!$G37))</f>
        <v>31108.542130547008</v>
      </c>
      <c r="I37" s="5">
        <f>IF(A37&gt;=(Title_RESULTS!$H$7+Title_RESULTS!$C$17),0,(+'Sheet4(F_22)'!$H37))</f>
        <v>0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111792.0386141391</v>
      </c>
      <c r="L37" s="23">
        <f>IF(A37&gt;=(Title_RESULTS!$H$7+Title_RESULTS!$C$17),0,(+$K37-$F37))</f>
        <v>111717.99090905965</v>
      </c>
      <c r="M37" s="23">
        <f>IF(A37&gt;=(Title_RESULTS!$H$7+Title_RESULTS!$C$17),0,(+M36+$L37/(1+Title_RESULTS!$C$37)^('Sheet7(F_23)'!$A37-Title_RESULTS!$H$7)))</f>
        <v>1110378.604240038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75.82485000136114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75.82485000136114</v>
      </c>
      <c r="G38" s="5">
        <f>IF(A38&gt;=(Title_RESULTS!$H$7+Title_RESULTS!$C$17),0,('Sheet3(F_21)'!$J38))</f>
        <v>80164.59268177123</v>
      </c>
      <c r="H38" s="5">
        <f>IF(A38&gt;=(Title_RESULTS!$H$7+Title_RESULTS!$C$17),0,(+'Sheet4(F_22)'!$D38+'Sheet4(F_22)'!$G38))</f>
        <v>31376.49667374688</v>
      </c>
      <c r="I38" s="5">
        <f>IF(A38&gt;=(Title_RESULTS!$H$7+Title_RESULTS!$C$17),0,(+'Sheet4(F_22)'!$H38))</f>
        <v>0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111541.08935551811</v>
      </c>
      <c r="L38" s="23">
        <f>IF(A38&gt;=(Title_RESULTS!$H$7+Title_RESULTS!$C$17),0,(+$K38-$F38))</f>
        <v>111465.26450551675</v>
      </c>
      <c r="M38" s="23">
        <f>IF(A38&gt;=(Title_RESULTS!$H$7+Title_RESULTS!$C$17),0,(+M37+$L38/(1+Title_RESULTS!$C$37)^('Sheet7(F_23)'!$A38-Title_RESULTS!$H$7)))</f>
        <v>1135127.4857049626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77.64464640139384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77.64464640139384</v>
      </c>
      <c r="G39" s="5">
        <f>IF(A39&gt;=(Title_RESULTS!$H$7+Title_RESULTS!$C$17),0,('Sheet3(F_21)'!$J39))</f>
        <v>80281.04341021595</v>
      </c>
      <c r="H39" s="5">
        <f>IF(A39&gt;=(Title_RESULTS!$H$7+Title_RESULTS!$C$17),0,(+'Sheet4(F_22)'!$D39+'Sheet4(F_22)'!$G39))</f>
        <v>31657.47459265528</v>
      </c>
      <c r="I39" s="5">
        <f>IF(A39&gt;=(Title_RESULTS!$H$7+Title_RESULTS!$C$17),0,(+'Sheet4(F_22)'!$H39))</f>
        <v>0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111938.51800287122</v>
      </c>
      <c r="L39" s="23">
        <f>IF(A39&gt;=(Title_RESULTS!$H$7+Title_RESULTS!$C$17),0,(+$K39-$F39))</f>
        <v>111860.87335646982</v>
      </c>
      <c r="M39" s="23">
        <f>IF(A39&gt;=(Title_RESULTS!$H$7+Title_RESULTS!$C$17),0,(+M38+$L39/(1+Title_RESULTS!$C$37)^('Sheet7(F_23)'!$A39-Title_RESULTS!$H$7)))</f>
        <v>1158322.0312607037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79.50811791502728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79.50811791502728</v>
      </c>
      <c r="G40" s="5">
        <f>IF(A40&gt;=(Title_RESULTS!$H$7+Title_RESULTS!$C$17),0,('Sheet3(F_21)'!$J40))</f>
        <v>83581.08190036548</v>
      </c>
      <c r="H40" s="5">
        <f>IF(A40&gt;=(Title_RESULTS!$H$7+Title_RESULTS!$C$17),0,(+'Sheet4(F_22)'!$D40+'Sheet4(F_22)'!$G40))</f>
        <v>31951.788448289168</v>
      </c>
      <c r="I40" s="5">
        <f>IF(A40&gt;=(Title_RESULTS!$H$7+Title_RESULTS!$C$17),0,(+'Sheet4(F_22)'!$H40))</f>
        <v>0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115532.87034865464</v>
      </c>
      <c r="L40" s="23">
        <f>IF(A40&gt;=(Title_RESULTS!$H$7+Title_RESULTS!$C$17),0,(+$K40-$F40))</f>
        <v>115453.36223073961</v>
      </c>
      <c r="M40" s="23">
        <f>IF(A40&gt;=(Title_RESULTS!$H$7+Title_RESULTS!$C$17),0,(+M39+$L40/(1+Title_RESULTS!$C$37)^('Sheet7(F_23)'!$A40-Title_RESULTS!$H$7)))</f>
        <v>1180678.6378511887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5606.137372374497</v>
      </c>
      <c r="D42" s="5">
        <f t="shared" si="1"/>
        <v>0</v>
      </c>
      <c r="E42" s="5">
        <f t="shared" si="1"/>
        <v>0</v>
      </c>
      <c r="F42" s="5">
        <f t="shared" si="1"/>
        <v>5606.137372374497</v>
      </c>
      <c r="G42" s="5">
        <f t="shared" si="1"/>
        <v>1921250.365624705</v>
      </c>
      <c r="H42" s="5">
        <f t="shared" si="1"/>
        <v>702405.2196722637</v>
      </c>
      <c r="I42" s="5">
        <f t="shared" si="1"/>
        <v>0</v>
      </c>
      <c r="J42" s="5">
        <f t="shared" si="1"/>
        <v>0</v>
      </c>
      <c r="K42" s="5">
        <f t="shared" si="1"/>
        <v>2623655.585296969</v>
      </c>
      <c r="L42" s="5">
        <f t="shared" si="1"/>
        <v>2618049.447924594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4511.051331984594</v>
      </c>
      <c r="D44" s="5">
        <f>NPV(Title_RESULTS!$C$37,'Sheet7(F_23)'!D17:D41)+'Sheet7(F_23)'!D16</f>
        <v>0</v>
      </c>
      <c r="E44" s="5">
        <f>NPV(Title_RESULTS!$C$37,'Sheet7(F_23)'!E17:E41)+'Sheet7(F_23)'!E16</f>
        <v>0</v>
      </c>
      <c r="F44" s="5">
        <f>NPV(Title_RESULTS!$C$37,'Sheet7(F_23)'!F17:F41)+'Sheet7(F_23)'!F16</f>
        <v>4511.051331984594</v>
      </c>
      <c r="G44" s="5">
        <f>NPV(Title_RESULTS!$C$37,'Sheet7(F_23)'!G17:G41)+'Sheet7(F_23)'!G16</f>
        <v>866623.7387851902</v>
      </c>
      <c r="H44" s="5">
        <f>NPV(Title_RESULTS!$C$37,'Sheet7(F_23)'!H17:H41)+'Sheet7(F_23)'!H16</f>
        <v>318565.9503979827</v>
      </c>
      <c r="I44" s="5">
        <f>NPV(Title_RESULTS!$C$37,'Sheet7(F_23)'!I17:I41)+'Sheet7(F_23)'!I16</f>
        <v>0</v>
      </c>
      <c r="J44" s="5">
        <f>NPV(Title_RESULTS!$C$37,'Sheet7(F_23)'!J17:J41)+'Sheet7(F_23)'!J16</f>
        <v>0</v>
      </c>
      <c r="K44" s="5">
        <f>NPV(Title_RESULTS!$C$37,'Sheet7(F_23)'!K17:K41)+'Sheet7(F_23)'!K16</f>
        <v>1185189.6891831728</v>
      </c>
      <c r="L44" s="5">
        <f>NPV(Title_RESULTS!$C$37,'Sheet7(F_23)'!L17:L41)+'Sheet7(F_23)'!L16</f>
        <v>1180678.6378511884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262.73025996841403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Commercial DR - CPP</v>
      </c>
      <c r="L2" t="s">
        <v>55</v>
      </c>
    </row>
    <row r="3" ht="12.75">
      <c r="L3" s="35">
        <f>+Title_RESULTS!I4</f>
        <v>43599.31716643518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17796.8584627371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17796.8584627371</v>
      </c>
      <c r="G16" s="5">
        <f>IF(A16&gt;=(Title_RESULTS!$H$7+Title_RESULTS!$C$17),0,(+'Sheet6(p_6)'!$H16))</f>
        <v>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0</v>
      </c>
      <c r="K16" s="23">
        <f>IF(A16&gt;=(Title_RESULTS!$H$7+Title_RESULTS!$C$17),0,(+F16-J16))</f>
        <v>17796.8584627371</v>
      </c>
      <c r="L16" s="23">
        <f>IF(A16&gt;=(Title_RESULTS!$H$7+Title_RESULTS!$C$17),0,(+$K16/((1+Title_RESULTS!$C$37)^('Sheet8(F_24)'!$A16-Title_RESULTS!$H$7))))</f>
        <v>17796.8584627371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53390.5753882113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53390.5753882113</v>
      </c>
      <c r="G17" s="5">
        <f>IF(A17&gt;=(Title_RESULTS!$H$7+Title_RESULTS!$C$17),0,(+'Sheet6(p_6)'!$H17))</f>
        <v>0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0</v>
      </c>
      <c r="K17" s="23">
        <f>IF(A17&gt;=(Title_RESULTS!$H$7+Title_RESULTS!$C$17),0,(+F17-J17))</f>
        <v>53390.5753882113</v>
      </c>
      <c r="L17" s="23">
        <f>IF(A16&gt;=(Title_RESULTS!$H$7+Title_RESULTS!$C$17),0,(+$K17/((1+Title_RESULTS!$C$37)^('Sheet8(F_24)'!$A17-Title_RESULTS!$H$7))+L16))</f>
        <v>67657.31362542976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88984.2923136855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88984.2923136855</v>
      </c>
      <c r="G18" s="5">
        <f>IF(A18&gt;=(Title_RESULTS!$H$7+Title_RESULTS!$C$17),0,(+'Sheet6(p_6)'!$H18))</f>
        <v>0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0</v>
      </c>
      <c r="K18" s="23">
        <f>IF(A18&gt;=(Title_RESULTS!$H$7+Title_RESULTS!$C$17),0,(+F18-J18))</f>
        <v>88984.2923136855</v>
      </c>
      <c r="L18" s="23">
        <f>IF(A17&gt;=(Title_RESULTS!$H$7+Title_RESULTS!$C$17),0,(+$K18/((1+Title_RESULTS!$C$37)^('Sheet8(F_24)'!$A18-Title_RESULTS!$H$7))+L17))</f>
        <v>145263.55064867198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106781.1507764226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106781.1507764226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106781.1507764226</v>
      </c>
      <c r="L19" s="23">
        <f>IF(A18&gt;=(Title_RESULTS!$H$7+Title_RESULTS!$C$17),0,(+$K19/((1+Title_RESULTS!$C$37)^('Sheet8(F_24)'!$A19-Title_RESULTS!$H$7))+L18))</f>
        <v>232233.55851932074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106781.1507764226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106781.1507764226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106781.1507764226</v>
      </c>
      <c r="L20" s="23">
        <f>IF(A19&gt;=(Title_RESULTS!$H$7+Title_RESULTS!$C$17),0,(+$K20/((1+Title_RESULTS!$C$37)^('Sheet8(F_24)'!$A20-Title_RESULTS!$H$7))+L19))</f>
        <v>313453.2147302366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106781.1507764226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106781.1507764226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106781.1507764226</v>
      </c>
      <c r="L21" s="23">
        <f>IF(A20&gt;=(Title_RESULTS!$H$7+Title_RESULTS!$C$17),0,(+$K21/((1+Title_RESULTS!$C$37)^('Sheet8(F_24)'!$A21-Title_RESULTS!$H$7))+L20))</f>
        <v>389302.72557345283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106781.1507764226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106781.1507764226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106781.1507764226</v>
      </c>
      <c r="L22" s="23">
        <f>IF(A21&gt;=(Title_RESULTS!$H$7+Title_RESULTS!$C$17),0,(+$K22/((1+Title_RESULTS!$C$37)^('Sheet8(F_24)'!$A22-Title_RESULTS!$H$7))+L21))</f>
        <v>460137.1585611407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106781.1507764226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106781.1507764226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106781.1507764226</v>
      </c>
      <c r="L23" s="23">
        <f>IF(A22&gt;=(Title_RESULTS!$H$7+Title_RESULTS!$C$17),0,(+$K23/((1+Title_RESULTS!$C$37)^('Sheet8(F_24)'!$A23-Title_RESULTS!$H$7))+L22))</f>
        <v>526288.1045713087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106781.1507764226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106781.1507764226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106781.1507764226</v>
      </c>
      <c r="L24" s="23">
        <f>IF(A23&gt;=(Title_RESULTS!$H$7+Title_RESULTS!$C$17),0,(+$K24/((1+Title_RESULTS!$C$37)^('Sheet8(F_24)'!$A24-Title_RESULTS!$H$7))+L23))</f>
        <v>588065.2300944391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106781.1507764226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106781.1507764226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106781.1507764226</v>
      </c>
      <c r="L25" s="23">
        <f>IF(A24&gt;=(Title_RESULTS!$H$7+Title_RESULTS!$C$17),0,(+$K25/((1+Title_RESULTS!$C$37)^('Sheet8(F_24)'!$A25-Title_RESULTS!$H$7))+L24))</f>
        <v>645757.726847456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106781.1507764226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106781.1507764226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106781.1507764226</v>
      </c>
      <c r="L26" s="23">
        <f>IF(A25&gt;=(Title_RESULTS!$H$7+Title_RESULTS!$C$17),0,(+$K26/((1+Title_RESULTS!$C$37)^('Sheet8(F_24)'!$A26-Title_RESULTS!$H$7))+L25))</f>
        <v>699635.6655409718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106781.1507764226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106781.1507764226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106781.1507764226</v>
      </c>
      <c r="L27" s="23">
        <f>IF(A26&gt;=(Title_RESULTS!$H$7+Title_RESULTS!$C$17),0,(+$K27/((1+Title_RESULTS!$C$37)^('Sheet8(F_24)'!$A27-Title_RESULTS!$H$7))+L26))</f>
        <v>749951.260137083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106781.1507764226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106781.1507764226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106781.1507764226</v>
      </c>
      <c r="L28" s="23">
        <f>IF(A27&gt;=(Title_RESULTS!$H$7+Title_RESULTS!$C$17),0,(+$K28/((1+Title_RESULTS!$C$37)^('Sheet8(F_24)'!$A28-Title_RESULTS!$H$7))+L27))</f>
        <v>796940.0485159691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106781.1507764226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106781.1507764226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106781.1507764226</v>
      </c>
      <c r="L29" s="23">
        <f>IF(A28&gt;=(Title_RESULTS!$H$7+Title_RESULTS!$C$17),0,(+$K29/((1+Title_RESULTS!$C$37)^('Sheet8(F_24)'!$A29-Title_RESULTS!$H$7))+L28))</f>
        <v>840821.995078246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106781.1507764226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106781.1507764226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106781.1507764226</v>
      </c>
      <c r="L30" s="23">
        <f>IF(A29&gt;=(Title_RESULTS!$H$7+Title_RESULTS!$C$17),0,(+$K30/((1+Title_RESULTS!$C$37)^('Sheet8(F_24)'!$A30-Title_RESULTS!$H$7))+L29))</f>
        <v>881802.5204445859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0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106781.1507764226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106781.1507764226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106781.1507764226</v>
      </c>
      <c r="L31" s="23">
        <f>IF(A30&gt;=(Title_RESULTS!$H$7+Title_RESULTS!$C$17),0,(+$K31/((1+Title_RESULTS!$C$37)^('Sheet8(F_24)'!$A31-Title_RESULTS!$H$7))+L30))</f>
        <v>920073.4630728452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0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106781.1507764226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106781.1507764226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106781.1507764226</v>
      </c>
      <c r="L32" s="23">
        <f>IF(A31&gt;=(Title_RESULTS!$H$7+Title_RESULTS!$C$17),0,(+$K32/((1+Title_RESULTS!$C$37)^('Sheet8(F_24)'!$A32-Title_RESULTS!$H$7))+L31))</f>
        <v>955813.9772942304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0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106781.1507764226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106781.1507764226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106781.1507764226</v>
      </c>
      <c r="L33" s="23">
        <f>IF(A32&gt;=(Title_RESULTS!$H$7+Title_RESULTS!$C$17),0,(+$K33/((1+Title_RESULTS!$C$37)^('Sheet8(F_24)'!$A33-Title_RESULTS!$H$7))+L32))</f>
        <v>989191.371972401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0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106781.1507764226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106781.1507764226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106781.1507764226</v>
      </c>
      <c r="L34" s="23">
        <f>IF(A33&gt;=(Title_RESULTS!$H$7+Title_RESULTS!$C$17),0,(+$K34/((1+Title_RESULTS!$C$37)^('Sheet8(F_24)'!$A34-Title_RESULTS!$H$7))+L33))</f>
        <v>1020361.8937114473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0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106781.1507764226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106781.1507764226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106781.1507764226</v>
      </c>
      <c r="L35" s="23">
        <f>IF(A34&gt;=(Title_RESULTS!$H$7+Title_RESULTS!$C$17),0,(+$K35/((1+Title_RESULTS!$C$37)^('Sheet8(F_24)'!$A35-Title_RESULTS!$H$7))+L34))</f>
        <v>1049471.4582791035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0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106781.1507764226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106781.1507764226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106781.1507764226</v>
      </c>
      <c r="L36" s="23">
        <f>IF(A35&gt;=(Title_RESULTS!$H$7+Title_RESULTS!$C$17),0,(+$K36/((1+Title_RESULTS!$C$37)^('Sheet8(F_24)'!$A36-Title_RESULTS!$H$7))+L35))</f>
        <v>1076656.3336691447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0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106781.1507764226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106781.1507764226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106781.1507764226</v>
      </c>
      <c r="L37" s="23">
        <f>IF(A36&gt;=(Title_RESULTS!$H$7+Title_RESULTS!$C$17),0,(+$K37/((1+Title_RESULTS!$C$37)^('Sheet8(F_24)'!$A37-Title_RESULTS!$H$7))+L36))</f>
        <v>1102043.7780005243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0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106781.1507764226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106781.1507764226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106781.1507764226</v>
      </c>
      <c r="L38" s="23">
        <f>IF(A37&gt;=(Title_RESULTS!$H$7+Title_RESULTS!$C$17),0,(+$K38/((1+Title_RESULTS!$C$37)^('Sheet8(F_24)'!$A38-Title_RESULTS!$H$7))+L37))</f>
        <v>1125752.635239392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0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106781.1507764226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106781.1507764226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106781.1507764226</v>
      </c>
      <c r="L39" s="23">
        <f>IF(A38&gt;=(Title_RESULTS!$H$7+Title_RESULTS!$C$17),0,(+$K39/((1+Title_RESULTS!$C$37)^('Sheet8(F_24)'!$A39-Title_RESULTS!$H$7))+L38))</f>
        <v>1147893.891532694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0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106781.1507764226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106781.1507764226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106781.1507764226</v>
      </c>
      <c r="L40" s="23">
        <f>IF(A39&gt;=(Title_RESULTS!$H$7+Title_RESULTS!$C$17),0,(+$K40/((1+Title_RESULTS!$C$37)^('Sheet8(F_24)'!$A40-Title_RESULTS!$H$7))+L39))</f>
        <v>1168571.1947576678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0</v>
      </c>
      <c r="C42" s="5">
        <f t="shared" si="1"/>
        <v>0</v>
      </c>
      <c r="D42" s="5">
        <f t="shared" si="1"/>
        <v>2509357.0432459307</v>
      </c>
      <c r="E42" s="5">
        <f t="shared" si="1"/>
        <v>0</v>
      </c>
      <c r="F42" s="5">
        <f t="shared" si="1"/>
        <v>2509357.0432459307</v>
      </c>
      <c r="G42" s="5">
        <f t="shared" si="1"/>
        <v>0</v>
      </c>
      <c r="H42" s="5">
        <f t="shared" si="1"/>
        <v>0</v>
      </c>
      <c r="I42" s="5">
        <f t="shared" si="1"/>
        <v>0</v>
      </c>
      <c r="J42" s="5">
        <f t="shared" si="1"/>
        <v>0</v>
      </c>
      <c r="K42" s="5">
        <f t="shared" si="1"/>
        <v>2509357.0432459307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0</v>
      </c>
      <c r="C44" s="5">
        <f>NPV(Title_RESULTS!$C$37,'Sheet8(F_24)'!C17:C41)+'Sheet8(F_24)'!C16</f>
        <v>0</v>
      </c>
      <c r="D44" s="5">
        <f>NPV(Title_RESULTS!$C$37,'Sheet8(F_24)'!D17:D41)+'Sheet8(F_24)'!D16</f>
        <v>1168571.194757668</v>
      </c>
      <c r="E44" s="5">
        <f>NPV(Title_RESULTS!$C$37,'Sheet8(F_24)'!E17:E41)+'Sheet8(F_24)'!E16</f>
        <v>0</v>
      </c>
      <c r="F44" s="5">
        <f>NPV(Title_RESULTS!$C$37,'Sheet8(F_24)'!F17:F41)+'Sheet8(F_24)'!F16</f>
        <v>1168571.194757668</v>
      </c>
      <c r="G44" s="5">
        <f>NPV(Title_RESULTS!$C$37,'Sheet8(F_24)'!G17:G41)+'Sheet8(F_24)'!G16</f>
        <v>0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0</v>
      </c>
      <c r="K44" s="5">
        <f>NPV(Title_RESULTS!$C$37,'Sheet8(F_24)'!K17:K41)+'Sheet8(F_24)'!K16</f>
        <v>1168571.194757668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 t="e">
        <f>+F44/J44</f>
        <v>#DIV/0!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Commercial DR - CPP</v>
      </c>
      <c r="N2" t="s">
        <v>55</v>
      </c>
    </row>
    <row r="3" ht="12.75">
      <c r="N3" s="35">
        <f>+Title_RESULTS!I4</f>
        <v>43599.31716643518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1360.5</v>
      </c>
      <c r="D16" s="5">
        <f>IF(A16&gt;=(Title_RESULTS!$H$7+Title_RESULTS!$C$17),0,(+'Sheet6(p_6)'!$G16))</f>
        <v>17796.8584627371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19157.3584627371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-19157.3584627371</v>
      </c>
      <c r="N16" s="24">
        <f>IF(A16&gt;=(Title_RESULTS!$H$7+Title_RESULTS!$C$17),0,(+$M16/((1+Title_RESULTS!$C$37)^('Sheet9(F_25)'!$A16-Title_RESULTS!$H$7))))</f>
        <v>-19157.3584627371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1408.512</v>
      </c>
      <c r="D17" s="5">
        <f>IF(A17&gt;=(Title_RESULTS!$H$7+Title_RESULTS!$C$17),0,(+'Sheet6(p_6)'!$G17))</f>
        <v>53390.5753882113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54799.0873882113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14070.25451447336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14070.25451447336</v>
      </c>
      <c r="M17" s="23">
        <f>IF(A17&gt;=(Title_RESULTS!$H$7+Title_RESULTS!$C$17),0,(+L17-G17))</f>
        <v>-40728.83287373794</v>
      </c>
      <c r="N17" s="24">
        <f>(IF(A16&gt;=(Title_RESULTS!$H$7+Title_RESULTS!$C$17),0,(+$M17/((1+Title_RESULTS!$C$37)^('Sheet9(F_25)'!$A17-Title_RESULTS!$H$7))+N16)))</f>
        <v>-57193.25020137918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1458.044928</v>
      </c>
      <c r="D18" s="5">
        <f>IF(A18&gt;=(Title_RESULTS!$H$7+Title_RESULTS!$C$17),0,(+'Sheet6(p_6)'!$G18))</f>
        <v>88984.2923136855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90442.3372416855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14407.940622820719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14407.940622820719</v>
      </c>
      <c r="M18" s="23">
        <f>IF(A18&gt;=(Title_RESULTS!$H$7+Title_RESULTS!$C$17),0,(+L18-G18))</f>
        <v>-76034.39661886478</v>
      </c>
      <c r="N18" s="24">
        <f>(IF(A17&gt;=(Title_RESULTS!$H$7+Title_RESULTS!$C$17),0,(+$M18/((1+Title_RESULTS!$C$37)^('Sheet9(F_25)'!$A18-Title_RESULTS!$H$7))+N17)))</f>
        <v>-123505.44140386303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48.318382080000006</v>
      </c>
      <c r="D19" s="5">
        <f>IF(A19&gt;=(Title_RESULTS!$H$7+Title_RESULTS!$C$17),0,(+'Sheet6(p_6)'!$G19))</f>
        <v>106781.1507764226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106829.4691585026</v>
      </c>
      <c r="H19" s="5">
        <f>IF(A19&gt;=(Title_RESULTS!$H$7+Title_RESULTS!$C$17),0,(+'Sheet3(F_21)'!$J19+'Sheet4(F_22)'!$H19))</f>
        <v>103015.19855444069</v>
      </c>
      <c r="I19" s="5">
        <f>IF(A19&gt;=(Title_RESULTS!$H$7+Title_RESULTS!$C$17),0,(+'Sheet4(F_22)'!$D19+'Sheet4(F_22)'!$G19))</f>
        <v>30924.292063659588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133939.49061810027</v>
      </c>
      <c r="M19" s="23">
        <f>IF(A19&gt;=(Title_RESULTS!$H$7+Title_RESULTS!$C$17),0,(+L19-G19))</f>
        <v>27110.021459597672</v>
      </c>
      <c r="N19" s="24">
        <f>(IF(A18&gt;=(Title_RESULTS!$H$7+Title_RESULTS!$C$17),0,(+$M19/((1+Title_RESULTS!$C$37)^('Sheet9(F_25)'!$A19-Title_RESULTS!$H$7))+N18)))</f>
        <v>-101425.15136605178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49.47802324992</v>
      </c>
      <c r="D20" s="5">
        <f>IF(A20&gt;=(Title_RESULTS!$H$7+Title_RESULTS!$C$17),0,(+'Sheet6(p_6)'!$G20))</f>
        <v>106781.1507764226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106830.62879967252</v>
      </c>
      <c r="H20" s="5">
        <f>IF(A20&gt;=(Title_RESULTS!$H$7+Title_RESULTS!$C$17),0,(+'Sheet3(F_21)'!$J20+'Sheet4(F_22)'!$H20))</f>
        <v>101105.99389070447</v>
      </c>
      <c r="I20" s="5">
        <f>IF(A20&gt;=(Title_RESULTS!$H$7+Title_RESULTS!$C$17),0,(+'Sheet4(F_22)'!$D20+'Sheet4(F_22)'!$G20))</f>
        <v>30800.866823918128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131906.8607146226</v>
      </c>
      <c r="M20" s="23">
        <f>IF(A20&gt;=(Title_RESULTS!$H$7+Title_RESULTS!$C$17),0,(+L20-G20))</f>
        <v>25076.231914950084</v>
      </c>
      <c r="N20" s="24">
        <f>(IF(A19&gt;=(Title_RESULTS!$H$7+Title_RESULTS!$C$17),0,(+$M20/((1+Title_RESULTS!$C$37)^('Sheet9(F_25)'!$A20-Title_RESULTS!$H$7))+N19)))</f>
        <v>-82351.72014351485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50.665495807918084</v>
      </c>
      <c r="D21" s="5">
        <f>IF(A21&gt;=(Title_RESULTS!$H$7+Title_RESULTS!$C$17),0,(+'Sheet6(p_6)'!$G21))</f>
        <v>106781.1507764226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106831.81627223051</v>
      </c>
      <c r="H21" s="5">
        <f>IF(A21&gt;=(Title_RESULTS!$H$7+Title_RESULTS!$C$17),0,(+'Sheet3(F_21)'!$J21+'Sheet4(F_22)'!$H21))</f>
        <v>99095.52822660287</v>
      </c>
      <c r="I21" s="5">
        <f>IF(A21&gt;=(Title_RESULTS!$H$7+Title_RESULTS!$C$17),0,(+'Sheet4(F_22)'!$D21+'Sheet4(F_22)'!$G21))</f>
        <v>30636.28167790233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129731.8099045052</v>
      </c>
      <c r="M21" s="23">
        <f>IF(A21&gt;=(Title_RESULTS!$H$7+Title_RESULTS!$C$17),0,(+L21-G21))</f>
        <v>22899.99363227468</v>
      </c>
      <c r="N21" s="24">
        <f>(IF(A20&gt;=(Title_RESULTS!$H$7+Title_RESULTS!$C$17),0,(+$M21/((1+Title_RESULTS!$C$37)^('Sheet9(F_25)'!$A21-Title_RESULTS!$H$7))+N20)))</f>
        <v>-66085.24143738423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51.881467707308104</v>
      </c>
      <c r="D22" s="5">
        <f>IF(A22&gt;=(Title_RESULTS!$H$7+Title_RESULTS!$C$17),0,(+'Sheet6(p_6)'!$G22))</f>
        <v>106781.1507764226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106833.0322441299</v>
      </c>
      <c r="H22" s="5">
        <f>IF(A22&gt;=(Title_RESULTS!$H$7+Title_RESULTS!$C$17),0,(+'Sheet3(F_21)'!$J22+'Sheet4(F_22)'!$H22))</f>
        <v>97458.54534752472</v>
      </c>
      <c r="I22" s="5">
        <f>IF(A22&gt;=(Title_RESULTS!$H$7+Title_RESULTS!$C$17),0,(+'Sheet4(F_22)'!$D22+'Sheet4(F_22)'!$G22))</f>
        <v>30505.647309897617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127964.19265742233</v>
      </c>
      <c r="M22" s="23">
        <f>IF(A22&gt;=(Title_RESULTS!$H$7+Title_RESULTS!$C$17),0,(+L22-G22))</f>
        <v>21131.160413292426</v>
      </c>
      <c r="N22" s="24">
        <f>(IF(A21&gt;=(Title_RESULTS!$H$7+Title_RESULTS!$C$17),0,(+$M22/((1+Title_RESULTS!$C$37)^('Sheet9(F_25)'!$A22-Title_RESULTS!$H$7))+N21)))</f>
        <v>-52067.65729108242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53.12662293228351</v>
      </c>
      <c r="D23" s="5">
        <f>IF(A23&gt;=(Title_RESULTS!$H$7+Title_RESULTS!$C$17),0,(+'Sheet6(p_6)'!$G23))</f>
        <v>106781.1507764226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106834.27739935488</v>
      </c>
      <c r="H23" s="5">
        <f>IF(A23&gt;=(Title_RESULTS!$H$7+Title_RESULTS!$C$17),0,(+'Sheet3(F_21)'!$J23+'Sheet4(F_22)'!$H23))</f>
        <v>95639.3012848039</v>
      </c>
      <c r="I23" s="5">
        <f>IF(A23&gt;=(Title_RESULTS!$H$7+Title_RESULTS!$C$17),0,(+'Sheet4(F_22)'!$D23+'Sheet4(F_22)'!$G23))</f>
        <v>30406.640708999566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126045.94199380347</v>
      </c>
      <c r="M23" s="23">
        <f>IF(A23&gt;=(Title_RESULTS!$H$7+Title_RESULTS!$C$17),0,(+L23-G23))</f>
        <v>19211.664594448594</v>
      </c>
      <c r="N23" s="24">
        <f>(IF(A22&gt;=(Title_RESULTS!$H$7+Title_RESULTS!$C$17),0,(+$M23/((1+Title_RESULTS!$C$37)^('Sheet9(F_25)'!$A23-Title_RESULTS!$H$7))+N22)))</f>
        <v>-40166.02691800505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54.40166188265832</v>
      </c>
      <c r="D24" s="5">
        <f>IF(A24&gt;=(Title_RESULTS!$H$7+Title_RESULTS!$C$17),0,(+'Sheet6(p_6)'!$G24))</f>
        <v>106781.1507764226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106835.55243830525</v>
      </c>
      <c r="H24" s="5">
        <f>IF(A24&gt;=(Title_RESULTS!$H$7+Title_RESULTS!$C$17),0,(+'Sheet3(F_21)'!$J24+'Sheet4(F_22)'!$H24))</f>
        <v>93007.8532664128</v>
      </c>
      <c r="I24" s="5">
        <f>IF(A24&gt;=(Title_RESULTS!$H$7+Title_RESULTS!$C$17),0,(+'Sheet4(F_22)'!$D24+'Sheet4(F_22)'!$G24))</f>
        <v>30337.223640408716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123345.07690682152</v>
      </c>
      <c r="M24" s="23">
        <f>IF(A24&gt;=(Title_RESULTS!$H$7+Title_RESULTS!$C$17),0,(+L24-G24))</f>
        <v>16509.52446851626</v>
      </c>
      <c r="N24" s="24">
        <f>(IF(A23&gt;=(Title_RESULTS!$H$7+Title_RESULTS!$C$17),0,(+$M24/((1+Title_RESULTS!$C$37)^('Sheet9(F_25)'!$A24-Title_RESULTS!$H$7))+N23)))</f>
        <v>-30614.613040155004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55.707301767842104</v>
      </c>
      <c r="D25" s="5">
        <f>IF(A25&gt;=(Title_RESULTS!$H$7+Title_RESULTS!$C$17),0,(+'Sheet6(p_6)'!$G25))</f>
        <v>106781.1507764226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106836.85807819045</v>
      </c>
      <c r="H25" s="5">
        <f>IF(A25&gt;=(Title_RESULTS!$H$7+Title_RESULTS!$C$17),0,(+'Sheet3(F_21)'!$J25+'Sheet4(F_22)'!$H25))</f>
        <v>91418.23360972013</v>
      </c>
      <c r="I25" s="5">
        <f>IF(A25&gt;=(Title_RESULTS!$H$7+Title_RESULTS!$C$17),0,(+'Sheet4(F_22)'!$D25+'Sheet4(F_22)'!$G25))</f>
        <v>30291.432322154225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121709.66593187436</v>
      </c>
      <c r="M25" s="23">
        <f>IF(A25&gt;=(Title_RESULTS!$H$7+Title_RESULTS!$C$17),0,(+L25-G25))</f>
        <v>14872.807853683917</v>
      </c>
      <c r="N25" s="24">
        <f>(IF(A24&gt;=(Title_RESULTS!$H$7+Title_RESULTS!$C$17),0,(+$M25/((1+Title_RESULTS!$C$37)^('Sheet9(F_25)'!$A25-Title_RESULTS!$H$7))+N24)))</f>
        <v>-22579.024244118536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57.044277010270314</v>
      </c>
      <c r="D26" s="5">
        <f>IF(A26&gt;=(Title_RESULTS!$H$7+Title_RESULTS!$C$17),0,(+'Sheet6(p_6)'!$G26))</f>
        <v>106781.1507764226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106838.19505343286</v>
      </c>
      <c r="H26" s="5">
        <f>IF(A26&gt;=(Title_RESULTS!$H$7+Title_RESULTS!$C$17),0,(+'Sheet3(F_21)'!$J26+'Sheet4(F_22)'!$H26))</f>
        <v>88853.1205060961</v>
      </c>
      <c r="I26" s="5">
        <f>IF(A26&gt;=(Title_RESULTS!$H$7+Title_RESULTS!$C$17),0,(+'Sheet4(F_22)'!$D26+'Sheet4(F_22)'!$G26))</f>
        <v>30259.783205633204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119112.9037117293</v>
      </c>
      <c r="M26" s="23">
        <f>IF(A26&gt;=(Title_RESULTS!$H$7+Title_RESULTS!$C$17),0,(+L26-G26))</f>
        <v>12274.70865829644</v>
      </c>
      <c r="N26" s="24">
        <f>(IF(A25&gt;=(Title_RESULTS!$H$7+Title_RESULTS!$C$17),0,(+$M26/((1+Title_RESULTS!$C$37)^('Sheet9(F_25)'!$A26-Title_RESULTS!$H$7))+N25)))</f>
        <v>-16385.64652001849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58.41333965851681</v>
      </c>
      <c r="D27" s="5">
        <f>IF(A27&gt;=(Title_RESULTS!$H$7+Title_RESULTS!$C$17),0,(+'Sheet6(p_6)'!$G27))</f>
        <v>106781.1507764226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106839.56411608112</v>
      </c>
      <c r="H27" s="5">
        <f>IF(A27&gt;=(Title_RESULTS!$H$7+Title_RESULTS!$C$17),0,(+'Sheet3(F_21)'!$J27+'Sheet4(F_22)'!$H27))</f>
        <v>88000.58983425901</v>
      </c>
      <c r="I27" s="5">
        <f>IF(A27&gt;=(Title_RESULTS!$H$7+Title_RESULTS!$C$17),0,(+'Sheet4(F_22)'!$D27+'Sheet4(F_22)'!$G27))</f>
        <v>30237.93178803953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118238.52162229853</v>
      </c>
      <c r="M27" s="23">
        <f>IF(A27&gt;=(Title_RESULTS!$H$7+Title_RESULTS!$C$17),0,(+L27-G27))</f>
        <v>11398.957506217412</v>
      </c>
      <c r="N27" s="24">
        <f>(IF(A26&gt;=(Title_RESULTS!$H$7+Title_RESULTS!$C$17),0,(+$M27/((1+Title_RESULTS!$C$37)^('Sheet9(F_25)'!$A27-Title_RESULTS!$H$7))+N26)))</f>
        <v>-11014.42397249212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59.815259810321216</v>
      </c>
      <c r="D28" s="5">
        <f>IF(A28&gt;=(Title_RESULTS!$H$7+Title_RESULTS!$C$17),0,(+'Sheet6(p_6)'!$G28))</f>
        <v>106781.1507764226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106840.96603623292</v>
      </c>
      <c r="H28" s="5">
        <f>IF(A28&gt;=(Title_RESULTS!$H$7+Title_RESULTS!$C$17),0,(+'Sheet3(F_21)'!$J28+'Sheet4(F_22)'!$H28))</f>
        <v>85918.16635558009</v>
      </c>
      <c r="I28" s="5">
        <f>IF(A28&gt;=(Title_RESULTS!$H$7+Title_RESULTS!$C$17),0,(+'Sheet4(F_22)'!$D28+'Sheet4(F_22)'!$G28))</f>
        <v>30226.113214147466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116144.27956972756</v>
      </c>
      <c r="M28" s="23">
        <f>IF(A28&gt;=(Title_RESULTS!$H$7+Title_RESULTS!$C$17),0,(+L28-G28))</f>
        <v>9303.313533494642</v>
      </c>
      <c r="N28" s="24">
        <f>(IF(A27&gt;=(Title_RESULTS!$H$7+Title_RESULTS!$C$17),0,(+$M28/((1+Title_RESULTS!$C$37)^('Sheet9(F_25)'!$A28-Title_RESULTS!$H$7))+N27)))</f>
        <v>-6920.523244983478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61.25082604576892</v>
      </c>
      <c r="D29" s="5">
        <f>IF(A29&gt;=(Title_RESULTS!$H$7+Title_RESULTS!$C$17),0,(+'Sheet6(p_6)'!$G29))</f>
        <v>106781.1507764226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106842.40160246837</v>
      </c>
      <c r="H29" s="5">
        <f>IF(A29&gt;=(Title_RESULTS!$H$7+Title_RESULTS!$C$17),0,(+'Sheet3(F_21)'!$J29+'Sheet4(F_22)'!$H29))</f>
        <v>85280.13905974323</v>
      </c>
      <c r="I29" s="5">
        <f>IF(A29&gt;=(Title_RESULTS!$H$7+Title_RESULTS!$C$17),0,(+'Sheet4(F_22)'!$D29+'Sheet4(F_22)'!$G29))</f>
        <v>30224.568272205845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115504.70733194907</v>
      </c>
      <c r="M29" s="23">
        <f>IF(A29&gt;=(Title_RESULTS!$H$7+Title_RESULTS!$C$17),0,(+L29-G29))</f>
        <v>8662.305729480708</v>
      </c>
      <c r="N29" s="24">
        <f>(IF(A28&gt;=(Title_RESULTS!$H$7+Title_RESULTS!$C$17),0,(+$M29/((1+Title_RESULTS!$C$37)^('Sheet9(F_25)'!$A29-Title_RESULTS!$H$7))+N28)))</f>
        <v>-3360.729832351444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62.720845870867365</v>
      </c>
      <c r="D30" s="5">
        <f>IF(A30&gt;=(Title_RESULTS!$H$7+Title_RESULTS!$C$17),0,(+'Sheet6(p_6)'!$G30))</f>
        <v>106781.1507764226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106843.87162229346</v>
      </c>
      <c r="H30" s="5">
        <f>IF(A30&gt;=(Title_RESULTS!$H$7+Title_RESULTS!$C$17),0,(+'Sheet3(F_21)'!$J30+'Sheet4(F_22)'!$H30))</f>
        <v>83047.21638671527</v>
      </c>
      <c r="I30" s="5">
        <f>IF(A30&gt;=(Title_RESULTS!$H$7+Title_RESULTS!$C$17),0,(+'Sheet4(F_22)'!$D30+'Sheet4(F_22)'!$G30))</f>
        <v>30233.54352938148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113280.75991609675</v>
      </c>
      <c r="M30" s="23">
        <f>IF(A30&gt;=(Title_RESULTS!$H$7+Title_RESULTS!$C$17),0,(+L30-G30))</f>
        <v>6436.888293803291</v>
      </c>
      <c r="N30" s="24">
        <f>(IF(A29&gt;=(Title_RESULTS!$H$7+Title_RESULTS!$C$17),0,(+$M30/((1+Title_RESULTS!$C$37)^('Sheet9(F_25)'!$A30-Title_RESULTS!$H$7))+N29)))</f>
        <v>-890.3775081213212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64.22614617176819</v>
      </c>
      <c r="D31" s="5">
        <f>IF(A31&gt;=(Title_RESULTS!$H$7+Title_RESULTS!$C$17),0,(+'Sheet6(p_6)'!$G31))</f>
        <v>106781.1507764226</v>
      </c>
      <c r="E31" s="5">
        <f>+'Sheet6(p_6)'!M31</f>
        <v>0</v>
      </c>
      <c r="F31">
        <f>IF(A31&gt;=(Title_RESULTS!$H$7+Title_RESULTS!$C$17),0,(+'f-11B'!$R30))</f>
        <v>0</v>
      </c>
      <c r="G31" s="5">
        <f>IF(A31&gt;=(Title_RESULTS!$H$7+Title_RESULTS!$C$17),0,(SUM(B31:F31)))</f>
        <v>106845.37692259437</v>
      </c>
      <c r="H31" s="5">
        <f>IF(A31&gt;=(Title_RESULTS!$H$7+Title_RESULTS!$C$17),0,(+'Sheet3(F_21)'!$J31+'Sheet4(F_22)'!$H31))</f>
        <v>81890.71088007934</v>
      </c>
      <c r="I31" s="5">
        <f>IF(A31&gt;=(Title_RESULTS!$H$7+Title_RESULTS!$C$17),0,(+'Sheet4(F_22)'!$D31+'Sheet4(F_22)'!$G31))</f>
        <v>30253.291470453187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112144.00235053252</v>
      </c>
      <c r="M31" s="23">
        <f>IF(A31&gt;=(Title_RESULTS!$H$7+Title_RESULTS!$C$17),0,(+L31-G31))</f>
        <v>5298.625427938154</v>
      </c>
      <c r="N31" s="24">
        <f>(IF(A30&gt;=(Title_RESULTS!$H$7+Title_RESULTS!$C$17),0,(+$M31/((1+Title_RESULTS!$C$37)^('Sheet9(F_25)'!$A31-Title_RESULTS!$H$7))+N30)))</f>
        <v>1008.6785358226396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65.76757367989063</v>
      </c>
      <c r="D32" s="5">
        <f>IF(A32&gt;=(Title_RESULTS!$H$7+Title_RESULTS!$C$17),0,(+'Sheet6(p_6)'!$G32))</f>
        <v>106781.1507764226</v>
      </c>
      <c r="E32" s="5">
        <f>+'Sheet6(p_6)'!M32</f>
        <v>0</v>
      </c>
      <c r="F32">
        <f>IF(A32&gt;=(Title_RESULTS!$H$7+Title_RESULTS!$C$17),0,(+'f-11B'!$R31))</f>
        <v>0</v>
      </c>
      <c r="G32" s="5">
        <f>IF(A32&gt;=(Title_RESULTS!$H$7+Title_RESULTS!$C$17),0,(SUM(B32:F32)))</f>
        <v>106846.91835010248</v>
      </c>
      <c r="H32" s="5">
        <f>IF(A32&gt;=(Title_RESULTS!$H$7+Title_RESULTS!$C$17),0,(+'Sheet3(F_21)'!$J32+'Sheet4(F_22)'!$H32))</f>
        <v>81606.45928729036</v>
      </c>
      <c r="I32" s="5">
        <f>IF(A32&gt;=(Title_RESULTS!$H$7+Title_RESULTS!$C$17),0,(+'Sheet4(F_22)'!$D32+'Sheet4(F_22)'!$G32))</f>
        <v>30284.070639834474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111890.52992712484</v>
      </c>
      <c r="M32" s="23">
        <f>IF(A32&gt;=(Title_RESULTS!$H$7+Title_RESULTS!$C$17),0,(+L32-G32))</f>
        <v>5043.611577022355</v>
      </c>
      <c r="N32" s="24">
        <f>(IF(A31&gt;=(Title_RESULTS!$H$7+Title_RESULTS!$C$17),0,(+$M32/((1+Title_RESULTS!$C$37)^('Sheet9(F_25)'!$A32-Title_RESULTS!$H$7))+N31)))</f>
        <v>2696.816095541769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67.34599544820799</v>
      </c>
      <c r="D33" s="5">
        <f>IF(A33&gt;=(Title_RESULTS!$H$7+Title_RESULTS!$C$17),0,(+'Sheet6(p_6)'!$G33))</f>
        <v>106781.1507764226</v>
      </c>
      <c r="E33" s="5">
        <f>+'Sheet6(p_6)'!M33</f>
        <v>0</v>
      </c>
      <c r="F33">
        <f>IF(A33&gt;=(Title_RESULTS!$H$7+Title_RESULTS!$C$17),0,(+'f-11B'!$R32))</f>
        <v>0</v>
      </c>
      <c r="G33" s="5">
        <f>IF(A33&gt;=(Title_RESULTS!$H$7+Title_RESULTS!$C$17),0,(SUM(B33:F33)))</f>
        <v>106848.4967718708</v>
      </c>
      <c r="H33" s="5">
        <f>IF(A33&gt;=(Title_RESULTS!$H$7+Title_RESULTS!$C$17),0,(+'Sheet3(F_21)'!$J33+'Sheet4(F_22)'!$H33))</f>
        <v>79880.33488407123</v>
      </c>
      <c r="I33" s="5">
        <f>IF(A33&gt;=(Title_RESULTS!$H$7+Title_RESULTS!$C$17),0,(+'Sheet4(F_22)'!$D33+'Sheet4(F_22)'!$G33))</f>
        <v>30326.145787004767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110206.48067107599</v>
      </c>
      <c r="M33" s="23">
        <f>IF(A33&gt;=(Title_RESULTS!$H$7+Title_RESULTS!$C$17),0,(+L33-G33))</f>
        <v>3357.983899205181</v>
      </c>
      <c r="N33" s="24">
        <f>(IF(A32&gt;=(Title_RESULTS!$H$7+Title_RESULTS!$C$17),0,(+$M33/((1+Title_RESULTS!$C$37)^('Sheet9(F_25)'!$A33-Title_RESULTS!$H$7))+N32)))</f>
        <v>3746.4466072168825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68.96229933896498</v>
      </c>
      <c r="D34" s="5">
        <f>IF(A34&gt;=(Title_RESULTS!$H$7+Title_RESULTS!$C$17),0,(+'Sheet6(p_6)'!$G34))</f>
        <v>106781.1507764226</v>
      </c>
      <c r="E34" s="5">
        <f>+'Sheet6(p_6)'!M34</f>
        <v>0</v>
      </c>
      <c r="F34">
        <f>IF(A34&gt;=(Title_RESULTS!$H$7+Title_RESULTS!$C$17),0,(+'f-11B'!$R33))</f>
        <v>0</v>
      </c>
      <c r="G34" s="5">
        <f>IF(A34&gt;=(Title_RESULTS!$H$7+Title_RESULTS!$C$17),0,(SUM(B34:F34)))</f>
        <v>106850.11307576156</v>
      </c>
      <c r="H34" s="5">
        <f>IF(A34&gt;=(Title_RESULTS!$H$7+Title_RESULTS!$C$17),0,(+'Sheet3(F_21)'!$J34+'Sheet4(F_22)'!$H34))</f>
        <v>79982.94025397036</v>
      </c>
      <c r="I34" s="5">
        <f>IF(A34&gt;=(Title_RESULTS!$H$7+Title_RESULTS!$C$17),0,(+'Sheet4(F_22)'!$D34+'Sheet4(F_22)'!$G34))</f>
        <v>30421.095124649837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110404.0353786202</v>
      </c>
      <c r="M34" s="23">
        <f>IF(A34&gt;=(Title_RESULTS!$H$7+Title_RESULTS!$C$17),0,(+L34-G34))</f>
        <v>3553.922302858642</v>
      </c>
      <c r="N34" s="24">
        <f>(IF(A33&gt;=(Title_RESULTS!$H$7+Title_RESULTS!$C$17),0,(+$M34/((1+Title_RESULTS!$C$37)^('Sheet9(F_25)'!$A34-Title_RESULTS!$H$7))+N33)))</f>
        <v>4783.873265336364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70.61739452310016</v>
      </c>
      <c r="D35" s="5">
        <f>IF(A35&gt;=(Title_RESULTS!$H$7+Title_RESULTS!$C$17),0,(+'Sheet6(p_6)'!$G35))</f>
        <v>106781.1507764226</v>
      </c>
      <c r="E35" s="5">
        <f>+'Sheet6(p_6)'!M35</f>
        <v>0</v>
      </c>
      <c r="F35">
        <f>IF(A35&gt;=(Title_RESULTS!$H$7+Title_RESULTS!$C$17),0,(+'f-11B'!$R34))</f>
        <v>0</v>
      </c>
      <c r="G35" s="5">
        <f>IF(A35&gt;=(Title_RESULTS!$H$7+Title_RESULTS!$C$17),0,(SUM(B35:F35)))</f>
        <v>106851.7681709457</v>
      </c>
      <c r="H35" s="5">
        <f>IF(A35&gt;=(Title_RESULTS!$H$7+Title_RESULTS!$C$17),0,(+'Sheet3(F_21)'!$J35+'Sheet4(F_22)'!$H35))</f>
        <v>79619.83466591942</v>
      </c>
      <c r="I35" s="5">
        <f>IF(A35&gt;=(Title_RESULTS!$H$7+Title_RESULTS!$C$17),0,(+'Sheet4(F_22)'!$D35+'Sheet4(F_22)'!$G35))</f>
        <v>30610.489383754033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110230.32404967345</v>
      </c>
      <c r="M35" s="23">
        <f>IF(A35&gt;=(Title_RESULTS!$H$7+Title_RESULTS!$C$17),0,(+L35-G35))</f>
        <v>3378.555878727755</v>
      </c>
      <c r="N35" s="24">
        <f>(IF(A34&gt;=(Title_RESULTS!$H$7+Title_RESULTS!$C$17),0,(+$M35/((1+Title_RESULTS!$C$37)^('Sheet9(F_25)'!$A35-Title_RESULTS!$H$7))+N34)))</f>
        <v>5704.899961360466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72.31221199165455</v>
      </c>
      <c r="D36" s="5">
        <f>IF(A36&gt;=(Title_RESULTS!$H$7+Title_RESULTS!$C$17),0,(+'Sheet6(p_6)'!$G36))</f>
        <v>106781.1507764226</v>
      </c>
      <c r="E36" s="5">
        <f>+'Sheet6(p_6)'!M36</f>
        <v>0</v>
      </c>
      <c r="F36">
        <f>IF(A36&gt;=(Title_RESULTS!$H$7+Title_RESULTS!$C$17),0,(+'f-11B'!$R35))</f>
        <v>0</v>
      </c>
      <c r="G36" s="5">
        <f>IF(A36&gt;=(Title_RESULTS!$H$7+Title_RESULTS!$C$17),0,(SUM(B36:F36)))</f>
        <v>106853.46298841425</v>
      </c>
      <c r="H36" s="5">
        <f>IF(A36&gt;=(Title_RESULTS!$H$7+Title_RESULTS!$C$17),0,(+'Sheet3(F_21)'!$J36+'Sheet4(F_22)'!$H36))</f>
        <v>81719.98485482618</v>
      </c>
      <c r="I36" s="5">
        <f>IF(A36&gt;=(Title_RESULTS!$H$7+Title_RESULTS!$C$17),0,(+'Sheet4(F_22)'!$D36+'Sheet4(F_22)'!$G36))</f>
        <v>30853.30572768746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112573.29058251364</v>
      </c>
      <c r="M36" s="23">
        <f>IF(A36&gt;=(Title_RESULTS!$H$7+Title_RESULTS!$C$17),0,(+L36-G36))</f>
        <v>5719.827594099392</v>
      </c>
      <c r="N36" s="24">
        <f>(IF(A35&gt;=(Title_RESULTS!$H$7+Title_RESULTS!$C$17),0,(+$M36/((1+Title_RESULTS!$C$37)^('Sheet9(F_25)'!$A36-Title_RESULTS!$H$7))+N35)))</f>
        <v>7161.082061548548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74.04770507945426</v>
      </c>
      <c r="D37" s="5">
        <f>IF(A37&gt;=(Title_RESULTS!$H$7+Title_RESULTS!$C$17),0,(+'Sheet6(p_6)'!$G37))</f>
        <v>106781.1507764226</v>
      </c>
      <c r="E37" s="5">
        <f>+'Sheet6(p_6)'!M37</f>
        <v>0</v>
      </c>
      <c r="F37">
        <f>IF(A37&gt;=(Title_RESULTS!$H$7+Title_RESULTS!$C$17),0,(+'f-11B'!$R36))</f>
        <v>0</v>
      </c>
      <c r="G37" s="5">
        <f>IF(A37&gt;=(Title_RESULTS!$H$7+Title_RESULTS!$C$17),0,(SUM(B37:F37)))</f>
        <v>106855.19848150206</v>
      </c>
      <c r="H37" s="5">
        <f>IF(A37&gt;=(Title_RESULTS!$H$7+Title_RESULTS!$C$17),0,(+'Sheet3(F_21)'!$J37+'Sheet4(F_22)'!$H37))</f>
        <v>80683.4964835921</v>
      </c>
      <c r="I37" s="5">
        <f>IF(A37&gt;=(Title_RESULTS!$H$7+Title_RESULTS!$C$17),0,(+'Sheet4(F_22)'!$D37+'Sheet4(F_22)'!$G37))</f>
        <v>31108.542130547008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111792.0386141391</v>
      </c>
      <c r="M37" s="23">
        <f>IF(A37&gt;=(Title_RESULTS!$H$7+Title_RESULTS!$C$17),0,(+L37-G37))</f>
        <v>4936.840132637051</v>
      </c>
      <c r="N37" s="24">
        <f>(IF(A36&gt;=(Title_RESULTS!$H$7+Title_RESULTS!$C$17),0,(+$M37/((1+Title_RESULTS!$C$37)^('Sheet9(F_25)'!$A37-Title_RESULTS!$H$7))+N36)))</f>
        <v>8334.826239513688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75.82485000136114</v>
      </c>
      <c r="D38" s="5">
        <f>IF(A38&gt;=(Title_RESULTS!$H$7+Title_RESULTS!$C$17),0,(+'Sheet6(p_6)'!$G38))</f>
        <v>106781.1507764226</v>
      </c>
      <c r="E38" s="5">
        <f>+'Sheet6(p_6)'!M38</f>
        <v>0</v>
      </c>
      <c r="F38">
        <f>IF(A38&gt;=(Title_RESULTS!$H$7+Title_RESULTS!$C$17),0,(+'f-11B'!$R37))</f>
        <v>0</v>
      </c>
      <c r="G38" s="5">
        <f>IF(A38&gt;=(Title_RESULTS!$H$7+Title_RESULTS!$C$17),0,(SUM(B38:F38)))</f>
        <v>106856.97562642395</v>
      </c>
      <c r="H38" s="5">
        <f>IF(A38&gt;=(Title_RESULTS!$H$7+Title_RESULTS!$C$17),0,(+'Sheet3(F_21)'!$J38+'Sheet4(F_22)'!$H38))</f>
        <v>80164.59268177123</v>
      </c>
      <c r="I38" s="5">
        <f>IF(A38&gt;=(Title_RESULTS!$H$7+Title_RESULTS!$C$17),0,(+'Sheet4(F_22)'!$D38+'Sheet4(F_22)'!$G38))</f>
        <v>31376.49667374688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111541.08935551811</v>
      </c>
      <c r="M38" s="23">
        <f>IF(A38&gt;=(Title_RESULTS!$H$7+Title_RESULTS!$C$17),0,(+L38-G38))</f>
        <v>4684.113729094155</v>
      </c>
      <c r="N38" s="24">
        <f>(IF(A37&gt;=(Title_RESULTS!$H$7+Title_RESULTS!$C$17),0,(+$M38/((1+Title_RESULTS!$C$37)^('Sheet9(F_25)'!$A38-Title_RESULTS!$H$7))+N37)))</f>
        <v>9374.850465570586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77.64464640139384</v>
      </c>
      <c r="D39" s="5">
        <f>IF(A39&gt;=(Title_RESULTS!$H$7+Title_RESULTS!$C$17),0,(+'Sheet6(p_6)'!$G39))</f>
        <v>106781.1507764226</v>
      </c>
      <c r="E39" s="5">
        <f>+'Sheet6(p_6)'!M39</f>
        <v>0</v>
      </c>
      <c r="F39">
        <f>IF(A39&gt;=(Title_RESULTS!$H$7+Title_RESULTS!$C$17),0,(+'f-11B'!$R38))</f>
        <v>0</v>
      </c>
      <c r="G39" s="5">
        <f>IF(A39&gt;=(Title_RESULTS!$H$7+Title_RESULTS!$C$17),0,(SUM(B39:F39)))</f>
        <v>106858.795422824</v>
      </c>
      <c r="H39" s="5">
        <f>IF(A39&gt;=(Title_RESULTS!$H$7+Title_RESULTS!$C$17),0,(+'Sheet3(F_21)'!$J39+'Sheet4(F_22)'!$H39))</f>
        <v>80281.04341021595</v>
      </c>
      <c r="I39" s="5">
        <f>IF(A39&gt;=(Title_RESULTS!$H$7+Title_RESULTS!$C$17),0,(+'Sheet4(F_22)'!$D39+'Sheet4(F_22)'!$G39))</f>
        <v>31657.47459265528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111938.51800287122</v>
      </c>
      <c r="M39" s="23">
        <f>IF(A39&gt;=(Title_RESULTS!$H$7+Title_RESULTS!$C$17),0,(+L39-G39))</f>
        <v>5079.722580047222</v>
      </c>
      <c r="N39" s="24">
        <f>(IF(A38&gt;=(Title_RESULTS!$H$7+Title_RESULTS!$C$17),0,(+$M39/((1+Title_RESULTS!$C$37)^('Sheet9(F_25)'!$A39-Title_RESULTS!$H$7))+N38)))</f>
        <v>10428.139728009706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79.50811791502728</v>
      </c>
      <c r="D40" s="5">
        <f>IF(A40&gt;=(Title_RESULTS!$H$7+Title_RESULTS!$C$17),0,(+'Sheet6(p_6)'!$G40))</f>
        <v>106781.1507764226</v>
      </c>
      <c r="E40" s="5">
        <f>+'Sheet6(p_6)'!M40</f>
        <v>0</v>
      </c>
      <c r="F40">
        <f>IF(A40&gt;=(Title_RESULTS!$H$7+Title_RESULTS!$C$17),0,(+'f-11B'!$R39))</f>
        <v>0</v>
      </c>
      <c r="G40" s="5">
        <f>IF(A40&gt;=(Title_RESULTS!$H$7+Title_RESULTS!$C$17),0,(SUM(B40:F40)))</f>
        <v>106860.65889433763</v>
      </c>
      <c r="H40" s="5">
        <f>IF(A40&gt;=(Title_RESULTS!$H$7+Title_RESULTS!$C$17),0,(+'Sheet3(F_21)'!$J40+'Sheet4(F_22)'!$H40))</f>
        <v>83581.08190036548</v>
      </c>
      <c r="I40" s="5">
        <f>IF(A40&gt;=(Title_RESULTS!$H$7+Title_RESULTS!$C$17),0,(+'Sheet4(F_22)'!$D40+'Sheet4(F_22)'!$G40))</f>
        <v>31951.788448289168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115532.87034865464</v>
      </c>
      <c r="M40" s="23">
        <f>IF(A40&gt;=(Title_RESULTS!$H$7+Title_RESULTS!$C$17),0,(+L40-G40))</f>
        <v>8672.211454317017</v>
      </c>
      <c r="N40" s="24">
        <f>(IF(A39&gt;=(Title_RESULTS!$H$7+Title_RESULTS!$C$17),0,(+$M40/((1+Title_RESULTS!$C$37)^('Sheet9(F_25)'!$A40-Title_RESULTS!$H$7))+N39)))</f>
        <v>12107.443093520895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5606.137372374497</v>
      </c>
      <c r="D42" s="5">
        <f t="shared" si="1"/>
        <v>2509357.0432459307</v>
      </c>
      <c r="E42" s="5">
        <f t="shared" si="1"/>
        <v>0</v>
      </c>
      <c r="F42" s="5">
        <f t="shared" si="1"/>
        <v>0</v>
      </c>
      <c r="G42" s="5">
        <f t="shared" si="1"/>
        <v>2514963.1806183057</v>
      </c>
      <c r="H42" s="5">
        <f t="shared" si="1"/>
        <v>1921250.365624705</v>
      </c>
      <c r="I42" s="5">
        <f t="shared" si="1"/>
        <v>702405.2196722637</v>
      </c>
      <c r="J42" s="5">
        <f t="shared" si="1"/>
        <v>0</v>
      </c>
      <c r="K42" s="9">
        <f t="shared" si="1"/>
        <v>0</v>
      </c>
      <c r="L42" s="5">
        <f t="shared" si="1"/>
        <v>2623655.585296969</v>
      </c>
      <c r="M42" s="5">
        <f t="shared" si="1"/>
        <v>108692.40467866324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4511.051331984594</v>
      </c>
      <c r="D44" s="5">
        <f>NPV(Title_RESULTS!$C$37,'Sheet9(F_25)'!D17:D41)+'Sheet9(F_25)'!D16</f>
        <v>1168571.194757668</v>
      </c>
      <c r="E44" s="5">
        <f>NPV(Title_RESULTS!$C$37,'Sheet9(F_25)'!E17:E41)+'Sheet9(F_25)'!E16</f>
        <v>0</v>
      </c>
      <c r="F44" s="5">
        <f>NPV(Title_RESULTS!$C$37,'Sheet9(F_25)'!F17:F41)+'Sheet9(F_25)'!F16</f>
        <v>0</v>
      </c>
      <c r="G44" s="5">
        <f>NPV(Title_RESULTS!$C$37,'Sheet9(F_25)'!G17:G41)+'Sheet9(F_25)'!G16</f>
        <v>1173082.2460896522</v>
      </c>
      <c r="H44" s="5">
        <f>NPV(Title_RESULTS!$C$37,'Sheet9(F_25)'!H17:H41)+'Sheet9(F_25)'!H16</f>
        <v>866623.7387851902</v>
      </c>
      <c r="I44" s="5">
        <f>NPV(Title_RESULTS!$C$37,'Sheet9(F_25)'!I17:I41)+'Sheet9(F_25)'!I16</f>
        <v>318565.9503979827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1185189.6891831728</v>
      </c>
      <c r="M44" s="5">
        <f>NPV(Title_RESULTS!$C$37,'Sheet9(F_25)'!M17:M41)+'Sheet9(F_25)'!M16</f>
        <v>12107.443093520884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1.0103210521972177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623427.5598288542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36366.331596799995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81160.2548736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3593.804660223251</v>
      </c>
      <c r="P24" s="48">
        <f aca="true" t="shared" si="4" ref="P24:P61">N24*$L$5</f>
        <v>8020.4433436809995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3680.055972068609</v>
      </c>
      <c r="P25" s="48">
        <f t="shared" si="4"/>
        <v>8212.933983929343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85777.81082942894</v>
      </c>
      <c r="E26" s="11">
        <f>IF(B26=Title_RESULTS!$H$8,$F$16,+E25*(1+$F$7))</f>
        <v>0.09882230355451863</v>
      </c>
      <c r="F26" s="9">
        <f t="shared" si="1"/>
        <v>61608.54756165985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5003.66764845454</v>
      </c>
      <c r="L26" s="5">
        <f t="shared" si="3"/>
        <v>11166.89321743663</v>
      </c>
      <c r="N26" s="11">
        <f>IF(+B26=Title_RESULTS!$H$9,'Value of Defferal'!$O$16,+'Value of Defferal'!N25*(1+'Value of Defferal'!$F$7))</f>
        <v>0.10362269577198292</v>
      </c>
      <c r="O26" s="5">
        <f t="shared" si="7"/>
        <v>3768.3773153982556</v>
      </c>
      <c r="P26" s="48">
        <f t="shared" si="4"/>
        <v>8410.044399543647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83244.80201576633</v>
      </c>
      <c r="E27" s="11">
        <f>IF(B27=Title_RESULTS!$H$8,$F$16,+E26*(1+$F$7))</f>
        <v>0.10119403883982707</v>
      </c>
      <c r="F27" s="9">
        <f t="shared" si="1"/>
        <v>63087.15270313968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4855.909922632217</v>
      </c>
      <c r="L27" s="5">
        <f t="shared" si="3"/>
        <v>10837.13615477105</v>
      </c>
      <c r="N27" s="11">
        <f>IF(+B27=Title_RESULTS!$H$9,'Value of Defferal'!$O$16,+'Value of Defferal'!N26*(1+'Value of Defferal'!$F$7))</f>
        <v>0.10610964047051051</v>
      </c>
      <c r="O27" s="5">
        <f t="shared" si="7"/>
        <v>3858.8183709678137</v>
      </c>
      <c r="P27" s="48">
        <f t="shared" si="4"/>
        <v>8611.885465132695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80448.37875894492</v>
      </c>
      <c r="E28" s="11">
        <f>IF(B28=Title_RESULTS!$H$8,$F$16,+E27*(1+$F$7))</f>
        <v>0.10362269577198292</v>
      </c>
      <c r="F28" s="9">
        <f t="shared" si="1"/>
        <v>64601.24436801504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4692.786470934816</v>
      </c>
      <c r="L28" s="5">
        <f t="shared" si="3"/>
        <v>10473.086762536297</v>
      </c>
      <c r="N28" s="11">
        <f>IF(+B28=Title_RESULTS!$H$9,'Value of Defferal'!$O$16,+'Value of Defferal'!N27*(1+'Value of Defferal'!$F$7))</f>
        <v>0.10865627184180277</v>
      </c>
      <c r="O28" s="5">
        <f t="shared" si="7"/>
        <v>3951.4300118710416</v>
      </c>
      <c r="P28" s="48">
        <f t="shared" si="4"/>
        <v>8818.570716295879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77785.88876125074</v>
      </c>
      <c r="E29" s="11">
        <f>IF(B29=Title_RESULTS!$H$8,$F$16,+E28*(1+$F$7))</f>
        <v>0.10610964047051051</v>
      </c>
      <c r="F29" s="9">
        <f t="shared" si="1"/>
        <v>66151.67423284739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4537.475733379532</v>
      </c>
      <c r="L29" s="5">
        <f t="shared" si="3"/>
        <v>10126.473329420522</v>
      </c>
      <c r="N29" s="11">
        <f>IF(+B29=Title_RESULTS!$H$9,'Value of Defferal'!$O$16,+'Value of Defferal'!N28*(1+'Value of Defferal'!$F$7))</f>
        <v>0.11126402236600604</v>
      </c>
      <c r="O29" s="5">
        <f t="shared" si="7"/>
        <v>4046.2643321559467</v>
      </c>
      <c r="P29" s="48">
        <f t="shared" si="4"/>
        <v>9030.216413486982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75243.90159614524</v>
      </c>
      <c r="E30" s="11">
        <f>IF(B30=Title_RESULTS!$H$8,$F$16,+E29*(1+$F$7))</f>
        <v>0.10865627184180277</v>
      </c>
      <c r="F30" s="9">
        <f t="shared" si="1"/>
        <v>67739.31441443574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4389.194274365411</v>
      </c>
      <c r="L30" s="5">
        <f t="shared" si="3"/>
        <v>9795.547429606246</v>
      </c>
      <c r="N30" s="11">
        <f>IF(+B30=Title_RESULTS!$H$9,'Value of Defferal'!$O$16,+'Value of Defferal'!N29*(1+'Value of Defferal'!$F$7))</f>
        <v>0.11393435890279018</v>
      </c>
      <c r="O30" s="5">
        <f t="shared" si="7"/>
        <v>4143.374676127689</v>
      </c>
      <c r="P30" s="48">
        <f t="shared" si="4"/>
        <v>9246.941607410668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72810.47086212179</v>
      </c>
      <c r="E31" s="11">
        <f>IF(B31=Title_RESULTS!$H$8,$F$16,+E30*(1+$F$7))</f>
        <v>0.11126402236600604</v>
      </c>
      <c r="F31" s="9">
        <f t="shared" si="1"/>
        <v>69365.0579603822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4247.245225761215</v>
      </c>
      <c r="L31" s="5">
        <f t="shared" si="3"/>
        <v>9478.753833498924</v>
      </c>
      <c r="N31" s="11">
        <f>IF(+B31=Title_RESULTS!$H$9,'Value of Defferal'!$O$16,+'Value of Defferal'!N30*(1+'Value of Defferal'!$F$7))</f>
        <v>0.11666878351645714</v>
      </c>
      <c r="O31" s="5">
        <f t="shared" si="7"/>
        <v>4242.815668354754</v>
      </c>
      <c r="P31" s="48">
        <f t="shared" si="4"/>
        <v>9468.868205988525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70452.79960597586</v>
      </c>
      <c r="E32" s="11">
        <f>IF(B32=Title_RESULTS!$H$8,$F$16,+E31*(1+$F$7))</f>
        <v>0.11393435890279018</v>
      </c>
      <c r="F32" s="9">
        <f t="shared" si="1"/>
        <v>71029.81935143136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4109.715446486162</v>
      </c>
      <c r="L32" s="5">
        <f t="shared" si="3"/>
        <v>9171.82290457192</v>
      </c>
      <c r="N32" s="11">
        <f>IF(+B32=Title_RESULTS!$H$9,'Value of Defferal'!$O$16,+'Value of Defferal'!N31*(1+'Value of Defferal'!$F$7))</f>
        <v>0.11946883432085212</v>
      </c>
      <c r="O32" s="5">
        <f t="shared" si="7"/>
        <v>4344.643244395268</v>
      </c>
      <c r="P32" s="48">
        <f t="shared" si="4"/>
        <v>9696.12104293225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68119.39215910117</v>
      </c>
      <c r="E33" s="11">
        <f>IF(B33=Title_RESULTS!$H$8,$F$16,+E32*(1+$F$7))</f>
        <v>0.11666878351645714</v>
      </c>
      <c r="F33" s="9">
        <f t="shared" si="1"/>
        <v>72734.53501586572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3973.6010453410113</v>
      </c>
      <c r="L33" s="5">
        <f t="shared" si="3"/>
        <v>8868.05073388974</v>
      </c>
      <c r="N33" s="11">
        <f>IF(+B33=Title_RESULTS!$H$9,'Value of Defferal'!$O$16,+'Value of Defferal'!N32*(1+'Value of Defferal'!$F$7))</f>
        <v>0.12233608634455258</v>
      </c>
      <c r="O33" s="5">
        <f t="shared" si="7"/>
        <v>4448.9146822607545</v>
      </c>
      <c r="P33" s="48">
        <f t="shared" si="4"/>
        <v>9928.827947962624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65785.98471222648</v>
      </c>
      <c r="E34" s="11">
        <f>IF(B34=Title_RESULTS!$H$8,$F$16,+E33*(1+$F$7))</f>
        <v>0.11946883432085212</v>
      </c>
      <c r="F34" s="9">
        <f t="shared" si="1"/>
        <v>74480.1638562465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3837.4866441958598</v>
      </c>
      <c r="L34" s="5">
        <f t="shared" si="3"/>
        <v>8564.27856320756</v>
      </c>
      <c r="N34" s="11">
        <f>IF(+B34=Title_RESULTS!$H$9,'Value of Defferal'!$O$16,+'Value of Defferal'!N33*(1+'Value of Defferal'!$F$7))</f>
        <v>0.12527215241682185</v>
      </c>
      <c r="O34" s="5">
        <f t="shared" si="7"/>
        <v>4555.688634635014</v>
      </c>
      <c r="P34" s="48">
        <f t="shared" si="4"/>
        <v>10167.119818713729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63452.577265351785</v>
      </c>
      <c r="E35" s="11">
        <f>IF(B35=Title_RESULTS!$H$8,$F$16,+E34*(1+$F$7))</f>
        <v>0.12233608634455258</v>
      </c>
      <c r="F35" s="9">
        <f t="shared" si="1"/>
        <v>76267.68778879642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3701.3722430507087</v>
      </c>
      <c r="L35" s="5">
        <f t="shared" si="3"/>
        <v>8260.50639252538</v>
      </c>
      <c r="N35" s="11">
        <f>IF(+B35=Title_RESULTS!$H$9,'Value of Defferal'!$O$16,+'Value of Defferal'!N34*(1+'Value of Defferal'!$F$7))</f>
        <v>0.12827868407482557</v>
      </c>
      <c r="O35" s="5">
        <f t="shared" si="7"/>
        <v>4665.025161866253</v>
      </c>
      <c r="P35" s="48">
        <f t="shared" si="4"/>
        <v>10411.130694362857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61119.16981847711</v>
      </c>
      <c r="E36" s="11">
        <f>IF(B36=Title_RESULTS!$H$8,$F$16,+E35*(1+$F$7))</f>
        <v>0.12527215241682185</v>
      </c>
      <c r="F36" s="9">
        <f t="shared" si="1"/>
        <v>78098.11229572754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3565.2578419055576</v>
      </c>
      <c r="L36" s="5">
        <f t="shared" si="3"/>
        <v>7956.7342218431995</v>
      </c>
      <c r="N36" s="11">
        <f>IF(+B36=Title_RESULTS!$H$9,'Value of Defferal'!$O$16,+'Value of Defferal'!N35*(1+'Value of Defferal'!$F$7))</f>
        <v>0.1313573724926214</v>
      </c>
      <c r="O36" s="5">
        <f t="shared" si="7"/>
        <v>4776.985765751044</v>
      </c>
      <c r="P36" s="48">
        <f t="shared" si="4"/>
        <v>10660.997831027566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58785.76237160241</v>
      </c>
      <c r="E37" s="11">
        <f>IF(B37&gt;Title_RESULTS!$H$8-1+Title_RESULTS!$C$18,0,+E36*(1+$F$7))</f>
        <v>0.12827868407482557</v>
      </c>
      <c r="F37" s="9">
        <f t="shared" si="1"/>
        <v>79972.46699082499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3429.143440760406</v>
      </c>
      <c r="L37" s="5">
        <f t="shared" si="3"/>
        <v>7652.962051161018</v>
      </c>
      <c r="N37" s="11">
        <f>IF(+B37=Title_RESULTS!$H$9,'Value of Defferal'!$O$16,+'Value of Defferal'!N36*(1+'Value of Defferal'!$F$7))</f>
        <v>0.1345099494324443</v>
      </c>
      <c r="O37" s="5">
        <f t="shared" si="7"/>
        <v>4891.633424129069</v>
      </c>
      <c r="P37" s="48">
        <f t="shared" si="4"/>
        <v>10916.861778972227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56452.35492472771</v>
      </c>
      <c r="E38" s="11">
        <f>IF(B38&gt;Title_RESULTS!$H$8-1+Title_RESULTS!$C$18,0,+E37*(1+$F$7))</f>
        <v>0.1313573724926214</v>
      </c>
      <c r="F38" s="9">
        <f t="shared" si="1"/>
        <v>81891.8061986048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3293.0290396152545</v>
      </c>
      <c r="L38" s="5">
        <f t="shared" si="3"/>
        <v>7349.189880478836</v>
      </c>
      <c r="N38" s="11">
        <f>IF(+B38=Title_RESULTS!$H$9,'Value of Defferal'!$O$16,+'Value of Defferal'!N37*(1+'Value of Defferal'!$F$7))</f>
        <v>0.13773818821882297</v>
      </c>
      <c r="O38" s="5">
        <f t="shared" si="7"/>
        <v>5009.032626308167</v>
      </c>
      <c r="P38" s="48">
        <f t="shared" si="4"/>
        <v>11178.866461667561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54118.94747785301</v>
      </c>
      <c r="E39" s="11">
        <f>IF(B39&gt;Title_RESULTS!$H$8-1+Title_RESULTS!$C$18,0,+E38*(1+$F$7))</f>
        <v>0.1345099494324443</v>
      </c>
      <c r="F39" s="9">
        <f t="shared" si="1"/>
        <v>83857.20954737131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3156.9146384701025</v>
      </c>
      <c r="L39" s="5">
        <f t="shared" si="3"/>
        <v>7045.417709796655</v>
      </c>
      <c r="N39" s="11">
        <f>IF(+B39&gt;Title_RESULTS!$H$9+Title_RESULTS!$C$19-1,0,+'Value of Defferal'!N38*(1+'Value of Defferal'!$F$7))</f>
        <v>0.14104390473607473</v>
      </c>
      <c r="O39" s="5">
        <f t="shared" si="7"/>
        <v>5129.249409339563</v>
      </c>
      <c r="P39" s="48">
        <f t="shared" si="4"/>
        <v>11447.159256747584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51785.54003097834</v>
      </c>
      <c r="E40" s="11">
        <f>IF(B40&gt;Title_RESULTS!$H$8-1+Title_RESULTS!$C$18,0,+E39*(1+$F$7))</f>
        <v>0.13773818821882297</v>
      </c>
      <c r="F40" s="9">
        <f t="shared" si="1"/>
        <v>85869.78257650824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3020.8002373249524</v>
      </c>
      <c r="L40" s="5">
        <f t="shared" si="3"/>
        <v>6741.645539114476</v>
      </c>
      <c r="N40" s="11">
        <f>IF(+B40&gt;Title_RESULTS!$H$9+Title_RESULTS!$C$19-1,0,+'Value of Defferal'!N39*(1+'Value of Defferal'!$F$7))</f>
        <v>0.14442895844974052</v>
      </c>
      <c r="O40" s="5">
        <f t="shared" si="7"/>
        <v>5252.351395163712</v>
      </c>
      <c r="P40" s="48">
        <f t="shared" si="4"/>
        <v>11721.891078909524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49671.2488800608</v>
      </c>
      <c r="E41" s="11">
        <f>IF(B41&gt;Title_RESULTS!$H$8-1+Title_RESULTS!$C$18,0,+E40*(1+$F$7))</f>
        <v>0.14104390473607473</v>
      </c>
      <c r="F41" s="9">
        <f t="shared" si="1"/>
        <v>87930.65735834444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2897.467523083774</v>
      </c>
      <c r="L41" s="5">
        <f t="shared" si="3"/>
        <v>6466.3987907471555</v>
      </c>
      <c r="N41" s="11">
        <f>IF(+B41&gt;Title_RESULTS!$H$9+Title_RESULTS!$C$19-1,0,+'Value of Defferal'!N40*(1+'Value of Defferal'!$F$7))</f>
        <v>0.1478952534525343</v>
      </c>
      <c r="O41" s="5">
        <f t="shared" si="7"/>
        <v>5378.4078286476415</v>
      </c>
      <c r="P41" s="48">
        <f t="shared" si="4"/>
        <v>12003.216464803354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47995.11611980597</v>
      </c>
      <c r="E42" s="11">
        <f>IF(B42&gt;Title_RESULTS!$H$8-1+Title_RESULTS!$C$18,0,+E41*(1+$F$7))</f>
        <v>0.14442895844974052</v>
      </c>
      <c r="F42" s="9">
        <f t="shared" si="1"/>
        <v>90040.9931349447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2799.6938542770563</v>
      </c>
      <c r="L42" s="5">
        <f t="shared" si="3"/>
        <v>6248.193227198414</v>
      </c>
      <c r="N42" s="11">
        <f>IF(+B42&gt;Title_RESULTS!$H$9+Title_RESULTS!$C$19-1,0,+'Value of Defferal'!N41*(1+'Value of Defferal'!$F$7))</f>
        <v>0.1514447395353951</v>
      </c>
      <c r="O42" s="5">
        <f t="shared" si="7"/>
        <v>5507.489616535185</v>
      </c>
      <c r="P42" s="48">
        <f t="shared" si="4"/>
        <v>12291.293659958634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46538.02545425671</v>
      </c>
      <c r="E43" s="11">
        <f>IF(B43&gt;Title_RESULTS!$H$8-1+Title_RESULTS!$C$18,0,+E42*(1+$F$7))</f>
        <v>0.1478952534525343</v>
      </c>
      <c r="F43" s="9">
        <f t="shared" si="1"/>
        <v>92201.97697018337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2714.697544000826</v>
      </c>
      <c r="L43" s="5">
        <f t="shared" si="3"/>
        <v>6058.503426153388</v>
      </c>
      <c r="N43" s="11">
        <f>IF(+B43&gt;Title_RESULTS!$H$9+Title_RESULTS!$C$19-1,0,+'Value of Defferal'!N42*(1+'Value of Defferal'!$F$7))</f>
        <v>0.1550794132842446</v>
      </c>
      <c r="O43" s="5">
        <f t="shared" si="7"/>
        <v>5639.66936733203</v>
      </c>
      <c r="P43" s="48">
        <f t="shared" si="4"/>
        <v>12586.284707797642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45080.93478870746</v>
      </c>
      <c r="E44" s="11">
        <f>IF(B44&gt;Title_RESULTS!$H$8-1+Title_RESULTS!$C$18,0,+E43*(1+$F$7))</f>
        <v>0.1514447395353951</v>
      </c>
      <c r="F44" s="9">
        <f t="shared" si="1"/>
        <v>94414.82441746777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2629.7012337245965</v>
      </c>
      <c r="L44" s="5">
        <f t="shared" si="3"/>
        <v>5868.813625108363</v>
      </c>
      <c r="N44" s="11">
        <f>IF(+B44&gt;Title_RESULTS!$H$9+Title_RESULTS!$C$19-1,0,+'Value of Defferal'!N43*(1+'Value of Defferal'!$F$7))</f>
        <v>0.15880131920306648</v>
      </c>
      <c r="O44" s="5">
        <f t="shared" si="7"/>
        <v>5775.021432147998</v>
      </c>
      <c r="P44" s="48">
        <f t="shared" si="4"/>
        <v>12888.355540784785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43623.84412315819</v>
      </c>
      <c r="E45" s="11">
        <f>IF(B45&gt;Title_RESULTS!$H$8-1+Title_RESULTS!$C$18,0,+E44*(1+$F$7))</f>
        <v>0.1550794132842446</v>
      </c>
      <c r="F45" s="9">
        <f t="shared" si="1"/>
        <v>96680.780203487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2544.704923448365</v>
      </c>
      <c r="L45" s="5">
        <f t="shared" si="3"/>
        <v>5679.123824063336</v>
      </c>
      <c r="N45" s="11">
        <f>IF(+B45&gt;Title_RESULTS!$H$9+Title_RESULTS!$C$19-1,0,+'Value of Defferal'!N44*(1+'Value of Defferal'!$F$7))</f>
        <v>0.16261255086394008</v>
      </c>
      <c r="O45" s="5">
        <f t="shared" si="7"/>
        <v>5913.621946519551</v>
      </c>
      <c r="P45" s="48">
        <f t="shared" si="4"/>
        <v>13197.676073763621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42166.75345760893</v>
      </c>
      <c r="E46" s="11">
        <f>IF(B46&gt;Title_RESULTS!$H$8-1+Title_RESULTS!$C$18,0,+E45*(1+$F$7))</f>
        <v>0.15880131920306648</v>
      </c>
      <c r="F46" s="9">
        <f t="shared" si="1"/>
        <v>99001.11892837069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2459.708613172135</v>
      </c>
      <c r="L46" s="5">
        <f t="shared" si="3"/>
        <v>5489.43402301831</v>
      </c>
      <c r="N46" s="11">
        <f>IF(+B46&gt;Title_RESULTS!$H$9+Title_RESULTS!$C$19-1,0,+'Value of Defferal'!N45*(1+'Value of Defferal'!$F$7))</f>
        <v>0.16651525208467466</v>
      </c>
      <c r="O46" s="5">
        <f t="shared" si="7"/>
        <v>6055.54887323602</v>
      </c>
      <c r="P46" s="48">
        <f t="shared" si="4"/>
        <v>13514.42029953395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40709.66279205968</v>
      </c>
      <c r="E47" s="11">
        <f>IF(B47&gt;Title_RESULTS!$H$8-1+Title_RESULTS!$C$18,0,+E46*(1+$F$7))</f>
        <v>0.16261255086394008</v>
      </c>
      <c r="F47" s="9">
        <f t="shared" si="1"/>
        <v>101377.1457826516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2374.7123028959054</v>
      </c>
      <c r="L47" s="5">
        <f t="shared" si="3"/>
        <v>5299.744221973285</v>
      </c>
      <c r="N47" s="11">
        <f>IF(+B47&gt;Title_RESULTS!$H$9+Title_RESULTS!$C$19-1,0,+'Value of Defferal'!N46*(1+'Value of Defferal'!$F$7))</f>
        <v>0.17051161813470686</v>
      </c>
      <c r="O47" s="5">
        <f t="shared" si="7"/>
        <v>6200.882046193685</v>
      </c>
      <c r="P47" s="48">
        <f t="shared" si="4"/>
        <v>13838.766386722766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39252.57212651042</v>
      </c>
      <c r="E48" s="11">
        <f>IF(B48&gt;Title_RESULTS!$H$8-1+Title_RESULTS!$C$18,0,+E47*(1+$F$7))</f>
        <v>0.16651525208467466</v>
      </c>
      <c r="F48" s="9">
        <f t="shared" si="1"/>
        <v>103810.19728143525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2289.715992619675</v>
      </c>
      <c r="L48" s="5">
        <f t="shared" si="3"/>
        <v>5110.054420928259</v>
      </c>
      <c r="N48" s="11">
        <f>IF(+B48&gt;Title_RESULTS!$H$9+Title_RESULTS!$C$19-1,0,+'Value of Defferal'!N47*(1+'Value of Defferal'!$F$7))</f>
        <v>0.17460389696993983</v>
      </c>
      <c r="O48" s="5">
        <f t="shared" si="7"/>
        <v>6349.703215302334</v>
      </c>
      <c r="P48" s="48">
        <f t="shared" si="4"/>
        <v>14170.896780004112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37795.48146096115</v>
      </c>
      <c r="E49" s="11">
        <f>IF(B49&gt;Title_RESULTS!$H$8-1+Title_RESULTS!$C$18,0,+E48*(1+$F$7))</f>
        <v>0.17051161813470686</v>
      </c>
      <c r="F49" s="9">
        <f t="shared" si="1"/>
        <v>106301.6420161897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2204.719682343444</v>
      </c>
      <c r="L49" s="5">
        <f t="shared" si="3"/>
        <v>4920.364619883231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36338.39079541189</v>
      </c>
      <c r="E50" s="11">
        <f>IF(B50&gt;Title_RESULTS!$H$8-1+Title_RESULTS!$C$18,0,+E49*(1+$F$7))</f>
        <v>0.17460389696993983</v>
      </c>
      <c r="F50" s="9">
        <f t="shared" si="1"/>
        <v>108852.88142457826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2119.723372067214</v>
      </c>
      <c r="L50" s="5">
        <f t="shared" si="3"/>
        <v>4730.674818838205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34881.30012986263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2034.727061790984</v>
      </c>
      <c r="L51" s="5">
        <f t="shared" si="3"/>
        <v>4540.98501779318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1489437.1113183552</v>
      </c>
      <c r="F63" s="9">
        <f>SUM(F23:F61)</f>
        <v>2077366.7923795097</v>
      </c>
      <c r="J63" t="s">
        <v>87</v>
      </c>
      <c r="K63" s="9">
        <f>SUM(K23:K61)</f>
        <v>86883.17195610172</v>
      </c>
      <c r="O63" s="9">
        <f>SUM(O23:O61)</f>
        <v>121178.80967693064</v>
      </c>
    </row>
    <row r="64" spans="3:15" ht="12.75">
      <c r="C64" t="s">
        <v>89</v>
      </c>
      <c r="D64" s="9">
        <f>NPV(+Title_RESULTS!$C$37,'Value of Defferal'!D24:D61)+'Value of Defferal'!D23</f>
        <v>665042.6781654374</v>
      </c>
      <c r="F64" s="9">
        <f>NPV(+Title_RESULTS!$C$37,'Value of Defferal'!F24:F61)+'Value of Defferal'!F23</f>
        <v>772459.6000633972</v>
      </c>
      <c r="J64" t="s">
        <v>89</v>
      </c>
      <c r="K64" s="9">
        <f>NPV(+Title_RESULTS!$C$37,'Value of Defferal'!K24:K61)+'Value of Defferal'!K23</f>
        <v>38793.861738848434</v>
      </c>
      <c r="O64" s="9">
        <f>NPV(+Title_RESULTS!$C$37,'Value of Defferal'!O24:O61)+'Value of Defferal'!O23</f>
        <v>51666.13770845336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340.2953437366692</v>
      </c>
      <c r="C25" t="s">
        <v>372</v>
      </c>
    </row>
    <row r="26" spans="2:3" ht="18">
      <c r="B26" s="15">
        <f>+((Input!$C$6*'EUE_Line Losses'!C4)+(Input!$C$7*'EUE_Line Losses'!C3))/'EUE_Line Losses'!C22</f>
        <v>339.19761682138966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242.29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320.74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1353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15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35593.7169254742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Commercial DR - CPP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43599.31716643518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320.74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339.19761682138966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1353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15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+'Sheet7(F_23)'!H46</f>
        <v>262.73025996841403</v>
      </c>
      <c r="I39" s="10"/>
    </row>
    <row r="40" spans="1:17" ht="18">
      <c r="A40" s="14" t="s">
        <v>7</v>
      </c>
      <c r="B40" s="13" t="s">
        <v>322</v>
      </c>
      <c r="C40" s="74">
        <f>+Input!C41</f>
        <v>35593.7169254742</v>
      </c>
      <c r="D40" s="13" t="s">
        <v>190</v>
      </c>
      <c r="G40" s="18" t="s">
        <v>347</v>
      </c>
      <c r="H40" s="41">
        <f>+'Sheet8(F_24)'!K44</f>
        <v>1168571.194757668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1.0103210521972177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2019-05-14T11:36:44Z</dcterms:created>
  <dcterms:modified xsi:type="dcterms:W3CDTF">2019-05-14T11:36:45Z</dcterms:modified>
  <cp:category/>
  <cp:version/>
  <cp:contentType/>
  <cp:contentStatus/>
</cp:coreProperties>
</file>