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8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'Sheet2(F_12)'!$A$1:$K$57</definedName>
    <definedName name="_xlnm.Print_Area" localSheetId="11">'Sheet3(F_21)'!$A$1:$J$46</definedName>
    <definedName name="_xlnm.Print_Area" localSheetId="14">'Sheet4(F_22)'!$A$1:$J$46</definedName>
    <definedName name="_xlnm.Print_Area" localSheetId="12">'Sheet5(p_5)'!$A$1:$H$46</definedName>
    <definedName name="_xlnm.Print_Area" localSheetId="15">'Sheet6(p_6)'!$A$1:$R$46</definedName>
    <definedName name="_xlnm.Print_Area" localSheetId="16">'Sheet7(F_23)'!$A$1:$M$46</definedName>
    <definedName name="_xlnm.Print_Area" localSheetId="17">'Sheet8(F_24)'!$A$1:$M$46</definedName>
    <definedName name="_xlnm.Print_Area" localSheetId="18">'Sheet9(F_25)'!$A$1:$N$46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<sst xmlns="http://schemas.openxmlformats.org/spreadsheetml/2006/main" count="1258" uniqueCount="468">
  <si>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</si>
  <si>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</si>
  <si>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</si>
  <si>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</si>
  <si>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</si>
  <si>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</si>
  <si>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</si>
  <si>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</si>
  <si>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</si>
  <si>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</si>
  <si>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</si>
  <si>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</si>
  <si>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</si>
  <si>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</si>
  <si>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</si>
  <si>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</si>
  <si>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</si>
  <si>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</si>
  <si>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</si>
  <si>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</si>
  <si>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</si>
  <si>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</si>
  <si>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</si>
  <si>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</si>
  <si>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</si>
  <si>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</si>
  <si>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</si>
  <si>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</si>
  <si>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</si>
  <si>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</si>
  <si>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</si>
  <si>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</si>
  <si>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</si>
  <si>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</si>
  <si>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</si>
  <si>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</si>
  <si>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</si>
  <si>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</si>
  <si>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</si>
  <si>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</si>
  <si>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</si>
  <si>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</si>
  <si>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</si>
  <si>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</si>
  <si>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</si>
  <si>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</si>
  <si>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</si>
  <si>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</si>
  <si>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</si>
  <si>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</si>
  <si>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</si>
  <si>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</si>
  <si>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</si>
  <si>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</si>
  <si>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</si>
  <si>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</si>
  <si>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</si>
  <si>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</si>
  <si>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</si>
  <si>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</si>
  <si>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</si>
  <si>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</si>
  <si>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</si>
  <si>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</si>
  <si>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</si>
  <si>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</si>
  <si>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</si>
  <si>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</si>
  <si>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</si>
  <si>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</si>
  <si>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</si>
  <si>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</si>
  <si>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</si>
  <si>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</si>
  <si>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</si>
  <si>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</si>
  <si>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</si>
  <si>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</si>
  <si>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</si>
  <si>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</si>
  <si>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</si>
  <si>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</si>
  <si>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</si>
  <si>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</si>
  <si>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</si>
  <si>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</si>
  <si>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</si>
  <si>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</si>
  <si>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</si>
  <si>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</si>
  <si>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</si>
  <si>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</si>
  <si>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</si>
  <si>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</si>
  <si>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</si>
  <si>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</si>
  <si>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</si>
  <si>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</si>
  <si>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</si>
  <si>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</si>
  <si>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</si>
  <si>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</si>
  <si>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</si>
  <si>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</si>
  <si>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</si>
  <si>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</si>
  <si>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</si>
  <si>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</si>
  <si>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</si>
  <si>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</si>
  <si>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</si>
  <si>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</si>
  <si>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</si>
  <si>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</si>
  <si>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</si>
  <si>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</si>
  <si>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</si>
  <si>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</si>
  <si>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</si>
  <si>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</si>
  <si>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</si>
  <si>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</si>
  <si>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</si>
  <si>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</si>
  <si>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</si>
  <si>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</si>
  <si>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</si>
  <si>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</si>
  <si>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</si>
  <si>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</si>
  <si>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</si>
  <si>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</si>
  <si>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</si>
  <si>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</si>
  <si>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</si>
  <si>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</si>
  <si>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</si>
  <si>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</si>
  <si>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</si>
  <si>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</si>
  <si>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</si>
  <si>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</si>
  <si>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</si>
  <si>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</si>
  <si>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</si>
  <si>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</si>
  <si>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</si>
  <si>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</si>
  <si>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</si>
  <si>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</si>
  <si>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</si>
  <si>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</si>
  <si>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</si>
  <si>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</si>
  <si>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</si>
  <si>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</si>
  <si>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</si>
  <si>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</si>
  <si>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</si>
  <si>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</si>
  <si>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</si>
  <si>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</si>
  <si>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</si>
  <si>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</si>
  <si>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</si>
  <si>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</si>
  <si>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</si>
  <si>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</si>
  <si>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</si>
  <si>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</si>
  <si>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</si>
  <si>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</si>
  <si>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</si>
  <si>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</si>
  <si>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</si>
  <si>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</si>
  <si>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</si>
  <si>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</si>
  <si>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</si>
  <si>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</si>
  <si>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</si>
  <si>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</si>
  <si>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</si>
  <si>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</si>
  <si>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</si>
  <si>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</si>
  <si>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</si>
  <si>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</si>
  <si>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</si>
  <si>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</si>
  <si>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</si>
  <si>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</si>
  <si>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</si>
  <si>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</si>
  <si>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</si>
  <si>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</si>
  <si>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</si>
  <si>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</si>
  <si>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</si>
  <si>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</si>
  <si>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</si>
  <si>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</si>
  <si>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</si>
  <si>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</si>
  <si>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</si>
  <si>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</si>
  <si>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</si>
  <si>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</si>
  <si>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</si>
  <si>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</si>
  <si>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</si>
  <si>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</si>
  <si>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</si>
  <si>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</si>
  <si>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</si>
  <si>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</si>
  <si>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</si>
  <si>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</si>
  <si>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</si>
  <si>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</si>
  <si>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</si>
  <si>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</si>
  <si>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</si>
  <si>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</si>
  <si>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</si>
  <si>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</si>
  <si>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</si>
  <si>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</si>
  <si>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</si>
  <si>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</si>
  <si>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</si>
  <si>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</si>
  <si>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</si>
  <si>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</si>
  <si>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</si>
  <si>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</si>
  <si>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</si>
  <si>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</si>
  <si>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</si>
  <si>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</si>
  <si>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</si>
  <si>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</si>
  <si>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</si>
  <si>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</si>
  <si>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</si>
  <si>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</si>
  <si>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</si>
  <si>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</si>
  <si>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</si>
  <si>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</si>
  <si>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</si>
  <si>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</si>
  <si>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</si>
  <si>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</si>
  <si>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</si>
  <si>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</si>
  <si>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</si>
  <si>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</si>
  <si>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</si>
  <si>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</si>
  <si>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</si>
  <si>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</si>
  <si>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</si>
  <si>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</si>
  <si>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</si>
  <si>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</si>
  <si>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</si>
  <si>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</si>
  <si>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</si>
  <si>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</si>
  <si>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</si>
  <si>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</si>
  <si>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</si>
  <si>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</si>
  <si>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</si>
  <si>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</si>
  <si>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</si>
  <si>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</si>
  <si>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</si>
  <si>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</si>
  <si>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</si>
  <si>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</si>
  <si>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</si>
  <si>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</si>
  <si>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</si>
  <si>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</si>
  <si>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</si>
  <si>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</si>
  <si>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</si>
  <si>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</si>
  <si>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</si>
  <si>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</si>
  <si>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</si>
  <si>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</si>
  <si>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</si>
  <si>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</si>
  <si>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</si>
  <si>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</si>
  <si>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</si>
  <si>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</si>
  <si>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</si>
  <si>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</si>
  <si>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</si>
  <si>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</si>
  <si>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</si>
  <si>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</si>
  <si>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</si>
  <si>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</si>
  <si>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</si>
  <si>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</si>
  <si>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</si>
  <si>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</si>
  <si>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</si>
  <si>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</si>
  <si>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</si>
  <si>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</si>
  <si>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</si>
  <si>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</si>
  <si>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</si>
  <si>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</si>
  <si>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</si>
  <si>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</si>
  <si>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</si>
  <si>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</si>
  <si>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</si>
  <si>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</si>
  <si>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</si>
  <si>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</si>
  <si>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</si>
  <si>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</si>
  <si>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</si>
  <si>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</si>
  <si>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</si>
  <si>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</si>
  <si>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</si>
  <si>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</si>
  <si>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</si>
  <si>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</si>
  <si>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</si>
  <si>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</si>
  <si>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</si>
  <si>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</si>
  <si>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</si>
  <si>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</si>
  <si>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</si>
  <si>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</si>
  <si>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</si>
  <si>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</si>
  <si>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</si>
  <si>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</si>
  <si>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</si>
  <si>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</si>
  <si>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</si>
  <si>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</si>
  <si>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</si>
  <si>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</si>
  <si>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</si>
  <si>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</si>
  <si>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</si>
  <si>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</si>
  <si>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</si>
  <si>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</si>
  <si>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</si>
  <si>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</si>
  <si>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</si>
  <si>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</si>
  <si>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</si>
  <si>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</si>
  <si>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</si>
  <si>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</si>
  <si>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</si>
  <si>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</si>
  <si>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</si>
  <si>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</si>
  <si>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</si>
  <si>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</si>
  <si>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</si>
  <si>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</si>
  <si>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</si>
  <si>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</si>
  <si>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</si>
  <si>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</si>
  <si>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</si>
  <si>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</si>
  <si>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</si>
  <si>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</si>
  <si>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</si>
  <si>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</si>
  <si>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</si>
  <si>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</si>
  <si>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</si>
  <si>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</si>
  <si>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</si>
  <si>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</si>
  <si>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</si>
  <si>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</si>
  <si>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</si>
  <si>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</si>
  <si>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</si>
  <si>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</si>
  <si>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</si>
  <si>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</si>
  <si>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</si>
  <si>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</si>
  <si>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</si>
  <si>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</si>
  <si>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</si>
  <si>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</si>
  <si>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</si>
  <si>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</si>
  <si>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</si>
  <si>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</si>
  <si>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</si>
  <si>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</si>
  <si>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</si>
  <si>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</si>
  <si>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</si>
  <si>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</si>
  <si>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</si>
  <si>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</si>
  <si>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</si>
  <si>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</si>
  <si>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</si>
  <si>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</si>
  <si>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</si>
  <si>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</si>
  <si>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</si>
  <si>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</si>
  <si>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</si>
  <si>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</si>
  <si>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</si>
  <si>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</si>
  <si>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</si>
  <si>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</si>
  <si>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</si>
  <si>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</si>
  <si>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</si>
  <si>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</si>
  <si>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</si>
  <si>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</si>
  <si>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</si>
  <si>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</si>
  <si>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</si>
  <si>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</si>
  <si>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</si>
  <si>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</si>
  <si>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</si>
  <si>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</si>
  <si>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</si>
  <si>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</si>
  <si>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</si>
  <si>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</si>
  <si>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</si>
  <si>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</si>
  <si>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</si>
  <si>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</si>
  <si>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</si>
  <si>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</si>
  <si>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</si>
  <si>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</si>
  <si>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</si>
  <si>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</si>
  <si>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</si>
  <si>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</si>
  <si>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</si>
  <si>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</si>
  <si>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</si>
  <si>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Commercial DR - Firm Service Level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</si>
</sst>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43599.31790740741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2</v>
      </c>
    </row>
    <row r="58" ht="12.75">
      <c r="A58">
        <f>IF(Title_RESULTS!C22=1,3,1)</f>
        <v>1</v>
      </c>
    </row>
    <row r="60" spans="1:3" ht="12.75">
      <c r="A60" t="s">
        <v>254</v>
      </c>
      <c r="C60">
        <f>ROUND(+Title_RESULTS!C8*Partcipation!C26,0)</f>
        <v>1017593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43599.31790740741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Commercial DR - Firm Service Level</v>
      </c>
      <c r="J2" t="s">
        <v>55</v>
      </c>
    </row>
    <row r="3" ht="12.75">
      <c r="J3" s="35">
        <f>+Title_RESULTS!I4</f>
        <v>43599.31790740741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1017593</v>
      </c>
      <c r="H5" t="s">
        <v>59</v>
      </c>
    </row>
    <row r="6" spans="3:7" ht="12.75">
      <c r="C6" t="s">
        <v>61</v>
      </c>
      <c r="G6" s="36">
        <f>+'Value of Defferal'!E3</f>
        <v>623427.5598288542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40">+A18+1</f>
        <v>2023</v>
      </c>
      <c r="B19" s="43">
        <f>VLOOKUP(A19,'Value of Defferal'!$B26:$F$61,'Value of Defferal'!$C$10)</f>
        <v>0.13759066226231162</v>
      </c>
      <c r="C19" s="44">
        <f>VLOOKUP(A19,'Value of Defferal'!$B26:$F$61,'Value of Defferal'!$C$9)</f>
        <v>85777.81082942894</v>
      </c>
      <c r="D19" s="5">
        <f>IF((Title_RESULTS!$H$8-Title_RESULTS!$H$7)&lt;=('Sheet3(F_21)'!A19-Title_RESULTS!$H$7),((Title_RESULTS!$C$8*Partcipation!$C$26*8760*Title_RESULTS!$H$21/100000)),0)</f>
        <v>811184.3166760169</v>
      </c>
      <c r="E19" s="5">
        <f>IF($G19=0,0,((Title_RESULTS!$H$14*((1+Title_RESULTS!$H$15/100)^($A19-Title_RESULTS!$H$7))*'EUE_Line Losses'!$B$25*Partcipation!$C$26))/1000)</f>
        <v>6390.659610513244</v>
      </c>
      <c r="F19" s="5">
        <f>IF($G19=0,0,(Title_RESULTS!$H$19/100*((1+Title_RESULTS!$H$20/100)^($A19-Title_RESULTS!$H$7))*$D19*1000)/1000)</f>
        <v>1829.1053083545899</v>
      </c>
      <c r="G19" s="5">
        <f>(+Title_RESULTS!$H$22/100*((1+Title_RESULTS!$H$23/100)^(+'Sheet4(F_22)'!A19-Title_RESULTS!$H$7)))*'Sheet3(F_21)'!D19</f>
        <v>34753.48014480053</v>
      </c>
      <c r="H19" s="5">
        <f>IF($G19=0,0,(($D19))*(Partcipation!$G19/100))</f>
        <v>25735.85733865662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103015.19855444069</v>
      </c>
    </row>
    <row r="20" spans="1:10" ht="12.75">
      <c r="A20">
        <f t="shared" si="0"/>
        <v>2024</v>
      </c>
      <c r="B20" s="43">
        <f>VLOOKUP(A20,'Value of Defferal'!$B27:$F$61,'Value of Defferal'!$C$10)</f>
        <v>0.13352762595002862</v>
      </c>
      <c r="C20" s="44">
        <f>VLOOKUP(A20,'Value of Defferal'!$B27:$F$61,'Value of Defferal'!$C$9)</f>
        <v>83244.80201576633</v>
      </c>
      <c r="D20" s="5">
        <f>IF((Title_RESULTS!$H$8-Title_RESULTS!$H$7)&lt;=('Sheet3(F_21)'!A20-Title_RESULTS!$H$7),((Title_RESULTS!$C$8*Partcipation!$C$26*8760*Title_RESULTS!$H$21/100000)),0)</f>
        <v>811184.3166760169</v>
      </c>
      <c r="E20" s="5">
        <f>IF($G20=0,0,((Title_RESULTS!$H$14*((1+Title_RESULTS!$H$15/100)^($A20-Title_RESULTS!$H$7))*'EUE_Line Losses'!$B$25*Partcipation!$C$26))/1000)</f>
        <v>6544.03544116556</v>
      </c>
      <c r="F20" s="5">
        <f>IF($G20=0,0,(Title_RESULTS!$H$19/100*((1+Title_RESULTS!$H$20/100)^($A20-Title_RESULTS!$H$7))*$D20*1000)/1000)</f>
        <v>1873.0038357551</v>
      </c>
      <c r="G20" s="5">
        <f>(+Title_RESULTS!$H$22/100*((1+Title_RESULTS!$H$23/100)^(+'Sheet4(F_22)'!A20-Title_RESULTS!$H$7)))*'Sheet3(F_21)'!D20</f>
        <v>36331.28814337448</v>
      </c>
      <c r="H20" s="5">
        <f>IF($G20=0,0,(($D20))*(Partcipation!$G20/100))</f>
        <v>26887.13554535699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101105.99389070447</v>
      </c>
    </row>
    <row r="21" spans="1:10" ht="12.75">
      <c r="A21">
        <f t="shared" si="0"/>
        <v>2025</v>
      </c>
      <c r="B21" s="43">
        <f>VLOOKUP(A21,'Value of Defferal'!$B28:$F$61,'Value of Defferal'!$C$10)</f>
        <v>0.1290420634933591</v>
      </c>
      <c r="C21" s="44">
        <f>VLOOKUP(A21,'Value of Defferal'!$B28:$F$61,'Value of Defferal'!$C$9)</f>
        <v>80448.37875894492</v>
      </c>
      <c r="D21" s="5">
        <f>IF((Title_RESULTS!$H$8-Title_RESULTS!$H$7)&lt;=('Sheet3(F_21)'!A21-Title_RESULTS!$H$7),((Title_RESULTS!$C$8*Partcipation!$C$26*8760*Title_RESULTS!$H$21/100000)),0)</f>
        <v>811184.3166760169</v>
      </c>
      <c r="E21" s="5">
        <f>IF($G21=0,0,((Title_RESULTS!$H$14*((1+Title_RESULTS!$H$15/100)^($A21-Title_RESULTS!$H$7))*'EUE_Line Losses'!$B$25*Partcipation!$C$26))/1000)</f>
        <v>6701.0922917535345</v>
      </c>
      <c r="F21" s="5">
        <f>IF($G21=0,0,(Title_RESULTS!$H$19/100*((1+Title_RESULTS!$H$20/100)^($A21-Title_RESULTS!$H$7))*$D21*1000)/1000)</f>
        <v>1917.9559278132226</v>
      </c>
      <c r="G21" s="5">
        <f>(+Title_RESULTS!$H$22/100*((1+Title_RESULTS!$H$23/100)^(+'Sheet4(F_22)'!A21-Title_RESULTS!$H$7)))*'Sheet3(F_21)'!D21</f>
        <v>37980.728625083684</v>
      </c>
      <c r="H21" s="5">
        <f>IF($G21=0,0,(($D21))*(Partcipation!$G21/100))</f>
        <v>27952.6273769925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99095.52822660287</v>
      </c>
    </row>
    <row r="22" spans="1:10" ht="12.75">
      <c r="A22">
        <f t="shared" si="0"/>
        <v>2026</v>
      </c>
      <c r="B22" s="43">
        <f>VLOOKUP(A22,'Value of Defferal'!$B29:$F$61,'Value of Defferal'!$C$10)</f>
        <v>0.12477133475235652</v>
      </c>
      <c r="C22" s="44">
        <f>VLOOKUP(A22,'Value of Defferal'!$B29:$F$61,'Value of Defferal'!$C$9)</f>
        <v>77785.88876125074</v>
      </c>
      <c r="D22" s="5">
        <f>IF((Title_RESULTS!$H$8-Title_RESULTS!$H$7)&lt;=('Sheet3(F_21)'!A22-Title_RESULTS!$H$7),((Title_RESULTS!$C$8*Partcipation!$C$26*8760*Title_RESULTS!$H$21/100000)),0)</f>
        <v>811184.3166760169</v>
      </c>
      <c r="E22" s="5">
        <f>IF($G22=0,0,((Title_RESULTS!$H$14*((1+Title_RESULTS!$H$15/100)^($A22-Title_RESULTS!$H$7))*'EUE_Line Losses'!$B$25*Partcipation!$C$26))/1000)</f>
        <v>6861.918506755617</v>
      </c>
      <c r="F22" s="5">
        <f>IF($G22=0,0,(Title_RESULTS!$H$19/100*((1+Title_RESULTS!$H$20/100)^($A22-Title_RESULTS!$H$7))*$D22*1000)/1000)</f>
        <v>1963.9868700807397</v>
      </c>
      <c r="G22" s="5">
        <f>(+Title_RESULTS!$H$22/100*((1+Title_RESULTS!$H$23/100)^(+'Sheet4(F_22)'!A22-Title_RESULTS!$H$7)))*'Sheet3(F_21)'!D22</f>
        <v>39705.05370466248</v>
      </c>
      <c r="H22" s="5">
        <f>IF($G22=0,0,(($D22))*(Partcipation!$G22/100))</f>
        <v>28858.30249522486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97458.54534752472</v>
      </c>
    </row>
    <row r="23" spans="1:10" ht="12.75">
      <c r="A23">
        <f t="shared" si="0"/>
        <v>2027</v>
      </c>
      <c r="B23" s="43">
        <f>VLOOKUP(A23,'Value of Defferal'!$B30:$F$61,'Value of Defferal'!$C$10)</f>
        <v>0.12069389684472964</v>
      </c>
      <c r="C23" s="44">
        <f>VLOOKUP(A23,'Value of Defferal'!$B30:$F$61,'Value of Defferal'!$C$9)</f>
        <v>75243.90159614524</v>
      </c>
      <c r="D23" s="5">
        <f>IF((Title_RESULTS!$H$8-Title_RESULTS!$H$7)&lt;=('Sheet3(F_21)'!A23-Title_RESULTS!$H$7),((Title_RESULTS!$C$8*Partcipation!$C$26*8760*Title_RESULTS!$H$21/100000)),0)</f>
        <v>811184.3166760169</v>
      </c>
      <c r="E23" s="5">
        <f>IF($G23=0,0,((Title_RESULTS!$H$14*((1+Title_RESULTS!$H$15/100)^($A23-Title_RESULTS!$H$7))*'EUE_Line Losses'!$B$25*Partcipation!$C$26))/1000)</f>
        <v>7026.604550917754</v>
      </c>
      <c r="F23" s="5">
        <f>IF($G23=0,0,(Title_RESULTS!$H$19/100*((1+Title_RESULTS!$H$20/100)^($A23-Title_RESULTS!$H$7))*$D23*1000)/1000)</f>
        <v>2011.1225549626777</v>
      </c>
      <c r="G23" s="5">
        <f>(+Title_RESULTS!$H$22/100*((1+Title_RESULTS!$H$23/100)^(+'Sheet4(F_22)'!A23-Title_RESULTS!$H$7)))*'Sheet3(F_21)'!D23</f>
        <v>41507.663142854166</v>
      </c>
      <c r="H23" s="5">
        <f>IF($G23=0,0,(($D23))*(Partcipation!$G23/100))</f>
        <v>30149.99056007594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95639.3012848039</v>
      </c>
    </row>
    <row r="24" spans="1:10" ht="12.75">
      <c r="A24">
        <f t="shared" si="0"/>
        <v>2028</v>
      </c>
      <c r="B24" s="43">
        <f>VLOOKUP(A24,'Value of Defferal'!$B31:$F$61,'Value of Defferal'!$C$10)</f>
        <v>0.11679058731716964</v>
      </c>
      <c r="C24" s="44">
        <f>VLOOKUP(A24,'Value of Defferal'!$B31:$F$61,'Value of Defferal'!$C$9)</f>
        <v>72810.47086212179</v>
      </c>
      <c r="D24" s="5">
        <f>IF((Title_RESULTS!$H$8-Title_RESULTS!$H$7)&lt;=('Sheet3(F_21)'!A24-Title_RESULTS!$H$7),((Title_RESULTS!$C$8*Partcipation!$C$26*8760*Title_RESULTS!$H$21/100000)),0)</f>
        <v>811184.3166760169</v>
      </c>
      <c r="E24" s="5">
        <f>IF($G24=0,0,((Title_RESULTS!$H$14*((1+Title_RESULTS!$H$15/100)^($A24-Title_RESULTS!$H$7))*'EUE_Line Losses'!$B$25*Partcipation!$C$26))/1000)</f>
        <v>7195.24306013978</v>
      </c>
      <c r="F24" s="5">
        <f>IF($G24=0,0,(Title_RESULTS!$H$19/100*((1+Title_RESULTS!$H$20/100)^($A24-Title_RESULTS!$H$7))*$D24*1000)/1000)</f>
        <v>2059.3894962817817</v>
      </c>
      <c r="G24" s="5">
        <f>(+Title_RESULTS!$H$22/100*((1+Title_RESULTS!$H$23/100)^(+'Sheet4(F_22)'!A24-Title_RESULTS!$H$7)))*'Sheet3(F_21)'!D24</f>
        <v>43392.11104953975</v>
      </c>
      <c r="H24" s="5">
        <f>IF($G24=0,0,(($D24))*(Partcipation!$G24/100))</f>
        <v>32449.36120167032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93007.8532664128</v>
      </c>
    </row>
    <row r="25" spans="1:10" ht="12.75">
      <c r="A25">
        <f t="shared" si="0"/>
        <v>2029</v>
      </c>
      <c r="B25" s="43">
        <f>VLOOKUP(A25,'Value of Defferal'!$B32:$F$61,'Value of Defferal'!$C$10)</f>
        <v>0.1130087986891642</v>
      </c>
      <c r="C25" s="44">
        <f>VLOOKUP(A25,'Value of Defferal'!$B32:$F$61,'Value of Defferal'!$C$9)</f>
        <v>70452.79960597586</v>
      </c>
      <c r="D25" s="5">
        <f>IF((Title_RESULTS!$H$8-Title_RESULTS!$H$7)&lt;=('Sheet3(F_21)'!A25-Title_RESULTS!$H$7),((Title_RESULTS!$C$8*Partcipation!$C$26*8760*Title_RESULTS!$H$21/100000)),0)</f>
        <v>811184.3166760169</v>
      </c>
      <c r="E25" s="5">
        <f>IF($G25=0,0,((Title_RESULTS!$H$14*((1+Title_RESULTS!$H$15/100)^($A25-Title_RESULTS!$H$7))*'EUE_Line Losses'!$B$25*Partcipation!$C$26))/1000)</f>
        <v>7367.928893583134</v>
      </c>
      <c r="F25" s="5">
        <f>IF($G25=0,0,(Title_RESULTS!$H$19/100*((1+Title_RESULTS!$H$20/100)^($A25-Title_RESULTS!$H$7))*$D25*1000)/1000)</f>
        <v>2108.814844192544</v>
      </c>
      <c r="G25" s="5">
        <f>(+Title_RESULTS!$H$22/100*((1+Title_RESULTS!$H$23/100)^(+'Sheet4(F_22)'!A25-Title_RESULTS!$H$7)))*'Sheet3(F_21)'!D25</f>
        <v>45362.11289118886</v>
      </c>
      <c r="H25" s="5">
        <f>IF($G25=0,0,(($D25))*(Partcipation!$G25/100))</f>
        <v>33873.42262522026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91418.23360972013</v>
      </c>
    </row>
    <row r="26" spans="1:10" ht="12.75">
      <c r="A26">
        <f t="shared" si="0"/>
        <v>2030</v>
      </c>
      <c r="B26" s="43">
        <f>VLOOKUP(A26,'Value of Defferal'!$B33:$F$61,'Value of Defferal'!$C$10)</f>
        <v>0.109265930075022</v>
      </c>
      <c r="C26" s="44">
        <f>VLOOKUP(A26,'Value of Defferal'!$B33:$F$61,'Value of Defferal'!$C$9)</f>
        <v>68119.39215910117</v>
      </c>
      <c r="D26" s="5">
        <f>IF((Title_RESULTS!$H$8-Title_RESULTS!$H$7)&lt;=('Sheet3(F_21)'!A26-Title_RESULTS!$H$7),((Title_RESULTS!$C$8*Partcipation!$C$26*8760*Title_RESULTS!$H$21/100000)),0)</f>
        <v>811184.3166760169</v>
      </c>
      <c r="E26" s="5">
        <f>IF($G26=0,0,((Title_RESULTS!$H$14*((1+Title_RESULTS!$H$15/100)^($A26-Title_RESULTS!$H$7))*'EUE_Line Losses'!$B$25*Partcipation!$C$26))/1000)</f>
        <v>7544.759187029129</v>
      </c>
      <c r="F26" s="5">
        <f>IF($G26=0,0,(Title_RESULTS!$H$19/100*((1+Title_RESULTS!$H$20/100)^($A26-Title_RESULTS!$H$7))*$D26*1000)/1000)</f>
        <v>2159.426400453165</v>
      </c>
      <c r="G26" s="5">
        <f>(+Title_RESULTS!$H$22/100*((1+Title_RESULTS!$H$23/100)^(+'Sheet4(F_22)'!A26-Title_RESULTS!$H$7)))*'Sheet3(F_21)'!D26</f>
        <v>47421.55281644884</v>
      </c>
      <c r="H26" s="5">
        <f>IF($G26=0,0,(($D26))*(Partcipation!$G26/100))</f>
        <v>36392.010056936226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88853.1205060961</v>
      </c>
    </row>
    <row r="27" spans="1:10" ht="12.75">
      <c r="A27">
        <f t="shared" si="0"/>
        <v>2031</v>
      </c>
      <c r="B27" s="43">
        <f>VLOOKUP(A27,'Value of Defferal'!$B34:$F$61,'Value of Defferal'!$C$10)</f>
        <v>0.10552306146087977</v>
      </c>
      <c r="C27" s="44">
        <f>VLOOKUP(A27,'Value of Defferal'!$B34:$F$61,'Value of Defferal'!$C$9)</f>
        <v>65785.98471222648</v>
      </c>
      <c r="D27" s="5">
        <f>IF((Title_RESULTS!$H$8-Title_RESULTS!$H$7)&lt;=('Sheet3(F_21)'!A27-Title_RESULTS!$H$7),((Title_RESULTS!$C$8*Partcipation!$C$26*8760*Title_RESULTS!$H$21/100000)),0)</f>
        <v>811184.3166760169</v>
      </c>
      <c r="E27" s="5">
        <f>IF($G27=0,0,((Title_RESULTS!$H$14*((1+Title_RESULTS!$H$15/100)^($A27-Title_RESULTS!$H$7))*'EUE_Line Losses'!$B$25*Partcipation!$C$26))/1000)</f>
        <v>7725.83340751783</v>
      </c>
      <c r="F27" s="5">
        <f>IF($G27=0,0,(Title_RESULTS!$H$19/100*((1+Title_RESULTS!$H$20/100)^($A27-Title_RESULTS!$H$7))*$D27*1000)/1000)</f>
        <v>2211.2526340640416</v>
      </c>
      <c r="G27" s="5">
        <f>(+Title_RESULTS!$H$22/100*((1+Title_RESULTS!$H$23/100)^(+'Sheet4(F_22)'!A27-Title_RESULTS!$H$7)))*'Sheet3(F_21)'!D27</f>
        <v>49574.49131431562</v>
      </c>
      <c r="H27" s="5">
        <f>IF($G27=0,0,(($D27))*(Partcipation!$G27/100))</f>
        <v>37296.97223386497</v>
      </c>
      <c r="I27" s="5">
        <f>IF($A27&gt;=+Title_RESULTS!$H$8,+Partcipation!$C$60*Title_RESULTS!$H$24/1000*(1+Title_RESULTS!$H$25/100)^($A27-Title_RESULTS!$H$7),0)</f>
        <v>0</v>
      </c>
      <c r="J27" s="5">
        <f>(+C27+G27+E27+F27-H27+I27)*Partcipation!H27</f>
        <v>88000.58983425901</v>
      </c>
    </row>
    <row r="28" spans="1:10" ht="12.75">
      <c r="A28">
        <f t="shared" si="0"/>
        <v>2032</v>
      </c>
      <c r="B28" s="43">
        <f>VLOOKUP(A28,'Value of Defferal'!$B35:$F$61,'Value of Defferal'!$C$10)</f>
        <v>0.10178019284673755</v>
      </c>
      <c r="C28" s="44">
        <f>VLOOKUP(A28,'Value of Defferal'!$B35:$F$61,'Value of Defferal'!$C$9)</f>
        <v>63452.577265351785</v>
      </c>
      <c r="D28" s="5">
        <f>IF((Title_RESULTS!$H$8-Title_RESULTS!$H$7)&lt;=('Sheet3(F_21)'!A28-Title_RESULTS!$H$7),((Title_RESULTS!$C$8*Partcipation!$C$26*8760*Title_RESULTS!$H$21/100000)),0)</f>
        <v>811184.3166760169</v>
      </c>
      <c r="E28" s="5">
        <f>IF($G28=0,0,((Title_RESULTS!$H$14*((1+Title_RESULTS!$H$15/100)^($A28-Title_RESULTS!$H$7))*'EUE_Line Losses'!$B$25*Partcipation!$C$26))/1000)</f>
        <v>7911.253409298258</v>
      </c>
      <c r="F28" s="5">
        <f>IF($G28=0,0,(Title_RESULTS!$H$19/100*((1+Title_RESULTS!$H$20/100)^($A28-Title_RESULTS!$H$7))*$D28*1000)/1000)</f>
        <v>2264.3226972815783</v>
      </c>
      <c r="G28" s="5">
        <f>(+Title_RESULTS!$H$22/100*((1+Title_RESULTS!$H$23/100)^(+'Sheet4(F_22)'!A28-Title_RESULTS!$H$7)))*'Sheet3(F_21)'!D28</f>
        <v>51825.173219985554</v>
      </c>
      <c r="H28" s="5">
        <f>IF($G28=0,0,(($D28))*(Partcipation!$G28/100))</f>
        <v>39535.16023633708</v>
      </c>
      <c r="I28" s="5">
        <f>IF($A28&gt;=+Title_RESULTS!$H$8,+Partcipation!$C$60*Title_RESULTS!$H$24/1000*(1+Title_RESULTS!$H$25/100)^($A28-Title_RESULTS!$H$7),0)</f>
        <v>0</v>
      </c>
      <c r="J28" s="5">
        <f>(+C28+G28+E28+F28-H28+I28)*Partcipation!H28</f>
        <v>85918.16635558009</v>
      </c>
    </row>
    <row r="29" spans="1:10" ht="12.75">
      <c r="A29">
        <f t="shared" si="0"/>
        <v>2033</v>
      </c>
      <c r="B29" s="43">
        <f>VLOOKUP(A29,'Value of Defferal'!$B36:$F$61,'Value of Defferal'!$C$10)</f>
        <v>0.09803732423259534</v>
      </c>
      <c r="C29" s="44">
        <f>VLOOKUP(A29,'Value of Defferal'!$B36:$F$61,'Value of Defferal'!$C$9)</f>
        <v>61119.16981847711</v>
      </c>
      <c r="D29" s="5">
        <f>IF((Title_RESULTS!$H$8-Title_RESULTS!$H$7)&lt;=('Sheet3(F_21)'!A29-Title_RESULTS!$H$7),((Title_RESULTS!$C$8*Partcipation!$C$26*8760*Title_RESULTS!$H$21/100000)),0)</f>
        <v>811184.3166760169</v>
      </c>
      <c r="E29" s="5">
        <f>IF($G29=0,0,((Title_RESULTS!$H$14*((1+Title_RESULTS!$H$15/100)^($A29-Title_RESULTS!$H$7))*'EUE_Line Losses'!$B$25*Partcipation!$C$26))/1000)</f>
        <v>8101.123491121416</v>
      </c>
      <c r="F29" s="5">
        <f>IF($G29=0,0,(Title_RESULTS!$H$19/100*((1+Title_RESULTS!$H$20/100)^($A29-Title_RESULTS!$H$7))*$D29*1000)/1000)</f>
        <v>2318.6664420163365</v>
      </c>
      <c r="G29" s="5">
        <f>(+Title_RESULTS!$H$22/100*((1+Title_RESULTS!$H$23/100)^(+'Sheet4(F_22)'!A29-Title_RESULTS!$H$7)))*'Sheet3(F_21)'!D29</f>
        <v>54178.0360841729</v>
      </c>
      <c r="H29" s="5">
        <f>IF($G29=0,0,(($D29))*(Partcipation!$G29/100))</f>
        <v>40436.85677604452</v>
      </c>
      <c r="I29" s="5">
        <f>IF($A29&gt;=+Title_RESULTS!$H$8,+Partcipation!$C$60*Title_RESULTS!$H$24/1000*(1+Title_RESULTS!$H$25/100)^($A29-Title_RESULTS!$H$7),0)</f>
        <v>0</v>
      </c>
      <c r="J29" s="5">
        <f>(+C29+G29+E29+F29-H29+I29)*Partcipation!H29</f>
        <v>85280.13905974323</v>
      </c>
    </row>
    <row r="30" spans="1:10" ht="12.75">
      <c r="A30">
        <f t="shared" si="0"/>
        <v>2034</v>
      </c>
      <c r="B30" s="43">
        <f>VLOOKUP(A30,'Value of Defferal'!$B37:$F$61,'Value of Defferal'!$C$10)</f>
        <v>0.09429445561845311</v>
      </c>
      <c r="C30" s="44">
        <f>VLOOKUP(A30,'Value of Defferal'!$B37:$F$61,'Value of Defferal'!$C$9)</f>
        <v>58785.76237160241</v>
      </c>
      <c r="D30" s="5">
        <f>IF((Title_RESULTS!$H$8-Title_RESULTS!$H$7)&lt;=('Sheet3(F_21)'!A30-Title_RESULTS!$H$7),((Title_RESULTS!$C$8*Partcipation!$C$26*8760*Title_RESULTS!$H$21/100000)),0)</f>
        <v>811184.3166760169</v>
      </c>
      <c r="E30" s="5">
        <f>IF($G30=0,0,((Title_RESULTS!$H$14*((1+Title_RESULTS!$H$15/100)^($A30-Title_RESULTS!$H$7))*'EUE_Line Losses'!$B$25*Partcipation!$C$26))/1000)</f>
        <v>8295.550454908329</v>
      </c>
      <c r="F30" s="5">
        <f>IF($G30=0,0,(Title_RESULTS!$H$19/100*((1+Title_RESULTS!$H$20/100)^($A30-Title_RESULTS!$H$7))*$D30*1000)/1000)</f>
        <v>2374.3144366247284</v>
      </c>
      <c r="G30" s="5">
        <f>(+Title_RESULTS!$H$22/100*((1+Title_RESULTS!$H$23/100)^(+'Sheet4(F_22)'!A30-Title_RESULTS!$H$7)))*'Sheet3(F_21)'!D30</f>
        <v>56637.71892239436</v>
      </c>
      <c r="H30" s="5">
        <f>IF($G30=0,0,(($D30))*(Partcipation!$G30/100))</f>
        <v>43046.12979881455</v>
      </c>
      <c r="I30" s="5">
        <f>IF($A30&gt;=+Title_RESULTS!$H$8,+Partcipation!$C$60*Title_RESULTS!$H$24/1000*(1+Title_RESULTS!$H$25/100)^($A30-Title_RESULTS!$H$7),0)</f>
        <v>0</v>
      </c>
      <c r="J30" s="5">
        <f>(+C30+G30+E30+F30-H30+I30)*Partcipation!H30</f>
        <v>83047.21638671527</v>
      </c>
    </row>
    <row r="31" spans="1:10" ht="12.75">
      <c r="A31">
        <f t="shared" si="0"/>
        <v>2035</v>
      </c>
      <c r="B31" s="43">
        <f>VLOOKUP(A31,'Value of Defferal'!$B38:$F$61,'Value of Defferal'!$C$10)</f>
        <v>0.09055158700431087</v>
      </c>
      <c r="C31" s="44">
        <f>VLOOKUP(A31,'Value of Defferal'!$B38:$F$61,'Value of Defferal'!$C$9)</f>
        <v>56452.35492472771</v>
      </c>
      <c r="D31" s="5">
        <f>IF((Title_RESULTS!$H$8-Title_RESULTS!$H$7)&lt;=('Sheet3(F_21)'!A31-Title_RESULTS!$H$7),((Title_RESULTS!$C$8*Partcipation!$C$26*8760*Title_RESULTS!$H$21/100000)),0)</f>
        <v>811184.3166760169</v>
      </c>
      <c r="E31" s="5">
        <f>IF($G31=0,0,((Title_RESULTS!$H$14*((1+Title_RESULTS!$H$15/100)^($A31-Title_RESULTS!$H$7))*'EUE_Line Losses'!$B$25*Partcipation!$C$26))/1000)</f>
        <v>8494.643665826128</v>
      </c>
      <c r="F31" s="5">
        <f>IF($G31=0,0,(Title_RESULTS!$H$19/100*((1+Title_RESULTS!$H$20/100)^($A31-Title_RESULTS!$H$7))*$D31*1000)/1000)</f>
        <v>2431.297983103722</v>
      </c>
      <c r="G31" s="5">
        <f>(+Title_RESULTS!$H$22/100*((1+Title_RESULTS!$H$23/100)^(+'Sheet4(F_22)'!A31-Title_RESULTS!$H$7)))*'Sheet3(F_21)'!D31</f>
        <v>59209.07136147106</v>
      </c>
      <c r="H31" s="5">
        <f>IF($G31=0,0,(($D31))*(Partcipation!$G31/100))</f>
        <v>44696.6570550493</v>
      </c>
      <c r="I31" s="5">
        <f>IF($A31&gt;=+Title_RESULTS!$H$8,+Partcipation!$C$60*Title_RESULTS!$H$24/1000*(1+Title_RESULTS!$H$25/100)^($A31-Title_RESULTS!$H$7),0)</f>
        <v>0</v>
      </c>
      <c r="J31" s="5">
        <f>(+C31+G31+E31+F31-H31+I31)*Partcipation!H31</f>
        <v>81890.71088007934</v>
      </c>
    </row>
    <row r="32" spans="1:10" ht="12.75">
      <c r="A32">
        <f t="shared" si="0"/>
        <v>2036</v>
      </c>
      <c r="B32" s="43">
        <f>VLOOKUP(A32,'Value of Defferal'!$B39:$F$61,'Value of Defferal'!$C$10)</f>
        <v>0.08680871839016864</v>
      </c>
      <c r="C32" s="44">
        <f>VLOOKUP(A32,'Value of Defferal'!$B39:$F$61,'Value of Defferal'!$C$9)</f>
        <v>54118.94747785301</v>
      </c>
      <c r="D32" s="5">
        <f>IF((Title_RESULTS!$H$8-Title_RESULTS!$H$7)&lt;=('Sheet3(F_21)'!A32-Title_RESULTS!$H$7),((Title_RESULTS!$C$8*Partcipation!$C$26*8760*Title_RESULTS!$H$21/100000)),0)</f>
        <v>811184.3166760169</v>
      </c>
      <c r="E32" s="5">
        <f>IF($G32=0,0,((Title_RESULTS!$H$14*((1+Title_RESULTS!$H$15/100)^($A32-Title_RESULTS!$H$7))*'EUE_Line Losses'!$B$25*Partcipation!$C$26))/1000)</f>
        <v>8698.515113805955</v>
      </c>
      <c r="F32" s="5">
        <f>IF($G32=0,0,(Title_RESULTS!$H$19/100*((1+Title_RESULTS!$H$20/100)^($A32-Title_RESULTS!$H$7))*$D32*1000)/1000)</f>
        <v>2489.6491346982107</v>
      </c>
      <c r="G32" s="5">
        <f>(+Title_RESULTS!$H$22/100*((1+Title_RESULTS!$H$23/100)^(+'Sheet4(F_22)'!A32-Title_RESULTS!$H$7)))*'Sheet3(F_21)'!D32</f>
        <v>61897.16320128186</v>
      </c>
      <c r="H32" s="5">
        <f>IF($G32=0,0,(($D32))*(Partcipation!$G32/100))</f>
        <v>45597.81564034868</v>
      </c>
      <c r="I32" s="5">
        <f>IF($A32&gt;=+Title_RESULTS!$H$8,+Partcipation!$C$60*Title_RESULTS!$H$24/1000*(1+Title_RESULTS!$H$25/100)^($A32-Title_RESULTS!$H$7),0)</f>
        <v>0</v>
      </c>
      <c r="J32" s="5">
        <f>(+C32+G32+E32+F32-H32+I32)*Partcipation!H32</f>
        <v>81606.45928729036</v>
      </c>
    </row>
    <row r="33" spans="1:10" ht="12.75">
      <c r="A33">
        <f t="shared" si="0"/>
        <v>2037</v>
      </c>
      <c r="B33" s="43">
        <f>VLOOKUP(A33,'Value of Defferal'!$B40:$F$61,'Value of Defferal'!$C$10)</f>
        <v>0.08306584977602645</v>
      </c>
      <c r="C33" s="44">
        <f>VLOOKUP(A33,'Value of Defferal'!$B40:$F$61,'Value of Defferal'!$C$9)</f>
        <v>51785.54003097834</v>
      </c>
      <c r="D33" s="5">
        <f>IF((Title_RESULTS!$H$8-Title_RESULTS!$H$7)&lt;=('Sheet3(F_21)'!A33-Title_RESULTS!$H$7),((Title_RESULTS!$C$8*Partcipation!$C$26*8760*Title_RESULTS!$H$21/100000)),0)</f>
        <v>811184.3166760169</v>
      </c>
      <c r="E33" s="5">
        <f>IF($G33=0,0,((Title_RESULTS!$H$14*((1+Title_RESULTS!$H$15/100)^($A33-Title_RESULTS!$H$7))*'EUE_Line Losses'!$B$25*Partcipation!$C$26))/1000)</f>
        <v>8907.2794765373</v>
      </c>
      <c r="F33" s="5">
        <f>IF($G33=0,0,(Title_RESULTS!$H$19/100*((1+Title_RESULTS!$H$20/100)^($A33-Title_RESULTS!$H$7))*$D33*1000)/1000)</f>
        <v>2549.4007139309683</v>
      </c>
      <c r="G33" s="5">
        <f>(+Title_RESULTS!$H$22/100*((1+Title_RESULTS!$H$23/100)^(+'Sheet4(F_22)'!A33-Title_RESULTS!$H$7)))*'Sheet3(F_21)'!D33</f>
        <v>64707.294410620074</v>
      </c>
      <c r="H33" s="5">
        <f>IF($G33=0,0,(($D33))*(Partcipation!$G33/100))</f>
        <v>48069.17974799546</v>
      </c>
      <c r="I33" s="5">
        <f>IF($A33&gt;=+Title_RESULTS!$H$8,+Partcipation!$C$60*Title_RESULTS!$H$24/1000*(1+Title_RESULTS!$H$25/100)^($A33-Title_RESULTS!$H$7),0)</f>
        <v>0</v>
      </c>
      <c r="J33" s="5">
        <f>(+C33+G33+E33+F33-H33+I33)*Partcipation!H33</f>
        <v>79880.33488407123</v>
      </c>
    </row>
    <row r="34" spans="1:10" ht="12.75">
      <c r="A34">
        <f t="shared" si="0"/>
        <v>2038</v>
      </c>
      <c r="B34" s="43">
        <f>VLOOKUP(A34,'Value of Defferal'!$B41:$F$61,'Value of Defferal'!$C$10)</f>
        <v>0.07967445150114433</v>
      </c>
      <c r="C34" s="44">
        <f>VLOOKUP(A34,'Value of Defferal'!$B41:$F$61,'Value of Defferal'!$C$9)</f>
        <v>49671.2488800608</v>
      </c>
      <c r="D34" s="5">
        <f>IF((Title_RESULTS!$H$8-Title_RESULTS!$H$7)&lt;=('Sheet3(F_21)'!A34-Title_RESULTS!$H$7),((Title_RESULTS!$C$8*Partcipation!$C$26*8760*Title_RESULTS!$H$21/100000)),0)</f>
        <v>811184.3166760169</v>
      </c>
      <c r="E34" s="5">
        <f>IF($G34=0,0,((Title_RESULTS!$H$14*((1+Title_RESULTS!$H$15/100)^($A34-Title_RESULTS!$H$7))*'EUE_Line Losses'!$B$25*Partcipation!$C$26))/1000)</f>
        <v>9121.05418397419</v>
      </c>
      <c r="F34" s="5">
        <f>IF($G34=0,0,(Title_RESULTS!$H$19/100*((1+Title_RESULTS!$H$20/100)^($A34-Title_RESULTS!$H$7))*$D34*1000)/1000)</f>
        <v>2610.5863310653112</v>
      </c>
      <c r="G34" s="5">
        <f>(+Title_RESULTS!$H$22/100*((1+Title_RESULTS!$H$23/100)^(+'Sheet4(F_22)'!A34-Title_RESULTS!$H$7)))*'Sheet3(F_21)'!D34</f>
        <v>67645.00557686223</v>
      </c>
      <c r="H34" s="5">
        <f>IF($G34=0,0,(($D34))*(Partcipation!$G34/100))</f>
        <v>49064.954717992165</v>
      </c>
      <c r="I34" s="5">
        <f>IF($A34&gt;=+Title_RESULTS!$H$8,+Partcipation!$C$60*Title_RESULTS!$H$24/1000*(1+Title_RESULTS!$H$25/100)^($A34-Title_RESULTS!$H$7),0)</f>
        <v>0</v>
      </c>
      <c r="J34" s="5">
        <f>(+C34+G34+E34+F34-H34+I34)*Partcipation!H34</f>
        <v>79982.94025397036</v>
      </c>
    </row>
    <row r="35" spans="1:10" ht="12.75">
      <c r="A35">
        <f t="shared" si="0"/>
        <v>2039</v>
      </c>
      <c r="B35" s="43">
        <f>VLOOKUP(A35,'Value of Defferal'!$B42:$F$61,'Value of Defferal'!$C$10)</f>
        <v>0.07698587488333333</v>
      </c>
      <c r="C35" s="44">
        <f>VLOOKUP(A35,'Value of Defferal'!$B42:$F$61,'Value of Defferal'!$C$9)</f>
        <v>47995.11611980597</v>
      </c>
      <c r="D35" s="5">
        <f>IF((Title_RESULTS!$H$8-Title_RESULTS!$H$7)&lt;=('Sheet3(F_21)'!A35-Title_RESULTS!$H$7),((Title_RESULTS!$C$8*Partcipation!$C$26*8760*Title_RESULTS!$H$21/100000)),0)</f>
        <v>811184.3166760169</v>
      </c>
      <c r="E35" s="5">
        <f>IF($G35=0,0,((Title_RESULTS!$H$14*((1+Title_RESULTS!$H$15/100)^($A35-Title_RESULTS!$H$7))*'EUE_Line Losses'!$B$25*Partcipation!$C$26))/1000)</f>
        <v>9339.959484389576</v>
      </c>
      <c r="F35" s="5">
        <f>IF($G35=0,0,(Title_RESULTS!$H$19/100*((1+Title_RESULTS!$H$20/100)^($A35-Title_RESULTS!$H$7))*$D35*1000)/1000)</f>
        <v>2673.240403010879</v>
      </c>
      <c r="G35" s="5">
        <f>(+Title_RESULTS!$H$22/100*((1+Title_RESULTS!$H$23/100)^(+'Sheet4(F_22)'!A35-Title_RESULTS!$H$7)))*'Sheet3(F_21)'!D35</f>
        <v>70716.08883005178</v>
      </c>
      <c r="H35" s="5">
        <f>IF($G35=0,0,(($D35))*(Partcipation!$G35/100))</f>
        <v>51104.57017133878</v>
      </c>
      <c r="I35" s="5">
        <f>IF($A35&gt;=+Title_RESULTS!$H$8,+Partcipation!$C$60*Title_RESULTS!$H$24/1000*(1+Title_RESULTS!$H$25/100)^($A35-Title_RESULTS!$H$7),0)</f>
        <v>0</v>
      </c>
      <c r="J35" s="5">
        <f>(+C35+G35+E35+F35-H35+I35)*Partcipation!H35</f>
        <v>79619.83466591942</v>
      </c>
    </row>
    <row r="36" spans="1:10" ht="12.75">
      <c r="A36">
        <f t="shared" si="0"/>
        <v>2040</v>
      </c>
      <c r="B36" s="43">
        <f>VLOOKUP(A36,'Value of Defferal'!$B43:$F$61,'Value of Defferal'!$C$10)</f>
        <v>0.07464864958333334</v>
      </c>
      <c r="C36" s="44">
        <f>VLOOKUP(A36,'Value of Defferal'!$B43:$F$61,'Value of Defferal'!$C$9)</f>
        <v>46538.02545425671</v>
      </c>
      <c r="D36" s="5">
        <f>IF((Title_RESULTS!$H$8-Title_RESULTS!$H$7)&lt;=('Sheet3(F_21)'!A36-Title_RESULTS!$H$7),((Title_RESULTS!$C$8*Partcipation!$C$26*8760*Title_RESULTS!$H$21/100000)),0)</f>
        <v>811184.3166760169</v>
      </c>
      <c r="E36" s="5">
        <f>IF($G36=0,0,((Title_RESULTS!$H$14*((1+Title_RESULTS!$H$15/100)^($A36-Title_RESULTS!$H$7))*'EUE_Line Losses'!$B$25*Partcipation!$C$26))/1000)</f>
        <v>9564.118512014924</v>
      </c>
      <c r="F36" s="5">
        <f>IF($G36=0,0,(Title_RESULTS!$H$19/100*((1+Title_RESULTS!$H$20/100)^($A36-Title_RESULTS!$H$7))*$D36*1000)/1000)</f>
        <v>2737.39817268314</v>
      </c>
      <c r="G36" s="5">
        <f>(+Title_RESULTS!$H$22/100*((1+Title_RESULTS!$H$23/100)^(+'Sheet4(F_22)'!A36-Title_RESULTS!$H$7)))*'Sheet3(F_21)'!D36</f>
        <v>73926.59926293614</v>
      </c>
      <c r="H36" s="5">
        <f>IF($G36=0,0,(($D36))*(Partcipation!$G36/100))</f>
        <v>51046.156547064755</v>
      </c>
      <c r="I36" s="5">
        <f>IF($A36&gt;=+Title_RESULTS!$H$8,+Partcipation!$C$60*Title_RESULTS!$H$24/1000*(1+Title_RESULTS!$H$25/100)^($A36-Title_RESULTS!$H$7),0)</f>
        <v>0</v>
      </c>
      <c r="J36" s="5">
        <f>(+C36+G36+E36+F36-H36+I36)*Partcipation!H36</f>
        <v>81719.98485482618</v>
      </c>
    </row>
    <row r="37" spans="1:10" ht="12.75">
      <c r="A37">
        <f t="shared" si="0"/>
        <v>2041</v>
      </c>
      <c r="B37" s="43">
        <f>VLOOKUP(A37,'Value of Defferal'!$B44:$F$61,'Value of Defferal'!$C$10)</f>
        <v>0.07231142428333336</v>
      </c>
      <c r="C37" s="44">
        <f>VLOOKUP(A37,'Value of Defferal'!$B44:$F$61,'Value of Defferal'!$C$9)</f>
        <v>45080.93478870746</v>
      </c>
      <c r="D37" s="5">
        <f>IF((Title_RESULTS!$H$8-Title_RESULTS!$H$7)&lt;=('Sheet3(F_21)'!A37-Title_RESULTS!$H$7),((Title_RESULTS!$C$8*Partcipation!$C$26*8760*Title_RESULTS!$H$21/100000)),0)</f>
        <v>811184.3166760169</v>
      </c>
      <c r="E37" s="5">
        <f>IF($G37=0,0,((Title_RESULTS!$H$14*((1+Title_RESULTS!$H$15/100)^($A37-Title_RESULTS!$H$7))*'EUE_Line Losses'!$B$25*Partcipation!$C$26))/1000)</f>
        <v>9793.657356303282</v>
      </c>
      <c r="F37" s="5">
        <f>IF($G37=0,0,(Title_RESULTS!$H$19/100*((1+Title_RESULTS!$H$20/100)^($A37-Title_RESULTS!$H$7))*$D37*1000)/1000)</f>
        <v>2803.0957288275354</v>
      </c>
      <c r="G37" s="5">
        <f>(+Title_RESULTS!$H$22/100*((1+Title_RESULTS!$H$23/100)^(+'Sheet4(F_22)'!A37-Title_RESULTS!$H$7)))*'Sheet3(F_21)'!D37</f>
        <v>77282.86686947345</v>
      </c>
      <c r="H37" s="5">
        <f>IF($G37=0,0,(($D37))*(Partcipation!$G37/100))</f>
        <v>54277.05825971962</v>
      </c>
      <c r="I37" s="5">
        <f>IF($A37&gt;=+Title_RESULTS!$H$8,+Partcipation!$C$60*Title_RESULTS!$H$24/1000*(1+Title_RESULTS!$H$25/100)^($A37-Title_RESULTS!$H$7),0)</f>
        <v>0</v>
      </c>
      <c r="J37" s="5">
        <f>(+C37+G37+E37+F37-H37+I37)*Partcipation!H37</f>
        <v>80683.4964835921</v>
      </c>
    </row>
    <row r="38" spans="1:10" ht="12.75">
      <c r="A38">
        <f t="shared" si="0"/>
        <v>2042</v>
      </c>
      <c r="B38" s="43">
        <f>VLOOKUP(A38,'Value of Defferal'!$B45:$F$61,'Value of Defferal'!$C$10)</f>
        <v>0.06997419898333333</v>
      </c>
      <c r="C38" s="44">
        <f>VLOOKUP(A38,'Value of Defferal'!$B45:$F$61,'Value of Defferal'!$C$9)</f>
        <v>43623.84412315819</v>
      </c>
      <c r="D38" s="5">
        <f>IF((Title_RESULTS!$H$8-Title_RESULTS!$H$7)&lt;=('Sheet3(F_21)'!A38-Title_RESULTS!$H$7),((Title_RESULTS!$C$8*Partcipation!$C$26*8760*Title_RESULTS!$H$21/100000)),0)</f>
        <v>811184.3166760169</v>
      </c>
      <c r="E38" s="5">
        <f>IF($G38=0,0,((Title_RESULTS!$H$14*((1+Title_RESULTS!$H$15/100)^($A38-Title_RESULTS!$H$7))*'EUE_Line Losses'!$B$25*Partcipation!$C$26))/1000)</f>
        <v>10028.705132854559</v>
      </c>
      <c r="F38" s="5">
        <f>IF($G38=0,0,(Title_RESULTS!$H$19/100*((1+Title_RESULTS!$H$20/100)^($A38-Title_RESULTS!$H$7))*$D38*1000)/1000)</f>
        <v>2870.3700263193955</v>
      </c>
      <c r="G38" s="5">
        <f>(+Title_RESULTS!$H$22/100*((1+Title_RESULTS!$H$23/100)^(+'Sheet4(F_22)'!A38-Title_RESULTS!$H$7)))*'Sheet3(F_21)'!D38</f>
        <v>80791.50902534755</v>
      </c>
      <c r="H38" s="5">
        <f>IF($G38=0,0,(($D38))*(Partcipation!$G38/100))</f>
        <v>57149.83562590846</v>
      </c>
      <c r="I38" s="5">
        <f>IF($A38&gt;=+Title_RESULTS!$H$8,+Partcipation!$C$60*Title_RESULTS!$H$24/1000*(1+Title_RESULTS!$H$25/100)^($A38-Title_RESULTS!$H$7),0)</f>
        <v>0</v>
      </c>
      <c r="J38" s="5">
        <f>(+C38+G38+E38+F38-H38+I38)*Partcipation!H38</f>
        <v>80164.59268177123</v>
      </c>
    </row>
    <row r="39" spans="1:10" ht="12.75">
      <c r="A39">
        <f t="shared" si="0"/>
        <v>2043</v>
      </c>
      <c r="B39" s="43">
        <f>VLOOKUP(A39,'Value of Defferal'!$B46:$F$61,'Value of Defferal'!$C$10)</f>
        <v>0.06763697368333334</v>
      </c>
      <c r="C39" s="44">
        <f>VLOOKUP(A39,'Value of Defferal'!$B46:$F$61,'Value of Defferal'!$C$9)</f>
        <v>42166.75345760893</v>
      </c>
      <c r="D39" s="5">
        <f>IF((Title_RESULTS!$H$8-Title_RESULTS!$H$7)&lt;=('Sheet3(F_21)'!A39-Title_RESULTS!$H$7),((Title_RESULTS!$C$8*Partcipation!$C$26*8760*Title_RESULTS!$H$21/100000)),0)</f>
        <v>811184.3166760169</v>
      </c>
      <c r="E39" s="5">
        <f>IF($G39=0,0,((Title_RESULTS!$H$14*((1+Title_RESULTS!$H$15/100)^($A39-Title_RESULTS!$H$7))*'EUE_Line Losses'!$B$25*Partcipation!$C$26))/1000)</f>
        <v>10269.394056043071</v>
      </c>
      <c r="F39" s="5">
        <f>IF($G39=0,0,(Title_RESULTS!$H$19/100*((1+Title_RESULTS!$H$20/100)^($A39-Title_RESULTS!$H$7))*$D39*1000)/1000)</f>
        <v>2939.258906951062</v>
      </c>
      <c r="G39" s="5">
        <f>(+Title_RESULTS!$H$22/100*((1+Title_RESULTS!$H$23/100)^(+'Sheet4(F_22)'!A39-Title_RESULTS!$H$7)))*'Sheet3(F_21)'!D39</f>
        <v>84459.44353509834</v>
      </c>
      <c r="H39" s="5">
        <f>IF($G39=0,0,(($D39))*(Partcipation!$G39/100))</f>
        <v>59553.80654548544</v>
      </c>
      <c r="I39" s="5">
        <f>IF($A39&gt;=+Title_RESULTS!$H$8,+Partcipation!$C$60*Title_RESULTS!$H$24/1000*(1+Title_RESULTS!$H$25/100)^($A39-Title_RESULTS!$H$7),0)</f>
        <v>0</v>
      </c>
      <c r="J39" s="5">
        <f>(+C39+G39+E39+F39-H39+I39)*Partcipation!H39</f>
        <v>80281.04341021595</v>
      </c>
    </row>
    <row r="40" spans="1:10" ht="12.75">
      <c r="A40">
        <f t="shared" si="0"/>
        <v>2044</v>
      </c>
      <c r="B40" s="43">
        <f>VLOOKUP(A40,'Value of Defferal'!$B47:$F$61,'Value of Defferal'!$C$10)</f>
        <v>0.06529974838333336</v>
      </c>
      <c r="C40" s="44">
        <f>VLOOKUP(A40,'Value of Defferal'!$B47:$F$61,'Value of Defferal'!$C$9)</f>
        <v>40709.66279205968</v>
      </c>
      <c r="D40" s="5">
        <f>IF((Title_RESULTS!$H$8-Title_RESULTS!$H$7)&lt;=('Sheet3(F_21)'!A40-Title_RESULTS!$H$7),((Title_RESULTS!$C$8*Partcipation!$C$26*8760*Title_RESULTS!$H$21/100000)),0)</f>
        <v>811184.3166760169</v>
      </c>
      <c r="E40" s="5">
        <f>IF($G40=0,0,((Title_RESULTS!$H$14*((1+Title_RESULTS!$H$15/100)^($A40-Title_RESULTS!$H$7))*'EUE_Line Losses'!$B$25*Partcipation!$C$26))/1000)</f>
        <v>10515.859513388103</v>
      </c>
      <c r="F40" s="5">
        <f>IF($G40=0,0,(Title_RESULTS!$H$19/100*((1+Title_RESULTS!$H$20/100)^($A40-Title_RESULTS!$H$7))*$D40*1000)/1000)</f>
        <v>3009.801120717887</v>
      </c>
      <c r="G40" s="5">
        <f>(+Title_RESULTS!$H$22/100*((1+Title_RESULTS!$H$23/100)^(+'Sheet4(F_22)'!A40-Title_RESULTS!$H$7)))*'Sheet3(F_21)'!D40</f>
        <v>88293.90227159181</v>
      </c>
      <c r="H40" s="5">
        <f>IF($G40=0,0,(($D40))*(Partcipation!$G40/100))</f>
        <v>58948.14379739202</v>
      </c>
      <c r="I40" s="5">
        <f>IF($A40&gt;=+Title_RESULTS!$H$8,+Partcipation!$C$60*Title_RESULTS!$H$24/1000*(1+Title_RESULTS!$H$25/100)^($A40-Title_RESULTS!$H$7),0)</f>
        <v>0</v>
      </c>
      <c r="J40" s="5">
        <f>(+C40+G40+E40+F40-H40+I40)*Partcipation!H40</f>
        <v>83581.08190036548</v>
      </c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1:10" ht="12.75">
      <c r="A42" t="s">
        <v>87</v>
      </c>
      <c r="B42" s="9"/>
      <c r="C42" s="9">
        <f aca="true" t="shared" si="1" ref="C42:J42">SUM(C16:C41)</f>
        <v>1341169.3668056093</v>
      </c>
      <c r="D42" s="9">
        <f t="shared" si="1"/>
        <v>17846054.96687237</v>
      </c>
      <c r="E42" s="9">
        <f t="shared" si="1"/>
        <v>182399.18879984063</v>
      </c>
      <c r="F42" s="9">
        <f t="shared" si="1"/>
        <v>52205.459969188625</v>
      </c>
      <c r="G42" s="9">
        <f t="shared" si="1"/>
        <v>1267598.3544035559</v>
      </c>
      <c r="H42" s="9">
        <f t="shared" si="1"/>
        <v>922122.0043534895</v>
      </c>
      <c r="I42" s="9">
        <f t="shared" si="1"/>
        <v>0</v>
      </c>
      <c r="J42" s="9">
        <f t="shared" si="1"/>
        <v>1921250.365624705</v>
      </c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1:10" ht="12.75">
      <c r="A44" t="s">
        <v>89</v>
      </c>
      <c r="C44" s="5">
        <f>NPV(Title_RESULTS!$C$37,C17:C41)+'Sheet3(F_21)'!C16</f>
        <v>640692.6320213851</v>
      </c>
      <c r="D44" s="5"/>
      <c r="E44" s="5">
        <f>NPV(Title_RESULTS!$C$37,E17:E41)+'Sheet3(F_21)'!E16</f>
        <v>74536.96482437261</v>
      </c>
      <c r="F44" s="5">
        <f>NPV(Title_RESULTS!$C$37,F17:F41)+'Sheet3(F_21)'!F16</f>
        <v>21333.628504421296</v>
      </c>
      <c r="G44" s="5">
        <f>NPV(Title_RESULTS!$C$37,G17:G41)+'Sheet3(F_21)'!G16</f>
        <v>489609.2994191793</v>
      </c>
      <c r="H44" s="5">
        <f>NPV(Title_RESULTS!$C$37,H17:H41)+'Sheet3(F_21)'!H16</f>
        <v>359548.78598416795</v>
      </c>
      <c r="I44" s="5">
        <f>NPV(Title_RESULTS!$C$37,I17:I41)+'Sheet3(F_21)'!I16</f>
        <v>0</v>
      </c>
      <c r="J44" s="5">
        <f>NPV(Title_RESULTS!$C$37,J17:J41)+'Sheet3(F_21)'!J16</f>
        <v>866623.7387851902</v>
      </c>
    </row>
    <row r="46" ht="12.75">
      <c r="A46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Commercial DR - Firm Service Level</v>
      </c>
      <c r="F2" t="s">
        <v>55</v>
      </c>
    </row>
    <row r="3" spans="6:7" ht="12.75">
      <c r="F3" s="35">
        <f>+Title_RESULTS!I4</f>
        <v>43599.31790740741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0</v>
      </c>
      <c r="C16" s="5">
        <f>$B16*'Sheet2(F_12)'!$E16/100</f>
        <v>0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0</v>
      </c>
      <c r="G16" s="5">
        <f>+$F16*'Sheet2(F_12)'!$I16</f>
        <v>0</v>
      </c>
    </row>
    <row r="17" spans="1:7" ht="12.75">
      <c r="A17">
        <f>+A16+1</f>
        <v>2021</v>
      </c>
      <c r="B17" s="5">
        <f>(+Partcipation!$C16+(Partcipation!$C17-Partcipation!$C16)/2)*Title_RESULTS!$C$10/1000</f>
        <v>0</v>
      </c>
      <c r="C17" s="5">
        <f>$B17*'Sheet2(F_12)'!$E17/100</f>
        <v>0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0</v>
      </c>
      <c r="G17" s="5">
        <f>+$F17*'Sheet2(F_12)'!$I17</f>
        <v>0</v>
      </c>
    </row>
    <row r="18" spans="1:7" ht="12.75">
      <c r="A18">
        <f>+A17+1</f>
        <v>2022</v>
      </c>
      <c r="B18" s="5">
        <f>(+Partcipation!$C17+(Partcipation!$C18-Partcipation!$C17)/2)*Title_RESULTS!$C$10/1000</f>
        <v>0</v>
      </c>
      <c r="C18" s="5">
        <f>$B18*'Sheet2(F_12)'!$E18/100</f>
        <v>0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0</v>
      </c>
      <c r="G18" s="5">
        <f>+$F18*'Sheet2(F_12)'!$I18</f>
        <v>0</v>
      </c>
    </row>
    <row r="19" spans="1:7" ht="12.75">
      <c r="A19">
        <f aca="true" t="shared" si="0" ref="A19:A40">+A18+1</f>
        <v>2023</v>
      </c>
      <c r="B19" s="5">
        <f>(+Partcipation!$C18+(Partcipation!$C19-Partcipation!$C18)/2)*Title_RESULTS!$C$10/1000</f>
        <v>0</v>
      </c>
      <c r="C19" s="5">
        <f>$B19*'Sheet2(F_12)'!$E19/100</f>
        <v>0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40">+C19-E19</f>
        <v>0</v>
      </c>
      <c r="G19" s="5">
        <f>+$F19*'Sheet2(F_12)'!$I19</f>
        <v>0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0</v>
      </c>
      <c r="C20" s="5">
        <f>$B20*'Sheet2(F_12)'!$E20/100</f>
        <v>0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0</v>
      </c>
      <c r="G20" s="5">
        <f>+$F20*'Sheet2(F_12)'!$I20</f>
        <v>0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0</v>
      </c>
      <c r="C21" s="5">
        <f>$B21*'Sheet2(F_12)'!$E21/100</f>
        <v>0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0</v>
      </c>
      <c r="G21" s="5">
        <f>+$F21*'Sheet2(F_12)'!$I21</f>
        <v>0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0</v>
      </c>
      <c r="C22" s="5">
        <f>$B22*'Sheet2(F_12)'!$E22/100</f>
        <v>0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0</v>
      </c>
      <c r="G22" s="5">
        <f>+$F22*'Sheet2(F_12)'!$I22</f>
        <v>0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0</v>
      </c>
      <c r="C23" s="5">
        <f>$B23*'Sheet2(F_12)'!$E23/100</f>
        <v>0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0</v>
      </c>
      <c r="G23" s="5">
        <f>+$F23*'Sheet2(F_12)'!$I23</f>
        <v>0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0</v>
      </c>
      <c r="C24" s="5">
        <f>$B24*'Sheet2(F_12)'!$E24/100</f>
        <v>0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0</v>
      </c>
      <c r="G24" s="5">
        <f>+$F24*'Sheet2(F_12)'!$I24</f>
        <v>0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0</v>
      </c>
      <c r="C25" s="5">
        <f>$B25*'Sheet2(F_12)'!$E25/100</f>
        <v>0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0</v>
      </c>
      <c r="G25" s="5">
        <f>+$F25*'Sheet2(F_12)'!$I25</f>
        <v>0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0</v>
      </c>
      <c r="C26" s="5">
        <f>$B26*'Sheet2(F_12)'!$E26/100</f>
        <v>0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0</v>
      </c>
      <c r="G26" s="5">
        <f>+$F26*'Sheet2(F_12)'!$I26</f>
        <v>0</v>
      </c>
    </row>
    <row r="27" spans="1:7" ht="12.75">
      <c r="A27">
        <f t="shared" si="0"/>
        <v>2031</v>
      </c>
      <c r="B27" s="5">
        <f>(+Partcipation!$C26+(Partcipation!$C27-Partcipation!$C26)/2)*Title_RESULTS!$C$10/1000</f>
        <v>0</v>
      </c>
      <c r="C27" s="5">
        <f>$B27*'Sheet2(F_12)'!$E27/100</f>
        <v>0</v>
      </c>
      <c r="D27" s="5">
        <f>(+Partcipation!$C26+(Partcipation!$C27-Partcipation!$C26)/2)*(+Title_RESULTS!$C$31/(1-Title_RESULTS!$C$11/100))/1000</f>
        <v>0</v>
      </c>
      <c r="E27" s="5">
        <f>+$D27*'Sheet2(F_12)'!$F27/100</f>
        <v>0</v>
      </c>
      <c r="F27" s="5">
        <f t="shared" si="1"/>
        <v>0</v>
      </c>
      <c r="G27" s="5">
        <f>+$F27*'Sheet2(F_12)'!$I27</f>
        <v>0</v>
      </c>
    </row>
    <row r="28" spans="1:7" ht="12.75">
      <c r="A28">
        <f t="shared" si="0"/>
        <v>2032</v>
      </c>
      <c r="B28" s="5">
        <f>(+Partcipation!$C27+(Partcipation!$C28-Partcipation!$C27)/2)*Title_RESULTS!$C$10/1000</f>
        <v>0</v>
      </c>
      <c r="C28" s="5">
        <f>$B28*'Sheet2(F_12)'!$E28/100</f>
        <v>0</v>
      </c>
      <c r="D28" s="5">
        <f>(+Partcipation!$C27+(Partcipation!$C28-Partcipation!$C27)/2)*(+Title_RESULTS!$C$31/(1-Title_RESULTS!$C$11/100))/1000</f>
        <v>0</v>
      </c>
      <c r="E28" s="5">
        <f>+$D28*'Sheet2(F_12)'!$F28/100</f>
        <v>0</v>
      </c>
      <c r="F28" s="5">
        <f t="shared" si="1"/>
        <v>0</v>
      </c>
      <c r="G28" s="5">
        <f>+$F28*'Sheet2(F_12)'!$I28</f>
        <v>0</v>
      </c>
    </row>
    <row r="29" spans="1:7" ht="12.75">
      <c r="A29">
        <f t="shared" si="0"/>
        <v>2033</v>
      </c>
      <c r="B29" s="5">
        <f>(+Partcipation!$C28+(Partcipation!$C29-Partcipation!$C28)/2)*Title_RESULTS!$C$10/1000</f>
        <v>0</v>
      </c>
      <c r="C29" s="5">
        <f>$B29*'Sheet2(F_12)'!$E29/100</f>
        <v>0</v>
      </c>
      <c r="D29" s="5">
        <f>(+Partcipation!$C28+(Partcipation!$C29-Partcipation!$C28)/2)*(+Title_RESULTS!$C$31/(1-Title_RESULTS!$C$11/100))/1000</f>
        <v>0</v>
      </c>
      <c r="E29" s="5">
        <f>+$D29*'Sheet2(F_12)'!$F29/100</f>
        <v>0</v>
      </c>
      <c r="F29" s="5">
        <f t="shared" si="1"/>
        <v>0</v>
      </c>
      <c r="G29" s="5">
        <f>+$F29*'Sheet2(F_12)'!$I29</f>
        <v>0</v>
      </c>
    </row>
    <row r="30" spans="1:7" ht="12.75">
      <c r="A30">
        <f t="shared" si="0"/>
        <v>2034</v>
      </c>
      <c r="B30" s="5">
        <f>(+Partcipation!$C29+(Partcipation!$C30-Partcipation!$C29)/2)*Title_RESULTS!$C$10/1000</f>
        <v>0</v>
      </c>
      <c r="C30" s="5">
        <f>$B30*'Sheet2(F_12)'!$E30/100</f>
        <v>0</v>
      </c>
      <c r="D30" s="5">
        <f>(+Partcipation!$C29+(Partcipation!$C30-Partcipation!$C29)/2)*(+Title_RESULTS!$C$31/(1-Title_RESULTS!$C$11/100))/1000</f>
        <v>0</v>
      </c>
      <c r="E30" s="5">
        <f>+$D30*'Sheet2(F_12)'!$F30/100</f>
        <v>0</v>
      </c>
      <c r="F30" s="5">
        <f t="shared" si="1"/>
        <v>0</v>
      </c>
      <c r="G30" s="5">
        <f>+$F30*'Sheet2(F_12)'!$I30</f>
        <v>0</v>
      </c>
    </row>
    <row r="31" spans="1:7" ht="12.75">
      <c r="A31">
        <f t="shared" si="0"/>
        <v>2035</v>
      </c>
      <c r="B31" s="5">
        <f>(+Partcipation!$C30+(Partcipation!$C31-Partcipation!$C30)/2)*Title_RESULTS!$C$10/1000</f>
        <v>0</v>
      </c>
      <c r="C31" s="5">
        <f>$B31*'Sheet2(F_12)'!$E31/100</f>
        <v>0</v>
      </c>
      <c r="D31" s="5">
        <f>(+Partcipation!$C30+(Partcipation!$C31-Partcipation!$C30)/2)*(+Title_RESULTS!$C$31/(1-Title_RESULTS!$C$11/100))/1000</f>
        <v>0</v>
      </c>
      <c r="E31" s="5">
        <f>+$D31*'Sheet2(F_12)'!$F31/100</f>
        <v>0</v>
      </c>
      <c r="F31" s="5">
        <f t="shared" si="1"/>
        <v>0</v>
      </c>
      <c r="G31" s="5">
        <f>+$F31*'Sheet2(F_12)'!$I31</f>
        <v>0</v>
      </c>
    </row>
    <row r="32" spans="1:7" ht="12.75">
      <c r="A32">
        <f t="shared" si="0"/>
        <v>2036</v>
      </c>
      <c r="B32" s="5">
        <f>(+Partcipation!$C31+(Partcipation!$C32-Partcipation!$C31)/2)*Title_RESULTS!$C$10/1000</f>
        <v>0</v>
      </c>
      <c r="C32" s="5">
        <f>$B32*'Sheet2(F_12)'!$E32/100</f>
        <v>0</v>
      </c>
      <c r="D32" s="5">
        <f>(+Partcipation!$C31+(Partcipation!$C32-Partcipation!$C31)/2)*(+Title_RESULTS!$C$31/(1-Title_RESULTS!$C$11/100))/1000</f>
        <v>0</v>
      </c>
      <c r="E32" s="5">
        <f>+$D32*'Sheet2(F_12)'!$F32/100</f>
        <v>0</v>
      </c>
      <c r="F32" s="5">
        <f t="shared" si="1"/>
        <v>0</v>
      </c>
      <c r="G32" s="5">
        <f>+$F32*'Sheet2(F_12)'!$I32</f>
        <v>0</v>
      </c>
    </row>
    <row r="33" spans="1:7" ht="12.75">
      <c r="A33">
        <f t="shared" si="0"/>
        <v>2037</v>
      </c>
      <c r="B33" s="5">
        <f>(+Partcipation!$C32+(Partcipation!$C33-Partcipation!$C32)/2)*Title_RESULTS!$C$10/1000</f>
        <v>0</v>
      </c>
      <c r="C33" s="5">
        <f>$B33*'Sheet2(F_12)'!$E33/100</f>
        <v>0</v>
      </c>
      <c r="D33" s="5">
        <f>(+Partcipation!$C32+(Partcipation!$C33-Partcipation!$C32)/2)*(+Title_RESULTS!$C$31/(1-Title_RESULTS!$C$11/100))/1000</f>
        <v>0</v>
      </c>
      <c r="E33" s="5">
        <f>+$D33*'Sheet2(F_12)'!$F33/100</f>
        <v>0</v>
      </c>
      <c r="F33" s="5">
        <f t="shared" si="1"/>
        <v>0</v>
      </c>
      <c r="G33" s="5">
        <f>+$F33*'Sheet2(F_12)'!$I33</f>
        <v>0</v>
      </c>
    </row>
    <row r="34" spans="1:7" ht="12.75">
      <c r="A34">
        <f t="shared" si="0"/>
        <v>2038</v>
      </c>
      <c r="B34" s="5">
        <f>(+Partcipation!$C33+(Partcipation!$C34-Partcipation!$C33)/2)*Title_RESULTS!$C$10/1000</f>
        <v>0</v>
      </c>
      <c r="C34" s="5">
        <f>$B34*'Sheet2(F_12)'!$E34/100</f>
        <v>0</v>
      </c>
      <c r="D34" s="5">
        <f>(+Partcipation!$C33+(Partcipation!$C34-Partcipation!$C33)/2)*(+Title_RESULTS!$C$31/(1-Title_RESULTS!$C$11/100))/1000</f>
        <v>0</v>
      </c>
      <c r="E34" s="5">
        <f>+$D34*'Sheet2(F_12)'!$F34/100</f>
        <v>0</v>
      </c>
      <c r="F34" s="5">
        <f t="shared" si="1"/>
        <v>0</v>
      </c>
      <c r="G34" s="5">
        <f>+$F34*'Sheet2(F_12)'!$I34</f>
        <v>0</v>
      </c>
    </row>
    <row r="35" spans="1:7" ht="12.75">
      <c r="A35">
        <f t="shared" si="0"/>
        <v>2039</v>
      </c>
      <c r="B35" s="5">
        <f>(+Partcipation!$C34+(Partcipation!$C35-Partcipation!$C34)/2)*Title_RESULTS!$C$10/1000</f>
        <v>0</v>
      </c>
      <c r="C35" s="5">
        <f>$B35*'Sheet2(F_12)'!$E35/100</f>
        <v>0</v>
      </c>
      <c r="D35" s="5">
        <f>(+Partcipation!$C34+(Partcipation!$C35-Partcipation!$C34)/2)*(+Title_RESULTS!$C$31/(1-Title_RESULTS!$C$11/100))/1000</f>
        <v>0</v>
      </c>
      <c r="E35" s="5">
        <f>+$D35*'Sheet2(F_12)'!$F35/100</f>
        <v>0</v>
      </c>
      <c r="F35" s="5">
        <f t="shared" si="1"/>
        <v>0</v>
      </c>
      <c r="G35" s="5">
        <f>+$F35*'Sheet2(F_12)'!$I35</f>
        <v>0</v>
      </c>
    </row>
    <row r="36" spans="1:7" ht="12.75">
      <c r="A36">
        <f t="shared" si="0"/>
        <v>2040</v>
      </c>
      <c r="B36" s="5">
        <f>(+Partcipation!$C35+(Partcipation!$C36-Partcipation!$C35)/2)*Title_RESULTS!$C$10/1000</f>
        <v>0</v>
      </c>
      <c r="C36" s="5">
        <f>$B36*'Sheet2(F_12)'!$E36/100</f>
        <v>0</v>
      </c>
      <c r="D36" s="5">
        <f>(+Partcipation!$C35+(Partcipation!$C36-Partcipation!$C35)/2)*(+Title_RESULTS!$C$31/(1-Title_RESULTS!$C$11/100))/1000</f>
        <v>0</v>
      </c>
      <c r="E36" s="5">
        <f>+$D36*'Sheet2(F_12)'!$F36/100</f>
        <v>0</v>
      </c>
      <c r="F36" s="5">
        <f t="shared" si="1"/>
        <v>0</v>
      </c>
      <c r="G36" s="5">
        <f>+$F36*'Sheet2(F_12)'!$I36</f>
        <v>0</v>
      </c>
    </row>
    <row r="37" spans="1:7" ht="12.75">
      <c r="A37">
        <f t="shared" si="0"/>
        <v>2041</v>
      </c>
      <c r="B37" s="5">
        <f>(+Partcipation!$C36+(Partcipation!$C37-Partcipation!$C36)/2)*Title_RESULTS!$C$10/1000</f>
        <v>0</v>
      </c>
      <c r="C37" s="5">
        <f>$B37*'Sheet2(F_12)'!$E37/100</f>
        <v>0</v>
      </c>
      <c r="D37" s="5">
        <f>(+Partcipation!$C36+(Partcipation!$C37-Partcipation!$C36)/2)*(+Title_RESULTS!$C$31/(1-Title_RESULTS!$C$11/100))/1000</f>
        <v>0</v>
      </c>
      <c r="E37" s="5">
        <f>+$D37*'Sheet2(F_12)'!$F37/100</f>
        <v>0</v>
      </c>
      <c r="F37" s="5">
        <f t="shared" si="1"/>
        <v>0</v>
      </c>
      <c r="G37" s="5">
        <f>+$F37*'Sheet2(F_12)'!$I37</f>
        <v>0</v>
      </c>
    </row>
    <row r="38" spans="1:7" ht="12.75">
      <c r="A38">
        <f t="shared" si="0"/>
        <v>2042</v>
      </c>
      <c r="B38" s="5">
        <f>(+Partcipation!$C37+(Partcipation!$C38-Partcipation!$C37)/2)*Title_RESULTS!$C$10/1000</f>
        <v>0</v>
      </c>
      <c r="C38" s="5">
        <f>$B38*'Sheet2(F_12)'!$E38/100</f>
        <v>0</v>
      </c>
      <c r="D38" s="5">
        <f>(+Partcipation!$C37+(Partcipation!$C38-Partcipation!$C37)/2)*(+Title_RESULTS!$C$31/(1-Title_RESULTS!$C$11/100))/1000</f>
        <v>0</v>
      </c>
      <c r="E38" s="5">
        <f>+$D38*'Sheet2(F_12)'!$F38/100</f>
        <v>0</v>
      </c>
      <c r="F38" s="5">
        <f t="shared" si="1"/>
        <v>0</v>
      </c>
      <c r="G38" s="5">
        <f>+$F38*'Sheet2(F_12)'!$I38</f>
        <v>0</v>
      </c>
    </row>
    <row r="39" spans="1:7" ht="12.75">
      <c r="A39">
        <f t="shared" si="0"/>
        <v>2043</v>
      </c>
      <c r="B39" s="5">
        <f>(+Partcipation!$C38+(Partcipation!$C39-Partcipation!$C38)/2)*Title_RESULTS!$C$10/1000</f>
        <v>0</v>
      </c>
      <c r="C39" s="5">
        <f>$B39*'Sheet2(F_12)'!$E39/100</f>
        <v>0</v>
      </c>
      <c r="D39" s="5">
        <f>(+Partcipation!$C38+(Partcipation!$C39-Partcipation!$C38)/2)*(+Title_RESULTS!$C$31/(1-Title_RESULTS!$C$11/100))/1000</f>
        <v>0</v>
      </c>
      <c r="E39" s="5">
        <f>+$D39*'Sheet2(F_12)'!$F39/100</f>
        <v>0</v>
      </c>
      <c r="F39" s="5">
        <f t="shared" si="1"/>
        <v>0</v>
      </c>
      <c r="G39" s="5">
        <f>+$F39*'Sheet2(F_12)'!$I39</f>
        <v>0</v>
      </c>
    </row>
    <row r="40" spans="1:7" ht="12.75">
      <c r="A40">
        <f t="shared" si="0"/>
        <v>2044</v>
      </c>
      <c r="B40" s="5">
        <f>(+Partcipation!$C39+(Partcipation!$C40-Partcipation!$C39)/2)*Title_RESULTS!$C$10/1000</f>
        <v>0</v>
      </c>
      <c r="C40" s="5">
        <f>$B40*'Sheet2(F_12)'!$E40/100</f>
        <v>0</v>
      </c>
      <c r="D40" s="5">
        <f>(+Partcipation!$C39+(Partcipation!$C40-Partcipation!$C39)/2)*(+Title_RESULTS!$C$31/(1-Title_RESULTS!$C$11/100))/1000</f>
        <v>0</v>
      </c>
      <c r="E40" s="5">
        <f>+$D40*'Sheet2(F_12)'!$F40/100</f>
        <v>0</v>
      </c>
      <c r="F40" s="5">
        <f t="shared" si="1"/>
        <v>0</v>
      </c>
      <c r="G40" s="5">
        <f>+$F40*'Sheet2(F_12)'!$I40</f>
        <v>0</v>
      </c>
    </row>
    <row r="41" spans="2:7" ht="12.75">
      <c r="B41" s="5"/>
      <c r="C41" s="5"/>
      <c r="D41" s="5"/>
      <c r="E41" s="5"/>
      <c r="F41" s="5"/>
      <c r="G41" s="5"/>
    </row>
    <row r="42" spans="1:7" ht="12.75">
      <c r="A42" t="s">
        <v>87</v>
      </c>
      <c r="B42" s="5">
        <f aca="true" t="shared" si="2" ref="B42:G42">SUM(B16:B41)</f>
        <v>0</v>
      </c>
      <c r="C42" s="5">
        <f t="shared" si="2"/>
        <v>0</v>
      </c>
      <c r="D42" s="5">
        <f t="shared" si="2"/>
        <v>0</v>
      </c>
      <c r="E42" s="5">
        <f t="shared" si="2"/>
        <v>0</v>
      </c>
      <c r="F42" s="5">
        <f t="shared" si="2"/>
        <v>0</v>
      </c>
      <c r="G42" s="5">
        <f t="shared" si="2"/>
        <v>0</v>
      </c>
    </row>
    <row r="43" spans="2:7" ht="12.75">
      <c r="B43" s="5"/>
      <c r="C43" s="5"/>
      <c r="D43" s="5"/>
      <c r="E43" s="5"/>
      <c r="F43" s="5"/>
      <c r="G43" s="5"/>
    </row>
    <row r="44" spans="1:7" ht="12.75">
      <c r="A44" t="s">
        <v>118</v>
      </c>
      <c r="B44" s="5"/>
      <c r="C44" s="5">
        <f>NPV(+Title_RESULTS!$C$37,C17:C41)+C16</f>
        <v>0</v>
      </c>
      <c r="D44" s="5"/>
      <c r="E44" s="5">
        <f>NPV(+Title_RESULTS!$C$37,E17:E41)+E16</f>
        <v>0</v>
      </c>
      <c r="F44" s="5">
        <f>NPV(+Title_RESULTS!$C$37,F17:F41)+F16</f>
        <v>0</v>
      </c>
      <c r="G44" s="5">
        <f>NPV(+Title_RESULTS!$C$37,G17:G41)+G16</f>
        <v>0</v>
      </c>
    </row>
    <row r="45" spans="6:7" ht="12.75">
      <c r="F45" s="9"/>
      <c r="G45" s="9"/>
    </row>
    <row r="46" ht="12.75">
      <c r="A46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5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Commercial DR - Firm Service Level</v>
      </c>
      <c r="J2" t="s">
        <v>42</v>
      </c>
    </row>
    <row r="3" spans="9:10" ht="12.75">
      <c r="I3" s="4"/>
      <c r="J3" s="35">
        <f>+Title_RESULTS!I4</f>
        <v>43599.31790740741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40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1:16" ht="15">
      <c r="A27">
        <f t="shared" si="0"/>
        <v>2031</v>
      </c>
      <c r="B27" s="28">
        <f>+Partcipation!B27</f>
        <v>3000</v>
      </c>
      <c r="C27" s="28">
        <f>+Partcipation!C27</f>
        <v>3000</v>
      </c>
      <c r="D27" s="10">
        <f>+Partcipation!D27</f>
        <v>4.205810946168665</v>
      </c>
      <c r="E27" s="10">
        <f>+Partcipation!E27</f>
        <v>4.997142313546424</v>
      </c>
      <c r="F27">
        <v>0</v>
      </c>
      <c r="G27" s="10">
        <f>+Partcipation!G27</f>
        <v>4.597841879721795</v>
      </c>
      <c r="H27">
        <v>1</v>
      </c>
      <c r="I27">
        <v>1</v>
      </c>
      <c r="J27">
        <v>0</v>
      </c>
      <c r="K27" s="10">
        <f>+Partcipation!L27</f>
        <v>0</v>
      </c>
      <c r="N27" s="64"/>
      <c r="P27" s="65"/>
    </row>
    <row r="28" spans="1:16" ht="15">
      <c r="A28">
        <f t="shared" si="0"/>
        <v>2032</v>
      </c>
      <c r="B28" s="28">
        <f>+Partcipation!B28</f>
        <v>3000</v>
      </c>
      <c r="C28" s="28">
        <f>+Partcipation!C28</f>
        <v>3000</v>
      </c>
      <c r="D28" s="10">
        <f>+Partcipation!D28</f>
        <v>4.5058999642058986</v>
      </c>
      <c r="E28" s="10">
        <f>+Partcipation!E28</f>
        <v>5.461414693381903</v>
      </c>
      <c r="F28">
        <v>0</v>
      </c>
      <c r="G28" s="10">
        <f>+Partcipation!G28</f>
        <v>4.873757963953245</v>
      </c>
      <c r="H28">
        <v>1</v>
      </c>
      <c r="I28">
        <v>1</v>
      </c>
      <c r="J28">
        <v>0</v>
      </c>
      <c r="K28" s="10">
        <f>+Partcipation!L28</f>
        <v>0</v>
      </c>
      <c r="N28" s="64"/>
      <c r="P28" s="65"/>
    </row>
    <row r="29" spans="1:16" ht="15">
      <c r="A29">
        <f t="shared" si="0"/>
        <v>2033</v>
      </c>
      <c r="B29" s="28">
        <f>+Partcipation!B29</f>
        <v>3000</v>
      </c>
      <c r="C29" s="28">
        <f>+Partcipation!C29</f>
        <v>3000</v>
      </c>
      <c r="D29" s="10">
        <f>+Partcipation!D29</f>
        <v>4.600412945356765</v>
      </c>
      <c r="E29" s="10">
        <f>+Partcipation!E29</f>
        <v>5.8241019786910195</v>
      </c>
      <c r="F29">
        <v>0</v>
      </c>
      <c r="G29" s="10">
        <f>+Partcipation!G29</f>
        <v>4.984915998097977</v>
      </c>
      <c r="H29">
        <v>1</v>
      </c>
      <c r="I29">
        <v>1</v>
      </c>
      <c r="J29">
        <v>0</v>
      </c>
      <c r="K29" s="10">
        <f>+Partcipation!L29</f>
        <v>0</v>
      </c>
      <c r="N29" s="64"/>
      <c r="P29" s="65"/>
    </row>
    <row r="30" spans="1:16" ht="15">
      <c r="A30">
        <f t="shared" si="0"/>
        <v>2034</v>
      </c>
      <c r="B30" s="28">
        <f>+Partcipation!B30</f>
        <v>3000</v>
      </c>
      <c r="C30" s="28">
        <f>+Partcipation!C30</f>
        <v>3000</v>
      </c>
      <c r="D30" s="10">
        <f>+Partcipation!D30</f>
        <v>4.904246138242304</v>
      </c>
      <c r="E30" s="10">
        <f>+Partcipation!E30</f>
        <v>6.095285388127853</v>
      </c>
      <c r="F30">
        <v>0</v>
      </c>
      <c r="G30" s="10">
        <f>+Partcipation!G30</f>
        <v>5.306578161570519</v>
      </c>
      <c r="H30">
        <v>1</v>
      </c>
      <c r="I30">
        <v>1</v>
      </c>
      <c r="J30">
        <v>0</v>
      </c>
      <c r="K30" s="10">
        <f>+Partcipation!L30</f>
        <v>0</v>
      </c>
      <c r="N30" s="64"/>
      <c r="P30" s="65"/>
    </row>
    <row r="31" spans="1:16" ht="15">
      <c r="A31">
        <f t="shared" si="0"/>
        <v>2035</v>
      </c>
      <c r="B31" s="28">
        <f>+Partcipation!B31</f>
        <v>3000</v>
      </c>
      <c r="C31" s="28">
        <f>+Partcipation!C31</f>
        <v>3000</v>
      </c>
      <c r="D31" s="10">
        <f>+Partcipation!D31</f>
        <v>5.112907004977054</v>
      </c>
      <c r="E31" s="10">
        <f>+Partcipation!E31</f>
        <v>6.713025114155245</v>
      </c>
      <c r="F31">
        <v>0</v>
      </c>
      <c r="G31" s="10">
        <f>+Partcipation!G31</f>
        <v>5.5100494593143035</v>
      </c>
      <c r="H31">
        <v>1</v>
      </c>
      <c r="I31">
        <v>1</v>
      </c>
      <c r="J31">
        <v>0</v>
      </c>
      <c r="K31" s="10">
        <f>+Partcipation!L31</f>
        <v>0</v>
      </c>
      <c r="N31" s="64"/>
      <c r="P31" s="65"/>
    </row>
    <row r="32" spans="1:16" ht="15">
      <c r="A32">
        <f t="shared" si="0"/>
        <v>2036</v>
      </c>
      <c r="B32" s="28">
        <f>+Partcipation!B32</f>
        <v>3000</v>
      </c>
      <c r="C32" s="28">
        <f>+Partcipation!C32</f>
        <v>3000</v>
      </c>
      <c r="D32" s="10">
        <f>+Partcipation!D32</f>
        <v>5.284774499790177</v>
      </c>
      <c r="E32" s="10">
        <f>+Partcipation!E32</f>
        <v>6.630472070431098</v>
      </c>
      <c r="F32">
        <v>0</v>
      </c>
      <c r="G32" s="10">
        <f>+Partcipation!G32</f>
        <v>5.621141176298189</v>
      </c>
      <c r="H32">
        <v>1</v>
      </c>
      <c r="I32">
        <v>1</v>
      </c>
      <c r="J32">
        <v>0</v>
      </c>
      <c r="K32" s="10">
        <f>+Partcipation!L32</f>
        <v>0</v>
      </c>
      <c r="N32" s="64"/>
      <c r="P32" s="65"/>
    </row>
    <row r="33" spans="1:16" ht="15">
      <c r="A33">
        <f t="shared" si="0"/>
        <v>2037</v>
      </c>
      <c r="B33" s="28">
        <f>+Partcipation!B33</f>
        <v>3000</v>
      </c>
      <c r="C33" s="28">
        <f>+Partcipation!C33</f>
        <v>3000</v>
      </c>
      <c r="D33" s="10">
        <f>+Partcipation!D33</f>
        <v>5.5807770564484205</v>
      </c>
      <c r="E33" s="10">
        <f>+Partcipation!E33</f>
        <v>7.076799847792998</v>
      </c>
      <c r="F33">
        <v>0</v>
      </c>
      <c r="G33" s="10">
        <f>+Partcipation!G33</f>
        <v>5.925802405175698</v>
      </c>
      <c r="H33">
        <v>1</v>
      </c>
      <c r="I33">
        <v>1</v>
      </c>
      <c r="J33">
        <v>0</v>
      </c>
      <c r="K33" s="10">
        <f>+Partcipation!L33</f>
        <v>0</v>
      </c>
      <c r="N33" s="64"/>
      <c r="P33" s="65"/>
    </row>
    <row r="34" spans="1:16" ht="15">
      <c r="A34">
        <f t="shared" si="0"/>
        <v>2038</v>
      </c>
      <c r="B34" s="28">
        <f>+Partcipation!B34</f>
        <v>3000</v>
      </c>
      <c r="C34" s="28">
        <f>+Partcipation!C34</f>
        <v>3000</v>
      </c>
      <c r="D34" s="10">
        <f>+Partcipation!D34</f>
        <v>5.71220131492689</v>
      </c>
      <c r="E34" s="10">
        <f>+Partcipation!E34</f>
        <v>7.103603500761035</v>
      </c>
      <c r="F34">
        <v>0</v>
      </c>
      <c r="G34" s="10">
        <f>+Partcipation!G34</f>
        <v>6.048558103175024</v>
      </c>
      <c r="H34">
        <v>1</v>
      </c>
      <c r="I34">
        <v>1</v>
      </c>
      <c r="J34">
        <v>0</v>
      </c>
      <c r="K34" s="10">
        <f>+Partcipation!L34</f>
        <v>0</v>
      </c>
      <c r="N34" s="64"/>
      <c r="P34" s="65"/>
    </row>
    <row r="35" spans="1:16" ht="15">
      <c r="A35">
        <f t="shared" si="0"/>
        <v>2039</v>
      </c>
      <c r="B35" s="28">
        <f>+Partcipation!B35</f>
        <v>3000</v>
      </c>
      <c r="C35" s="28">
        <f>+Partcipation!C35</f>
        <v>3000</v>
      </c>
      <c r="D35" s="10">
        <f>+Partcipation!D35</f>
        <v>5.9311440074959005</v>
      </c>
      <c r="E35" s="10">
        <f>+Partcipation!E35</f>
        <v>7.110955098934546</v>
      </c>
      <c r="F35">
        <v>0</v>
      </c>
      <c r="G35" s="10">
        <f>+Partcipation!G35</f>
        <v>6.299994849598368</v>
      </c>
      <c r="H35">
        <v>1</v>
      </c>
      <c r="I35">
        <v>1</v>
      </c>
      <c r="J35">
        <v>0</v>
      </c>
      <c r="K35" s="10">
        <f>+Partcipation!L35</f>
        <v>0</v>
      </c>
      <c r="N35" s="64"/>
      <c r="P35" s="65"/>
    </row>
    <row r="36" spans="1:16" ht="15">
      <c r="A36">
        <f t="shared" si="0"/>
        <v>2040</v>
      </c>
      <c r="B36" s="28">
        <f>+Partcipation!B36</f>
        <v>3000</v>
      </c>
      <c r="C36" s="28">
        <f>+Partcipation!C36</f>
        <v>3000</v>
      </c>
      <c r="D36" s="10">
        <f>+Partcipation!D36</f>
        <v>5.999355829046514</v>
      </c>
      <c r="E36" s="10">
        <f>+Partcipation!E36</f>
        <v>7.651719034608379</v>
      </c>
      <c r="F36">
        <v>0</v>
      </c>
      <c r="G36" s="10">
        <f>+Partcipation!G36</f>
        <v>6.292793819811034</v>
      </c>
      <c r="H36">
        <v>1</v>
      </c>
      <c r="I36">
        <v>1</v>
      </c>
      <c r="J36">
        <v>0</v>
      </c>
      <c r="K36" s="10">
        <f>+Partcipation!L36</f>
        <v>0</v>
      </c>
      <c r="N36" s="64"/>
      <c r="P36" s="65"/>
    </row>
    <row r="37" spans="1:16" ht="15">
      <c r="A37">
        <f t="shared" si="0"/>
        <v>2041</v>
      </c>
      <c r="B37" s="28">
        <f>+Partcipation!B37</f>
        <v>3000</v>
      </c>
      <c r="C37" s="28">
        <f>+Partcipation!C37</f>
        <v>3000</v>
      </c>
      <c r="D37" s="10">
        <f>+Partcipation!D37</f>
        <v>6.297281237877337</v>
      </c>
      <c r="E37" s="10">
        <f>+Partcipation!E37</f>
        <v>7.880669710806697</v>
      </c>
      <c r="F37">
        <v>0</v>
      </c>
      <c r="G37" s="10">
        <f>+Partcipation!G37</f>
        <v>6.691088220508289</v>
      </c>
      <c r="H37">
        <v>1</v>
      </c>
      <c r="I37">
        <v>1</v>
      </c>
      <c r="J37">
        <v>0</v>
      </c>
      <c r="K37" s="10">
        <f>+Partcipation!L37</f>
        <v>0</v>
      </c>
      <c r="N37" s="64"/>
      <c r="P37" s="65"/>
    </row>
    <row r="38" spans="1:16" ht="15">
      <c r="A38">
        <f t="shared" si="0"/>
        <v>2042</v>
      </c>
      <c r="B38" s="28">
        <f>+Partcipation!B38</f>
        <v>3000</v>
      </c>
      <c r="C38" s="28">
        <f>+Partcipation!C38</f>
        <v>3000</v>
      </c>
      <c r="D38" s="10">
        <f>+Partcipation!D38</f>
        <v>6.592646795694974</v>
      </c>
      <c r="E38" s="10">
        <f>+Partcipation!E38</f>
        <v>8.425266362252664</v>
      </c>
      <c r="F38">
        <v>0</v>
      </c>
      <c r="G38" s="10">
        <f>+Partcipation!G38</f>
        <v>7.04523428905663</v>
      </c>
      <c r="H38">
        <v>1</v>
      </c>
      <c r="I38">
        <v>1</v>
      </c>
      <c r="J38">
        <v>0</v>
      </c>
      <c r="K38" s="10">
        <f>+Partcipation!L38</f>
        <v>0</v>
      </c>
      <c r="N38" s="64"/>
      <c r="P38" s="65"/>
    </row>
    <row r="39" spans="1:16" ht="15">
      <c r="A39">
        <f t="shared" si="0"/>
        <v>2043</v>
      </c>
      <c r="B39" s="28">
        <f>+Partcipation!B39</f>
        <v>3000</v>
      </c>
      <c r="C39" s="28">
        <f>+Partcipation!C39</f>
        <v>3000</v>
      </c>
      <c r="D39" s="10">
        <f>+Partcipation!D39</f>
        <v>6.782797747058243</v>
      </c>
      <c r="E39" s="10">
        <f>+Partcipation!E39</f>
        <v>8.625266362252663</v>
      </c>
      <c r="F39">
        <v>0</v>
      </c>
      <c r="G39" s="10">
        <f>+Partcipation!G39</f>
        <v>7.341587518545546</v>
      </c>
      <c r="H39">
        <v>1</v>
      </c>
      <c r="I39">
        <v>1</v>
      </c>
      <c r="J39">
        <v>0</v>
      </c>
      <c r="K39" s="10">
        <f>+Partcipation!L39</f>
        <v>0</v>
      </c>
      <c r="N39" s="64"/>
      <c r="P39" s="65"/>
    </row>
    <row r="40" spans="1:16" ht="15">
      <c r="A40">
        <f t="shared" si="0"/>
        <v>2044</v>
      </c>
      <c r="B40" s="28">
        <f>+Partcipation!B40</f>
        <v>3000</v>
      </c>
      <c r="C40" s="28">
        <f>+Partcipation!C40</f>
        <v>3000</v>
      </c>
      <c r="D40" s="10">
        <f>+Partcipation!D40</f>
        <v>6.682976687154445</v>
      </c>
      <c r="E40" s="10">
        <f>+Partcipation!E40</f>
        <v>8.293294626593806</v>
      </c>
      <c r="F40">
        <v>0</v>
      </c>
      <c r="G40" s="10">
        <f>+Partcipation!G40</f>
        <v>7.266923507464163</v>
      </c>
      <c r="H40">
        <v>1</v>
      </c>
      <c r="I40">
        <v>1</v>
      </c>
      <c r="J40">
        <v>0</v>
      </c>
      <c r="K40" s="10">
        <f>+Partcipation!L40</f>
        <v>0</v>
      </c>
      <c r="N40" s="64"/>
      <c r="P40" s="65"/>
    </row>
    <row r="41" spans="2:14" ht="15">
      <c r="B41" s="28"/>
      <c r="C41" s="28"/>
      <c r="D41" s="10"/>
      <c r="E41" s="10"/>
      <c r="N41" s="64"/>
    </row>
    <row r="42" spans="2:14" ht="15">
      <c r="B42" s="28"/>
      <c r="C42" s="28"/>
      <c r="D42" s="10"/>
      <c r="E42" s="10"/>
      <c r="N42" s="64"/>
    </row>
    <row r="43" spans="2:14" ht="15">
      <c r="B43" s="28"/>
      <c r="C43" s="28"/>
      <c r="D43" s="10"/>
      <c r="E43" s="10"/>
      <c r="N43" s="64"/>
    </row>
    <row r="44" spans="2:14" ht="15">
      <c r="B44" s="28"/>
      <c r="C44" s="28"/>
      <c r="D44" s="10"/>
      <c r="E44" s="10"/>
      <c r="N44" s="64"/>
    </row>
    <row r="45" spans="2:14" ht="15">
      <c r="B45" s="28"/>
      <c r="C45" s="28"/>
      <c r="D45" s="10"/>
      <c r="E45" s="10"/>
      <c r="N45" s="64"/>
    </row>
    <row r="46" spans="2:5" ht="12.75">
      <c r="B46" s="28"/>
      <c r="C46" s="28"/>
      <c r="D46" s="10"/>
      <c r="E46" s="10"/>
    </row>
    <row r="47" spans="2:5" ht="12.75">
      <c r="B47" s="28"/>
      <c r="C47" s="28"/>
      <c r="D47" s="10"/>
      <c r="E47" s="10"/>
    </row>
    <row r="48" spans="2:5" ht="12.75">
      <c r="B48" s="28"/>
      <c r="C48" s="28"/>
      <c r="D48" s="10"/>
      <c r="E48" s="10"/>
    </row>
    <row r="49" spans="2:5" ht="12.75">
      <c r="B49" s="28"/>
      <c r="C49" s="28"/>
      <c r="D49" s="10"/>
      <c r="E49" s="10"/>
    </row>
    <row r="50" spans="2:5" ht="12.75">
      <c r="B50" s="28"/>
      <c r="C50" s="28"/>
      <c r="D50" s="10"/>
      <c r="E50" s="10"/>
    </row>
    <row r="51" spans="2:5" ht="12.75">
      <c r="B51" s="28"/>
      <c r="C51" s="28"/>
      <c r="D51" s="10"/>
      <c r="E51" s="10"/>
    </row>
    <row r="52" spans="2:5" ht="12.75">
      <c r="B52" s="28"/>
      <c r="C52" s="28"/>
      <c r="D52" s="10"/>
      <c r="E52" s="10"/>
    </row>
    <row r="53" spans="2:5" ht="12.75">
      <c r="B53" s="28"/>
      <c r="C53" s="28"/>
      <c r="D53" s="10"/>
      <c r="E53" s="10"/>
    </row>
    <row r="54" spans="2:5" ht="12.75">
      <c r="B54" s="28"/>
      <c r="C54" s="28"/>
      <c r="D54" s="10"/>
      <c r="E54" s="10"/>
    </row>
    <row r="55" spans="2:5" ht="12.75">
      <c r="B55" s="28"/>
      <c r="C55" s="28"/>
      <c r="D55" s="10"/>
      <c r="E55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Commercial DR - Firm Service Level</v>
      </c>
      <c r="H2" t="s">
        <v>108</v>
      </c>
    </row>
    <row r="3" ht="12.75">
      <c r="H3" s="35">
        <f>+Title_RESULTS!I4</f>
        <v>43599.31790740741</v>
      </c>
    </row>
    <row r="5" spans="3:6" ht="12.75">
      <c r="C5" t="s">
        <v>60</v>
      </c>
      <c r="F5" s="38">
        <f>+'Value of Defferal'!L4</f>
        <v>36366.331596799995</v>
      </c>
    </row>
    <row r="6" spans="3:6" ht="12.75">
      <c r="C6" t="s">
        <v>62</v>
      </c>
      <c r="F6" s="38">
        <f>+'Value of Defferal'!L5</f>
        <v>81160.2548736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0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0</v>
      </c>
      <c r="C17" s="5">
        <f>IF(+Title_RESULTS!$H$9&lt;='Sheet4(F_22)'!$A17,(+Title_RESULTS!$H$16*((1+Title_RESULTS!$H$18/100)^('Sheet4(F_22)'!$A17-Title_RESULTS!$H$7))*Title_RESULTS!$C$8*Partcipation!$C$26/1000),0)</f>
        <v>2896.8019192733586</v>
      </c>
      <c r="D17" s="5">
        <f>(+B17+C17)*+Partcipation!$H17</f>
        <v>2896.8019192733586</v>
      </c>
      <c r="E17" s="5">
        <f>VLOOKUP(A17,'Value of Defferal'!$I24:$P$58,'Value of Defferal'!$K$13)</f>
        <v>0</v>
      </c>
      <c r="F17" s="5">
        <f>IF(+'Value of Defferal'!P24=0,0,Title_RESULTS!$H$17*Title_RESULTS!$C$7*Partcipation!$C$26*(1+Title_RESULTS!$H$18/100)^('Sheet4(F_22)'!A17-Title_RESULTS!$H$7))/1000</f>
        <v>11173.4525952</v>
      </c>
      <c r="G17" s="5">
        <f>(+E17+F17)*Partcipation!$H17</f>
        <v>11173.4525952</v>
      </c>
      <c r="H17" s="5">
        <f>+'Sheet5(p_5)'!$F17*'Sheet2(F_12)'!$I17</f>
        <v>0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0</v>
      </c>
      <c r="C18" s="5">
        <f>IF(+Title_RESULTS!$H$9&lt;='Sheet4(F_22)'!$A18,(+Title_RESULTS!$H$16*((1+Title_RESULTS!$H$18/100)^('Sheet4(F_22)'!$A18-Title_RESULTS!$H$7))*Title_RESULTS!$C$8*Partcipation!$C$26/1000),0)</f>
        <v>2966.3251653359193</v>
      </c>
      <c r="D18" s="5">
        <f>(+B18+C18)*+Partcipation!$H18</f>
        <v>2966.3251653359193</v>
      </c>
      <c r="E18" s="5">
        <f>VLOOKUP(A18,'Value of Defferal'!$I25:$P$58,'Value of Defferal'!$K$13)</f>
        <v>0</v>
      </c>
      <c r="F18" s="5">
        <f>IF(+'Value of Defferal'!P25=0,0,Title_RESULTS!$H$17*Title_RESULTS!$C$7*Partcipation!$C$26*(1+Title_RESULTS!$H$18/100)^('Sheet4(F_22)'!A18-Title_RESULTS!$H$7))/1000</f>
        <v>11441.6154574848</v>
      </c>
      <c r="G18" s="5">
        <f>(+E18+F18)*Partcipation!$H18</f>
        <v>11441.6154574848</v>
      </c>
      <c r="H18" s="5">
        <f>+'Sheet5(p_5)'!$F18*'Sheet2(F_12)'!$I18</f>
        <v>0</v>
      </c>
      <c r="I18" s="5"/>
      <c r="J18" s="5"/>
    </row>
    <row r="19" spans="1:10" ht="12.75">
      <c r="A19">
        <f aca="true" t="shared" si="0" ref="A19:A40">+A18+1</f>
        <v>2023</v>
      </c>
      <c r="B19" s="5">
        <f>VLOOKUP(A19,'Value of Defferal'!$I26:$P$58,'Value of Defferal'!$K$9)</f>
        <v>5003.66764845454</v>
      </c>
      <c r="C19" s="5">
        <f>IF(+Title_RESULTS!$H$9&lt;='Sheet4(F_22)'!$A19,(+Title_RESULTS!$H$16*((1+Title_RESULTS!$H$18/100)^('Sheet4(F_22)'!$A19-Title_RESULTS!$H$7))*Title_RESULTS!$C$8*Partcipation!$C$26/1000),0)</f>
        <v>3037.5169693039816</v>
      </c>
      <c r="D19" s="5">
        <f>(+B19+C19)*+Partcipation!$H19</f>
        <v>8041.184617758521</v>
      </c>
      <c r="E19" s="5">
        <f>VLOOKUP(A19,'Value of Defferal'!$I26:$P$58,'Value of Defferal'!$K$13)</f>
        <v>11166.89321743663</v>
      </c>
      <c r="F19" s="5">
        <f>IF(+'Value of Defferal'!P26=0,0,Title_RESULTS!$H$17*Title_RESULTS!$C$7*Partcipation!$C$26*(1+Title_RESULTS!$H$18/100)^('Sheet4(F_22)'!A19-Title_RESULTS!$H$7))/1000</f>
        <v>11716.214228464438</v>
      </c>
      <c r="G19" s="5">
        <f>(+E19+F19)*Partcipation!$H19</f>
        <v>22883.107445901067</v>
      </c>
      <c r="H19" s="5">
        <f>+'Sheet5(p_5)'!$F19*'Sheet2(F_12)'!$I19</f>
        <v>0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4855.909922632217</v>
      </c>
      <c r="C20" s="5">
        <f>IF(+Title_RESULTS!$H$9&lt;='Sheet4(F_22)'!$A20,(+Title_RESULTS!$H$16*((1+Title_RESULTS!$H$18/100)^('Sheet4(F_22)'!$A20-Title_RESULTS!$H$7))*Title_RESULTS!$C$8*Partcipation!$C$26/1000),0)</f>
        <v>3110.4173765672776</v>
      </c>
      <c r="D20" s="5">
        <f>(+B20+C20)*+Partcipation!$H20</f>
        <v>7966.3272991994945</v>
      </c>
      <c r="E20" s="5">
        <f>VLOOKUP(A20,'Value of Defferal'!$I27:$P$58,'Value of Defferal'!$K$13)</f>
        <v>10837.13615477105</v>
      </c>
      <c r="F20" s="5">
        <f>IF(+'Value of Defferal'!P27=0,0,Title_RESULTS!$H$17*Title_RESULTS!$C$7*Partcipation!$C$26*(1+Title_RESULTS!$H$18/100)^('Sheet4(F_22)'!A20-Title_RESULTS!$H$7))/1000</f>
        <v>11997.403369947582</v>
      </c>
      <c r="G20" s="5">
        <f>(+E20+F20)*Partcipation!$H20</f>
        <v>22834.53952471863</v>
      </c>
      <c r="H20" s="5">
        <f>+'Sheet5(p_5)'!$F20*'Sheet2(F_12)'!$I20</f>
        <v>0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4692.786470934816</v>
      </c>
      <c r="C21" s="5">
        <f>IF(+Title_RESULTS!$H$9&lt;='Sheet4(F_22)'!$A21,(+Title_RESULTS!$H$16*((1+Title_RESULTS!$H$18/100)^('Sheet4(F_22)'!$A21-Title_RESULTS!$H$7))*Title_RESULTS!$C$8*Partcipation!$C$26/1000),0)</f>
        <v>3185.0673936048925</v>
      </c>
      <c r="D21" s="5">
        <f>(+B21+C21)*+Partcipation!$H21</f>
        <v>7877.853864539708</v>
      </c>
      <c r="E21" s="5">
        <f>VLOOKUP(A21,'Value of Defferal'!$I28:$P$58,'Value of Defferal'!$K$13)</f>
        <v>10473.086762536297</v>
      </c>
      <c r="F21" s="5">
        <f>IF(+'Value of Defferal'!P28=0,0,Title_RESULTS!$H$17*Title_RESULTS!$C$7*Partcipation!$C$26*(1+Title_RESULTS!$H$18/100)^('Sheet4(F_22)'!A21-Title_RESULTS!$H$7))/1000</f>
        <v>12285.341050826326</v>
      </c>
      <c r="G21" s="5">
        <f>(+E21+F21)*Partcipation!$H21</f>
        <v>22758.42781336262</v>
      </c>
      <c r="H21" s="5">
        <f>+'Sheet5(p_5)'!$F21*'Sheet2(F_12)'!$I21</f>
        <v>0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4537.475733379532</v>
      </c>
      <c r="C22" s="5">
        <f>IF(+Title_RESULTS!$H$9&lt;='Sheet4(F_22)'!$A22,(+Title_RESULTS!$H$16*((1+Title_RESULTS!$H$18/100)^('Sheet4(F_22)'!$A22-Title_RESULTS!$H$7))*Title_RESULTS!$C$8*Partcipation!$C$26/1000),0)</f>
        <v>3261.509011051409</v>
      </c>
      <c r="D22" s="5">
        <f>(+B22+C22)*+Partcipation!$H22</f>
        <v>7798.984744430942</v>
      </c>
      <c r="E22" s="5">
        <f>VLOOKUP(A22,'Value of Defferal'!$I29:$P$58,'Value of Defferal'!$K$13)</f>
        <v>10126.473329420522</v>
      </c>
      <c r="F22" s="5">
        <f>IF(+'Value of Defferal'!P29=0,0,Title_RESULTS!$H$17*Title_RESULTS!$C$7*Partcipation!$C$26*(1+Title_RESULTS!$H$18/100)^('Sheet4(F_22)'!A22-Title_RESULTS!$H$7))/1000</f>
        <v>12580.189236046153</v>
      </c>
      <c r="G22" s="5">
        <f>(+E22+F22)*Partcipation!$H22</f>
        <v>22706.662565466675</v>
      </c>
      <c r="H22" s="5">
        <f>+'Sheet5(p_5)'!$F22*'Sheet2(F_12)'!$I22</f>
        <v>0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4389.194274365411</v>
      </c>
      <c r="C23" s="5">
        <f>IF(+Title_RESULTS!$H$9&lt;='Sheet4(F_22)'!$A23,(+Title_RESULTS!$H$16*((1+Title_RESULTS!$H$18/100)^('Sheet4(F_22)'!$A23-Title_RESULTS!$H$7))*Title_RESULTS!$C$8*Partcipation!$C$26/1000),0)</f>
        <v>3339.7852273166436</v>
      </c>
      <c r="D23" s="5">
        <f>(+B23+C23)*+Partcipation!$H23</f>
        <v>7728.979501682054</v>
      </c>
      <c r="E23" s="5">
        <f>VLOOKUP(A23,'Value of Defferal'!$I30:$P$58,'Value of Defferal'!$K$13)</f>
        <v>9795.547429606246</v>
      </c>
      <c r="F23" s="5">
        <f>IF(+'Value of Defferal'!P30=0,0,Title_RESULTS!$H$17*Title_RESULTS!$C$7*Partcipation!$C$26*(1+Title_RESULTS!$H$18/100)^('Sheet4(F_22)'!A23-Title_RESULTS!$H$7))/1000</f>
        <v>12882.113777711265</v>
      </c>
      <c r="G23" s="5">
        <f>(+E23+F23)*Partcipation!$H23</f>
        <v>22677.661207317513</v>
      </c>
      <c r="H23" s="5">
        <f>+'Sheet5(p_5)'!$F23*'Sheet2(F_12)'!$I23</f>
        <v>0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4247.245225761215</v>
      </c>
      <c r="C24" s="5">
        <f>IF(+Title_RESULTS!$H$9&lt;='Sheet4(F_22)'!$A24,(+Title_RESULTS!$H$16*((1+Title_RESULTS!$H$18/100)^('Sheet4(F_22)'!$A24-Title_RESULTS!$H$7))*Title_RESULTS!$C$8*Partcipation!$C$26/1000),0)</f>
        <v>3419.9400727722423</v>
      </c>
      <c r="D24" s="5">
        <f>(+B24+C24)*+Partcipation!$H24</f>
        <v>7667.185298533457</v>
      </c>
      <c r="E24" s="5">
        <f>VLOOKUP(A24,'Value of Defferal'!$I31:$P$58,'Value of Defferal'!$K$13)</f>
        <v>9478.753833498924</v>
      </c>
      <c r="F24" s="5">
        <f>IF(+'Value of Defferal'!P31=0,0,Title_RESULTS!$H$17*Title_RESULTS!$C$7*Partcipation!$C$26*(1+Title_RESULTS!$H$18/100)^('Sheet4(F_22)'!A24-Title_RESULTS!$H$7))/1000</f>
        <v>13191.284508376333</v>
      </c>
      <c r="G24" s="5">
        <f>(+E24+F24)*Partcipation!$H24</f>
        <v>22670.038341875257</v>
      </c>
      <c r="H24" s="5">
        <f>+'Sheet5(p_5)'!$F24*'Sheet2(F_12)'!$I24</f>
        <v>0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4109.715446486162</v>
      </c>
      <c r="C25" s="5">
        <f>IF(+Title_RESULTS!$H$9&lt;='Sheet4(F_22)'!$A25,(+Title_RESULTS!$H$16*((1+Title_RESULTS!$H$18/100)^('Sheet4(F_22)'!$A25-Title_RESULTS!$H$7))*Title_RESULTS!$C$8*Partcipation!$C$26/1000),0)</f>
        <v>3502.0186345187763</v>
      </c>
      <c r="D25" s="5">
        <f>(+B25+C25)*+Partcipation!$H25</f>
        <v>7611.734081004939</v>
      </c>
      <c r="E25" s="5">
        <f>VLOOKUP(A25,'Value of Defferal'!$I32:$P$58,'Value of Defferal'!$K$13)</f>
        <v>9171.82290457192</v>
      </c>
      <c r="F25" s="5">
        <f>IF(+'Value of Defferal'!P32=0,0,Title_RESULTS!$H$17*Title_RESULTS!$C$7*Partcipation!$C$26*(1+Title_RESULTS!$H$18/100)^('Sheet4(F_22)'!A25-Title_RESULTS!$H$7))/1000</f>
        <v>13507.875336577365</v>
      </c>
      <c r="G25" s="5">
        <f>(+E25+F25)*Partcipation!$H25</f>
        <v>22679.698241149286</v>
      </c>
      <c r="H25" s="5">
        <f>+'Sheet5(p_5)'!$F25*'Sheet2(F_12)'!$I25</f>
        <v>0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3973.6010453410113</v>
      </c>
      <c r="C26" s="5">
        <f>IF(+Title_RESULTS!$H$9&lt;='Sheet4(F_22)'!$A26,(+Title_RESULTS!$H$16*((1+Title_RESULTS!$H$18/100)^('Sheet4(F_22)'!$A26-Title_RESULTS!$H$7))*Title_RESULTS!$C$8*Partcipation!$C$26/1000),0)</f>
        <v>3586.067081747227</v>
      </c>
      <c r="D26" s="5">
        <f>(+B26+C26)*+Partcipation!$H26</f>
        <v>7559.668127088238</v>
      </c>
      <c r="E26" s="5">
        <f>VLOOKUP(A26,'Value of Defferal'!$I33:$P$58,'Value of Defferal'!$K$13)</f>
        <v>8868.05073388974</v>
      </c>
      <c r="F26" s="5">
        <f>IF(+'Value of Defferal'!P33=0,0,Title_RESULTS!$H$17*Title_RESULTS!$C$7*Partcipation!$C$26*(1+Title_RESULTS!$H$18/100)^('Sheet4(F_22)'!A26-Title_RESULTS!$H$7))/1000</f>
        <v>13832.064344655222</v>
      </c>
      <c r="G26" s="5">
        <f>(+E26+F26)*Partcipation!$H26</f>
        <v>22700.115078544964</v>
      </c>
      <c r="H26" s="5">
        <f>+'Sheet5(p_5)'!$F26*'Sheet2(F_12)'!$I26</f>
        <v>0</v>
      </c>
      <c r="I26" s="5"/>
      <c r="J26" s="5"/>
    </row>
    <row r="27" spans="1:10" ht="12.75">
      <c r="A27">
        <f t="shared" si="0"/>
        <v>2031</v>
      </c>
      <c r="B27" s="5">
        <f>VLOOKUP(A27,'Value of Defferal'!$I34:$P$58,'Value of Defferal'!$K$9)</f>
        <v>3837.4866441958598</v>
      </c>
      <c r="C27" s="5">
        <f>IF(+Title_RESULTS!$H$9&lt;='Sheet4(F_22)'!$A27,(+Title_RESULTS!$H$16*((1+Title_RESULTS!$H$18/100)^('Sheet4(F_22)'!$A27-Title_RESULTS!$H$7))*Title_RESULTS!$C$8*Partcipation!$C$26/1000),0)</f>
        <v>3672.1326917091606</v>
      </c>
      <c r="D27" s="5">
        <f>(+B27+C27)*+Partcipation!$H27</f>
        <v>7509.61933590502</v>
      </c>
      <c r="E27" s="5">
        <f>VLOOKUP(A27,'Value of Defferal'!$I34:$P$58,'Value of Defferal'!$K$13)</f>
        <v>8564.27856320756</v>
      </c>
      <c r="F27" s="5">
        <f>IF(+'Value of Defferal'!P34=0,0,Title_RESULTS!$H$17*Title_RESULTS!$C$7*Partcipation!$C$26*(1+Title_RESULTS!$H$18/100)^('Sheet4(F_22)'!A27-Title_RESULTS!$H$7))/1000</f>
        <v>14164.03388892695</v>
      </c>
      <c r="G27" s="5">
        <f>(+E27+F27)*Partcipation!$H27</f>
        <v>22728.31245213451</v>
      </c>
      <c r="H27" s="5">
        <f>+'Sheet5(p_5)'!$F27*'Sheet2(F_12)'!$I27</f>
        <v>0</v>
      </c>
      <c r="I27" s="5"/>
      <c r="J27" s="5"/>
    </row>
    <row r="28" spans="1:10" ht="12.75">
      <c r="A28">
        <f t="shared" si="0"/>
        <v>2032</v>
      </c>
      <c r="B28" s="5">
        <f>VLOOKUP(A28,'Value of Defferal'!$I35:$P$58,'Value of Defferal'!$K$9)</f>
        <v>3701.3722430507087</v>
      </c>
      <c r="C28" s="5">
        <f>IF(+Title_RESULTS!$H$9&lt;='Sheet4(F_22)'!$A28,(+Title_RESULTS!$H$16*((1+Title_RESULTS!$H$18/100)^('Sheet4(F_22)'!$A28-Title_RESULTS!$H$7))*Title_RESULTS!$C$8*Partcipation!$C$26/1000),0)</f>
        <v>3760.2638763101804</v>
      </c>
      <c r="D28" s="5">
        <f>(+B28+C28)*+Partcipation!$H28</f>
        <v>7461.636119360889</v>
      </c>
      <c r="E28" s="5">
        <f>VLOOKUP(A28,'Value of Defferal'!$I35:$P$58,'Value of Defferal'!$K$13)</f>
        <v>8260.50639252538</v>
      </c>
      <c r="F28" s="5">
        <f>IF(+'Value of Defferal'!P35=0,0,Title_RESULTS!$H$17*Title_RESULTS!$C$7*Partcipation!$C$26*(1+Title_RESULTS!$H$18/100)^('Sheet4(F_22)'!A28-Title_RESULTS!$H$7))/1000</f>
        <v>14503.970702261195</v>
      </c>
      <c r="G28" s="5">
        <f>(+E28+F28)*Partcipation!$H28</f>
        <v>22764.477094786576</v>
      </c>
      <c r="H28" s="5">
        <f>+'Sheet5(p_5)'!$F28*'Sheet2(F_12)'!$I28</f>
        <v>0</v>
      </c>
      <c r="I28" s="5"/>
      <c r="J28" s="5"/>
    </row>
    <row r="29" spans="1:10" ht="12.75">
      <c r="A29">
        <f t="shared" si="0"/>
        <v>2033</v>
      </c>
      <c r="B29" s="5">
        <f>VLOOKUP(A29,'Value of Defferal'!$I36:$P$58,'Value of Defferal'!$K$9)</f>
        <v>3565.2578419055576</v>
      </c>
      <c r="C29" s="5">
        <f>IF(+Title_RESULTS!$H$9&lt;='Sheet4(F_22)'!$A29,(+Title_RESULTS!$H$16*((1+Title_RESULTS!$H$18/100)^('Sheet4(F_22)'!$A29-Title_RESULTS!$H$7))*Title_RESULTS!$C$8*Partcipation!$C$26/1000),0)</f>
        <v>3850.5102093416244</v>
      </c>
      <c r="D29" s="5">
        <f>(+B29+C29)*+Partcipation!$H29</f>
        <v>7415.768051247182</v>
      </c>
      <c r="E29" s="5">
        <f>VLOOKUP(A29,'Value of Defferal'!$I36:$P$58,'Value of Defferal'!$K$13)</f>
        <v>7956.7342218431995</v>
      </c>
      <c r="F29" s="5">
        <f>IF(+'Value of Defferal'!P36=0,0,Title_RESULTS!$H$17*Title_RESULTS!$C$7*Partcipation!$C$26*(1+Title_RESULTS!$H$18/100)^('Sheet4(F_22)'!A29-Title_RESULTS!$H$7))/1000</f>
        <v>14852.065999115463</v>
      </c>
      <c r="G29" s="5">
        <f>(+E29+F29)*Partcipation!$H29</f>
        <v>22808.800220958663</v>
      </c>
      <c r="H29" s="5">
        <f>+'Sheet5(p_5)'!$F29*'Sheet2(F_12)'!$I29</f>
        <v>0</v>
      </c>
      <c r="I29" s="5"/>
      <c r="J29" s="5"/>
    </row>
    <row r="30" spans="1:10" ht="12.75">
      <c r="A30">
        <f t="shared" si="0"/>
        <v>2034</v>
      </c>
      <c r="B30" s="5">
        <f>VLOOKUP(A30,'Value of Defferal'!$I37:$P$58,'Value of Defferal'!$K$9)</f>
        <v>3429.143440760406</v>
      </c>
      <c r="C30" s="5">
        <f>IF(+Title_RESULTS!$H$9&lt;='Sheet4(F_22)'!$A30,(+Title_RESULTS!$H$16*((1+Title_RESULTS!$H$18/100)^('Sheet4(F_22)'!$A30-Title_RESULTS!$H$7))*Title_RESULTS!$C$8*Partcipation!$C$26/1000),0)</f>
        <v>3942.9224543658233</v>
      </c>
      <c r="D30" s="5">
        <f>(+B30+C30)*+Partcipation!$H30</f>
        <v>7372.065895126229</v>
      </c>
      <c r="E30" s="5">
        <f>VLOOKUP(A30,'Value of Defferal'!$I37:$P$58,'Value of Defferal'!$K$13)</f>
        <v>7652.962051161018</v>
      </c>
      <c r="F30" s="5">
        <f>IF(+'Value of Defferal'!P37=0,0,Title_RESULTS!$H$17*Title_RESULTS!$C$7*Partcipation!$C$26*(1+Title_RESULTS!$H$18/100)^('Sheet4(F_22)'!A30-Title_RESULTS!$H$7))/1000</f>
        <v>15208.515583094233</v>
      </c>
      <c r="G30" s="5">
        <f>(+E30+F30)*Partcipation!$H30</f>
        <v>22861.47763425525</v>
      </c>
      <c r="H30" s="5">
        <f>+'Sheet5(p_5)'!$F30*'Sheet2(F_12)'!$I30</f>
        <v>0</v>
      </c>
      <c r="I30" s="5"/>
      <c r="J30" s="5"/>
    </row>
    <row r="31" spans="1:10" ht="12.75">
      <c r="A31">
        <f t="shared" si="0"/>
        <v>2035</v>
      </c>
      <c r="B31" s="5">
        <f>VLOOKUP(A31,'Value of Defferal'!$I38:$P$58,'Value of Defferal'!$K$9)</f>
        <v>3293.0290396152545</v>
      </c>
      <c r="C31" s="5">
        <f>IF(+Title_RESULTS!$H$9&lt;='Sheet4(F_22)'!$A31,(+Title_RESULTS!$H$16*((1+Title_RESULTS!$H$18/100)^('Sheet4(F_22)'!$A31-Title_RESULTS!$H$7))*Title_RESULTS!$C$8*Partcipation!$C$26/1000),0)</f>
        <v>4037.552593270603</v>
      </c>
      <c r="D31" s="5">
        <f>(+B31+C31)*+Partcipation!$H31</f>
        <v>7330.581632885858</v>
      </c>
      <c r="E31" s="5">
        <f>VLOOKUP(A31,'Value of Defferal'!$I38:$P$58,'Value of Defferal'!$K$13)</f>
        <v>7349.189880478836</v>
      </c>
      <c r="F31" s="5">
        <f>IF(+'Value of Defferal'!P38=0,0,Title_RESULTS!$H$17*Title_RESULTS!$C$7*Partcipation!$C$26*(1+Title_RESULTS!$H$18/100)^('Sheet4(F_22)'!A31-Title_RESULTS!$H$7))/1000</f>
        <v>15573.519957088496</v>
      </c>
      <c r="G31" s="5">
        <f>(+E31+F31)*Partcipation!$H31</f>
        <v>22922.70983756733</v>
      </c>
      <c r="H31" s="5">
        <f>+'Sheet5(p_5)'!$F31*'Sheet2(F_12)'!$I31</f>
        <v>0</v>
      </c>
      <c r="I31" s="5"/>
      <c r="J31" s="5"/>
    </row>
    <row r="32" spans="1:10" ht="12.75">
      <c r="A32">
        <f t="shared" si="0"/>
        <v>2036</v>
      </c>
      <c r="B32" s="5">
        <f>VLOOKUP(A32,'Value of Defferal'!$I39:$P$58,'Value of Defferal'!$K$9)</f>
        <v>3156.9146384701025</v>
      </c>
      <c r="C32" s="5">
        <f>IF(+Title_RESULTS!$H$9&lt;='Sheet4(F_22)'!$A32,(+Title_RESULTS!$H$16*((1+Title_RESULTS!$H$18/100)^('Sheet4(F_22)'!$A32-Title_RESULTS!$H$7))*Title_RESULTS!$C$8*Partcipation!$C$26/1000),0)</f>
        <v>4134.453855509098</v>
      </c>
      <c r="D32" s="5">
        <f>(+B32+C32)*+Partcipation!$H32</f>
        <v>7291.3684939792</v>
      </c>
      <c r="E32" s="5">
        <f>VLOOKUP(A32,'Value of Defferal'!$I39:$P$58,'Value of Defferal'!$K$13)</f>
        <v>7045.417709796655</v>
      </c>
      <c r="F32" s="5">
        <f>IF(+'Value of Defferal'!P39=0,0,Title_RESULTS!$H$17*Title_RESULTS!$C$7*Partcipation!$C$26*(1+Title_RESULTS!$H$18/100)^('Sheet4(F_22)'!A32-Title_RESULTS!$H$7))/1000</f>
        <v>15947.284436058619</v>
      </c>
      <c r="G32" s="5">
        <f>(+E32+F32)*Partcipation!$H32</f>
        <v>22992.702145855274</v>
      </c>
      <c r="H32" s="5">
        <f>+'Sheet5(p_5)'!$F32*'Sheet2(F_12)'!$I32</f>
        <v>0</v>
      </c>
      <c r="I32" s="5"/>
      <c r="J32" s="5"/>
    </row>
    <row r="33" spans="1:10" ht="12.75">
      <c r="A33">
        <f t="shared" si="0"/>
        <v>2037</v>
      </c>
      <c r="B33" s="5">
        <f>VLOOKUP(A33,'Value of Defferal'!$I40:$P$58,'Value of Defferal'!$K$9)</f>
        <v>3020.8002373249524</v>
      </c>
      <c r="C33" s="5">
        <f>IF(+Title_RESULTS!$H$9&lt;='Sheet4(F_22)'!$A33,(+Title_RESULTS!$H$16*((1+Title_RESULTS!$H$18/100)^('Sheet4(F_22)'!$A33-Title_RESULTS!$H$7))*Title_RESULTS!$C$8*Partcipation!$C$26/1000),0)</f>
        <v>4233.680748041316</v>
      </c>
      <c r="D33" s="5">
        <f>(+B33+C33)*+Partcipation!$H33</f>
        <v>7254.480985366268</v>
      </c>
      <c r="E33" s="5">
        <f>VLOOKUP(A33,'Value of Defferal'!$I40:$P$58,'Value of Defferal'!$K$13)</f>
        <v>6741.645539114476</v>
      </c>
      <c r="F33" s="5">
        <f>IF(+'Value of Defferal'!P40=0,0,Title_RESULTS!$H$17*Title_RESULTS!$C$7*Partcipation!$C$26*(1+Title_RESULTS!$H$18/100)^('Sheet4(F_22)'!A33-Title_RESULTS!$H$7))/1000</f>
        <v>16330.019262524025</v>
      </c>
      <c r="G33" s="5">
        <f>(+E33+F33)*Partcipation!$H33</f>
        <v>23071.6648016385</v>
      </c>
      <c r="H33" s="5">
        <f>+'Sheet5(p_5)'!$F33*'Sheet2(F_12)'!$I33</f>
        <v>0</v>
      </c>
      <c r="I33" s="5"/>
      <c r="J33" s="5"/>
    </row>
    <row r="34" spans="1:10" ht="12.75">
      <c r="A34">
        <f t="shared" si="0"/>
        <v>2038</v>
      </c>
      <c r="B34" s="5">
        <f>VLOOKUP(A34,'Value of Defferal'!$I41:$P$58,'Value of Defferal'!$K$9)</f>
        <v>2897.467523083774</v>
      </c>
      <c r="C34" s="5">
        <f>IF(+Title_RESULTS!$H$9&lt;='Sheet4(F_22)'!$A34,(+Title_RESULTS!$H$16*((1+Title_RESULTS!$H$18/100)^('Sheet4(F_22)'!$A34-Title_RESULTS!$H$7))*Title_RESULTS!$C$8*Partcipation!$C$26/1000),0)</f>
        <v>4335.289085994306</v>
      </c>
      <c r="D34" s="5">
        <f>(+B34+C34)*+Partcipation!$H34</f>
        <v>7232.75660907808</v>
      </c>
      <c r="E34" s="5">
        <f>VLOOKUP(A34,'Value of Defferal'!$I41:$P$58,'Value of Defferal'!$K$13)</f>
        <v>6466.3987907471555</v>
      </c>
      <c r="F34" s="5">
        <f>IF(+'Value of Defferal'!P41=0,0,Title_RESULTS!$H$17*Title_RESULTS!$C$7*Partcipation!$C$26*(1+Title_RESULTS!$H$18/100)^('Sheet4(F_22)'!A34-Title_RESULTS!$H$7))/1000</f>
        <v>16721.9397248246</v>
      </c>
      <c r="G34" s="5">
        <f>(+E34+F34)*Partcipation!$H34</f>
        <v>23188.338515571755</v>
      </c>
      <c r="H34" s="5">
        <f>+'Sheet5(p_5)'!$F34*'Sheet2(F_12)'!$I34</f>
        <v>0</v>
      </c>
      <c r="I34" s="5"/>
      <c r="J34" s="5"/>
    </row>
    <row r="35" spans="1:10" ht="12.75">
      <c r="A35">
        <f t="shared" si="0"/>
        <v>2039</v>
      </c>
      <c r="B35" s="5">
        <f>VLOOKUP(A35,'Value of Defferal'!$I42:$P$58,'Value of Defferal'!$K$9)</f>
        <v>2799.6938542770563</v>
      </c>
      <c r="C35" s="5">
        <f>IF(+Title_RESULTS!$H$9&lt;='Sheet4(F_22)'!$A35,(+Title_RESULTS!$H$16*((1+Title_RESULTS!$H$18/100)^('Sheet4(F_22)'!$A35-Title_RESULTS!$H$7))*Title_RESULTS!$C$8*Partcipation!$C$26/1000),0)</f>
        <v>4439.336024058171</v>
      </c>
      <c r="D35" s="5">
        <f>(+B35+C35)*+Partcipation!$H35</f>
        <v>7239.029878335226</v>
      </c>
      <c r="E35" s="5">
        <f>VLOOKUP(A35,'Value of Defferal'!$I42:$P$58,'Value of Defferal'!$K$13)</f>
        <v>6248.193227198414</v>
      </c>
      <c r="F35" s="5">
        <f>IF(+'Value of Defferal'!P42=0,0,Title_RESULTS!$H$17*Title_RESULTS!$C$7*Partcipation!$C$26*(1+Title_RESULTS!$H$18/100)^('Sheet4(F_22)'!A35-Title_RESULTS!$H$7))/1000</f>
        <v>17123.26627822039</v>
      </c>
      <c r="G35" s="5">
        <f>(+E35+F35)*Partcipation!$H35</f>
        <v>23371.459505418807</v>
      </c>
      <c r="H35" s="5">
        <f>+'Sheet5(p_5)'!$F35*'Sheet2(F_12)'!$I35</f>
        <v>0</v>
      </c>
      <c r="I35" s="5"/>
      <c r="J35" s="5"/>
    </row>
    <row r="36" spans="1:10" ht="12.75">
      <c r="A36">
        <f t="shared" si="0"/>
        <v>2040</v>
      </c>
      <c r="B36" s="5">
        <f>VLOOKUP(A36,'Value of Defferal'!$I43:$P$58,'Value of Defferal'!$K$9)</f>
        <v>2714.697544000826</v>
      </c>
      <c r="C36" s="5">
        <f>IF(+Title_RESULTS!$H$9&lt;='Sheet4(F_22)'!$A36,(+Title_RESULTS!$H$16*((1+Title_RESULTS!$H$18/100)^('Sheet4(F_22)'!$A36-Title_RESULTS!$H$7))*Title_RESULTS!$C$8*Partcipation!$C$26/1000),0)</f>
        <v>4545.880088635567</v>
      </c>
      <c r="D36" s="5">
        <f>(+B36+C36)*+Partcipation!$H36</f>
        <v>7260.577632636392</v>
      </c>
      <c r="E36" s="5">
        <f>VLOOKUP(A36,'Value of Defferal'!$I43:$P$58,'Value of Defferal'!$K$13)</f>
        <v>6058.503426153388</v>
      </c>
      <c r="F36" s="5">
        <f>IF(+'Value of Defferal'!P43=0,0,Title_RESULTS!$H$17*Title_RESULTS!$C$7*Partcipation!$C$26*(1+Title_RESULTS!$H$18/100)^('Sheet4(F_22)'!A36-Title_RESULTS!$H$7))/1000</f>
        <v>17534.22466889768</v>
      </c>
      <c r="G36" s="5">
        <f>(+E36+F36)*Partcipation!$H36</f>
        <v>23592.72809505107</v>
      </c>
      <c r="H36" s="5">
        <f>+'Sheet5(p_5)'!$F36*'Sheet2(F_12)'!$I36</f>
        <v>0</v>
      </c>
      <c r="I36" s="5"/>
      <c r="J36" s="5"/>
    </row>
    <row r="37" spans="1:10" ht="12.75">
      <c r="A37">
        <f t="shared" si="0"/>
        <v>2041</v>
      </c>
      <c r="B37" s="5">
        <f>VLOOKUP(A37,'Value of Defferal'!$I44:$P$58,'Value of Defferal'!$K$9)</f>
        <v>2629.7012337245965</v>
      </c>
      <c r="C37" s="5">
        <f>IF(+Title_RESULTS!$H$9&lt;='Sheet4(F_22)'!$A37,(+Title_RESULTS!$H$16*((1+Title_RESULTS!$H$18/100)^('Sheet4(F_22)'!$A37-Title_RESULTS!$H$7))*Title_RESULTS!$C$8*Partcipation!$C$26/1000),0)</f>
        <v>4654.98121076282</v>
      </c>
      <c r="D37" s="5">
        <f>(+B37+C37)*+Partcipation!$H37</f>
        <v>7284.682444487416</v>
      </c>
      <c r="E37" s="5">
        <f>VLOOKUP(A37,'Value of Defferal'!$I44:$P$58,'Value of Defferal'!$K$13)</f>
        <v>5868.813625108363</v>
      </c>
      <c r="F37" s="5">
        <f>IF(+'Value of Defferal'!P44=0,0,Title_RESULTS!$H$17*Title_RESULTS!$C$7*Partcipation!$C$26*(1+Title_RESULTS!$H$18/100)^('Sheet4(F_22)'!A37-Title_RESULTS!$H$7))/1000</f>
        <v>17955.04606095123</v>
      </c>
      <c r="G37" s="5">
        <f>(+E37+F37)*Partcipation!$H37</f>
        <v>23823.859686059594</v>
      </c>
      <c r="H37" s="5">
        <f>+'Sheet5(p_5)'!$F37*'Sheet2(F_12)'!$I37</f>
        <v>0</v>
      </c>
      <c r="I37" s="5"/>
      <c r="J37" s="5"/>
    </row>
    <row r="38" spans="1:10" ht="12.75">
      <c r="A38">
        <f t="shared" si="0"/>
        <v>2042</v>
      </c>
      <c r="B38" s="5">
        <f>VLOOKUP(A38,'Value of Defferal'!$I45:$P$58,'Value of Defferal'!$K$9)</f>
        <v>2544.704923448365</v>
      </c>
      <c r="C38" s="5">
        <f>IF(+Title_RESULTS!$H$9&lt;='Sheet4(F_22)'!$A38,(+Title_RESULTS!$H$16*((1+Title_RESULTS!$H$18/100)^('Sheet4(F_22)'!$A38-Title_RESULTS!$H$7))*Title_RESULTS!$C$8*Partcipation!$C$26/1000),0)</f>
        <v>4766.700759821128</v>
      </c>
      <c r="D38" s="5">
        <f>(+B38+C38)*+Partcipation!$H38</f>
        <v>7311.405683269493</v>
      </c>
      <c r="E38" s="5">
        <f>VLOOKUP(A38,'Value of Defferal'!$I45:$P$58,'Value of Defferal'!$K$13)</f>
        <v>5679.123824063336</v>
      </c>
      <c r="F38" s="5">
        <f>IF(+'Value of Defferal'!P45=0,0,Title_RESULTS!$H$17*Title_RESULTS!$C$7*Partcipation!$C$26*(1+Title_RESULTS!$H$18/100)^('Sheet4(F_22)'!A38-Title_RESULTS!$H$7))/1000</f>
        <v>18385.96716641405</v>
      </c>
      <c r="G38" s="5">
        <f>(+E38+F38)*Partcipation!$H38</f>
        <v>24065.090990477387</v>
      </c>
      <c r="H38" s="5">
        <f>+'Sheet5(p_5)'!$F38*'Sheet2(F_12)'!$I38</f>
        <v>0</v>
      </c>
      <c r="I38" s="5"/>
      <c r="J38" s="5"/>
    </row>
    <row r="39" spans="1:10" ht="12.75">
      <c r="A39">
        <f t="shared" si="0"/>
        <v>2043</v>
      </c>
      <c r="B39" s="5">
        <f>VLOOKUP(A39,'Value of Defferal'!$I46:$P$58,'Value of Defferal'!$K$9)</f>
        <v>2459.708613172135</v>
      </c>
      <c r="C39" s="5">
        <f>IF(+Title_RESULTS!$H$9&lt;='Sheet4(F_22)'!$A39,(+Title_RESULTS!$H$16*((1+Title_RESULTS!$H$18/100)^('Sheet4(F_22)'!$A39-Title_RESULTS!$H$7))*Title_RESULTS!$C$8*Partcipation!$C$26/1000),0)</f>
        <v>4881.101578056835</v>
      </c>
      <c r="D39" s="5">
        <f>(+B39+C39)*+Partcipation!$H39</f>
        <v>7340.810191228969</v>
      </c>
      <c r="E39" s="5">
        <f>VLOOKUP(A39,'Value of Defferal'!$I46:$P$58,'Value of Defferal'!$K$13)</f>
        <v>5489.43402301831</v>
      </c>
      <c r="F39" s="5">
        <f>IF(+'Value of Defferal'!P46=0,0,Title_RESULTS!$H$17*Title_RESULTS!$C$7*Partcipation!$C$26*(1+Title_RESULTS!$H$18/100)^('Sheet4(F_22)'!A39-Title_RESULTS!$H$7))/1000</f>
        <v>18827.230378407996</v>
      </c>
      <c r="G39" s="5">
        <f>(+E39+F39)*Partcipation!$H39</f>
        <v>24316.664401426307</v>
      </c>
      <c r="H39" s="5">
        <f>+'Sheet5(p_5)'!$F39*'Sheet2(F_12)'!$I39</f>
        <v>0</v>
      </c>
      <c r="I39" s="5"/>
      <c r="J39" s="5"/>
    </row>
    <row r="40" spans="1:10" ht="12.75">
      <c r="A40">
        <f t="shared" si="0"/>
        <v>2044</v>
      </c>
      <c r="B40" s="5">
        <f>VLOOKUP(A40,'Value of Defferal'!$I47:$P$58,'Value of Defferal'!$K$9)</f>
        <v>2374.7123028959054</v>
      </c>
      <c r="C40" s="5">
        <f>IF(+Title_RESULTS!$H$9&lt;='Sheet4(F_22)'!$A40,(+Title_RESULTS!$H$16*((1+Title_RESULTS!$H$18/100)^('Sheet4(F_22)'!$A40-Title_RESULTS!$H$7))*Title_RESULTS!$C$8*Partcipation!$C$26/1000),0)</f>
        <v>4998.248015930199</v>
      </c>
      <c r="D40" s="5">
        <f>(+B40+C40)*+Partcipation!$H40</f>
        <v>7372.960318826104</v>
      </c>
      <c r="E40" s="5">
        <f>VLOOKUP(A40,'Value of Defferal'!$I47:$P$58,'Value of Defferal'!$K$13)</f>
        <v>5299.744221973285</v>
      </c>
      <c r="F40" s="5">
        <f>IF(+'Value of Defferal'!P47=0,0,Title_RESULTS!$H$17*Title_RESULTS!$C$7*Partcipation!$C$26*(1+Title_RESULTS!$H$18/100)^('Sheet4(F_22)'!A40-Title_RESULTS!$H$7))/1000</f>
        <v>19279.08390748978</v>
      </c>
      <c r="G40" s="5">
        <f>(+E40+F40)*Partcipation!$H40</f>
        <v>24578.828129463065</v>
      </c>
      <c r="H40" s="5">
        <f>+'Sheet5(p_5)'!$F40*'Sheet2(F_12)'!$I40</f>
        <v>0</v>
      </c>
      <c r="I40" s="5"/>
      <c r="J40" s="5"/>
    </row>
    <row r="41" spans="2:10" ht="12.75">
      <c r="B41" s="5"/>
      <c r="C41" s="5"/>
      <c r="D41" s="5"/>
      <c r="E41" s="5"/>
      <c r="F41" s="5"/>
      <c r="G41" s="5"/>
      <c r="H41" s="5"/>
      <c r="I41" s="5"/>
      <c r="J41" s="5"/>
    </row>
    <row r="42" spans="1:10" ht="12.75">
      <c r="A42" t="s">
        <v>88</v>
      </c>
      <c r="B42" s="5">
        <f aca="true" t="shared" si="1" ref="B42:H42">SUM(B16:B41)</f>
        <v>78234.28584728041</v>
      </c>
      <c r="C42" s="5">
        <f t="shared" si="1"/>
        <v>92558.50204329855</v>
      </c>
      <c r="D42" s="5">
        <f t="shared" si="1"/>
        <v>170792.78789057894</v>
      </c>
      <c r="E42" s="5">
        <f t="shared" si="1"/>
        <v>174598.7098621207</v>
      </c>
      <c r="F42" s="5">
        <f t="shared" si="1"/>
        <v>357013.72191956424</v>
      </c>
      <c r="G42" s="5">
        <f t="shared" si="1"/>
        <v>531612.4317816849</v>
      </c>
      <c r="H42" s="5">
        <f t="shared" si="1"/>
        <v>0</v>
      </c>
      <c r="I42" s="5"/>
      <c r="J42" s="5"/>
    </row>
    <row r="43" spans="2:10" ht="12.75">
      <c r="B43" s="5"/>
      <c r="C43" s="5"/>
      <c r="D43" s="5"/>
      <c r="E43" s="5"/>
      <c r="F43" s="5"/>
      <c r="G43" s="5"/>
      <c r="H43" s="5"/>
      <c r="I43" s="5"/>
      <c r="J43" s="5"/>
    </row>
    <row r="44" spans="1:10" ht="12.75">
      <c r="A44" t="s">
        <v>90</v>
      </c>
      <c r="B44" s="5">
        <f>NPV(Title_RESULTS!$C$37,'Sheet4(F_22)'!B17:B41)+'Sheet4(F_22)'!B16</f>
        <v>37373.45316288641</v>
      </c>
      <c r="C44" s="5">
        <f>NPV(Title_RESULTS!$C$37,'Sheet4(F_22)'!C17:C41)+'Sheet4(F_22)'!C16</f>
        <v>40720.146842929</v>
      </c>
      <c r="D44" s="5">
        <f>NPV(Title_RESULTS!$C$37,'Sheet4(F_22)'!D17:D41)+'Sheet4(F_22)'!D16</f>
        <v>78093.60000581542</v>
      </c>
      <c r="E44" s="5">
        <f>NPV(Title_RESULTS!$C$37,'Sheet4(F_22)'!E17:E41)+'Sheet4(F_22)'!E16</f>
        <v>83407.88996362005</v>
      </c>
      <c r="F44" s="5">
        <f>NPV(Title_RESULTS!$C$37,'Sheet4(F_22)'!F17:F41)+'Sheet4(F_22)'!F16</f>
        <v>157064.4604285472</v>
      </c>
      <c r="G44" s="5">
        <f>NPV(Title_RESULTS!$C$37,'Sheet4(F_22)'!G17:G41)+'Sheet4(F_22)'!G16</f>
        <v>240472.35039216725</v>
      </c>
      <c r="H44" s="5">
        <f>NPV(Title_RESULTS!$C$37,'Sheet4(F_22)'!H17:H41)+'Sheet4(F_22)'!H16</f>
        <v>0</v>
      </c>
      <c r="I44" s="5"/>
      <c r="J44" s="5"/>
    </row>
    <row r="45" spans="2:10" ht="12.75">
      <c r="B45" s="5"/>
      <c r="C45" s="5"/>
      <c r="D45" s="5"/>
      <c r="E45" s="5"/>
      <c r="F45" s="5"/>
      <c r="G45" s="5"/>
      <c r="H45" s="5"/>
      <c r="I45" s="5"/>
      <c r="J45" s="5"/>
    </row>
    <row r="46" ht="12.75">
      <c r="A46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Commercial DR - Firm Service Level</v>
      </c>
      <c r="P2" t="s">
        <v>121</v>
      </c>
    </row>
    <row r="3" ht="12.75">
      <c r="P3" s="35">
        <f>+Title_RESULTS!I4</f>
        <v>43599.31790740741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1860</v>
      </c>
      <c r="C16" s="5">
        <f>(Partcipation!$C15+(Partcipation!$C16-Partcipation!$C15)/2)*(Title_RESULTS!$C$27*((1+Title_RESULTS!$C$28/100)^('Sheet9(F_25)'!$A16-Title_RESULTS!$H$7)))/1000</f>
        <v>196.5</v>
      </c>
      <c r="D16" s="5">
        <f>SUM(B16:C16)</f>
        <v>2056.5</v>
      </c>
      <c r="E16" s="5">
        <f>IF(+'Sheet9(F_25)'!$A16&gt;=Title_RESULTS!$H$8,0,((Partcipation!$B16-Partcipation!$B15)*(Title_RESULTS!$C$39*((1+Title_RESULTS!$C$41/100)^('Sheet9(F_25)'!$A16-Title_RESULTS!$H$7)))/1000))</f>
        <v>0</v>
      </c>
      <c r="F16" s="5">
        <f>(Partcipation!$C15+(Partcipation!$C16-Partcipation!$C15)/2)*(Title_RESULTS!$C$40*((1+Title_RESULTS!$C$41/100)^('Sheet9(F_25)'!$A16-Title_RESULTS!$H$7)))/1000</f>
        <v>23851.5</v>
      </c>
      <c r="G16" s="5">
        <f>SUM(E16:F16)</f>
        <v>23851.5</v>
      </c>
      <c r="H16" s="5">
        <f>IF(Partcipation!$B17&lt;Partcipation!$B16,0,IF(Partcipation!$B16=0,0,(Partcipation!$B16-Partcipation!$B15)*(+Title_RESULTS!$C$29*(1+Title_RESULTS!$C$30/100)^(+'Sheet8(F_24)'!$A16-Title_RESULTS!$H$7))/1000))</f>
        <v>0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0</v>
      </c>
      <c r="K16" s="5">
        <f>(+Partcipation!$B15+(Partcipation!$B16-Partcipation!$B15)/2)*(+Title_RESULTS!$C$14)/1000</f>
        <v>0</v>
      </c>
      <c r="L16" s="5">
        <f>($K16)*Partcipation!$E73*Title_RESULTS!$C$12/100</f>
        <v>0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0</v>
      </c>
      <c r="N16" s="5">
        <f>'Sheet2(F_12)'!$I16*('Sheet6(p_6)'!$L16+'Sheet6(p_6)'!$M16)</f>
        <v>0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1904.64</v>
      </c>
      <c r="C17" s="5">
        <f>(Partcipation!$C16+(Partcipation!$C17-Partcipation!$C16)/2)*(Title_RESULTS!$C$27*((1+Title_RESULTS!$C$28/100)^('Sheet9(F_25)'!$A17-Title_RESULTS!$H$7)))/1000</f>
        <v>603.648</v>
      </c>
      <c r="D17" s="5">
        <f>SUM(B17:C17)</f>
        <v>2508.288</v>
      </c>
      <c r="E17" s="5">
        <f>IF(+'Sheet9(F_25)'!$A17&gt;=Title_RESULTS!$H$8,0,((Partcipation!$B17-Partcipation!$B16)*(Title_RESULTS!$C$39*((1+Title_RESULTS!$C$41/100)^('Sheet9(F_25)'!$A17-Title_RESULTS!$H$7)))/1000))</f>
        <v>0</v>
      </c>
      <c r="F17" s="5">
        <f>(Partcipation!$C16+(Partcipation!$C17-Partcipation!$C16)/2)*(Title_RESULTS!$C$40*((1+Title_RESULTS!$C$41/100)^('Sheet9(F_25)'!$A17-Title_RESULTS!$H$7)))/1000</f>
        <v>71554.5</v>
      </c>
      <c r="G17" s="5">
        <f>SUM(E17:F17)</f>
        <v>71554.5</v>
      </c>
      <c r="H17" s="5">
        <f>IF(Partcipation!$B18&lt;Partcipation!$B17,0,IF(Partcipation!$B17=0,0,(Partcipation!$B17-Partcipation!$B16)*(+Title_RESULTS!$C$29*(1+Title_RESULTS!$C$30/100)^(+'Sheet8(F_24)'!$A17-Title_RESULTS!$H$7))/1000))</f>
        <v>0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0</v>
      </c>
      <c r="K17" s="5">
        <f>(+Partcipation!$B16+(Partcipation!$B17-Partcipation!$B16)/2)*(+Title_RESULTS!$C$14)/1000</f>
        <v>0</v>
      </c>
      <c r="L17" s="5">
        <f>($K17)*Partcipation!$E74*Title_RESULTS!$C$12/100</f>
        <v>0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0</v>
      </c>
      <c r="N17" s="5">
        <f>'Sheet2(F_12)'!$I17*('Sheet6(p_6)'!$L17+'Sheet6(p_6)'!$M17)</f>
        <v>0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1950.3513599999999</v>
      </c>
      <c r="C18" s="5">
        <f>(Partcipation!$C17+(Partcipation!$C18-Partcipation!$C17)/2)*(Title_RESULTS!$C$27*((1+Title_RESULTS!$C$28/100)^('Sheet9(F_25)'!$A18-Title_RESULTS!$H$7)))/1000</f>
        <v>1030.2259199999999</v>
      </c>
      <c r="D18" s="5">
        <f>SUM(B18:C18)</f>
        <v>2980.5772799999995</v>
      </c>
      <c r="E18" s="5">
        <f>IF(+'Sheet9(F_25)'!$A18&gt;=Title_RESULTS!$H$8,0,((Partcipation!$B18-Partcipation!$B17)*(Title_RESULTS!$C$39*((1+Title_RESULTS!$C$41/100)^('Sheet9(F_25)'!$A18-Title_RESULTS!$H$7)))/1000))</f>
        <v>0</v>
      </c>
      <c r="F18" s="5">
        <f>(Partcipation!$C17+(Partcipation!$C18-Partcipation!$C17)/2)*(Title_RESULTS!$C$40*((1+Title_RESULTS!$C$41/100)^('Sheet9(F_25)'!$A18-Title_RESULTS!$H$7)))/1000</f>
        <v>119257.5</v>
      </c>
      <c r="G18" s="5">
        <f>SUM(E18:F18)</f>
        <v>119257.5</v>
      </c>
      <c r="H18" s="5">
        <f>IF(Partcipation!$B19&lt;Partcipation!$B18,0,IF(Partcipation!$B18=0,0,(Partcipation!$B18-Partcipation!$B17)*(+Title_RESULTS!$C$29*(1+Title_RESULTS!$C$30/100)^(+'Sheet8(F_24)'!$A18-Title_RESULTS!$H$7))/1000))</f>
        <v>0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0</v>
      </c>
      <c r="K18" s="5">
        <f>(+Partcipation!$B17+(Partcipation!$B18-Partcipation!$B17)/2)*(+Title_RESULTS!$C$14)/1000</f>
        <v>0</v>
      </c>
      <c r="L18" s="5">
        <f>($K18)*Partcipation!$E75*Title_RESULTS!$C$12/100</f>
        <v>0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0</v>
      </c>
      <c r="N18" s="5">
        <f>'Sheet2(F_12)'!$I18*('Sheet6(p_6)'!$L18+'Sheet6(p_6)'!$M18)</f>
        <v>0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40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1265.941610496</v>
      </c>
      <c r="D19" s="5">
        <f aca="true" t="shared" si="1" ref="D19:D40">SUM(B19:C19)</f>
        <v>1265.941610496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143109</v>
      </c>
      <c r="G19" s="5">
        <f aca="true" t="shared" si="2" ref="G19:G40">SUM(E19:F19)</f>
        <v>143109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40">SUM(H19:I19)</f>
        <v>0</v>
      </c>
      <c r="K19" s="5">
        <f>(+Partcipation!$B18+(Partcipation!$B19-Partcipation!$B18)/2)*(+Title_RESULTS!$C$14)/1000</f>
        <v>0</v>
      </c>
      <c r="L19" s="5">
        <f>($K19)*Partcipation!$E76*Title_RESULTS!$C$12/100</f>
        <v>0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0</v>
      </c>
      <c r="N19" s="5">
        <f>'Sheet2(F_12)'!$I19*('Sheet6(p_6)'!$L19+'Sheet6(p_6)'!$M19)</f>
        <v>0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1296.324209147904</v>
      </c>
      <c r="D20" s="5">
        <f t="shared" si="1"/>
        <v>1296.324209147904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143109</v>
      </c>
      <c r="G20" s="5">
        <f t="shared" si="2"/>
        <v>143109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0</v>
      </c>
      <c r="L20" s="5">
        <f>($K20)*Partcipation!$E77*Title_RESULTS!$C$12/100</f>
        <v>0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0</v>
      </c>
      <c r="N20" s="5">
        <f>'Sheet2(F_12)'!$I20*('Sheet6(p_6)'!$L20+'Sheet6(p_6)'!$M20)</f>
        <v>0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1327.4359901674538</v>
      </c>
      <c r="D21" s="5">
        <f t="shared" si="1"/>
        <v>1327.4359901674538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143109</v>
      </c>
      <c r="G21" s="5">
        <f t="shared" si="2"/>
        <v>143109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0</v>
      </c>
      <c r="L21" s="5">
        <f>($K21)*Partcipation!$E78*Title_RESULTS!$C$12/100</f>
        <v>0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0</v>
      </c>
      <c r="N21" s="5">
        <f>'Sheet2(F_12)'!$I21*('Sheet6(p_6)'!$L21+'Sheet6(p_6)'!$M21)</f>
        <v>0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1359.2944539314724</v>
      </c>
      <c r="D22" s="5">
        <f t="shared" si="1"/>
        <v>1359.2944539314724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143109</v>
      </c>
      <c r="G22" s="5">
        <f t="shared" si="2"/>
        <v>143109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0</v>
      </c>
      <c r="L22" s="5">
        <f>($K22)*Partcipation!$E79*Title_RESULTS!$C$12/100</f>
        <v>0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0</v>
      </c>
      <c r="N22" s="5">
        <f>'Sheet2(F_12)'!$I22*('Sheet6(p_6)'!$L22+'Sheet6(p_6)'!$M22)</f>
        <v>0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1391.9175208258282</v>
      </c>
      <c r="D23" s="5">
        <f t="shared" si="1"/>
        <v>1391.9175208258282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143109</v>
      </c>
      <c r="G23" s="5">
        <f t="shared" si="2"/>
        <v>143109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0</v>
      </c>
      <c r="L23" s="5">
        <f>($K23)*Partcipation!$E80*Title_RESULTS!$C$12/100</f>
        <v>0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0</v>
      </c>
      <c r="N23" s="5">
        <f>'Sheet2(F_12)'!$I23*('Sheet6(p_6)'!$L23+'Sheet6(p_6)'!$M23)</f>
        <v>0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1425.3235413256475</v>
      </c>
      <c r="D24" s="5">
        <f t="shared" si="1"/>
        <v>1425.3235413256475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143109</v>
      </c>
      <c r="G24" s="5">
        <f t="shared" si="2"/>
        <v>143109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0</v>
      </c>
      <c r="L24" s="5">
        <f>($K24)*Partcipation!$E81*Title_RESULTS!$C$12/100</f>
        <v>0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0</v>
      </c>
      <c r="N24" s="5">
        <f>'Sheet2(F_12)'!$I24*('Sheet6(p_6)'!$L24+'Sheet6(p_6)'!$M24)</f>
        <v>0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1459.531306317463</v>
      </c>
      <c r="D25" s="5">
        <f t="shared" si="1"/>
        <v>1459.531306317463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143109</v>
      </c>
      <c r="G25" s="5">
        <f t="shared" si="2"/>
        <v>143109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0</v>
      </c>
      <c r="L25" s="5">
        <f>($K25)*Partcipation!$E82*Title_RESULTS!$C$12/100</f>
        <v>0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0</v>
      </c>
      <c r="N25" s="5">
        <f>'Sheet2(F_12)'!$I25*('Sheet6(p_6)'!$L25+'Sheet6(p_6)'!$M25)</f>
        <v>0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1494.5600576690824</v>
      </c>
      <c r="D26" s="5">
        <f t="shared" si="1"/>
        <v>1494.5600576690824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143109</v>
      </c>
      <c r="G26" s="5">
        <f t="shared" si="2"/>
        <v>143109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0</v>
      </c>
      <c r="L26" s="5">
        <f>($K26)*Partcipation!$E83*Title_RESULTS!$C$12/100</f>
        <v>0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0</v>
      </c>
      <c r="N26" s="5">
        <f>'Sheet2(F_12)'!$I26*('Sheet6(p_6)'!$L26+'Sheet6(p_6)'!$M26)</f>
        <v>0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1:18" ht="12.75">
      <c r="A27">
        <f t="shared" si="0"/>
        <v>2031</v>
      </c>
      <c r="B27" s="5">
        <f>IF(+'Sheet9(F_25)'!$A27&gt;=Title_RESULTS!$H$8,0,((Partcipation!$B27-Partcipation!$B26)*(Title_RESULTS!$C$26*((1+Title_RESULTS!$C$28/100)^('Sheet9(F_25)'!$A27-Title_RESULTS!$H$7)))/1000))</f>
        <v>0</v>
      </c>
      <c r="C27" s="5">
        <f>(Partcipation!$C26+(Partcipation!$C27-Partcipation!$C26)/2)*(Title_RESULTS!$C$27*((1+Title_RESULTS!$C$28/100)^('Sheet9(F_25)'!$A27-Title_RESULTS!$H$7)))/1000</f>
        <v>1530.4294990531405</v>
      </c>
      <c r="D27" s="5">
        <f t="shared" si="1"/>
        <v>1530.4294990531405</v>
      </c>
      <c r="E27" s="5">
        <f>IF(+'Sheet9(F_25)'!$A27&gt;=Title_RESULTS!$H$8,0,((Partcipation!$B27-Partcipation!$B26)*(Title_RESULTS!$C$39*((1+Title_RESULTS!$C$41/100)^('Sheet9(F_25)'!$A27-Title_RESULTS!$H$7)))/1000))</f>
        <v>0</v>
      </c>
      <c r="F27" s="5">
        <f>(Partcipation!$C26+(Partcipation!$C27-Partcipation!$C26)/2)*(Title_RESULTS!$C$40*((1+Title_RESULTS!$C$41/100)^('Sheet9(F_25)'!$A27-Title_RESULTS!$H$7)))/1000</f>
        <v>143109</v>
      </c>
      <c r="G27" s="5">
        <f t="shared" si="2"/>
        <v>143109</v>
      </c>
      <c r="H27" s="5">
        <f>IF(Partcipation!$B28&lt;Partcipation!$B27,0,IF(Partcipation!$B27=0,0,(Partcipation!$B27-Partcipation!$B26)*(+Title_RESULTS!$C$29*(1+Title_RESULTS!$C$30/100)^(+'Sheet8(F_24)'!$A27-Title_RESULTS!$H$7))/1000))</f>
        <v>0</v>
      </c>
      <c r="I27" s="5">
        <f>IF(+Title_RESULTS!$C$31&lt;0,0,(+Partcipation!$B26+(Partcipation!$B27-Partcipation!$B26)/2)*(+Title_RESULTS!$C$31*(1+Title_RESULTS!$C$32/100)^(+'Sheet6(p_6)'!$A27-Title_RESULTS!$H$7))/1000)</f>
        <v>0</v>
      </c>
      <c r="J27" s="5">
        <f t="shared" si="3"/>
        <v>0</v>
      </c>
      <c r="K27" s="5">
        <f>(+Partcipation!$B26+(Partcipation!$B27-Partcipation!$B26)/2)*(+Title_RESULTS!$C$14)/1000</f>
        <v>0</v>
      </c>
      <c r="L27" s="5">
        <f>($K27)*Partcipation!$E84*Title_RESULTS!$C$12/100</f>
        <v>0</v>
      </c>
      <c r="M27" s="5">
        <f>((+$K27*(Title_RESULTS!$H$30/100)*((1+Title_RESULTS!$H$31/100)^('Sheet9(F_25)'!$A27-Title_RESULTS!$H$7)))+((Title_RESULTS!$H$32*Title_RESULTS!$H$35*12*Title_RESULTS!$C$7/1000)*(Partcipation!$B26+(Partcipation!$B27-Partcipation!$B26)/2))*((1+Title_RESULTS!$H$33/100)^('Sheet9(F_25)'!$A27-Title_RESULTS!$H$7)))</f>
        <v>0</v>
      </c>
      <c r="N27" s="5">
        <f>'Sheet2(F_12)'!$I27*('Sheet6(p_6)'!$L27+'Sheet6(p_6)'!$M27)</f>
        <v>0</v>
      </c>
      <c r="O27" s="5">
        <f>(Partcipation!$B26+(Partcipation!$B27-Partcipation!$B26)/2)*(Title_RESULTS!$C$13)/1000</f>
        <v>0</v>
      </c>
      <c r="P27" s="5">
        <f>($O27)*'Sheet2(F_12)'!$D27*Title_RESULTS!$C$12/100</f>
        <v>0</v>
      </c>
      <c r="Q27" s="5">
        <f>+$O27*((Title_RESULTS!$H$30/100)*((1+Title_RESULTS!$H$31/100)^('Sheet9(F_25)'!$A27-Title_RESULTS!$H$7)))</f>
        <v>0</v>
      </c>
      <c r="R27" s="5">
        <f>+Partcipation!$I27*('Sheet6(p_6)'!$P27-'Sheet6(p_6)'!$Q27)</f>
        <v>0</v>
      </c>
    </row>
    <row r="28" spans="1:18" ht="12.75">
      <c r="A28">
        <f t="shared" si="0"/>
        <v>2032</v>
      </c>
      <c r="B28" s="5">
        <f>IF(+'Sheet9(F_25)'!$A28&gt;=Title_RESULTS!$H$8,0,((Partcipation!$B28-Partcipation!$B27)*(Title_RESULTS!$C$26*((1+Title_RESULTS!$C$28/100)^('Sheet9(F_25)'!$A28-Title_RESULTS!$H$7)))/1000))</f>
        <v>0</v>
      </c>
      <c r="C28" s="5">
        <f>(Partcipation!$C27+(Partcipation!$C28-Partcipation!$C27)/2)*(Title_RESULTS!$C$27*((1+Title_RESULTS!$C$28/100)^('Sheet9(F_25)'!$A28-Title_RESULTS!$H$7)))/1000</f>
        <v>1567.1598070304158</v>
      </c>
      <c r="D28" s="5">
        <f t="shared" si="1"/>
        <v>1567.1598070304158</v>
      </c>
      <c r="E28" s="5">
        <f>IF(+'Sheet9(F_25)'!$A28&gt;=Title_RESULTS!$H$8,0,((Partcipation!$B28-Partcipation!$B27)*(Title_RESULTS!$C$39*((1+Title_RESULTS!$C$41/100)^('Sheet9(F_25)'!$A28-Title_RESULTS!$H$7)))/1000))</f>
        <v>0</v>
      </c>
      <c r="F28" s="5">
        <f>(Partcipation!$C27+(Partcipation!$C28-Partcipation!$C27)/2)*(Title_RESULTS!$C$40*((1+Title_RESULTS!$C$41/100)^('Sheet9(F_25)'!$A28-Title_RESULTS!$H$7)))/1000</f>
        <v>143109</v>
      </c>
      <c r="G28" s="5">
        <f t="shared" si="2"/>
        <v>143109</v>
      </c>
      <c r="H28" s="5">
        <f>IF(Partcipation!$B29&lt;Partcipation!$B28,0,IF(Partcipation!$B28=0,0,(Partcipation!$B28-Partcipation!$B27)*(+Title_RESULTS!$C$29*(1+Title_RESULTS!$C$30/100)^(+'Sheet8(F_24)'!$A28-Title_RESULTS!$H$7))/1000))</f>
        <v>0</v>
      </c>
      <c r="I28" s="5">
        <f>IF(+Title_RESULTS!$C$31&lt;0,0,(+Partcipation!$B27+(Partcipation!$B28-Partcipation!$B27)/2)*(+Title_RESULTS!$C$31*(1+Title_RESULTS!$C$32/100)^(+'Sheet6(p_6)'!$A28-Title_RESULTS!$H$7))/1000)</f>
        <v>0</v>
      </c>
      <c r="J28" s="5">
        <f t="shared" si="3"/>
        <v>0</v>
      </c>
      <c r="K28" s="5">
        <f>(+Partcipation!$B27+(Partcipation!$B28-Partcipation!$B27)/2)*(+Title_RESULTS!$C$14)/1000</f>
        <v>0</v>
      </c>
      <c r="L28" s="5">
        <f>($K28)*Partcipation!$E85*Title_RESULTS!$C$12/100</f>
        <v>0</v>
      </c>
      <c r="M28" s="5">
        <f>((+$K28*(Title_RESULTS!$H$30/100)*((1+Title_RESULTS!$H$31/100)^('Sheet9(F_25)'!$A28-Title_RESULTS!$H$7)))+((Title_RESULTS!$H$32*Title_RESULTS!$H$35*12*Title_RESULTS!$C$7/1000)*(Partcipation!$B27+(Partcipation!$B28-Partcipation!$B27)/2))*((1+Title_RESULTS!$H$33/100)^('Sheet9(F_25)'!$A28-Title_RESULTS!$H$7)))</f>
        <v>0</v>
      </c>
      <c r="N28" s="5">
        <f>'Sheet2(F_12)'!$I28*('Sheet6(p_6)'!$L28+'Sheet6(p_6)'!$M28)</f>
        <v>0</v>
      </c>
      <c r="O28" s="5">
        <f>(Partcipation!$B27+(Partcipation!$B28-Partcipation!$B27)/2)*(Title_RESULTS!$C$13)/1000</f>
        <v>0</v>
      </c>
      <c r="P28" s="5">
        <f>($O28)*'Sheet2(F_12)'!$D28*Title_RESULTS!$C$12/100</f>
        <v>0</v>
      </c>
      <c r="Q28" s="5">
        <f>+$O28*((Title_RESULTS!$H$30/100)*((1+Title_RESULTS!$H$31/100)^('Sheet9(F_25)'!$A28-Title_RESULTS!$H$7)))</f>
        <v>0</v>
      </c>
      <c r="R28" s="5">
        <f>+Partcipation!$I28*('Sheet6(p_6)'!$P28-'Sheet6(p_6)'!$Q28)</f>
        <v>0</v>
      </c>
    </row>
    <row r="29" spans="1:18" ht="12.75">
      <c r="A29">
        <f t="shared" si="0"/>
        <v>2033</v>
      </c>
      <c r="B29" s="5">
        <f>IF(+'Sheet9(F_25)'!$A29&gt;=Title_RESULTS!$H$8,0,((Partcipation!$B29-Partcipation!$B28)*(Title_RESULTS!$C$26*((1+Title_RESULTS!$C$28/100)^('Sheet9(F_25)'!$A29-Title_RESULTS!$H$7)))/1000))</f>
        <v>0</v>
      </c>
      <c r="C29" s="5">
        <f>(Partcipation!$C28+(Partcipation!$C29-Partcipation!$C28)/2)*(Title_RESULTS!$C$27*((1+Title_RESULTS!$C$28/100)^('Sheet9(F_25)'!$A29-Title_RESULTS!$H$7)))/1000</f>
        <v>1604.7716423991458</v>
      </c>
      <c r="D29" s="5">
        <f t="shared" si="1"/>
        <v>1604.7716423991458</v>
      </c>
      <c r="E29" s="5">
        <f>IF(+'Sheet9(F_25)'!$A29&gt;=Title_RESULTS!$H$8,0,((Partcipation!$B29-Partcipation!$B28)*(Title_RESULTS!$C$39*((1+Title_RESULTS!$C$41/100)^('Sheet9(F_25)'!$A29-Title_RESULTS!$H$7)))/1000))</f>
        <v>0</v>
      </c>
      <c r="F29" s="5">
        <f>(Partcipation!$C28+(Partcipation!$C29-Partcipation!$C28)/2)*(Title_RESULTS!$C$40*((1+Title_RESULTS!$C$41/100)^('Sheet9(F_25)'!$A29-Title_RESULTS!$H$7)))/1000</f>
        <v>143109</v>
      </c>
      <c r="G29" s="5">
        <f t="shared" si="2"/>
        <v>143109</v>
      </c>
      <c r="H29" s="5">
        <f>IF(Partcipation!$B30&lt;Partcipation!$B29,0,IF(Partcipation!$B29=0,0,(Partcipation!$B29-Partcipation!$B28)*(+Title_RESULTS!$C$29*(1+Title_RESULTS!$C$30/100)^(+'Sheet8(F_24)'!$A29-Title_RESULTS!$H$7))/1000))</f>
        <v>0</v>
      </c>
      <c r="I29" s="5">
        <f>IF(+Title_RESULTS!$C$31&lt;0,0,(+Partcipation!$B28+(Partcipation!$B29-Partcipation!$B28)/2)*(+Title_RESULTS!$C$31*(1+Title_RESULTS!$C$32/100)^(+'Sheet6(p_6)'!$A29-Title_RESULTS!$H$7))/1000)</f>
        <v>0</v>
      </c>
      <c r="J29" s="5">
        <f t="shared" si="3"/>
        <v>0</v>
      </c>
      <c r="K29" s="5">
        <f>(+Partcipation!$B28+(Partcipation!$B29-Partcipation!$B28)/2)*(+Title_RESULTS!$C$14)/1000</f>
        <v>0</v>
      </c>
      <c r="L29" s="5">
        <f>($K29)*Partcipation!$E86*Title_RESULTS!$C$12/100</f>
        <v>0</v>
      </c>
      <c r="M29" s="5">
        <f>((+$K29*(Title_RESULTS!$H$30/100)*((1+Title_RESULTS!$H$31/100)^('Sheet9(F_25)'!$A29-Title_RESULTS!$H$7)))+((Title_RESULTS!$H$32*Title_RESULTS!$H$35*12*Title_RESULTS!$C$7/1000)*(Partcipation!$B28+(Partcipation!$B29-Partcipation!$B28)/2))*((1+Title_RESULTS!$H$33/100)^('Sheet9(F_25)'!$A29-Title_RESULTS!$H$7)))</f>
        <v>0</v>
      </c>
      <c r="N29" s="5">
        <f>'Sheet2(F_12)'!$I29*('Sheet6(p_6)'!$L29+'Sheet6(p_6)'!$M29)</f>
        <v>0</v>
      </c>
      <c r="O29" s="5">
        <f>(Partcipation!$B28+(Partcipation!$B29-Partcipation!$B28)/2)*(Title_RESULTS!$C$13)/1000</f>
        <v>0</v>
      </c>
      <c r="P29" s="5">
        <f>($O29)*'Sheet2(F_12)'!$D29*Title_RESULTS!$C$12/100</f>
        <v>0</v>
      </c>
      <c r="Q29" s="5">
        <f>+$O29*((Title_RESULTS!$H$30/100)*((1+Title_RESULTS!$H$31/100)^('Sheet9(F_25)'!$A29-Title_RESULTS!$H$7)))</f>
        <v>0</v>
      </c>
      <c r="R29" s="5">
        <f>+Partcipation!$I29*('Sheet6(p_6)'!$P29-'Sheet6(p_6)'!$Q29)</f>
        <v>0</v>
      </c>
    </row>
    <row r="30" spans="1:18" ht="12.75">
      <c r="A30">
        <f t="shared" si="0"/>
        <v>2034</v>
      </c>
      <c r="B30" s="5">
        <f>IF(+'Sheet9(F_25)'!$A30&gt;=Title_RESULTS!$H$8,0,((Partcipation!$B30-Partcipation!$B29)*(Title_RESULTS!$C$26*((1+Title_RESULTS!$C$28/100)^('Sheet9(F_25)'!$A30-Title_RESULTS!$H$7)))/1000))</f>
        <v>0</v>
      </c>
      <c r="C30" s="5">
        <f>(Partcipation!$C29+(Partcipation!$C30-Partcipation!$C29)/2)*(Title_RESULTS!$C$27*((1+Title_RESULTS!$C$28/100)^('Sheet9(F_25)'!$A30-Title_RESULTS!$H$7)))/1000</f>
        <v>1643.286161816725</v>
      </c>
      <c r="D30" s="5">
        <f t="shared" si="1"/>
        <v>1643.286161816725</v>
      </c>
      <c r="E30" s="5">
        <f>IF(+'Sheet9(F_25)'!$A30&gt;=Title_RESULTS!$H$8,0,((Partcipation!$B30-Partcipation!$B29)*(Title_RESULTS!$C$39*((1+Title_RESULTS!$C$41/100)^('Sheet9(F_25)'!$A30-Title_RESULTS!$H$7)))/1000))</f>
        <v>0</v>
      </c>
      <c r="F30" s="5">
        <f>(Partcipation!$C29+(Partcipation!$C30-Partcipation!$C29)/2)*(Title_RESULTS!$C$40*((1+Title_RESULTS!$C$41/100)^('Sheet9(F_25)'!$A30-Title_RESULTS!$H$7)))/1000</f>
        <v>143109</v>
      </c>
      <c r="G30" s="5">
        <f t="shared" si="2"/>
        <v>143109</v>
      </c>
      <c r="H30" s="5">
        <f>IF(Partcipation!$B31&lt;Partcipation!$B30,0,IF(Partcipation!$B30=0,0,(Partcipation!$B30-Partcipation!$B29)*(+Title_RESULTS!$C$29*(1+Title_RESULTS!$C$30/100)^(+'Sheet8(F_24)'!$A30-Title_RESULTS!$H$7))/1000))</f>
        <v>0</v>
      </c>
      <c r="I30" s="5">
        <f>IF(+Title_RESULTS!$C$31&lt;0,0,(+Partcipation!$B29+(Partcipation!$B30-Partcipation!$B29)/2)*(+Title_RESULTS!$C$31*(1+Title_RESULTS!$C$32/100)^(+'Sheet6(p_6)'!$A30-Title_RESULTS!$H$7))/1000)</f>
        <v>0</v>
      </c>
      <c r="J30" s="5">
        <f t="shared" si="3"/>
        <v>0</v>
      </c>
      <c r="K30" s="5">
        <f>(+Partcipation!$B29+(Partcipation!$B30-Partcipation!$B29)/2)*(+Title_RESULTS!$C$14)/1000</f>
        <v>0</v>
      </c>
      <c r="L30" s="5">
        <f>($K30)*Partcipation!$E87*Title_RESULTS!$C$12/100</f>
        <v>0</v>
      </c>
      <c r="M30" s="5">
        <f>((+$K30*(Title_RESULTS!$H$30/100)*((1+Title_RESULTS!$H$31/100)^('Sheet9(F_25)'!$A30-Title_RESULTS!$H$7)))+((Title_RESULTS!$H$32*Title_RESULTS!$H$35*12*Title_RESULTS!$C$7/1000)*(Partcipation!$B29+(Partcipation!$B30-Partcipation!$B29)/2))*((1+Title_RESULTS!$H$33/100)^('Sheet9(F_25)'!$A30-Title_RESULTS!$H$7)))</f>
        <v>0</v>
      </c>
      <c r="N30" s="5">
        <f>'Sheet2(F_12)'!$I30*('Sheet6(p_6)'!$L30+'Sheet6(p_6)'!$M30)</f>
        <v>0</v>
      </c>
      <c r="O30" s="5">
        <f>(Partcipation!$B29+(Partcipation!$B30-Partcipation!$B29)/2)*(Title_RESULTS!$C$13)/1000</f>
        <v>0</v>
      </c>
      <c r="P30" s="5">
        <f>($O30)*'Sheet2(F_12)'!$D30*Title_RESULTS!$C$12/100</f>
        <v>0</v>
      </c>
      <c r="Q30" s="5">
        <f>+$O30*((Title_RESULTS!$H$30/100)*((1+Title_RESULTS!$H$31/100)^('Sheet9(F_25)'!$A30-Title_RESULTS!$H$7)))</f>
        <v>0</v>
      </c>
      <c r="R30" s="5">
        <f>+Partcipation!$I30*('Sheet6(p_6)'!$P30-'Sheet6(p_6)'!$Q30)</f>
        <v>0</v>
      </c>
    </row>
    <row r="31" spans="1:18" ht="12.75">
      <c r="A31">
        <f t="shared" si="0"/>
        <v>2035</v>
      </c>
      <c r="B31" s="5">
        <f>IF(+'Sheet9(F_25)'!$A31&gt;=Title_RESULTS!$H$8,0,((Partcipation!$B31-Partcipation!$B30)*(Title_RESULTS!$C$26*((1+Title_RESULTS!$C$28/100)^('Sheet9(F_25)'!$A31-Title_RESULTS!$H$7)))/1000))</f>
        <v>0</v>
      </c>
      <c r="C31" s="5">
        <f>(Partcipation!$C30+(Partcipation!$C31-Partcipation!$C30)/2)*(Title_RESULTS!$C$27*((1+Title_RESULTS!$C$28/100)^('Sheet9(F_25)'!$A31-Title_RESULTS!$H$7)))/1000</f>
        <v>1682.7250297003268</v>
      </c>
      <c r="D31" s="5">
        <f t="shared" si="1"/>
        <v>1682.7250297003268</v>
      </c>
      <c r="E31" s="5">
        <f>IF(+'Sheet9(F_25)'!$A31&gt;=Title_RESULTS!$H$8,0,((Partcipation!$B31-Partcipation!$B30)*(Title_RESULTS!$C$39*((1+Title_RESULTS!$C$41/100)^('Sheet9(F_25)'!$A31-Title_RESULTS!$H$7)))/1000))</f>
        <v>0</v>
      </c>
      <c r="F31" s="5">
        <f>(Partcipation!$C30+(Partcipation!$C31-Partcipation!$C30)/2)*(Title_RESULTS!$C$40*((1+Title_RESULTS!$C$41/100)^('Sheet9(F_25)'!$A31-Title_RESULTS!$H$7)))/1000</f>
        <v>143109</v>
      </c>
      <c r="G31" s="5">
        <f t="shared" si="2"/>
        <v>143109</v>
      </c>
      <c r="H31" s="5">
        <f>IF(Partcipation!$B32&lt;Partcipation!$B31,0,IF(Partcipation!$B31=0,0,(Partcipation!$B31-Partcipation!$B30)*(+Title_RESULTS!$C$29*(1+Title_RESULTS!$C$30/100)^(+'Sheet8(F_24)'!$A31-Title_RESULTS!$H$7))/1000))</f>
        <v>0</v>
      </c>
      <c r="I31" s="5">
        <f>IF(+Title_RESULTS!$C$31&lt;0,0,(+Partcipation!$B30+(Partcipation!$B31-Partcipation!$B30)/2)*(+Title_RESULTS!$C$31*(1+Title_RESULTS!$C$32/100)^(+'Sheet6(p_6)'!$A31-Title_RESULTS!$H$7))/1000)</f>
        <v>0</v>
      </c>
      <c r="J31" s="5">
        <f t="shared" si="3"/>
        <v>0</v>
      </c>
      <c r="K31" s="5">
        <f>(+Partcipation!$B30+(Partcipation!$B31-Partcipation!$B30)/2)*(+Title_RESULTS!$C$14)/1000</f>
        <v>0</v>
      </c>
      <c r="L31" s="5">
        <f>($K31)*Partcipation!$E88*Title_RESULTS!$C$12/100</f>
        <v>0</v>
      </c>
      <c r="M31" s="5">
        <f>((+$K31*(Title_RESULTS!$H$30/100)*((1+Title_RESULTS!$H$31/100)^('Sheet9(F_25)'!$A31-Title_RESULTS!$H$7)))+((Title_RESULTS!$H$32*Title_RESULTS!$H$35*12*Title_RESULTS!$C$7/1000)*(Partcipation!$B30+(Partcipation!$B31-Partcipation!$B30)/2))*((1+Title_RESULTS!$H$33/100)^('Sheet9(F_25)'!$A31-Title_RESULTS!$H$7)))</f>
        <v>0</v>
      </c>
      <c r="N31" s="5">
        <f>'Sheet2(F_12)'!$I31*('Sheet6(p_6)'!$L31+'Sheet6(p_6)'!$M31)</f>
        <v>0</v>
      </c>
      <c r="O31" s="5">
        <f>(Partcipation!$B30+(Partcipation!$B31-Partcipation!$B30)/2)*(Title_RESULTS!$C$13)/1000</f>
        <v>0</v>
      </c>
      <c r="P31" s="5">
        <f>($O31)*'Sheet2(F_12)'!$D31*Title_RESULTS!$C$12/100</f>
        <v>0</v>
      </c>
      <c r="Q31" s="5">
        <f>+$O31*((Title_RESULTS!$H$30/100)*((1+Title_RESULTS!$H$31/100)^('Sheet9(F_25)'!$A31-Title_RESULTS!$H$7)))</f>
        <v>0</v>
      </c>
      <c r="R31" s="5">
        <f>+Partcipation!$I31*('Sheet6(p_6)'!$P31-'Sheet6(p_6)'!$Q31)</f>
        <v>0</v>
      </c>
    </row>
    <row r="32" spans="1:18" ht="12.75">
      <c r="A32">
        <f t="shared" si="0"/>
        <v>2036</v>
      </c>
      <c r="B32" s="5">
        <f>IF(+'Sheet9(F_25)'!$A32&gt;=Title_RESULTS!$H$8,0,((Partcipation!$B32-Partcipation!$B31)*(Title_RESULTS!$C$26*((1+Title_RESULTS!$C$28/100)^('Sheet9(F_25)'!$A32-Title_RESULTS!$H$7)))/1000))</f>
        <v>0</v>
      </c>
      <c r="C32" s="5">
        <f>(Partcipation!$C31+(Partcipation!$C32-Partcipation!$C31)/2)*(Title_RESULTS!$C$27*((1+Title_RESULTS!$C$28/100)^('Sheet9(F_25)'!$A32-Title_RESULTS!$H$7)))/1000</f>
        <v>1723.1104304131345</v>
      </c>
      <c r="D32" s="5">
        <f t="shared" si="1"/>
        <v>1723.1104304131345</v>
      </c>
      <c r="E32" s="5">
        <f>IF(+'Sheet9(F_25)'!$A32&gt;=Title_RESULTS!$H$8,0,((Partcipation!$B32-Partcipation!$B31)*(Title_RESULTS!$C$39*((1+Title_RESULTS!$C$41/100)^('Sheet9(F_25)'!$A32-Title_RESULTS!$H$7)))/1000))</f>
        <v>0</v>
      </c>
      <c r="F32" s="5">
        <f>(Partcipation!$C31+(Partcipation!$C32-Partcipation!$C31)/2)*(Title_RESULTS!$C$40*((1+Title_RESULTS!$C$41/100)^('Sheet9(F_25)'!$A32-Title_RESULTS!$H$7)))/1000</f>
        <v>143109</v>
      </c>
      <c r="G32" s="5">
        <f t="shared" si="2"/>
        <v>143109</v>
      </c>
      <c r="H32" s="5">
        <f>IF(Partcipation!$B33&lt;Partcipation!$B32,0,IF(Partcipation!$B32=0,0,(Partcipation!$B32-Partcipation!$B31)*(+Title_RESULTS!$C$29*(1+Title_RESULTS!$C$30/100)^(+'Sheet8(F_24)'!$A32-Title_RESULTS!$H$7))/1000))</f>
        <v>0</v>
      </c>
      <c r="I32" s="5">
        <f>IF(+Title_RESULTS!$C$31&lt;0,0,(+Partcipation!$B31+(Partcipation!$B32-Partcipation!$B31)/2)*(+Title_RESULTS!$C$31*(1+Title_RESULTS!$C$32/100)^(+'Sheet6(p_6)'!$A32-Title_RESULTS!$H$7))/1000)</f>
        <v>0</v>
      </c>
      <c r="J32" s="5">
        <f t="shared" si="3"/>
        <v>0</v>
      </c>
      <c r="K32" s="5">
        <f>(+Partcipation!$B31+(Partcipation!$B32-Partcipation!$B31)/2)*(+Title_RESULTS!$C$14)/1000</f>
        <v>0</v>
      </c>
      <c r="L32" s="5">
        <f>($K32)*Partcipation!$E89*Title_RESULTS!$C$12/100</f>
        <v>0</v>
      </c>
      <c r="M32" s="5">
        <f>((+$K32*(Title_RESULTS!$H$30/100)*((1+Title_RESULTS!$H$31/100)^('Sheet9(F_25)'!$A32-Title_RESULTS!$H$7)))+((Title_RESULTS!$H$32*Title_RESULTS!$H$35*12*Title_RESULTS!$C$7/1000)*(Partcipation!$B31+(Partcipation!$B32-Partcipation!$B31)/2))*((1+Title_RESULTS!$H$33/100)^('Sheet9(F_25)'!$A32-Title_RESULTS!$H$7)))</f>
        <v>0</v>
      </c>
      <c r="N32" s="5">
        <f>'Sheet2(F_12)'!$I32*('Sheet6(p_6)'!$L32+'Sheet6(p_6)'!$M32)</f>
        <v>0</v>
      </c>
      <c r="O32" s="5">
        <f>(Partcipation!$B31+(Partcipation!$B32-Partcipation!$B31)/2)*(Title_RESULTS!$C$13)/1000</f>
        <v>0</v>
      </c>
      <c r="P32" s="5">
        <f>($O32)*'Sheet2(F_12)'!$D32*Title_RESULTS!$C$12/100</f>
        <v>0</v>
      </c>
      <c r="Q32" s="5">
        <f>+$O32*((Title_RESULTS!$H$30/100)*((1+Title_RESULTS!$H$31/100)^('Sheet9(F_25)'!$A32-Title_RESULTS!$H$7)))</f>
        <v>0</v>
      </c>
      <c r="R32" s="5">
        <f>+Partcipation!$I32*('Sheet6(p_6)'!$P32-'Sheet6(p_6)'!$Q32)</f>
        <v>0</v>
      </c>
    </row>
    <row r="33" spans="1:18" ht="12.75">
      <c r="A33">
        <f t="shared" si="0"/>
        <v>2037</v>
      </c>
      <c r="B33" s="5">
        <f>IF(+'Sheet9(F_25)'!$A33&gt;=Title_RESULTS!$H$8,0,((Partcipation!$B33-Partcipation!$B32)*(Title_RESULTS!$C$26*((1+Title_RESULTS!$C$28/100)^('Sheet9(F_25)'!$A33-Title_RESULTS!$H$7)))/1000))</f>
        <v>0</v>
      </c>
      <c r="C33" s="5">
        <f>(Partcipation!$C32+(Partcipation!$C33-Partcipation!$C32)/2)*(Title_RESULTS!$C$27*((1+Title_RESULTS!$C$28/100)^('Sheet9(F_25)'!$A33-Title_RESULTS!$H$7)))/1000</f>
        <v>1764.4650807430496</v>
      </c>
      <c r="D33" s="5">
        <f t="shared" si="1"/>
        <v>1764.4650807430496</v>
      </c>
      <c r="E33" s="5">
        <f>IF(+'Sheet9(F_25)'!$A33&gt;=Title_RESULTS!$H$8,0,((Partcipation!$B33-Partcipation!$B32)*(Title_RESULTS!$C$39*((1+Title_RESULTS!$C$41/100)^('Sheet9(F_25)'!$A33-Title_RESULTS!$H$7)))/1000))</f>
        <v>0</v>
      </c>
      <c r="F33" s="5">
        <f>(Partcipation!$C32+(Partcipation!$C33-Partcipation!$C32)/2)*(Title_RESULTS!$C$40*((1+Title_RESULTS!$C$41/100)^('Sheet9(F_25)'!$A33-Title_RESULTS!$H$7)))/1000</f>
        <v>143109</v>
      </c>
      <c r="G33" s="5">
        <f t="shared" si="2"/>
        <v>143109</v>
      </c>
      <c r="H33" s="5">
        <f>IF(Partcipation!$B34&lt;Partcipation!$B33,0,IF(Partcipation!$B33=0,0,(Partcipation!$B33-Partcipation!$B32)*(+Title_RESULTS!$C$29*(1+Title_RESULTS!$C$30/100)^(+'Sheet8(F_24)'!$A33-Title_RESULTS!$H$7))/1000))</f>
        <v>0</v>
      </c>
      <c r="I33" s="5">
        <f>IF(+Title_RESULTS!$C$31&lt;0,0,(+Partcipation!$B32+(Partcipation!$B33-Partcipation!$B32)/2)*(+Title_RESULTS!$C$31*(1+Title_RESULTS!$C$32/100)^(+'Sheet6(p_6)'!$A33-Title_RESULTS!$H$7))/1000)</f>
        <v>0</v>
      </c>
      <c r="J33" s="5">
        <f t="shared" si="3"/>
        <v>0</v>
      </c>
      <c r="K33" s="5">
        <f>(+Partcipation!$B32+(Partcipation!$B33-Partcipation!$B32)/2)*(+Title_RESULTS!$C$14)/1000</f>
        <v>0</v>
      </c>
      <c r="L33" s="5">
        <f>($K33)*Partcipation!$E90*Title_RESULTS!$C$12/100</f>
        <v>0</v>
      </c>
      <c r="M33" s="5">
        <f>((+$K33*(Title_RESULTS!$H$30/100)*((1+Title_RESULTS!$H$31/100)^('Sheet9(F_25)'!$A33-Title_RESULTS!$H$7)))+((Title_RESULTS!$H$32*Title_RESULTS!$H$35*12*Title_RESULTS!$C$7/1000)*(Partcipation!$B32+(Partcipation!$B33-Partcipation!$B32)/2))*((1+Title_RESULTS!$H$33/100)^('Sheet9(F_25)'!$A33-Title_RESULTS!$H$7)))</f>
        <v>0</v>
      </c>
      <c r="N33" s="5">
        <f>'Sheet2(F_12)'!$I33*('Sheet6(p_6)'!$L33+'Sheet6(p_6)'!$M33)</f>
        <v>0</v>
      </c>
      <c r="O33" s="5">
        <f>(Partcipation!$B32+(Partcipation!$B33-Partcipation!$B32)/2)*(Title_RESULTS!$C$13)/1000</f>
        <v>0</v>
      </c>
      <c r="P33" s="5">
        <f>($O33)*'Sheet2(F_12)'!$D33*Title_RESULTS!$C$12/100</f>
        <v>0</v>
      </c>
      <c r="Q33" s="5">
        <f>+$O33*((Title_RESULTS!$H$30/100)*((1+Title_RESULTS!$H$31/100)^('Sheet9(F_25)'!$A33-Title_RESULTS!$H$7)))</f>
        <v>0</v>
      </c>
      <c r="R33" s="5">
        <f>+Partcipation!$I33*('Sheet6(p_6)'!$P33-'Sheet6(p_6)'!$Q33)</f>
        <v>0</v>
      </c>
    </row>
    <row r="34" spans="1:18" ht="12.75">
      <c r="A34">
        <f t="shared" si="0"/>
        <v>2038</v>
      </c>
      <c r="B34" s="5">
        <f>IF(+'Sheet9(F_25)'!$A34&gt;=Title_RESULTS!$H$8,0,((Partcipation!$B34-Partcipation!$B33)*(Title_RESULTS!$C$26*((1+Title_RESULTS!$C$28/100)^('Sheet9(F_25)'!$A34-Title_RESULTS!$H$7)))/1000))</f>
        <v>0</v>
      </c>
      <c r="C34" s="5">
        <f>(Partcipation!$C33+(Partcipation!$C34-Partcipation!$C33)/2)*(Title_RESULTS!$C$27*((1+Title_RESULTS!$C$28/100)^('Sheet9(F_25)'!$A34-Title_RESULTS!$H$7)))/1000</f>
        <v>1806.8122426808823</v>
      </c>
      <c r="D34" s="5">
        <f t="shared" si="1"/>
        <v>1806.8122426808823</v>
      </c>
      <c r="E34" s="5">
        <f>IF(+'Sheet9(F_25)'!$A34&gt;=Title_RESULTS!$H$8,0,((Partcipation!$B34-Partcipation!$B33)*(Title_RESULTS!$C$39*((1+Title_RESULTS!$C$41/100)^('Sheet9(F_25)'!$A34-Title_RESULTS!$H$7)))/1000))</f>
        <v>0</v>
      </c>
      <c r="F34" s="5">
        <f>(Partcipation!$C33+(Partcipation!$C34-Partcipation!$C33)/2)*(Title_RESULTS!$C$40*((1+Title_RESULTS!$C$41/100)^('Sheet9(F_25)'!$A34-Title_RESULTS!$H$7)))/1000</f>
        <v>143109</v>
      </c>
      <c r="G34" s="5">
        <f t="shared" si="2"/>
        <v>143109</v>
      </c>
      <c r="H34" s="5">
        <f>IF(Partcipation!$B35&lt;Partcipation!$B34,0,IF(Partcipation!$B34=0,0,(Partcipation!$B34-Partcipation!$B33)*(+Title_RESULTS!$C$29*(1+Title_RESULTS!$C$30/100)^(+'Sheet8(F_24)'!$A34-Title_RESULTS!$H$7))/1000))</f>
        <v>0</v>
      </c>
      <c r="I34" s="5">
        <f>IF(+Title_RESULTS!$C$31&lt;0,0,(+Partcipation!$B33+(Partcipation!$B34-Partcipation!$B33)/2)*(+Title_RESULTS!$C$31*(1+Title_RESULTS!$C$32/100)^(+'Sheet6(p_6)'!$A34-Title_RESULTS!$H$7))/1000)</f>
        <v>0</v>
      </c>
      <c r="J34" s="5">
        <f t="shared" si="3"/>
        <v>0</v>
      </c>
      <c r="K34" s="5">
        <f>(+Partcipation!$B33+(Partcipation!$B34-Partcipation!$B33)/2)*(+Title_RESULTS!$C$14)/1000</f>
        <v>0</v>
      </c>
      <c r="L34" s="5">
        <f>($K34)*Partcipation!$E91*Title_RESULTS!$C$12/100</f>
        <v>0</v>
      </c>
      <c r="M34" s="5">
        <f>((+$K34*(Title_RESULTS!$H$30/100)*((1+Title_RESULTS!$H$31/100)^('Sheet9(F_25)'!$A34-Title_RESULTS!$H$7)))+((Title_RESULTS!$H$32*Title_RESULTS!$H$35*12*Title_RESULTS!$C$7/1000)*(Partcipation!$B33+(Partcipation!$B34-Partcipation!$B33)/2))*((1+Title_RESULTS!$H$33/100)^('Sheet9(F_25)'!$A34-Title_RESULTS!$H$7)))</f>
        <v>0</v>
      </c>
      <c r="N34" s="5">
        <f>'Sheet2(F_12)'!$I34*('Sheet6(p_6)'!$L34+'Sheet6(p_6)'!$M34)</f>
        <v>0</v>
      </c>
      <c r="O34" s="5">
        <f>(Partcipation!$B33+(Partcipation!$B34-Partcipation!$B33)/2)*(Title_RESULTS!$C$13)/1000</f>
        <v>0</v>
      </c>
      <c r="P34" s="5">
        <f>($O34)*'Sheet2(F_12)'!$D34*Title_RESULTS!$C$12/100</f>
        <v>0</v>
      </c>
      <c r="Q34" s="5">
        <f>+$O34*((Title_RESULTS!$H$30/100)*((1+Title_RESULTS!$H$31/100)^('Sheet9(F_25)'!$A34-Title_RESULTS!$H$7)))</f>
        <v>0</v>
      </c>
      <c r="R34" s="5">
        <f>+Partcipation!$I34*('Sheet6(p_6)'!$P34-'Sheet6(p_6)'!$Q34)</f>
        <v>0</v>
      </c>
    </row>
    <row r="35" spans="1:18" ht="12.75">
      <c r="A35">
        <f t="shared" si="0"/>
        <v>2039</v>
      </c>
      <c r="B35" s="5">
        <f>IF(+'Sheet9(F_25)'!$A35&gt;=Title_RESULTS!$H$8,0,((Partcipation!$B35-Partcipation!$B34)*(Title_RESULTS!$C$26*((1+Title_RESULTS!$C$28/100)^('Sheet9(F_25)'!$A35-Title_RESULTS!$H$7)))/1000))</f>
        <v>0</v>
      </c>
      <c r="C35" s="5">
        <f>(Partcipation!$C34+(Partcipation!$C35-Partcipation!$C34)/2)*(Title_RESULTS!$C$27*((1+Title_RESULTS!$C$28/100)^('Sheet9(F_25)'!$A35-Title_RESULTS!$H$7)))/1000</f>
        <v>1850.1757365052242</v>
      </c>
      <c r="D35" s="5">
        <f t="shared" si="1"/>
        <v>1850.1757365052242</v>
      </c>
      <c r="E35" s="5">
        <f>IF(+'Sheet9(F_25)'!$A35&gt;=Title_RESULTS!$H$8,0,((Partcipation!$B35-Partcipation!$B34)*(Title_RESULTS!$C$39*((1+Title_RESULTS!$C$41/100)^('Sheet9(F_25)'!$A35-Title_RESULTS!$H$7)))/1000))</f>
        <v>0</v>
      </c>
      <c r="F35" s="5">
        <f>(Partcipation!$C34+(Partcipation!$C35-Partcipation!$C34)/2)*(Title_RESULTS!$C$40*((1+Title_RESULTS!$C$41/100)^('Sheet9(F_25)'!$A35-Title_RESULTS!$H$7)))/1000</f>
        <v>143109</v>
      </c>
      <c r="G35" s="5">
        <f t="shared" si="2"/>
        <v>143109</v>
      </c>
      <c r="H35" s="5">
        <f>IF(Partcipation!$B36&lt;Partcipation!$B35,0,IF(Partcipation!$B35=0,0,(Partcipation!$B35-Partcipation!$B34)*(+Title_RESULTS!$C$29*(1+Title_RESULTS!$C$30/100)^(+'Sheet8(F_24)'!$A35-Title_RESULTS!$H$7))/1000))</f>
        <v>0</v>
      </c>
      <c r="I35" s="5">
        <f>IF(+Title_RESULTS!$C$31&lt;0,0,(+Partcipation!$B34+(Partcipation!$B35-Partcipation!$B34)/2)*(+Title_RESULTS!$C$31*(1+Title_RESULTS!$C$32/100)^(+'Sheet6(p_6)'!$A35-Title_RESULTS!$H$7))/1000)</f>
        <v>0</v>
      </c>
      <c r="J35" s="5">
        <f t="shared" si="3"/>
        <v>0</v>
      </c>
      <c r="K35" s="5">
        <f>(+Partcipation!$B34+(Partcipation!$B35-Partcipation!$B34)/2)*(+Title_RESULTS!$C$14)/1000</f>
        <v>0</v>
      </c>
      <c r="L35" s="5">
        <f>($K35)*Partcipation!$E92*Title_RESULTS!$C$12/100</f>
        <v>0</v>
      </c>
      <c r="M35" s="5">
        <f>((+$K35*(Title_RESULTS!$H$30/100)*((1+Title_RESULTS!$H$31/100)^('Sheet9(F_25)'!$A35-Title_RESULTS!$H$7)))+((Title_RESULTS!$H$32*Title_RESULTS!$H$35*12*Title_RESULTS!$C$7/1000)*(Partcipation!$B34+(Partcipation!$B35-Partcipation!$B34)/2))*((1+Title_RESULTS!$H$33/100)^('Sheet9(F_25)'!$A35-Title_RESULTS!$H$7)))</f>
        <v>0</v>
      </c>
      <c r="N35" s="5">
        <f>'Sheet2(F_12)'!$I35*('Sheet6(p_6)'!$L35+'Sheet6(p_6)'!$M35)</f>
        <v>0</v>
      </c>
      <c r="O35" s="5">
        <f>(Partcipation!$B34+(Partcipation!$B35-Partcipation!$B34)/2)*(Title_RESULTS!$C$13)/1000</f>
        <v>0</v>
      </c>
      <c r="P35" s="5">
        <f>($O35)*'Sheet2(F_12)'!$D35*Title_RESULTS!$C$12/100</f>
        <v>0</v>
      </c>
      <c r="Q35" s="5">
        <f>+$O35*((Title_RESULTS!$H$30/100)*((1+Title_RESULTS!$H$31/100)^('Sheet9(F_25)'!$A35-Title_RESULTS!$H$7)))</f>
        <v>0</v>
      </c>
      <c r="R35" s="5">
        <f>+Partcipation!$I35*('Sheet6(p_6)'!$P35-'Sheet6(p_6)'!$Q35)</f>
        <v>0</v>
      </c>
    </row>
    <row r="36" spans="1:18" ht="12.75">
      <c r="A36">
        <f t="shared" si="0"/>
        <v>2040</v>
      </c>
      <c r="B36" s="5">
        <f>IF(+'Sheet9(F_25)'!$A36&gt;=Title_RESULTS!$H$8,0,((Partcipation!$B36-Partcipation!$B35)*(Title_RESULTS!$C$26*((1+Title_RESULTS!$C$28/100)^('Sheet9(F_25)'!$A36-Title_RESULTS!$H$7)))/1000))</f>
        <v>0</v>
      </c>
      <c r="C36" s="5">
        <f>(Partcipation!$C35+(Partcipation!$C36-Partcipation!$C35)/2)*(Title_RESULTS!$C$27*((1+Title_RESULTS!$C$28/100)^('Sheet9(F_25)'!$A36-Title_RESULTS!$H$7)))/1000</f>
        <v>1894.5799541813492</v>
      </c>
      <c r="D36" s="5">
        <f t="shared" si="1"/>
        <v>1894.5799541813492</v>
      </c>
      <c r="E36" s="5">
        <f>IF(+'Sheet9(F_25)'!$A36&gt;=Title_RESULTS!$H$8,0,((Partcipation!$B36-Partcipation!$B35)*(Title_RESULTS!$C$39*((1+Title_RESULTS!$C$41/100)^('Sheet9(F_25)'!$A36-Title_RESULTS!$H$7)))/1000))</f>
        <v>0</v>
      </c>
      <c r="F36" s="5">
        <f>(Partcipation!$C35+(Partcipation!$C36-Partcipation!$C35)/2)*(Title_RESULTS!$C$40*((1+Title_RESULTS!$C$41/100)^('Sheet9(F_25)'!$A36-Title_RESULTS!$H$7)))/1000</f>
        <v>143109</v>
      </c>
      <c r="G36" s="5">
        <f t="shared" si="2"/>
        <v>143109</v>
      </c>
      <c r="H36" s="5">
        <f>IF(Partcipation!$B37&lt;Partcipation!$B36,0,IF(Partcipation!$B36=0,0,(Partcipation!$B36-Partcipation!$B35)*(+Title_RESULTS!$C$29*(1+Title_RESULTS!$C$30/100)^(+'Sheet8(F_24)'!$A36-Title_RESULTS!$H$7))/1000))</f>
        <v>0</v>
      </c>
      <c r="I36" s="5">
        <f>IF(+Title_RESULTS!$C$31&lt;0,0,(+Partcipation!$B35+(Partcipation!$B36-Partcipation!$B35)/2)*(+Title_RESULTS!$C$31*(1+Title_RESULTS!$C$32/100)^(+'Sheet6(p_6)'!$A36-Title_RESULTS!$H$7))/1000)</f>
        <v>0</v>
      </c>
      <c r="J36" s="5">
        <f t="shared" si="3"/>
        <v>0</v>
      </c>
      <c r="K36" s="5">
        <f>(+Partcipation!$B35+(Partcipation!$B36-Partcipation!$B35)/2)*(+Title_RESULTS!$C$14)/1000</f>
        <v>0</v>
      </c>
      <c r="L36" s="5">
        <f>($K36)*Partcipation!$E93*Title_RESULTS!$C$12/100</f>
        <v>0</v>
      </c>
      <c r="M36" s="5">
        <f>((+$K36*(Title_RESULTS!$H$30/100)*((1+Title_RESULTS!$H$31/100)^('Sheet9(F_25)'!$A36-Title_RESULTS!$H$7)))+((Title_RESULTS!$H$32*Title_RESULTS!$H$35*12*Title_RESULTS!$C$7/1000)*(Partcipation!$B35+(Partcipation!$B36-Partcipation!$B35)/2))*((1+Title_RESULTS!$H$33/100)^('Sheet9(F_25)'!$A36-Title_RESULTS!$H$7)))</f>
        <v>0</v>
      </c>
      <c r="N36" s="5">
        <f>'Sheet2(F_12)'!$I36*('Sheet6(p_6)'!$L36+'Sheet6(p_6)'!$M36)</f>
        <v>0</v>
      </c>
      <c r="O36" s="5">
        <f>(Partcipation!$B35+(Partcipation!$B36-Partcipation!$B35)/2)*(Title_RESULTS!$C$13)/1000</f>
        <v>0</v>
      </c>
      <c r="P36" s="5">
        <f>($O36)*'Sheet2(F_12)'!$D36*Title_RESULTS!$C$12/100</f>
        <v>0</v>
      </c>
      <c r="Q36" s="5">
        <f>+$O36*((Title_RESULTS!$H$30/100)*((1+Title_RESULTS!$H$31/100)^('Sheet9(F_25)'!$A36-Title_RESULTS!$H$7)))</f>
        <v>0</v>
      </c>
      <c r="R36" s="5">
        <f>+Partcipation!$I36*('Sheet6(p_6)'!$P36-'Sheet6(p_6)'!$Q36)</f>
        <v>0</v>
      </c>
    </row>
    <row r="37" spans="1:18" ht="12.75">
      <c r="A37">
        <f t="shared" si="0"/>
        <v>2041</v>
      </c>
      <c r="B37" s="5">
        <f>IF(+'Sheet9(F_25)'!$A37&gt;=Title_RESULTS!$H$8,0,((Partcipation!$B37-Partcipation!$B36)*(Title_RESULTS!$C$26*((1+Title_RESULTS!$C$28/100)^('Sheet9(F_25)'!$A37-Title_RESULTS!$H$7)))/1000))</f>
        <v>0</v>
      </c>
      <c r="C37" s="5">
        <f>(Partcipation!$C36+(Partcipation!$C37-Partcipation!$C36)/2)*(Title_RESULTS!$C$27*((1+Title_RESULTS!$C$28/100)^('Sheet9(F_25)'!$A37-Title_RESULTS!$H$7)))/1000</f>
        <v>1940.049873081702</v>
      </c>
      <c r="D37" s="5">
        <f t="shared" si="1"/>
        <v>1940.049873081702</v>
      </c>
      <c r="E37" s="5">
        <f>IF(+'Sheet9(F_25)'!$A37&gt;=Title_RESULTS!$H$8,0,((Partcipation!$B37-Partcipation!$B36)*(Title_RESULTS!$C$39*((1+Title_RESULTS!$C$41/100)^('Sheet9(F_25)'!$A37-Title_RESULTS!$H$7)))/1000))</f>
        <v>0</v>
      </c>
      <c r="F37" s="5">
        <f>(Partcipation!$C36+(Partcipation!$C37-Partcipation!$C36)/2)*(Title_RESULTS!$C$40*((1+Title_RESULTS!$C$41/100)^('Sheet9(F_25)'!$A37-Title_RESULTS!$H$7)))/1000</f>
        <v>143109</v>
      </c>
      <c r="G37" s="5">
        <f t="shared" si="2"/>
        <v>143109</v>
      </c>
      <c r="H37" s="5">
        <f>IF(Partcipation!$B38&lt;Partcipation!$B37,0,IF(Partcipation!$B37=0,0,(Partcipation!$B37-Partcipation!$B36)*(+Title_RESULTS!$C$29*(1+Title_RESULTS!$C$30/100)^(+'Sheet8(F_24)'!$A37-Title_RESULTS!$H$7))/1000))</f>
        <v>0</v>
      </c>
      <c r="I37" s="5">
        <f>IF(+Title_RESULTS!$C$31&lt;0,0,(+Partcipation!$B36+(Partcipation!$B37-Partcipation!$B36)/2)*(+Title_RESULTS!$C$31*(1+Title_RESULTS!$C$32/100)^(+'Sheet6(p_6)'!$A37-Title_RESULTS!$H$7))/1000)</f>
        <v>0</v>
      </c>
      <c r="J37" s="5">
        <f t="shared" si="3"/>
        <v>0</v>
      </c>
      <c r="K37" s="5">
        <f>(+Partcipation!$B36+(Partcipation!$B37-Partcipation!$B36)/2)*(+Title_RESULTS!$C$14)/1000</f>
        <v>0</v>
      </c>
      <c r="L37" s="5">
        <f>($K37)*Partcipation!$E94*Title_RESULTS!$C$12/100</f>
        <v>0</v>
      </c>
      <c r="M37" s="5">
        <f>((+$K37*(Title_RESULTS!$H$30/100)*((1+Title_RESULTS!$H$31/100)^('Sheet9(F_25)'!$A37-Title_RESULTS!$H$7)))+((Title_RESULTS!$H$32*Title_RESULTS!$H$35*12*Title_RESULTS!$C$7/1000)*(Partcipation!$B36+(Partcipation!$B37-Partcipation!$B36)/2))*((1+Title_RESULTS!$H$33/100)^('Sheet9(F_25)'!$A37-Title_RESULTS!$H$7)))</f>
        <v>0</v>
      </c>
      <c r="N37" s="5">
        <f>'Sheet2(F_12)'!$I37*('Sheet6(p_6)'!$L37+'Sheet6(p_6)'!$M37)</f>
        <v>0</v>
      </c>
      <c r="O37" s="5">
        <f>(Partcipation!$B36+(Partcipation!$B37-Partcipation!$B36)/2)*(Title_RESULTS!$C$13)/1000</f>
        <v>0</v>
      </c>
      <c r="P37" s="5">
        <f>($O37)*'Sheet2(F_12)'!$D37*Title_RESULTS!$C$12/100</f>
        <v>0</v>
      </c>
      <c r="Q37" s="5">
        <f>+$O37*((Title_RESULTS!$H$30/100)*((1+Title_RESULTS!$H$31/100)^('Sheet9(F_25)'!$A37-Title_RESULTS!$H$7)))</f>
        <v>0</v>
      </c>
      <c r="R37" s="5">
        <f>+Partcipation!$I37*('Sheet6(p_6)'!$P37-'Sheet6(p_6)'!$Q37)</f>
        <v>0</v>
      </c>
    </row>
    <row r="38" spans="1:18" ht="12.75">
      <c r="A38">
        <f t="shared" si="0"/>
        <v>2042</v>
      </c>
      <c r="B38" s="5">
        <f>IF(+'Sheet9(F_25)'!$A38&gt;=Title_RESULTS!$H$8,0,((Partcipation!$B38-Partcipation!$B37)*(Title_RESULTS!$C$26*((1+Title_RESULTS!$C$28/100)^('Sheet9(F_25)'!$A38-Title_RESULTS!$H$7)))/1000))</f>
        <v>0</v>
      </c>
      <c r="C38" s="5">
        <f>(Partcipation!$C37+(Partcipation!$C38-Partcipation!$C37)/2)*(Title_RESULTS!$C$27*((1+Title_RESULTS!$C$28/100)^('Sheet9(F_25)'!$A38-Title_RESULTS!$H$7)))/1000</f>
        <v>1986.6110700356621</v>
      </c>
      <c r="D38" s="5">
        <f t="shared" si="1"/>
        <v>1986.6110700356621</v>
      </c>
      <c r="E38" s="5">
        <f>IF(+'Sheet9(F_25)'!$A38&gt;=Title_RESULTS!$H$8,0,((Partcipation!$B38-Partcipation!$B37)*(Title_RESULTS!$C$39*((1+Title_RESULTS!$C$41/100)^('Sheet9(F_25)'!$A38-Title_RESULTS!$H$7)))/1000))</f>
        <v>0</v>
      </c>
      <c r="F38" s="5">
        <f>(Partcipation!$C37+(Partcipation!$C38-Partcipation!$C37)/2)*(Title_RESULTS!$C$40*((1+Title_RESULTS!$C$41/100)^('Sheet9(F_25)'!$A38-Title_RESULTS!$H$7)))/1000</f>
        <v>143109</v>
      </c>
      <c r="G38" s="5">
        <f t="shared" si="2"/>
        <v>143109</v>
      </c>
      <c r="H38" s="5">
        <f>IF(Partcipation!$B39&lt;Partcipation!$B38,0,IF(Partcipation!$B38=0,0,(Partcipation!$B38-Partcipation!$B37)*(+Title_RESULTS!$C$29*(1+Title_RESULTS!$C$30/100)^(+'Sheet8(F_24)'!$A38-Title_RESULTS!$H$7))/1000))</f>
        <v>0</v>
      </c>
      <c r="I38" s="5">
        <f>IF(+Title_RESULTS!$C$31&lt;0,0,(+Partcipation!$B37+(Partcipation!$B38-Partcipation!$B37)/2)*(+Title_RESULTS!$C$31*(1+Title_RESULTS!$C$32/100)^(+'Sheet6(p_6)'!$A38-Title_RESULTS!$H$7))/1000)</f>
        <v>0</v>
      </c>
      <c r="J38" s="5">
        <f t="shared" si="3"/>
        <v>0</v>
      </c>
      <c r="K38" s="5">
        <f>(+Partcipation!$B37+(Partcipation!$B38-Partcipation!$B37)/2)*(+Title_RESULTS!$C$14)/1000</f>
        <v>0</v>
      </c>
      <c r="L38" s="5">
        <f>($K38)*Partcipation!$E95*Title_RESULTS!$C$12/100</f>
        <v>0</v>
      </c>
      <c r="M38" s="5">
        <f>((+$K38*(Title_RESULTS!$H$30/100)*((1+Title_RESULTS!$H$31/100)^('Sheet9(F_25)'!$A38-Title_RESULTS!$H$7)))+((Title_RESULTS!$H$32*Title_RESULTS!$H$35*12*Title_RESULTS!$C$7/1000)*(Partcipation!$B37+(Partcipation!$B38-Partcipation!$B37)/2))*((1+Title_RESULTS!$H$33/100)^('Sheet9(F_25)'!$A38-Title_RESULTS!$H$7)))</f>
        <v>0</v>
      </c>
      <c r="N38" s="5">
        <f>'Sheet2(F_12)'!$I38*('Sheet6(p_6)'!$L38+'Sheet6(p_6)'!$M38)</f>
        <v>0</v>
      </c>
      <c r="O38" s="5">
        <f>(Partcipation!$B37+(Partcipation!$B38-Partcipation!$B37)/2)*(Title_RESULTS!$C$13)/1000</f>
        <v>0</v>
      </c>
      <c r="P38" s="5">
        <f>($O38)*'Sheet2(F_12)'!$D38*Title_RESULTS!$C$12/100</f>
        <v>0</v>
      </c>
      <c r="Q38" s="5">
        <f>+$O38*((Title_RESULTS!$H$30/100)*((1+Title_RESULTS!$H$31/100)^('Sheet9(F_25)'!$A38-Title_RESULTS!$H$7)))</f>
        <v>0</v>
      </c>
      <c r="R38" s="5">
        <f>+Partcipation!$I38*('Sheet6(p_6)'!$P38-'Sheet6(p_6)'!$Q38)</f>
        <v>0</v>
      </c>
    </row>
    <row r="39" spans="1:18" ht="12.75">
      <c r="A39">
        <f t="shared" si="0"/>
        <v>2043</v>
      </c>
      <c r="B39" s="5">
        <f>IF(+'Sheet9(F_25)'!$A39&gt;=Title_RESULTS!$H$8,0,((Partcipation!$B39-Partcipation!$B38)*(Title_RESULTS!$C$26*((1+Title_RESULTS!$C$28/100)^('Sheet9(F_25)'!$A39-Title_RESULTS!$H$7)))/1000))</f>
        <v>0</v>
      </c>
      <c r="C39" s="5">
        <f>(Partcipation!$C38+(Partcipation!$C39-Partcipation!$C38)/2)*(Title_RESULTS!$C$27*((1+Title_RESULTS!$C$28/100)^('Sheet9(F_25)'!$A39-Title_RESULTS!$H$7)))/1000</f>
        <v>2034.2897357165186</v>
      </c>
      <c r="D39" s="5">
        <f t="shared" si="1"/>
        <v>2034.2897357165186</v>
      </c>
      <c r="E39" s="5">
        <f>IF(+'Sheet9(F_25)'!$A39&gt;=Title_RESULTS!$H$8,0,((Partcipation!$B39-Partcipation!$B38)*(Title_RESULTS!$C$39*((1+Title_RESULTS!$C$41/100)^('Sheet9(F_25)'!$A39-Title_RESULTS!$H$7)))/1000))</f>
        <v>0</v>
      </c>
      <c r="F39" s="5">
        <f>(Partcipation!$C38+(Partcipation!$C39-Partcipation!$C38)/2)*(Title_RESULTS!$C$40*((1+Title_RESULTS!$C$41/100)^('Sheet9(F_25)'!$A39-Title_RESULTS!$H$7)))/1000</f>
        <v>143109</v>
      </c>
      <c r="G39" s="5">
        <f t="shared" si="2"/>
        <v>143109</v>
      </c>
      <c r="H39" s="5">
        <f>IF(Partcipation!$B40&lt;Partcipation!$B39,0,IF(Partcipation!$B39=0,0,(Partcipation!$B39-Partcipation!$B38)*(+Title_RESULTS!$C$29*(1+Title_RESULTS!$C$30/100)^(+'Sheet8(F_24)'!$A39-Title_RESULTS!$H$7))/1000))</f>
        <v>0</v>
      </c>
      <c r="I39" s="5">
        <f>IF(+Title_RESULTS!$C$31&lt;0,0,(+Partcipation!$B38+(Partcipation!$B39-Partcipation!$B38)/2)*(+Title_RESULTS!$C$31*(1+Title_RESULTS!$C$32/100)^(+'Sheet6(p_6)'!$A39-Title_RESULTS!$H$7))/1000)</f>
        <v>0</v>
      </c>
      <c r="J39" s="5">
        <f t="shared" si="3"/>
        <v>0</v>
      </c>
      <c r="K39" s="5">
        <f>(+Partcipation!$B38+(Partcipation!$B39-Partcipation!$B38)/2)*(+Title_RESULTS!$C$14)/1000</f>
        <v>0</v>
      </c>
      <c r="L39" s="5">
        <f>($K39)*Partcipation!$E96*Title_RESULTS!$C$12/100</f>
        <v>0</v>
      </c>
      <c r="M39" s="5">
        <f>((+$K39*(Title_RESULTS!$H$30/100)*((1+Title_RESULTS!$H$31/100)^('Sheet9(F_25)'!$A39-Title_RESULTS!$H$7)))+((Title_RESULTS!$H$32*Title_RESULTS!$H$35*12*Title_RESULTS!$C$7/1000)*(Partcipation!$B38+(Partcipation!$B39-Partcipation!$B38)/2))*((1+Title_RESULTS!$H$33/100)^('Sheet9(F_25)'!$A39-Title_RESULTS!$H$7)))</f>
        <v>0</v>
      </c>
      <c r="N39" s="5">
        <f>'Sheet2(F_12)'!$I39*('Sheet6(p_6)'!$L39+'Sheet6(p_6)'!$M39)</f>
        <v>0</v>
      </c>
      <c r="O39" s="5">
        <f>(Partcipation!$B38+(Partcipation!$B39-Partcipation!$B38)/2)*(Title_RESULTS!$C$13)/1000</f>
        <v>0</v>
      </c>
      <c r="P39" s="5">
        <f>($O39)*'Sheet2(F_12)'!$D39*Title_RESULTS!$C$12/100</f>
        <v>0</v>
      </c>
      <c r="Q39" s="5">
        <f>+$O39*((Title_RESULTS!$H$30/100)*((1+Title_RESULTS!$H$31/100)^('Sheet9(F_25)'!$A39-Title_RESULTS!$H$7)))</f>
        <v>0</v>
      </c>
      <c r="R39" s="5">
        <f>+Partcipation!$I39*('Sheet6(p_6)'!$P39-'Sheet6(p_6)'!$Q39)</f>
        <v>0</v>
      </c>
    </row>
    <row r="40" spans="1:18" ht="12.75">
      <c r="A40">
        <f t="shared" si="0"/>
        <v>2044</v>
      </c>
      <c r="B40" s="5">
        <f>IF(+'Sheet9(F_25)'!$A40&gt;=Title_RESULTS!$H$8,0,((Partcipation!$B40-Partcipation!$B39)*(Title_RESULTS!$C$26*((1+Title_RESULTS!$C$28/100)^('Sheet9(F_25)'!$A40-Title_RESULTS!$H$7)))/1000))</f>
        <v>0</v>
      </c>
      <c r="C40" s="5">
        <f>(Partcipation!$C39+(Partcipation!$C40-Partcipation!$C39)/2)*(Title_RESULTS!$C$27*((1+Title_RESULTS!$C$28/100)^('Sheet9(F_25)'!$A40-Title_RESULTS!$H$7)))/1000</f>
        <v>2083.1126893737146</v>
      </c>
      <c r="D40" s="5">
        <f t="shared" si="1"/>
        <v>2083.1126893737146</v>
      </c>
      <c r="E40" s="5">
        <f>IF(+'Sheet9(F_25)'!$A40&gt;=Title_RESULTS!$H$8,0,((Partcipation!$B40-Partcipation!$B39)*(Title_RESULTS!$C$39*((1+Title_RESULTS!$C$41/100)^('Sheet9(F_25)'!$A40-Title_RESULTS!$H$7)))/1000))</f>
        <v>0</v>
      </c>
      <c r="F40" s="5">
        <f>(Partcipation!$C39+(Partcipation!$C40-Partcipation!$C39)/2)*(Title_RESULTS!$C$40*((1+Title_RESULTS!$C$41/100)^('Sheet9(F_25)'!$A40-Title_RESULTS!$H$7)))/1000</f>
        <v>143109</v>
      </c>
      <c r="G40" s="5">
        <f t="shared" si="2"/>
        <v>143109</v>
      </c>
      <c r="H40" s="5">
        <f>IF(Partcipation!$B41&lt;Partcipation!$B40,0,IF(Partcipation!$B40=0,0,(Partcipation!$B40-Partcipation!$B39)*(+Title_RESULTS!$C$29*(1+Title_RESULTS!$C$30/100)^(+'Sheet8(F_24)'!$A40-Title_RESULTS!$H$7))/1000))</f>
        <v>0</v>
      </c>
      <c r="I40" s="5">
        <f>IF(+Title_RESULTS!$C$31&lt;0,0,(+Partcipation!$B39+(Partcipation!$B40-Partcipation!$B39)/2)*(+Title_RESULTS!$C$31*(1+Title_RESULTS!$C$32/100)^(+'Sheet6(p_6)'!$A40-Title_RESULTS!$H$7))/1000)</f>
        <v>0</v>
      </c>
      <c r="J40" s="5">
        <f t="shared" si="3"/>
        <v>0</v>
      </c>
      <c r="K40" s="5">
        <f>(+Partcipation!$B39+(Partcipation!$B40-Partcipation!$B39)/2)*(+Title_RESULTS!$C$14)/1000</f>
        <v>0</v>
      </c>
      <c r="L40" s="5">
        <f>($K40)*Partcipation!$E97*Title_RESULTS!$C$12/100</f>
        <v>0</v>
      </c>
      <c r="M40" s="5">
        <f>((+$K40*(Title_RESULTS!$H$30/100)*((1+Title_RESULTS!$H$31/100)^('Sheet9(F_25)'!$A40-Title_RESULTS!$H$7)))+((Title_RESULTS!$H$32*Title_RESULTS!$H$35*12*Title_RESULTS!$C$7/1000)*(Partcipation!$B39+(Partcipation!$B40-Partcipation!$B39)/2))*((1+Title_RESULTS!$H$33/100)^('Sheet9(F_25)'!$A40-Title_RESULTS!$H$7)))</f>
        <v>0</v>
      </c>
      <c r="N40" s="5">
        <f>'Sheet2(F_12)'!$I40*('Sheet6(p_6)'!$L40+'Sheet6(p_6)'!$M40)</f>
        <v>0</v>
      </c>
      <c r="O40" s="5">
        <f>(Partcipation!$B39+(Partcipation!$B40-Partcipation!$B39)/2)*(Title_RESULTS!$C$13)/1000</f>
        <v>0</v>
      </c>
      <c r="P40" s="5">
        <f>($O40)*'Sheet2(F_12)'!$D40*Title_RESULTS!$C$12/100</f>
        <v>0</v>
      </c>
      <c r="Q40" s="5">
        <f>+$O40*((Title_RESULTS!$H$30/100)*((1+Title_RESULTS!$H$31/100)^('Sheet9(F_25)'!$A40-Title_RESULTS!$H$7)))</f>
        <v>0</v>
      </c>
      <c r="R40" s="5">
        <f>+Partcipation!$I40*('Sheet6(p_6)'!$P40-'Sheet6(p_6)'!$Q40)</f>
        <v>0</v>
      </c>
    </row>
    <row r="41" spans="2:18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2.75">
      <c r="A42" t="s">
        <v>87</v>
      </c>
      <c r="B42" s="5">
        <f aca="true" t="shared" si="4" ref="B42:R42">SUM(B16:B41)</f>
        <v>5714.99136</v>
      </c>
      <c r="C42" s="5">
        <f t="shared" si="4"/>
        <v>37962.281562611846</v>
      </c>
      <c r="D42" s="5">
        <f t="shared" si="4"/>
        <v>43677.272922611846</v>
      </c>
      <c r="E42" s="5">
        <f t="shared" si="4"/>
        <v>0</v>
      </c>
      <c r="F42" s="5">
        <f t="shared" si="4"/>
        <v>3363061.5</v>
      </c>
      <c r="G42" s="5">
        <f t="shared" si="4"/>
        <v>3363061.5</v>
      </c>
      <c r="H42" s="5">
        <f t="shared" si="4"/>
        <v>0</v>
      </c>
      <c r="I42" s="5">
        <f t="shared" si="4"/>
        <v>0</v>
      </c>
      <c r="J42" s="5">
        <f t="shared" si="4"/>
        <v>0</v>
      </c>
      <c r="K42" s="5">
        <f t="shared" si="4"/>
        <v>0</v>
      </c>
      <c r="L42" s="5">
        <f t="shared" si="4"/>
        <v>0</v>
      </c>
      <c r="M42" s="5">
        <f t="shared" si="4"/>
        <v>0</v>
      </c>
      <c r="N42" s="5">
        <f t="shared" si="4"/>
        <v>0</v>
      </c>
      <c r="O42" s="5">
        <f t="shared" si="4"/>
        <v>0</v>
      </c>
      <c r="P42" s="5">
        <f t="shared" si="4"/>
        <v>0</v>
      </c>
      <c r="Q42" s="5">
        <f t="shared" si="4"/>
        <v>0</v>
      </c>
      <c r="R42" s="5">
        <f t="shared" si="4"/>
        <v>0</v>
      </c>
    </row>
    <row r="43" spans="2:18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2.75">
      <c r="A44" t="s">
        <v>89</v>
      </c>
      <c r="B44" s="5">
        <f>NPV(Title_RESULTS!$C$37,'Sheet6(p_6)'!B17:B41)+'Sheet6(p_6)'!B16</f>
        <v>5339.6754656393805</v>
      </c>
      <c r="C44" s="5">
        <f>NPV(Title_RESULTS!$C$37,'Sheet6(p_6)'!C17:C41)+'Sheet6(p_6)'!C16</f>
        <v>16423.94290269303</v>
      </c>
      <c r="D44" s="5">
        <f>NPV(Title_RESULTS!$C$37,'Sheet6(p_6)'!D17:D41)+'Sheet6(p_6)'!D16</f>
        <v>21763.618368332413</v>
      </c>
      <c r="E44" s="5">
        <f>NPV(Title_RESULTS!$C$37,'Sheet6(p_6)'!E17:E41)+'Sheet6(p_6)'!E16</f>
        <v>0</v>
      </c>
      <c r="F44" s="5">
        <f>NPV(Title_RESULTS!$C$37,'Sheet6(p_6)'!F17:F41)+'Sheet6(p_6)'!F16</f>
        <v>1566128.9833888954</v>
      </c>
      <c r="G44" s="5">
        <f>NPV(Title_RESULTS!$C$37,'Sheet6(p_6)'!G17:G41)+'Sheet6(p_6)'!G16</f>
        <v>1566128.9833888954</v>
      </c>
      <c r="H44" s="5">
        <f>NPV(Title_RESULTS!$C$37,'Sheet6(p_6)'!H17:H41)+'Sheet6(p_6)'!H16</f>
        <v>0</v>
      </c>
      <c r="I44" s="5">
        <f>NPV(Title_RESULTS!$C$37,'Sheet6(p_6)'!I17:I41)+'Sheet6(p_6)'!I16</f>
        <v>0</v>
      </c>
      <c r="J44" s="5">
        <f>NPV(Title_RESULTS!$C$37,'Sheet6(p_6)'!J17:J41)+'Sheet6(p_6)'!J16</f>
        <v>0</v>
      </c>
      <c r="K44" s="5"/>
      <c r="L44" s="5">
        <f>NPV(Title_RESULTS!$C$37,'Sheet6(p_6)'!L17:L41)+'Sheet6(p_6)'!L16</f>
        <v>0</v>
      </c>
      <c r="M44" s="5">
        <f>NPV(Title_RESULTS!$C$37,'Sheet6(p_6)'!M17:M41)+'Sheet6(p_6)'!M16</f>
        <v>0</v>
      </c>
      <c r="N44" s="5">
        <f>NPV(Title_RESULTS!$C$37,'Sheet6(p_6)'!N17:N41)+'Sheet6(p_6)'!N16</f>
        <v>0</v>
      </c>
      <c r="O44" s="5"/>
      <c r="P44" s="5">
        <f>NPV(Title_RESULTS!$C$37,'Sheet6(p_6)'!P17:P41)+'Sheet6(p_6)'!P16</f>
        <v>0</v>
      </c>
      <c r="Q44" s="5">
        <f>NPV(Title_RESULTS!$C$37,'Sheet6(p_6)'!Q17:Q41)+'Sheet6(p_6)'!Q16</f>
        <v>0</v>
      </c>
      <c r="R44" s="5">
        <f>NPV(Title_RESULTS!$C$37,'Sheet6(p_6)'!R17:R41)+'Sheet6(p_6)'!R16</f>
        <v>0</v>
      </c>
    </row>
    <row r="46" ht="12.75">
      <c r="A46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Commercial DR - Firm Service Level</v>
      </c>
      <c r="M2" t="s">
        <v>55</v>
      </c>
    </row>
    <row r="3" ht="12.75">
      <c r="M3" s="35">
        <f>+Title_RESULTS!I4</f>
        <v>43599.31790740741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2056.5</v>
      </c>
      <c r="D16" s="5">
        <f>IF(A16&gt;=(Title_RESULTS!$H$7+Title_RESULTS!$C$17),0,(+'Sheet6(p_6)'!$J16))</f>
        <v>0</v>
      </c>
      <c r="E16" s="5">
        <f>IF(A16&gt;=(Title_RESULTS!$H$7+Title_RESULTS!$C$17),0,(+'f-11B'!$N15))</f>
        <v>0</v>
      </c>
      <c r="F16" s="5">
        <f>IF(A16&gt;=(Title_RESULTS!$H$7+Title_RESULTS!$C$17),0,(SUM(B16:E16)))</f>
        <v>2056.5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0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0</v>
      </c>
      <c r="L16" s="23">
        <f>IF(A16&gt;=(Title_RESULTS!$H$7+Title_RESULTS!$C$17),0,(+$K16-$F16))</f>
        <v>-2056.5</v>
      </c>
      <c r="M16" s="23">
        <f>IF(A16&gt;=(Title_RESULTS!$H$7+Title_RESULTS!$C$17),0,(+$L16/(1+Title_RESULTS!$C$37)^('Sheet7(F_23)'!$A16-Title_RESULTS!$H$7)))</f>
        <v>-2056.5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2508.288</v>
      </c>
      <c r="D17" s="5">
        <f>IF(A17&gt;=(Title_RESULTS!$H$7+Title_RESULTS!$C$17),0,(+'Sheet6(p_6)'!$J17))</f>
        <v>0</v>
      </c>
      <c r="E17" s="5">
        <f>IF(A17&gt;=(Title_RESULTS!$H$7+Title_RESULTS!$C$17),0,(+'f-11B'!$N16))</f>
        <v>0</v>
      </c>
      <c r="F17" s="5">
        <f>IF(A17&gt;=(Title_RESULTS!$H$7+Title_RESULTS!$C$17),0,(SUM(B17:E17)))</f>
        <v>2508.288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14070.25451447336</v>
      </c>
      <c r="I17" s="5">
        <f>IF(A17&gt;=(Title_RESULTS!$H$7+Title_RESULTS!$C$17),0,(+'Sheet4(F_22)'!$H17))</f>
        <v>0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14070.25451447336</v>
      </c>
      <c r="L17" s="23">
        <f>IF(A17&gt;=(Title_RESULTS!$H$7+Title_RESULTS!$C$17),0,(+$K17-$F17))</f>
        <v>11561.966514473359</v>
      </c>
      <c r="M17" s="23">
        <f>IF(A17&gt;=(Title_RESULTS!$H$7+Title_RESULTS!$C$17),0,(+M16+$L17/(1+Title_RESULTS!$C$37)^('Sheet7(F_23)'!$A17-Title_RESULTS!$H$7)))</f>
        <v>8741.003282100635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2980.5772799999995</v>
      </c>
      <c r="D18" s="5">
        <f>IF(A18&gt;=(Title_RESULTS!$H$7+Title_RESULTS!$C$17),0,(+'Sheet6(p_6)'!$J18))</f>
        <v>0</v>
      </c>
      <c r="E18" s="5">
        <f>IF(A18&gt;=(Title_RESULTS!$H$7+Title_RESULTS!$C$17),0,(+'f-11B'!$N17))</f>
        <v>0</v>
      </c>
      <c r="F18" s="5">
        <f>IF(A18&gt;=(Title_RESULTS!$H$7+Title_RESULTS!$C$17),0,(SUM(B18:E18)))</f>
        <v>2980.5772799999995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14407.940622820719</v>
      </c>
      <c r="I18" s="5">
        <f>IF(A18&gt;=(Title_RESULTS!$H$7+Title_RESULTS!$C$17),0,(+'Sheet4(F_22)'!$H18))</f>
        <v>0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14407.940622820719</v>
      </c>
      <c r="L18" s="23">
        <f>IF(A18&gt;=(Title_RESULTS!$H$7+Title_RESULTS!$C$17),0,(+$K18-$F18))</f>
        <v>11427.36334282072</v>
      </c>
      <c r="M18" s="23">
        <f>IF(A18&gt;=(Title_RESULTS!$H$7+Title_RESULTS!$C$17),0,(+M17+$L18/(1+Title_RESULTS!$C$37)^('Sheet7(F_23)'!$A18-Title_RESULTS!$H$7)))</f>
        <v>18707.196697534047</v>
      </c>
    </row>
    <row r="19" spans="1:13" ht="12.75">
      <c r="A19">
        <f aca="true" t="shared" si="0" ref="A19:A40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1265.941610496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1265.941610496</v>
      </c>
      <c r="G19" s="5">
        <f>IF(A19&gt;=(Title_RESULTS!$H$7+Title_RESULTS!$C$17),0,('Sheet3(F_21)'!$J19))</f>
        <v>103015.19855444069</v>
      </c>
      <c r="H19" s="5">
        <f>IF(A19&gt;=(Title_RESULTS!$H$7+Title_RESULTS!$C$17),0,(+'Sheet4(F_22)'!$D19+'Sheet4(F_22)'!$G19))</f>
        <v>30924.292063659588</v>
      </c>
      <c r="I19" s="5">
        <f>IF(A19&gt;=(Title_RESULTS!$H$7+Title_RESULTS!$C$17),0,(+'Sheet4(F_22)'!$H19))</f>
        <v>0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133939.49061810027</v>
      </c>
      <c r="L19" s="23">
        <f>IF(A19&gt;=(Title_RESULTS!$H$7+Title_RESULTS!$C$17),0,(+$K19-$F19))</f>
        <v>132673.54900760428</v>
      </c>
      <c r="M19" s="23">
        <f>IF(A19&gt;=(Title_RESULTS!$H$7+Title_RESULTS!$C$17),0,(+M18+$L19/(1+Title_RESULTS!$C$37)^('Sheet7(F_23)'!$A19-Title_RESULTS!$H$7)))</f>
        <v>126765.77742567868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1296.324209147904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1296.324209147904</v>
      </c>
      <c r="G20" s="5">
        <f>IF(A20&gt;=(Title_RESULTS!$H$7+Title_RESULTS!$C$17),0,('Sheet3(F_21)'!$J20))</f>
        <v>101105.99389070447</v>
      </c>
      <c r="H20" s="5">
        <f>IF(A20&gt;=(Title_RESULTS!$H$7+Title_RESULTS!$C$17),0,(+'Sheet4(F_22)'!$D20+'Sheet4(F_22)'!$G20))</f>
        <v>30800.866823918128</v>
      </c>
      <c r="I20" s="5">
        <f>IF(A20&gt;=(Title_RESULTS!$H$7+Title_RESULTS!$C$17),0,(+'Sheet4(F_22)'!$H20))</f>
        <v>0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131906.8607146226</v>
      </c>
      <c r="L20" s="23">
        <f>IF(A20&gt;=(Title_RESULTS!$H$7+Title_RESULTS!$C$17),0,(+$K20-$F20))</f>
        <v>130610.5365054747</v>
      </c>
      <c r="M20" s="23">
        <f>IF(A20&gt;=(Title_RESULTS!$H$7+Title_RESULTS!$C$17),0,(+M19+$L20/(1+Title_RESULTS!$C$37)^('Sheet7(F_23)'!$A20-Title_RESULTS!$H$7)))</f>
        <v>226110.49131351802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1327.4359901674538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1327.4359901674538</v>
      </c>
      <c r="G21" s="5">
        <f>IF(A21&gt;=(Title_RESULTS!$H$7+Title_RESULTS!$C$17),0,('Sheet3(F_21)'!$J21))</f>
        <v>99095.52822660287</v>
      </c>
      <c r="H21" s="5">
        <f>IF(A21&gt;=(Title_RESULTS!$H$7+Title_RESULTS!$C$17),0,(+'Sheet4(F_22)'!$D21+'Sheet4(F_22)'!$G21))</f>
        <v>30636.28167790233</v>
      </c>
      <c r="I21" s="5">
        <f>IF(A21&gt;=(Title_RESULTS!$H$7+Title_RESULTS!$C$17),0,(+'Sheet4(F_22)'!$H21))</f>
        <v>0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129731.8099045052</v>
      </c>
      <c r="L21" s="23">
        <f>IF(A21&gt;=(Title_RESULTS!$H$7+Title_RESULTS!$C$17),0,(+$K21-$F21))</f>
        <v>128404.37391433775</v>
      </c>
      <c r="M21" s="23">
        <f>IF(A21&gt;=(Title_RESULTS!$H$7+Title_RESULTS!$C$17),0,(+M20+$L21/(1+Title_RESULTS!$C$37)^('Sheet7(F_23)'!$A21-Title_RESULTS!$H$7)))</f>
        <v>317319.5565906308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1359.2944539314724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1359.2944539314724</v>
      </c>
      <c r="G22" s="5">
        <f>IF(A22&gt;=(Title_RESULTS!$H$7+Title_RESULTS!$C$17),0,('Sheet3(F_21)'!$J22))</f>
        <v>97458.54534752472</v>
      </c>
      <c r="H22" s="5">
        <f>IF(A22&gt;=(Title_RESULTS!$H$7+Title_RESULTS!$C$17),0,(+'Sheet4(F_22)'!$D22+'Sheet4(F_22)'!$G22))</f>
        <v>30505.647309897617</v>
      </c>
      <c r="I22" s="5">
        <f>IF(A22&gt;=(Title_RESULTS!$H$7+Title_RESULTS!$C$17),0,(+'Sheet4(F_22)'!$H22))</f>
        <v>0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127964.19265742233</v>
      </c>
      <c r="L22" s="23">
        <f>IF(A22&gt;=(Title_RESULTS!$H$7+Title_RESULTS!$C$17),0,(+$K22-$F22))</f>
        <v>126604.89820349085</v>
      </c>
      <c r="M22" s="23">
        <f>IF(A22&gt;=(Title_RESULTS!$H$7+Title_RESULTS!$C$17),0,(+M21+$L22/(1+Title_RESULTS!$C$37)^('Sheet7(F_23)'!$A22-Title_RESULTS!$H$7)))</f>
        <v>401304.2871587187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1391.9175208258282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1391.9175208258282</v>
      </c>
      <c r="G23" s="5">
        <f>IF(A23&gt;=(Title_RESULTS!$H$7+Title_RESULTS!$C$17),0,('Sheet3(F_21)'!$J23))</f>
        <v>95639.3012848039</v>
      </c>
      <c r="H23" s="5">
        <f>IF(A23&gt;=(Title_RESULTS!$H$7+Title_RESULTS!$C$17),0,(+'Sheet4(F_22)'!$D23+'Sheet4(F_22)'!$G23))</f>
        <v>30406.640708999566</v>
      </c>
      <c r="I23" s="5">
        <f>IF(A23&gt;=(Title_RESULTS!$H$7+Title_RESULTS!$C$17),0,(+'Sheet4(F_22)'!$H23))</f>
        <v>0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126045.94199380347</v>
      </c>
      <c r="L23" s="23">
        <f>IF(A23&gt;=(Title_RESULTS!$H$7+Title_RESULTS!$C$17),0,(+$K23-$F23))</f>
        <v>124654.02447297765</v>
      </c>
      <c r="M23" s="23">
        <f>IF(A23&gt;=(Title_RESULTS!$H$7+Title_RESULTS!$C$17),0,(+M22+$L23/(1+Title_RESULTS!$C$37)^('Sheet7(F_23)'!$A23-Title_RESULTS!$H$7)))</f>
        <v>478527.4822910456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1425.3235413256475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1425.3235413256475</v>
      </c>
      <c r="G24" s="5">
        <f>IF(A24&gt;=(Title_RESULTS!$H$7+Title_RESULTS!$C$17),0,('Sheet3(F_21)'!$J24))</f>
        <v>93007.8532664128</v>
      </c>
      <c r="H24" s="5">
        <f>IF(A24&gt;=(Title_RESULTS!$H$7+Title_RESULTS!$C$17),0,(+'Sheet4(F_22)'!$D24+'Sheet4(F_22)'!$G24))</f>
        <v>30337.223640408716</v>
      </c>
      <c r="I24" s="5">
        <f>IF(A24&gt;=(Title_RESULTS!$H$7+Title_RESULTS!$C$17),0,(+'Sheet4(F_22)'!$H24))</f>
        <v>0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123345.07690682152</v>
      </c>
      <c r="L24" s="23">
        <f>IF(A24&gt;=(Title_RESULTS!$H$7+Title_RESULTS!$C$17),0,(+$K24-$F24))</f>
        <v>121919.75336549587</v>
      </c>
      <c r="M24" s="23">
        <f>IF(A24&gt;=(Title_RESULTS!$H$7+Title_RESULTS!$C$17),0,(+M23+$L24/(1+Title_RESULTS!$C$37)^('Sheet7(F_23)'!$A24-Title_RESULTS!$H$7)))</f>
        <v>549062.8890800158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1459.531306317463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1459.531306317463</v>
      </c>
      <c r="G25" s="5">
        <f>IF(A25&gt;=(Title_RESULTS!$H$7+Title_RESULTS!$C$17),0,('Sheet3(F_21)'!$J25))</f>
        <v>91418.23360972013</v>
      </c>
      <c r="H25" s="5">
        <f>IF(A25&gt;=(Title_RESULTS!$H$7+Title_RESULTS!$C$17),0,(+'Sheet4(F_22)'!$D25+'Sheet4(F_22)'!$G25))</f>
        <v>30291.432322154225</v>
      </c>
      <c r="I25" s="5">
        <f>IF(A25&gt;=(Title_RESULTS!$H$7+Title_RESULTS!$C$17),0,(+'Sheet4(F_22)'!$H25))</f>
        <v>0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121709.66593187436</v>
      </c>
      <c r="L25" s="23">
        <f>IF(A25&gt;=(Title_RESULTS!$H$7+Title_RESULTS!$C$17),0,(+$K25-$F25))</f>
        <v>120250.1346255569</v>
      </c>
      <c r="M25" s="23">
        <f>IF(A25&gt;=(Title_RESULTS!$H$7+Title_RESULTS!$C$17),0,(+M24+$L25/(1+Title_RESULTS!$C$37)^('Sheet7(F_23)'!$A25-Title_RESULTS!$H$7)))</f>
        <v>614032.5063859813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1494.5600576690824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1494.5600576690824</v>
      </c>
      <c r="G26" s="5">
        <f>IF(A26&gt;=(Title_RESULTS!$H$7+Title_RESULTS!$C$17),0,('Sheet3(F_21)'!$J26))</f>
        <v>88853.1205060961</v>
      </c>
      <c r="H26" s="5">
        <f>IF(A26&gt;=(Title_RESULTS!$H$7+Title_RESULTS!$C$17),0,(+'Sheet4(F_22)'!$D26+'Sheet4(F_22)'!$G26))</f>
        <v>30259.783205633204</v>
      </c>
      <c r="I26" s="5">
        <f>IF(A26&gt;=(Title_RESULTS!$H$7+Title_RESULTS!$C$17),0,(+'Sheet4(F_22)'!$H26))</f>
        <v>0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119112.9037117293</v>
      </c>
      <c r="L26" s="23">
        <f>IF(A26&gt;=(Title_RESULTS!$H$7+Title_RESULTS!$C$17),0,(+$K26-$F26))</f>
        <v>117618.34365406023</v>
      </c>
      <c r="M26" s="23">
        <f>IF(A26&gt;=(Title_RESULTS!$H$7+Title_RESULTS!$C$17),0,(+M25+$L26/(1+Title_RESULTS!$C$37)^('Sheet7(F_23)'!$A26-Title_RESULTS!$H$7)))</f>
        <v>673378.5039009806</v>
      </c>
    </row>
    <row r="27" spans="1:13" ht="12.75">
      <c r="A27">
        <f t="shared" si="0"/>
        <v>2031</v>
      </c>
      <c r="B27" s="5">
        <f>IF(A27&gt;=(Title_RESULTS!$H$7+Title_RESULTS!$C$17),0,(IF($A27&gt;=Title_RESULTS!$H$8,(Partcipation!$B26+(Partcipation!$B27-Partcipation!$B26)/2)*Title_RESULTS!$C$35*(1+Title_RESULTS!$C$36/100)^('Sheet7(F_23)'!$A27-Title_RESULTS!$H$7),0)))</f>
        <v>0</v>
      </c>
      <c r="C27" s="5">
        <f>IF(A27&gt;=(Title_RESULTS!$H$7+Title_RESULTS!$C$17),0,(+'Sheet6(p_6)'!$D27))</f>
        <v>1530.4294990531405</v>
      </c>
      <c r="D27" s="5">
        <f>IF(A27&gt;=(Title_RESULTS!$H$7+Title_RESULTS!$C$17),0,(+'Sheet6(p_6)'!$J27))</f>
        <v>0</v>
      </c>
      <c r="E27" s="5">
        <f>IF(A27&gt;=(Title_RESULTS!$H$7+Title_RESULTS!$C$17),0,(+'f-11B'!$N26))</f>
        <v>0</v>
      </c>
      <c r="F27" s="5">
        <f>IF(A27&gt;=(Title_RESULTS!$H$7+Title_RESULTS!$C$17),0,(SUM(B27:E27)))</f>
        <v>1530.4294990531405</v>
      </c>
      <c r="G27" s="5">
        <f>IF(A27&gt;=(Title_RESULTS!$H$7+Title_RESULTS!$C$17),0,('Sheet3(F_21)'!$J27))</f>
        <v>88000.58983425901</v>
      </c>
      <c r="H27" s="5">
        <f>IF(A27&gt;=(Title_RESULTS!$H$7+Title_RESULTS!$C$17),0,(+'Sheet4(F_22)'!$D27+'Sheet4(F_22)'!$G27))</f>
        <v>30237.93178803953</v>
      </c>
      <c r="I27" s="5">
        <f>IF(A27&gt;=(Title_RESULTS!$H$7+Title_RESULTS!$C$17),0,(+'Sheet4(F_22)'!$H27))</f>
        <v>0</v>
      </c>
      <c r="J27" s="5">
        <f>IF(A27&gt;=(Title_RESULTS!$H$7+Title_RESULTS!$C$17),0,(IF(Title_RESULTS!$C$31&lt;0,((Partcipation!$B26+(Partcipation!$B27-Partcipation!$B26)/2)*(ABS(Title_RESULTS!$C$31)*(1+Title_RESULTS!$C$32/100)^('Sheet7(F_23)'!$A27-Title_RESULTS!$H$7))/1000)+'f-11B'!$O26,+'f-11B'!$O26)))</f>
        <v>0</v>
      </c>
      <c r="K27" s="5">
        <f>IF(A27&gt;=(Title_RESULTS!$H$7+Title_RESULTS!$C$17),0,(SUM(G27:J27)))</f>
        <v>118238.52162229853</v>
      </c>
      <c r="L27" s="23">
        <f>IF(A27&gt;=(Title_RESULTS!$H$7+Title_RESULTS!$C$17),0,(+$K27-$F27))</f>
        <v>116708.0921232454</v>
      </c>
      <c r="M27" s="23">
        <f>IF(A27&gt;=(Title_RESULTS!$H$7+Title_RESULTS!$C$17),0,(+M26+$L27/(1+Title_RESULTS!$C$37)^('Sheet7(F_23)'!$A27-Title_RESULTS!$H$7)))</f>
        <v>728371.7026693105</v>
      </c>
    </row>
    <row r="28" spans="1:13" ht="12.75">
      <c r="A28">
        <f t="shared" si="0"/>
        <v>2032</v>
      </c>
      <c r="B28" s="5">
        <f>IF(A28&gt;=(Title_RESULTS!$H$7+Title_RESULTS!$C$17),0,(IF($A28&gt;=Title_RESULTS!$H$8,(Partcipation!$B27+(Partcipation!$B28-Partcipation!$B27)/2)*Title_RESULTS!$C$35*(1+Title_RESULTS!$C$36/100)^('Sheet7(F_23)'!$A28-Title_RESULTS!$H$7),0)))</f>
        <v>0</v>
      </c>
      <c r="C28" s="5">
        <f>IF(A28&gt;=(Title_RESULTS!$H$7+Title_RESULTS!$C$17),0,(+'Sheet6(p_6)'!$D28))</f>
        <v>1567.1598070304158</v>
      </c>
      <c r="D28" s="5">
        <f>IF(A28&gt;=(Title_RESULTS!$H$7+Title_RESULTS!$C$17),0,(+'Sheet6(p_6)'!$J28))</f>
        <v>0</v>
      </c>
      <c r="E28" s="5">
        <f>IF(A28&gt;=(Title_RESULTS!$H$7+Title_RESULTS!$C$17),0,(+'f-11B'!$N27))</f>
        <v>0</v>
      </c>
      <c r="F28" s="5">
        <f>IF(A28&gt;=(Title_RESULTS!$H$7+Title_RESULTS!$C$17),0,(SUM(B28:E28)))</f>
        <v>1567.1598070304158</v>
      </c>
      <c r="G28" s="5">
        <f>IF(A28&gt;=(Title_RESULTS!$H$7+Title_RESULTS!$C$17),0,('Sheet3(F_21)'!$J28))</f>
        <v>85918.16635558009</v>
      </c>
      <c r="H28" s="5">
        <f>IF(A28&gt;=(Title_RESULTS!$H$7+Title_RESULTS!$C$17),0,(+'Sheet4(F_22)'!$D28+'Sheet4(F_22)'!$G28))</f>
        <v>30226.113214147466</v>
      </c>
      <c r="I28" s="5">
        <f>IF(A28&gt;=(Title_RESULTS!$H$7+Title_RESULTS!$C$17),0,(+'Sheet4(F_22)'!$H28))</f>
        <v>0</v>
      </c>
      <c r="J28" s="5">
        <f>IF(A28&gt;=(Title_RESULTS!$H$7+Title_RESULTS!$C$17),0,(IF(Title_RESULTS!$C$31&lt;0,((Partcipation!$B27+(Partcipation!$B28-Partcipation!$B27)/2)*(ABS(Title_RESULTS!$C$31)*(1+Title_RESULTS!$C$32/100)^('Sheet7(F_23)'!$A28-Title_RESULTS!$H$7))/1000)+'f-11B'!$O27,+'f-11B'!$O27)))</f>
        <v>0</v>
      </c>
      <c r="K28" s="5">
        <f>IF(A28&gt;=(Title_RESULTS!$H$7+Title_RESULTS!$C$17),0,(SUM(G28:J28)))</f>
        <v>116144.27956972756</v>
      </c>
      <c r="L28" s="23">
        <f>IF(A28&gt;=(Title_RESULTS!$H$7+Title_RESULTS!$C$17),0,(+$K28-$F28))</f>
        <v>114577.11976269714</v>
      </c>
      <c r="M28" s="23">
        <f>IF(A28&gt;=(Title_RESULTS!$H$7+Title_RESULTS!$C$17),0,(+M27+$L28/(1+Title_RESULTS!$C$37)^('Sheet7(F_23)'!$A28-Title_RESULTS!$H$7)))</f>
        <v>778791.0884358517</v>
      </c>
    </row>
    <row r="29" spans="1:13" ht="12.75">
      <c r="A29">
        <f t="shared" si="0"/>
        <v>2033</v>
      </c>
      <c r="B29" s="5">
        <f>IF(A29&gt;=(Title_RESULTS!$H$7+Title_RESULTS!$C$17),0,(IF($A29&gt;=Title_RESULTS!$H$8,(Partcipation!$B28+(Partcipation!$B29-Partcipation!$B28)/2)*Title_RESULTS!$C$35*(1+Title_RESULTS!$C$36/100)^('Sheet7(F_23)'!$A29-Title_RESULTS!$H$7),0)))</f>
        <v>0</v>
      </c>
      <c r="C29" s="5">
        <f>IF(A29&gt;=(Title_RESULTS!$H$7+Title_RESULTS!$C$17),0,(+'Sheet6(p_6)'!$D29))</f>
        <v>1604.7716423991458</v>
      </c>
      <c r="D29" s="5">
        <f>IF(A29&gt;=(Title_RESULTS!$H$7+Title_RESULTS!$C$17),0,(+'Sheet6(p_6)'!$J29))</f>
        <v>0</v>
      </c>
      <c r="E29" s="5">
        <f>IF(A29&gt;=(Title_RESULTS!$H$7+Title_RESULTS!$C$17),0,(+'f-11B'!$N28))</f>
        <v>0</v>
      </c>
      <c r="F29" s="5">
        <f>IF(A29&gt;=(Title_RESULTS!$H$7+Title_RESULTS!$C$17),0,(SUM(B29:E29)))</f>
        <v>1604.7716423991458</v>
      </c>
      <c r="G29" s="5">
        <f>IF(A29&gt;=(Title_RESULTS!$H$7+Title_RESULTS!$C$17),0,('Sheet3(F_21)'!$J29))</f>
        <v>85280.13905974323</v>
      </c>
      <c r="H29" s="5">
        <f>IF(A29&gt;=(Title_RESULTS!$H$7+Title_RESULTS!$C$17),0,(+'Sheet4(F_22)'!$D29+'Sheet4(F_22)'!$G29))</f>
        <v>30224.568272205845</v>
      </c>
      <c r="I29" s="5">
        <f>IF(A29&gt;=(Title_RESULTS!$H$7+Title_RESULTS!$C$17),0,(+'Sheet4(F_22)'!$H29))</f>
        <v>0</v>
      </c>
      <c r="J29" s="5">
        <f>IF(A29&gt;=(Title_RESULTS!$H$7+Title_RESULTS!$C$17),0,(IF(Title_RESULTS!$C$31&lt;0,((Partcipation!$B28+(Partcipation!$B29-Partcipation!$B28)/2)*(ABS(Title_RESULTS!$C$31)*(1+Title_RESULTS!$C$32/100)^('Sheet7(F_23)'!$A29-Title_RESULTS!$H$7))/1000)+'f-11B'!$O28,+'f-11B'!$O28)))</f>
        <v>0</v>
      </c>
      <c r="K29" s="5">
        <f>IF(A29&gt;=(Title_RESULTS!$H$7+Title_RESULTS!$C$17),0,(SUM(G29:J29)))</f>
        <v>115504.70733194907</v>
      </c>
      <c r="L29" s="23">
        <f>IF(A29&gt;=(Title_RESULTS!$H$7+Title_RESULTS!$C$17),0,(+$K29-$F29))</f>
        <v>113899.93568954992</v>
      </c>
      <c r="M29" s="23">
        <f>IF(A29&gt;=(Title_RESULTS!$H$7+Title_RESULTS!$C$17),0,(+M28+$L29/(1+Title_RESULTS!$C$37)^('Sheet7(F_23)'!$A29-Title_RESULTS!$H$7)))</f>
        <v>825598.5151683158</v>
      </c>
    </row>
    <row r="30" spans="1:13" ht="12.75">
      <c r="A30">
        <f t="shared" si="0"/>
        <v>2034</v>
      </c>
      <c r="B30" s="5">
        <f>IF(A30&gt;=(Title_RESULTS!$H$7+Title_RESULTS!$C$17),0,(IF($A30&gt;=Title_RESULTS!$H$8,(Partcipation!$B29+(Partcipation!$B30-Partcipation!$B29)/2)*Title_RESULTS!$C$35*(1+Title_RESULTS!$C$36/100)^('Sheet7(F_23)'!$A30-Title_RESULTS!$H$7),0)))</f>
        <v>0</v>
      </c>
      <c r="C30" s="5">
        <f>IF(A30&gt;=(Title_RESULTS!$H$7+Title_RESULTS!$C$17),0,(+'Sheet6(p_6)'!$D30))</f>
        <v>1643.286161816725</v>
      </c>
      <c r="D30" s="5">
        <f>IF(A30&gt;=(Title_RESULTS!$H$7+Title_RESULTS!$C$17),0,(+'Sheet6(p_6)'!$J30))</f>
        <v>0</v>
      </c>
      <c r="E30" s="5">
        <f>IF(A30&gt;=(Title_RESULTS!$H$7+Title_RESULTS!$C$17),0,(+'f-11B'!$N29))</f>
        <v>0</v>
      </c>
      <c r="F30" s="5">
        <f>IF(A30&gt;=(Title_RESULTS!$H$7+Title_RESULTS!$C$17),0,(SUM(B30:E30)))</f>
        <v>1643.286161816725</v>
      </c>
      <c r="G30" s="5">
        <f>IF(A30&gt;=(Title_RESULTS!$H$7+Title_RESULTS!$C$17),0,('Sheet3(F_21)'!$J30))</f>
        <v>83047.21638671527</v>
      </c>
      <c r="H30" s="5">
        <f>IF(A30&gt;=(Title_RESULTS!$H$7+Title_RESULTS!$C$17),0,(+'Sheet4(F_22)'!$D30+'Sheet4(F_22)'!$G30))</f>
        <v>30233.54352938148</v>
      </c>
      <c r="I30" s="5">
        <f>IF(A30&gt;=(Title_RESULTS!$H$7+Title_RESULTS!$C$17),0,(+'Sheet4(F_22)'!$H30))</f>
        <v>0</v>
      </c>
      <c r="J30" s="5">
        <f>IF(A30&gt;=(Title_RESULTS!$H$7+Title_RESULTS!$C$17),0,(IF(Title_RESULTS!$C$31&lt;0,((Partcipation!$B29+(Partcipation!$B30-Partcipation!$B29)/2)*(ABS(Title_RESULTS!$C$31)*(1+Title_RESULTS!$C$32/100)^('Sheet7(F_23)'!$A30-Title_RESULTS!$H$7))/1000)+'f-11B'!$O29,+'f-11B'!$O29)))</f>
        <v>0</v>
      </c>
      <c r="K30" s="5">
        <f>IF(A30&gt;=(Title_RESULTS!$H$7+Title_RESULTS!$C$17),0,(SUM(G30:J30)))</f>
        <v>113280.75991609675</v>
      </c>
      <c r="L30" s="23">
        <f>IF(A30&gt;=(Title_RESULTS!$H$7+Title_RESULTS!$C$17),0,(+$K30-$F30))</f>
        <v>111637.47375428003</v>
      </c>
      <c r="M30" s="23">
        <f>IF(A30&gt;=(Title_RESULTS!$H$7+Title_RESULTS!$C$17),0,(+M29+$L30/(1+Title_RESULTS!$C$37)^('Sheet7(F_23)'!$A30-Title_RESULTS!$H$7)))</f>
        <v>868442.8026830702</v>
      </c>
    </row>
    <row r="31" spans="1:13" ht="12.75">
      <c r="A31">
        <f t="shared" si="0"/>
        <v>2035</v>
      </c>
      <c r="B31" s="5">
        <f>IF(A31&gt;=(Title_RESULTS!$H$7+Title_RESULTS!$C$17),0,(IF($A31&gt;=Title_RESULTS!$H$8,(Partcipation!$B30+(Partcipation!$B31-Partcipation!$B30)/2)*Title_RESULTS!$C$35*(1+Title_RESULTS!$C$36/100)^('Sheet7(F_23)'!$A31-Title_RESULTS!$H$7),0)))</f>
        <v>0</v>
      </c>
      <c r="C31" s="5">
        <f>IF(A31&gt;=(Title_RESULTS!$H$7+Title_RESULTS!$C$17),0,(+'Sheet6(p_6)'!$D31))</f>
        <v>1682.7250297003268</v>
      </c>
      <c r="D31" s="5">
        <f>IF(A31&gt;=(Title_RESULTS!$H$7+Title_RESULTS!$C$17),0,(+'Sheet6(p_6)'!$J31))</f>
        <v>0</v>
      </c>
      <c r="E31" s="5">
        <f>IF(A31&gt;=(Title_RESULTS!$H$7+Title_RESULTS!$C$17),0,(+'f-11B'!$N30))</f>
        <v>0</v>
      </c>
      <c r="F31" s="5">
        <f>IF(A31&gt;=(Title_RESULTS!$H$7+Title_RESULTS!$C$17),0,(SUM(B31:E31)))</f>
        <v>1682.7250297003268</v>
      </c>
      <c r="G31" s="5">
        <f>IF(A31&gt;=(Title_RESULTS!$H$7+Title_RESULTS!$C$17),0,('Sheet3(F_21)'!$J31))</f>
        <v>81890.71088007934</v>
      </c>
      <c r="H31" s="5">
        <f>IF(A31&gt;=(Title_RESULTS!$H$7+Title_RESULTS!$C$17),0,(+'Sheet4(F_22)'!$D31+'Sheet4(F_22)'!$G31))</f>
        <v>30253.291470453187</v>
      </c>
      <c r="I31" s="5">
        <f>IF(A31&gt;=(Title_RESULTS!$H$7+Title_RESULTS!$C$17),0,(+'Sheet4(F_22)'!$H31))</f>
        <v>0</v>
      </c>
      <c r="J31" s="5">
        <f>IF(A31&gt;=(Title_RESULTS!$H$7+Title_RESULTS!$C$17),0,(IF(Title_RESULTS!$C$31&lt;0,((Partcipation!$B30+(Partcipation!$B31-Partcipation!$B30)/2)*(ABS(Title_RESULTS!$C$31)*(1+Title_RESULTS!$C$32/100)^('Sheet7(F_23)'!$A31-Title_RESULTS!$H$7))/1000)+'f-11B'!$O30,+'f-11B'!$O30)))</f>
        <v>0</v>
      </c>
      <c r="K31" s="5">
        <f>IF(A31&gt;=(Title_RESULTS!$H$7+Title_RESULTS!$C$17),0,(SUM(G31:J31)))</f>
        <v>112144.00235053252</v>
      </c>
      <c r="L31" s="23">
        <f>IF(A31&gt;=(Title_RESULTS!$H$7+Title_RESULTS!$C$17),0,(+$K31-$F31))</f>
        <v>110461.27732083219</v>
      </c>
      <c r="M31" s="23">
        <f>IF(A31&gt;=(Title_RESULTS!$H$7+Title_RESULTS!$C$17),0,(+M30+$L31/(1+Title_RESULTS!$C$37)^('Sheet7(F_23)'!$A31-Title_RESULTS!$H$7)))</f>
        <v>908032.7225916991</v>
      </c>
    </row>
    <row r="32" spans="1:13" ht="12.75">
      <c r="A32">
        <f t="shared" si="0"/>
        <v>2036</v>
      </c>
      <c r="B32" s="5">
        <f>IF(A32&gt;=(Title_RESULTS!$H$7+Title_RESULTS!$C$17),0,(IF($A32&gt;=Title_RESULTS!$H$8,(Partcipation!$B31+(Partcipation!$B32-Partcipation!$B31)/2)*Title_RESULTS!$C$35*(1+Title_RESULTS!$C$36/100)^('Sheet7(F_23)'!$A32-Title_RESULTS!$H$7),0)))</f>
        <v>0</v>
      </c>
      <c r="C32" s="5">
        <f>IF(A32&gt;=(Title_RESULTS!$H$7+Title_RESULTS!$C$17),0,(+'Sheet6(p_6)'!$D32))</f>
        <v>1723.1104304131345</v>
      </c>
      <c r="D32" s="5">
        <f>IF(A32&gt;=(Title_RESULTS!$H$7+Title_RESULTS!$C$17),0,(+'Sheet6(p_6)'!$J32))</f>
        <v>0</v>
      </c>
      <c r="E32" s="5">
        <f>IF(A32&gt;=(Title_RESULTS!$H$7+Title_RESULTS!$C$17),0,(+'f-11B'!$N31))</f>
        <v>0</v>
      </c>
      <c r="F32" s="5">
        <f>IF(A32&gt;=(Title_RESULTS!$H$7+Title_RESULTS!$C$17),0,(SUM(B32:E32)))</f>
        <v>1723.1104304131345</v>
      </c>
      <c r="G32" s="5">
        <f>IF(A32&gt;=(Title_RESULTS!$H$7+Title_RESULTS!$C$17),0,('Sheet3(F_21)'!$J32))</f>
        <v>81606.45928729036</v>
      </c>
      <c r="H32" s="5">
        <f>IF(A32&gt;=(Title_RESULTS!$H$7+Title_RESULTS!$C$17),0,(+'Sheet4(F_22)'!$D32+'Sheet4(F_22)'!$G32))</f>
        <v>30284.070639834474</v>
      </c>
      <c r="I32" s="5">
        <f>IF(A32&gt;=(Title_RESULTS!$H$7+Title_RESULTS!$C$17),0,(+'Sheet4(F_22)'!$H32))</f>
        <v>0</v>
      </c>
      <c r="J32" s="5">
        <f>IF(A32&gt;=(Title_RESULTS!$H$7+Title_RESULTS!$C$17),0,(IF(Title_RESULTS!$C$31&lt;0,((Partcipation!$B31+(Partcipation!$B32-Partcipation!$B31)/2)*(ABS(Title_RESULTS!$C$31)*(1+Title_RESULTS!$C$32/100)^('Sheet7(F_23)'!$A32-Title_RESULTS!$H$7))/1000)+'f-11B'!$O31,+'f-11B'!$O31)))</f>
        <v>0</v>
      </c>
      <c r="K32" s="5">
        <f>IF(A32&gt;=(Title_RESULTS!$H$7+Title_RESULTS!$C$17),0,(SUM(G32:J32)))</f>
        <v>111890.52992712484</v>
      </c>
      <c r="L32" s="23">
        <f>IF(A32&gt;=(Title_RESULTS!$H$7+Title_RESULTS!$C$17),0,(+$K32-$F32))</f>
        <v>110167.41949671171</v>
      </c>
      <c r="M32" s="23">
        <f>IF(A32&gt;=(Title_RESULTS!$H$7+Title_RESULTS!$C$17),0,(+M31+$L32/(1+Title_RESULTS!$C$37)^('Sheet7(F_23)'!$A32-Title_RESULTS!$H$7)))</f>
        <v>944906.6483232143</v>
      </c>
    </row>
    <row r="33" spans="1:13" ht="12.75">
      <c r="A33">
        <f t="shared" si="0"/>
        <v>2037</v>
      </c>
      <c r="B33" s="5">
        <f>IF(A33&gt;=(Title_RESULTS!$H$7+Title_RESULTS!$C$17),0,(IF($A33&gt;=Title_RESULTS!$H$8,(Partcipation!$B32+(Partcipation!$B33-Partcipation!$B32)/2)*Title_RESULTS!$C$35*(1+Title_RESULTS!$C$36/100)^('Sheet7(F_23)'!$A33-Title_RESULTS!$H$7),0)))</f>
        <v>0</v>
      </c>
      <c r="C33" s="5">
        <f>IF(A33&gt;=(Title_RESULTS!$H$7+Title_RESULTS!$C$17),0,(+'Sheet6(p_6)'!$D33))</f>
        <v>1764.4650807430496</v>
      </c>
      <c r="D33" s="5">
        <f>IF(A33&gt;=(Title_RESULTS!$H$7+Title_RESULTS!$C$17),0,(+'Sheet6(p_6)'!$J33))</f>
        <v>0</v>
      </c>
      <c r="E33" s="5">
        <f>IF(A33&gt;=(Title_RESULTS!$H$7+Title_RESULTS!$C$17),0,(+'f-11B'!$N32))</f>
        <v>0</v>
      </c>
      <c r="F33" s="5">
        <f>IF(A33&gt;=(Title_RESULTS!$H$7+Title_RESULTS!$C$17),0,(SUM(B33:E33)))</f>
        <v>1764.4650807430496</v>
      </c>
      <c r="G33" s="5">
        <f>IF(A33&gt;=(Title_RESULTS!$H$7+Title_RESULTS!$C$17),0,('Sheet3(F_21)'!$J33))</f>
        <v>79880.33488407123</v>
      </c>
      <c r="H33" s="5">
        <f>IF(A33&gt;=(Title_RESULTS!$H$7+Title_RESULTS!$C$17),0,(+'Sheet4(F_22)'!$D33+'Sheet4(F_22)'!$G33))</f>
        <v>30326.145787004767</v>
      </c>
      <c r="I33" s="5">
        <f>IF(A33&gt;=(Title_RESULTS!$H$7+Title_RESULTS!$C$17),0,(+'Sheet4(F_22)'!$H33))</f>
        <v>0</v>
      </c>
      <c r="J33" s="5">
        <f>IF(A33&gt;=(Title_RESULTS!$H$7+Title_RESULTS!$C$17),0,(IF(Title_RESULTS!$C$31&lt;0,((Partcipation!$B32+(Partcipation!$B33-Partcipation!$B32)/2)*(ABS(Title_RESULTS!$C$31)*(1+Title_RESULTS!$C$32/100)^('Sheet7(F_23)'!$A33-Title_RESULTS!$H$7))/1000)+'f-11B'!$O32,+'f-11B'!$O32)))</f>
        <v>0</v>
      </c>
      <c r="K33" s="5">
        <f>IF(A33&gt;=(Title_RESULTS!$H$7+Title_RESULTS!$C$17),0,(SUM(G33:J33)))</f>
        <v>110206.48067107599</v>
      </c>
      <c r="L33" s="23">
        <f>IF(A33&gt;=(Title_RESULTS!$H$7+Title_RESULTS!$C$17),0,(+$K33-$F33))</f>
        <v>108442.01559033294</v>
      </c>
      <c r="M33" s="23">
        <f>IF(A33&gt;=(Title_RESULTS!$H$7+Title_RESULTS!$C$17),0,(+M32+$L33/(1+Title_RESULTS!$C$37)^('Sheet7(F_23)'!$A33-Title_RESULTS!$H$7)))</f>
        <v>978803.1921208494</v>
      </c>
    </row>
    <row r="34" spans="1:13" ht="12.75">
      <c r="A34">
        <f t="shared" si="0"/>
        <v>2038</v>
      </c>
      <c r="B34" s="5">
        <f>IF(A34&gt;=(Title_RESULTS!$H$7+Title_RESULTS!$C$17),0,(IF($A34&gt;=Title_RESULTS!$H$8,(Partcipation!$B33+(Partcipation!$B34-Partcipation!$B33)/2)*Title_RESULTS!$C$35*(1+Title_RESULTS!$C$36/100)^('Sheet7(F_23)'!$A34-Title_RESULTS!$H$7),0)))</f>
        <v>0</v>
      </c>
      <c r="C34" s="5">
        <f>IF(A34&gt;=(Title_RESULTS!$H$7+Title_RESULTS!$C$17),0,(+'Sheet6(p_6)'!$D34))</f>
        <v>1806.8122426808823</v>
      </c>
      <c r="D34" s="5">
        <f>IF(A34&gt;=(Title_RESULTS!$H$7+Title_RESULTS!$C$17),0,(+'Sheet6(p_6)'!$J34))</f>
        <v>0</v>
      </c>
      <c r="E34" s="5">
        <f>IF(A34&gt;=(Title_RESULTS!$H$7+Title_RESULTS!$C$17),0,(+'f-11B'!$N33))</f>
        <v>0</v>
      </c>
      <c r="F34" s="5">
        <f>IF(A34&gt;=(Title_RESULTS!$H$7+Title_RESULTS!$C$17),0,(SUM(B34:E34)))</f>
        <v>1806.8122426808823</v>
      </c>
      <c r="G34" s="5">
        <f>IF(A34&gt;=(Title_RESULTS!$H$7+Title_RESULTS!$C$17),0,('Sheet3(F_21)'!$J34))</f>
        <v>79982.94025397036</v>
      </c>
      <c r="H34" s="5">
        <f>IF(A34&gt;=(Title_RESULTS!$H$7+Title_RESULTS!$C$17),0,(+'Sheet4(F_22)'!$D34+'Sheet4(F_22)'!$G34))</f>
        <v>30421.095124649837</v>
      </c>
      <c r="I34" s="5">
        <f>IF(A34&gt;=(Title_RESULTS!$H$7+Title_RESULTS!$C$17),0,(+'Sheet4(F_22)'!$H34))</f>
        <v>0</v>
      </c>
      <c r="J34" s="5">
        <f>IF(A34&gt;=(Title_RESULTS!$H$7+Title_RESULTS!$C$17),0,(IF(Title_RESULTS!$C$31&lt;0,((Partcipation!$B33+(Partcipation!$B34-Partcipation!$B33)/2)*(ABS(Title_RESULTS!$C$31)*(1+Title_RESULTS!$C$32/100)^('Sheet7(F_23)'!$A34-Title_RESULTS!$H$7))/1000)+'f-11B'!$O33,+'f-11B'!$O33)))</f>
        <v>0</v>
      </c>
      <c r="K34" s="5">
        <f>IF(A34&gt;=(Title_RESULTS!$H$7+Title_RESULTS!$C$17),0,(SUM(G34:J34)))</f>
        <v>110404.0353786202</v>
      </c>
      <c r="L34" s="23">
        <f>IF(A34&gt;=(Title_RESULTS!$H$7+Title_RESULTS!$C$17),0,(+$K34-$F34))</f>
        <v>108597.22313593932</v>
      </c>
      <c r="M34" s="23">
        <f>IF(A34&gt;=(Title_RESULTS!$H$7+Title_RESULTS!$C$17),0,(+M33+$L34/(1+Title_RESULTS!$C$37)^('Sheet7(F_23)'!$A34-Title_RESULTS!$H$7)))</f>
        <v>1010503.8441548998</v>
      </c>
    </row>
    <row r="35" spans="1:13" ht="12.75">
      <c r="A35">
        <f t="shared" si="0"/>
        <v>2039</v>
      </c>
      <c r="B35" s="5">
        <f>IF(A35&gt;=(Title_RESULTS!$H$7+Title_RESULTS!$C$17),0,(IF($A35&gt;=Title_RESULTS!$H$8,(Partcipation!$B34+(Partcipation!$B35-Partcipation!$B34)/2)*Title_RESULTS!$C$35*(1+Title_RESULTS!$C$36/100)^('Sheet7(F_23)'!$A35-Title_RESULTS!$H$7),0)))</f>
        <v>0</v>
      </c>
      <c r="C35" s="5">
        <f>IF(A35&gt;=(Title_RESULTS!$H$7+Title_RESULTS!$C$17),0,(+'Sheet6(p_6)'!$D35))</f>
        <v>1850.1757365052242</v>
      </c>
      <c r="D35" s="5">
        <f>IF(A35&gt;=(Title_RESULTS!$H$7+Title_RESULTS!$C$17),0,(+'Sheet6(p_6)'!$J35))</f>
        <v>0</v>
      </c>
      <c r="E35" s="5">
        <f>IF(A35&gt;=(Title_RESULTS!$H$7+Title_RESULTS!$C$17),0,(+'f-11B'!$N34))</f>
        <v>0</v>
      </c>
      <c r="F35" s="5">
        <f>IF(A35&gt;=(Title_RESULTS!$H$7+Title_RESULTS!$C$17),0,(SUM(B35:E35)))</f>
        <v>1850.1757365052242</v>
      </c>
      <c r="G35" s="5">
        <f>IF(A35&gt;=(Title_RESULTS!$H$7+Title_RESULTS!$C$17),0,('Sheet3(F_21)'!$J35))</f>
        <v>79619.83466591942</v>
      </c>
      <c r="H35" s="5">
        <f>IF(A35&gt;=(Title_RESULTS!$H$7+Title_RESULTS!$C$17),0,(+'Sheet4(F_22)'!$D35+'Sheet4(F_22)'!$G35))</f>
        <v>30610.489383754033</v>
      </c>
      <c r="I35" s="5">
        <f>IF(A35&gt;=(Title_RESULTS!$H$7+Title_RESULTS!$C$17),0,(+'Sheet4(F_22)'!$H35))</f>
        <v>0</v>
      </c>
      <c r="J35" s="5">
        <f>IF(A35&gt;=(Title_RESULTS!$H$7+Title_RESULTS!$C$17),0,(IF(Title_RESULTS!$C$31&lt;0,((Partcipation!$B34+(Partcipation!$B35-Partcipation!$B34)/2)*(ABS(Title_RESULTS!$C$31)*(1+Title_RESULTS!$C$32/100)^('Sheet7(F_23)'!$A35-Title_RESULTS!$H$7))/1000)+'f-11B'!$O34,+'f-11B'!$O34)))</f>
        <v>0</v>
      </c>
      <c r="K35" s="5">
        <f>IF(A35&gt;=(Title_RESULTS!$H$7+Title_RESULTS!$C$17),0,(SUM(G35:J35)))</f>
        <v>110230.32404967345</v>
      </c>
      <c r="L35" s="23">
        <f>IF(A35&gt;=(Title_RESULTS!$H$7+Title_RESULTS!$C$17),0,(+$K35-$F35))</f>
        <v>108380.14831316823</v>
      </c>
      <c r="M35" s="23">
        <f>IF(A35&gt;=(Title_RESULTS!$H$7+Title_RESULTS!$C$17),0,(+M34+$L35/(1+Title_RESULTS!$C$37)^('Sheet7(F_23)'!$A35-Title_RESULTS!$H$7)))</f>
        <v>1040049.3107680104</v>
      </c>
    </row>
    <row r="36" spans="1:13" ht="12.75">
      <c r="A36">
        <f t="shared" si="0"/>
        <v>2040</v>
      </c>
      <c r="B36" s="5">
        <f>IF(A36&gt;=(Title_RESULTS!$H$7+Title_RESULTS!$C$17),0,(IF($A36&gt;=Title_RESULTS!$H$8,(Partcipation!$B35+(Partcipation!$B36-Partcipation!$B35)/2)*Title_RESULTS!$C$35*(1+Title_RESULTS!$C$36/100)^('Sheet7(F_23)'!$A36-Title_RESULTS!$H$7),0)))</f>
        <v>0</v>
      </c>
      <c r="C36" s="5">
        <f>IF(A36&gt;=(Title_RESULTS!$H$7+Title_RESULTS!$C$17),0,(+'Sheet6(p_6)'!$D36))</f>
        <v>1894.5799541813492</v>
      </c>
      <c r="D36" s="5">
        <f>IF(A36&gt;=(Title_RESULTS!$H$7+Title_RESULTS!$C$17),0,(+'Sheet6(p_6)'!$J36))</f>
        <v>0</v>
      </c>
      <c r="E36" s="5">
        <f>IF(A36&gt;=(Title_RESULTS!$H$7+Title_RESULTS!$C$17),0,(+'f-11B'!$N35))</f>
        <v>0</v>
      </c>
      <c r="F36" s="5">
        <f>IF(A36&gt;=(Title_RESULTS!$H$7+Title_RESULTS!$C$17),0,(SUM(B36:E36)))</f>
        <v>1894.5799541813492</v>
      </c>
      <c r="G36" s="5">
        <f>IF(A36&gt;=(Title_RESULTS!$H$7+Title_RESULTS!$C$17),0,('Sheet3(F_21)'!$J36))</f>
        <v>81719.98485482618</v>
      </c>
      <c r="H36" s="5">
        <f>IF(A36&gt;=(Title_RESULTS!$H$7+Title_RESULTS!$C$17),0,(+'Sheet4(F_22)'!$D36+'Sheet4(F_22)'!$G36))</f>
        <v>30853.30572768746</v>
      </c>
      <c r="I36" s="5">
        <f>IF(A36&gt;=(Title_RESULTS!$H$7+Title_RESULTS!$C$17),0,(+'Sheet4(F_22)'!$H36))</f>
        <v>0</v>
      </c>
      <c r="J36" s="5">
        <f>IF(A36&gt;=(Title_RESULTS!$H$7+Title_RESULTS!$C$17),0,(IF(Title_RESULTS!$C$31&lt;0,((Partcipation!$B35+(Partcipation!$B36-Partcipation!$B35)/2)*(ABS(Title_RESULTS!$C$31)*(1+Title_RESULTS!$C$32/100)^('Sheet7(F_23)'!$A36-Title_RESULTS!$H$7))/1000)+'f-11B'!$O35,+'f-11B'!$O35)))</f>
        <v>0</v>
      </c>
      <c r="K36" s="5">
        <f>IF(A36&gt;=(Title_RESULTS!$H$7+Title_RESULTS!$C$17),0,(SUM(G36:J36)))</f>
        <v>112573.29058251364</v>
      </c>
      <c r="L36" s="23">
        <f>IF(A36&gt;=(Title_RESULTS!$H$7+Title_RESULTS!$C$17),0,(+$K36-$F36))</f>
        <v>110678.7106283323</v>
      </c>
      <c r="M36" s="23">
        <f>IF(A36&gt;=(Title_RESULTS!$H$7+Title_RESULTS!$C$17),0,(+M35+$L36/(1+Title_RESULTS!$C$37)^('Sheet7(F_23)'!$A36-Title_RESULTS!$H$7)))</f>
        <v>1068226.4462913147</v>
      </c>
    </row>
    <row r="37" spans="1:13" ht="12.75">
      <c r="A37">
        <f t="shared" si="0"/>
        <v>2041</v>
      </c>
      <c r="B37" s="5">
        <f>IF(A37&gt;=(Title_RESULTS!$H$7+Title_RESULTS!$C$17),0,(IF($A37&gt;=Title_RESULTS!$H$8,(Partcipation!$B36+(Partcipation!$B37-Partcipation!$B36)/2)*Title_RESULTS!$C$35*(1+Title_RESULTS!$C$36/100)^('Sheet7(F_23)'!$A37-Title_RESULTS!$H$7),0)))</f>
        <v>0</v>
      </c>
      <c r="C37" s="5">
        <f>IF(A37&gt;=(Title_RESULTS!$H$7+Title_RESULTS!$C$17),0,(+'Sheet6(p_6)'!$D37))</f>
        <v>1940.049873081702</v>
      </c>
      <c r="D37" s="5">
        <f>IF(A37&gt;=(Title_RESULTS!$H$7+Title_RESULTS!$C$17),0,(+'Sheet6(p_6)'!$J37))</f>
        <v>0</v>
      </c>
      <c r="E37" s="5">
        <f>IF(A37&gt;=(Title_RESULTS!$H$7+Title_RESULTS!$C$17),0,(+'f-11B'!$N36))</f>
        <v>0</v>
      </c>
      <c r="F37" s="5">
        <f>IF(A37&gt;=(Title_RESULTS!$H$7+Title_RESULTS!$C$17),0,(SUM(B37:E37)))</f>
        <v>1940.049873081702</v>
      </c>
      <c r="G37" s="5">
        <f>IF(A37&gt;=(Title_RESULTS!$H$7+Title_RESULTS!$C$17),0,('Sheet3(F_21)'!$J37))</f>
        <v>80683.4964835921</v>
      </c>
      <c r="H37" s="5">
        <f>IF(A37&gt;=(Title_RESULTS!$H$7+Title_RESULTS!$C$17),0,(+'Sheet4(F_22)'!$D37+'Sheet4(F_22)'!$G37))</f>
        <v>31108.542130547008</v>
      </c>
      <c r="I37" s="5">
        <f>IF(A37&gt;=(Title_RESULTS!$H$7+Title_RESULTS!$C$17),0,(+'Sheet4(F_22)'!$H37))</f>
        <v>0</v>
      </c>
      <c r="J37" s="5">
        <f>IF(A37&gt;=(Title_RESULTS!$H$7+Title_RESULTS!$C$17),0,(IF(Title_RESULTS!$C$31&lt;0,((Partcipation!$B36+(Partcipation!$B37-Partcipation!$B36)/2)*(ABS(Title_RESULTS!$C$31)*(1+Title_RESULTS!$C$32/100)^('Sheet7(F_23)'!$A37-Title_RESULTS!$H$7))/1000)+'f-11B'!$O36,+'f-11B'!$O36)))</f>
        <v>0</v>
      </c>
      <c r="K37" s="5">
        <f>IF(A37&gt;=(Title_RESULTS!$H$7+Title_RESULTS!$C$17),0,(SUM(G37:J37)))</f>
        <v>111792.0386141391</v>
      </c>
      <c r="L37" s="23">
        <f>IF(A37&gt;=(Title_RESULTS!$H$7+Title_RESULTS!$C$17),0,(+$K37-$F37))</f>
        <v>109851.9887410574</v>
      </c>
      <c r="M37" s="23">
        <f>IF(A37&gt;=(Title_RESULTS!$H$7+Title_RESULTS!$C$17),0,(+M36+$L37/(1+Title_RESULTS!$C$37)^('Sheet7(F_23)'!$A37-Title_RESULTS!$H$7)))</f>
        <v>1094343.9888405069</v>
      </c>
    </row>
    <row r="38" spans="1:13" ht="12.75">
      <c r="A38">
        <f t="shared" si="0"/>
        <v>2042</v>
      </c>
      <c r="B38" s="5">
        <f>IF(A38&gt;=(Title_RESULTS!$H$7+Title_RESULTS!$C$17),0,(IF($A38&gt;=Title_RESULTS!$H$8,(Partcipation!$B37+(Partcipation!$B38-Partcipation!$B37)/2)*Title_RESULTS!$C$35*(1+Title_RESULTS!$C$36/100)^('Sheet7(F_23)'!$A38-Title_RESULTS!$H$7),0)))</f>
        <v>0</v>
      </c>
      <c r="C38" s="5">
        <f>IF(A38&gt;=(Title_RESULTS!$H$7+Title_RESULTS!$C$17),0,(+'Sheet6(p_6)'!$D38))</f>
        <v>1986.6110700356621</v>
      </c>
      <c r="D38" s="5">
        <f>IF(A38&gt;=(Title_RESULTS!$H$7+Title_RESULTS!$C$17),0,(+'Sheet6(p_6)'!$J38))</f>
        <v>0</v>
      </c>
      <c r="E38" s="5">
        <f>IF(A38&gt;=(Title_RESULTS!$H$7+Title_RESULTS!$C$17),0,(+'f-11B'!$N37))</f>
        <v>0</v>
      </c>
      <c r="F38" s="5">
        <f>IF(A38&gt;=(Title_RESULTS!$H$7+Title_RESULTS!$C$17),0,(SUM(B38:E38)))</f>
        <v>1986.6110700356621</v>
      </c>
      <c r="G38" s="5">
        <f>IF(A38&gt;=(Title_RESULTS!$H$7+Title_RESULTS!$C$17),0,('Sheet3(F_21)'!$J38))</f>
        <v>80164.59268177123</v>
      </c>
      <c r="H38" s="5">
        <f>IF(A38&gt;=(Title_RESULTS!$H$7+Title_RESULTS!$C$17),0,(+'Sheet4(F_22)'!$D38+'Sheet4(F_22)'!$G38))</f>
        <v>31376.49667374688</v>
      </c>
      <c r="I38" s="5">
        <f>IF(A38&gt;=(Title_RESULTS!$H$7+Title_RESULTS!$C$17),0,(+'Sheet4(F_22)'!$H38))</f>
        <v>0</v>
      </c>
      <c r="J38" s="5">
        <f>IF(A38&gt;=(Title_RESULTS!$H$7+Title_RESULTS!$C$17),0,(IF(Title_RESULTS!$C$31&lt;0,((Partcipation!$B37+(Partcipation!$B38-Partcipation!$B37)/2)*(ABS(Title_RESULTS!$C$31)*(1+Title_RESULTS!$C$32/100)^('Sheet7(F_23)'!$A38-Title_RESULTS!$H$7))/1000)+'f-11B'!$O37,+'f-11B'!$O37)))</f>
        <v>0</v>
      </c>
      <c r="K38" s="5">
        <f>IF(A38&gt;=(Title_RESULTS!$H$7+Title_RESULTS!$C$17),0,(SUM(G38:J38)))</f>
        <v>111541.08935551811</v>
      </c>
      <c r="L38" s="23">
        <f>IF(A38&gt;=(Title_RESULTS!$H$7+Title_RESULTS!$C$17),0,(+$K38-$F38))</f>
        <v>109554.47828548244</v>
      </c>
      <c r="M38" s="23">
        <f>IF(A38&gt;=(Title_RESULTS!$H$7+Title_RESULTS!$C$17),0,(+M37+$L38/(1+Title_RESULTS!$C$37)^('Sheet7(F_23)'!$A38-Title_RESULTS!$H$7)))</f>
        <v>1118668.614176186</v>
      </c>
    </row>
    <row r="39" spans="1:13" ht="12.75">
      <c r="A39">
        <f t="shared" si="0"/>
        <v>2043</v>
      </c>
      <c r="B39" s="5">
        <f>IF(A39&gt;=(Title_RESULTS!$H$7+Title_RESULTS!$C$17),0,(IF($A39&gt;=Title_RESULTS!$H$8,(Partcipation!$B38+(Partcipation!$B39-Partcipation!$B38)/2)*Title_RESULTS!$C$35*(1+Title_RESULTS!$C$36/100)^('Sheet7(F_23)'!$A39-Title_RESULTS!$H$7),0)))</f>
        <v>0</v>
      </c>
      <c r="C39" s="5">
        <f>IF(A39&gt;=(Title_RESULTS!$H$7+Title_RESULTS!$C$17),0,(+'Sheet6(p_6)'!$D39))</f>
        <v>2034.2897357165186</v>
      </c>
      <c r="D39" s="5">
        <f>IF(A39&gt;=(Title_RESULTS!$H$7+Title_RESULTS!$C$17),0,(+'Sheet6(p_6)'!$J39))</f>
        <v>0</v>
      </c>
      <c r="E39" s="5">
        <f>IF(A39&gt;=(Title_RESULTS!$H$7+Title_RESULTS!$C$17),0,(+'f-11B'!$N38))</f>
        <v>0</v>
      </c>
      <c r="F39" s="5">
        <f>IF(A39&gt;=(Title_RESULTS!$H$7+Title_RESULTS!$C$17),0,(SUM(B39:E39)))</f>
        <v>2034.2897357165186</v>
      </c>
      <c r="G39" s="5">
        <f>IF(A39&gt;=(Title_RESULTS!$H$7+Title_RESULTS!$C$17),0,('Sheet3(F_21)'!$J39))</f>
        <v>80281.04341021595</v>
      </c>
      <c r="H39" s="5">
        <f>IF(A39&gt;=(Title_RESULTS!$H$7+Title_RESULTS!$C$17),0,(+'Sheet4(F_22)'!$D39+'Sheet4(F_22)'!$G39))</f>
        <v>31657.47459265528</v>
      </c>
      <c r="I39" s="5">
        <f>IF(A39&gt;=(Title_RESULTS!$H$7+Title_RESULTS!$C$17),0,(+'Sheet4(F_22)'!$H39))</f>
        <v>0</v>
      </c>
      <c r="J39" s="5">
        <f>IF(A39&gt;=(Title_RESULTS!$H$7+Title_RESULTS!$C$17),0,(IF(Title_RESULTS!$C$31&lt;0,((Partcipation!$B38+(Partcipation!$B39-Partcipation!$B38)/2)*(ABS(Title_RESULTS!$C$31)*(1+Title_RESULTS!$C$32/100)^('Sheet7(F_23)'!$A39-Title_RESULTS!$H$7))/1000)+'f-11B'!$O38,+'f-11B'!$O38)))</f>
        <v>0</v>
      </c>
      <c r="K39" s="5">
        <f>IF(A39&gt;=(Title_RESULTS!$H$7+Title_RESULTS!$C$17),0,(SUM(G39:J39)))</f>
        <v>111938.51800287122</v>
      </c>
      <c r="L39" s="23">
        <f>IF(A39&gt;=(Title_RESULTS!$H$7+Title_RESULTS!$C$17),0,(+$K39-$F39))</f>
        <v>109904.2282671547</v>
      </c>
      <c r="M39" s="23">
        <f>IF(A39&gt;=(Title_RESULTS!$H$7+Title_RESULTS!$C$17),0,(+M38+$L39/(1+Title_RESULTS!$C$37)^('Sheet7(F_23)'!$A39-Title_RESULTS!$H$7)))</f>
        <v>1141457.4459886067</v>
      </c>
    </row>
    <row r="40" spans="1:13" ht="12.75">
      <c r="A40">
        <f t="shared" si="0"/>
        <v>2044</v>
      </c>
      <c r="B40" s="5">
        <f>IF(A40&gt;=(Title_RESULTS!$H$7+Title_RESULTS!$C$17),0,(IF($A40&gt;=Title_RESULTS!$H$8,(Partcipation!$B39+(Partcipation!$B40-Partcipation!$B39)/2)*Title_RESULTS!$C$35*(1+Title_RESULTS!$C$36/100)^('Sheet7(F_23)'!$A40-Title_RESULTS!$H$7),0)))</f>
        <v>0</v>
      </c>
      <c r="C40" s="5">
        <f>IF(A40&gt;=(Title_RESULTS!$H$7+Title_RESULTS!$C$17),0,(+'Sheet6(p_6)'!$D40))</f>
        <v>2083.1126893737146</v>
      </c>
      <c r="D40" s="5">
        <f>IF(A40&gt;=(Title_RESULTS!$H$7+Title_RESULTS!$C$17),0,(+'Sheet6(p_6)'!$J40))</f>
        <v>0</v>
      </c>
      <c r="E40" s="5">
        <f>IF(A40&gt;=(Title_RESULTS!$H$7+Title_RESULTS!$C$17),0,(+'f-11B'!$N39))</f>
        <v>0</v>
      </c>
      <c r="F40" s="5">
        <f>IF(A40&gt;=(Title_RESULTS!$H$7+Title_RESULTS!$C$17),0,(SUM(B40:E40)))</f>
        <v>2083.1126893737146</v>
      </c>
      <c r="G40" s="5">
        <f>IF(A40&gt;=(Title_RESULTS!$H$7+Title_RESULTS!$C$17),0,('Sheet3(F_21)'!$J40))</f>
        <v>83581.08190036548</v>
      </c>
      <c r="H40" s="5">
        <f>IF(A40&gt;=(Title_RESULTS!$H$7+Title_RESULTS!$C$17),0,(+'Sheet4(F_22)'!$D40+'Sheet4(F_22)'!$G40))</f>
        <v>31951.788448289168</v>
      </c>
      <c r="I40" s="5">
        <f>IF(A40&gt;=(Title_RESULTS!$H$7+Title_RESULTS!$C$17),0,(+'Sheet4(F_22)'!$H40))</f>
        <v>0</v>
      </c>
      <c r="J40" s="5">
        <f>IF(A40&gt;=(Title_RESULTS!$H$7+Title_RESULTS!$C$17),0,(IF(Title_RESULTS!$C$31&lt;0,((Partcipation!$B39+(Partcipation!$B40-Partcipation!$B39)/2)*(ABS(Title_RESULTS!$C$31)*(1+Title_RESULTS!$C$32/100)^('Sheet7(F_23)'!$A40-Title_RESULTS!$H$7))/1000)+'f-11B'!$O39,+'f-11B'!$O39)))</f>
        <v>0</v>
      </c>
      <c r="K40" s="5">
        <f>IF(A40&gt;=(Title_RESULTS!$H$7+Title_RESULTS!$C$17),0,(SUM(G40:J40)))</f>
        <v>115532.87034865464</v>
      </c>
      <c r="L40" s="23">
        <f>IF(A40&gt;=(Title_RESULTS!$H$7+Title_RESULTS!$C$17),0,(+$K40-$F40))</f>
        <v>113449.75765928093</v>
      </c>
      <c r="M40" s="23">
        <f>IF(A40&gt;=(Title_RESULTS!$H$7+Title_RESULTS!$C$17),0,(+M39+$L40/(1+Title_RESULTS!$C$37)^('Sheet7(F_23)'!$A40-Title_RESULTS!$H$7)))</f>
        <v>1163426.0708148405</v>
      </c>
    </row>
    <row r="41" spans="2:13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2.75">
      <c r="A42" t="s">
        <v>87</v>
      </c>
      <c r="B42" s="5">
        <f aca="true" t="shared" si="1" ref="B42:L42">SUM(B16:B41)</f>
        <v>0</v>
      </c>
      <c r="C42" s="5">
        <f t="shared" si="1"/>
        <v>43677.272922611846</v>
      </c>
      <c r="D42" s="5">
        <f t="shared" si="1"/>
        <v>0</v>
      </c>
      <c r="E42" s="5">
        <f t="shared" si="1"/>
        <v>0</v>
      </c>
      <c r="F42" s="5">
        <f t="shared" si="1"/>
        <v>43677.272922611846</v>
      </c>
      <c r="G42" s="5">
        <f t="shared" si="1"/>
        <v>1921250.365624705</v>
      </c>
      <c r="H42" s="5">
        <f t="shared" si="1"/>
        <v>702405.2196722637</v>
      </c>
      <c r="I42" s="5">
        <f t="shared" si="1"/>
        <v>0</v>
      </c>
      <c r="J42" s="5">
        <f t="shared" si="1"/>
        <v>0</v>
      </c>
      <c r="K42" s="5">
        <f t="shared" si="1"/>
        <v>2623655.585296969</v>
      </c>
      <c r="L42" s="5">
        <f t="shared" si="1"/>
        <v>2579978.3123743576</v>
      </c>
      <c r="M42" s="5"/>
    </row>
    <row r="43" spans="2:13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t="s">
        <v>118</v>
      </c>
      <c r="B44" s="5">
        <f>NPV(Title_RESULTS!$C$37,'Sheet7(F_23)'!B17:B41)+'Sheet7(F_23)'!B16</f>
        <v>0</v>
      </c>
      <c r="C44" s="5">
        <f>NPV(Title_RESULTS!$C$37,'Sheet7(F_23)'!C17:C41)+'Sheet7(F_23)'!C16</f>
        <v>21763.618368332413</v>
      </c>
      <c r="D44" s="5">
        <f>NPV(Title_RESULTS!$C$37,'Sheet7(F_23)'!D17:D41)+'Sheet7(F_23)'!D16</f>
        <v>0</v>
      </c>
      <c r="E44" s="5">
        <f>NPV(Title_RESULTS!$C$37,'Sheet7(F_23)'!E17:E41)+'Sheet7(F_23)'!E16</f>
        <v>0</v>
      </c>
      <c r="F44" s="5">
        <f>NPV(Title_RESULTS!$C$37,'Sheet7(F_23)'!F17:F41)+'Sheet7(F_23)'!F16</f>
        <v>21763.618368332413</v>
      </c>
      <c r="G44" s="5">
        <f>NPV(Title_RESULTS!$C$37,'Sheet7(F_23)'!G17:G41)+'Sheet7(F_23)'!G16</f>
        <v>866623.7387851902</v>
      </c>
      <c r="H44" s="5">
        <f>NPV(Title_RESULTS!$C$37,'Sheet7(F_23)'!H17:H41)+'Sheet7(F_23)'!H16</f>
        <v>318565.9503979827</v>
      </c>
      <c r="I44" s="5">
        <f>NPV(Title_RESULTS!$C$37,'Sheet7(F_23)'!I17:I41)+'Sheet7(F_23)'!I16</f>
        <v>0</v>
      </c>
      <c r="J44" s="5">
        <f>NPV(Title_RESULTS!$C$37,'Sheet7(F_23)'!J17:J41)+'Sheet7(F_23)'!J16</f>
        <v>0</v>
      </c>
      <c r="K44" s="5">
        <f>NPV(Title_RESULTS!$C$37,'Sheet7(F_23)'!K17:K41)+'Sheet7(F_23)'!K16</f>
        <v>1185189.6891831728</v>
      </c>
      <c r="L44" s="5">
        <f>NPV(Title_RESULTS!$C$37,'Sheet7(F_23)'!L17:L41)+'Sheet7(F_23)'!L16</f>
        <v>1163426.070814841</v>
      </c>
      <c r="M44" s="5"/>
    </row>
    <row r="46" spans="1:8" ht="12.75">
      <c r="A46" t="s">
        <v>162</v>
      </c>
      <c r="C46">
        <f>+Title_RESULTS!C37</f>
        <v>0.0708</v>
      </c>
      <c r="D46" t="s">
        <v>163</v>
      </c>
      <c r="H46" s="10">
        <f>+K44/F44</f>
        <v>54.45738245932977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Commercial DR - Firm Service Level</v>
      </c>
      <c r="L2" t="s">
        <v>55</v>
      </c>
    </row>
    <row r="3" ht="12.75">
      <c r="L3" s="35">
        <f>+Title_RESULTS!I4</f>
        <v>43599.31790740741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0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23851.5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23851.5</v>
      </c>
      <c r="G16" s="5">
        <f>IF(A16&gt;=(Title_RESULTS!$H$7+Title_RESULTS!$C$17),0,(+'Sheet6(p_6)'!$H16))</f>
        <v>0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0</v>
      </c>
      <c r="K16" s="23">
        <f>IF(A16&gt;=(Title_RESULTS!$H$7+Title_RESULTS!$C$17),0,(+F16-J16))</f>
        <v>23851.5</v>
      </c>
      <c r="L16" s="23">
        <f>IF(A16&gt;=(Title_RESULTS!$H$7+Title_RESULTS!$C$17),0,(+$K16/((1+Title_RESULTS!$C$37)^('Sheet8(F_24)'!$A16-Title_RESULTS!$H$7))))</f>
        <v>23851.5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0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71554.5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71554.5</v>
      </c>
      <c r="G17" s="5">
        <f>IF(A17&gt;=(Title_RESULTS!$H$7+Title_RESULTS!$C$17),0,(+'Sheet6(p_6)'!$H17))</f>
        <v>0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0</v>
      </c>
      <c r="K17" s="23">
        <f>IF(A17&gt;=(Title_RESULTS!$H$7+Title_RESULTS!$C$17),0,(+F17-J17))</f>
        <v>71554.5</v>
      </c>
      <c r="L17" s="23">
        <f>IF(A16&gt;=(Title_RESULTS!$H$7+Title_RESULTS!$C$17),0,(+$K17/((1+Title_RESULTS!$C$37)^('Sheet8(F_24)'!$A17-Title_RESULTS!$H$7))+L16))</f>
        <v>90674.90306313038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0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119257.5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119257.5</v>
      </c>
      <c r="G18" s="5">
        <f>IF(A18&gt;=(Title_RESULTS!$H$7+Title_RESULTS!$C$17),0,(+'Sheet6(p_6)'!$H18))</f>
        <v>0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0</v>
      </c>
      <c r="K18" s="23">
        <f>IF(A18&gt;=(Title_RESULTS!$H$7+Title_RESULTS!$C$17),0,(+F18-J18))</f>
        <v>119257.5</v>
      </c>
      <c r="L18" s="23">
        <f>IF(A17&gt;=(Title_RESULTS!$H$7+Title_RESULTS!$C$17),0,(+$K18/((1+Title_RESULTS!$C$37)^('Sheet8(F_24)'!$A18-Title_RESULTS!$H$7))+L17))</f>
        <v>194683.43727918438</v>
      </c>
      <c r="M18" s="5"/>
    </row>
    <row r="19" spans="1:13" ht="12.75">
      <c r="A19">
        <f aca="true" t="shared" si="0" ref="A19:A40">+A18+1</f>
        <v>2023</v>
      </c>
      <c r="B19" s="5">
        <f>IF(A19&gt;=(Title_RESULTS!$H$7+Title_RESULTS!$C$17),0,(+'Sheet6(p_6)'!N19-'Sheet6(p_6)'!R19))</f>
        <v>0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143109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143109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143109</v>
      </c>
      <c r="L19" s="23">
        <f>IF(A18&gt;=(Title_RESULTS!$H$7+Title_RESULTS!$C$17),0,(+$K19/((1+Title_RESULTS!$C$37)^('Sheet8(F_24)'!$A19-Title_RESULTS!$H$7))+L18))</f>
        <v>311241.3762586995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0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143109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143109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143109</v>
      </c>
      <c r="L20" s="23">
        <f>IF(A19&gt;=(Title_RESULTS!$H$7+Title_RESULTS!$C$17),0,(+$K20/((1+Title_RESULTS!$C$37)^('Sheet8(F_24)'!$A20-Title_RESULTS!$H$7))+L19))</f>
        <v>420092.6453841339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0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143109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143109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143109</v>
      </c>
      <c r="L21" s="23">
        <f>IF(A20&gt;=(Title_RESULTS!$H$7+Title_RESULTS!$C$17),0,(+$K21/((1+Title_RESULTS!$C$37)^('Sheet8(F_24)'!$A21-Title_RESULTS!$H$7))+L20))</f>
        <v>521746.8003387794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0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143109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143109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143109</v>
      </c>
      <c r="L22" s="23">
        <f>IF(A21&gt;=(Title_RESULTS!$H$7+Title_RESULTS!$C$17),0,(+$K22/((1+Title_RESULTS!$C$37)^('Sheet8(F_24)'!$A22-Title_RESULTS!$H$7))+L21))</f>
        <v>616679.7056008689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0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143109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143109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143109</v>
      </c>
      <c r="L23" s="23">
        <f>IF(A22&gt;=(Title_RESULTS!$H$7+Title_RESULTS!$C$17),0,(+$K23/((1+Title_RESULTS!$C$37)^('Sheet8(F_24)'!$A23-Title_RESULTS!$H$7))+L22))</f>
        <v>705335.7620652782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0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143109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143109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143109</v>
      </c>
      <c r="L24" s="23">
        <f>IF(A23&gt;=(Title_RESULTS!$H$7+Title_RESULTS!$C$17),0,(+$K24/((1+Title_RESULTS!$C$37)^('Sheet8(F_24)'!$A24-Title_RESULTS!$H$7))+L23))</f>
        <v>788129.9873775769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0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143109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143109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143109</v>
      </c>
      <c r="L25" s="23">
        <f>IF(A24&gt;=(Title_RESULTS!$H$7+Title_RESULTS!$C$17),0,(+$K25/((1+Title_RESULTS!$C$37)^('Sheet8(F_24)'!$A25-Title_RESULTS!$H$7))+L24))</f>
        <v>865449.9587189092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0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143109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143109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143109</v>
      </c>
      <c r="L26" s="23">
        <f>IF(A25&gt;=(Title_RESULTS!$H$7+Title_RESULTS!$C$17),0,(+$K26/((1+Title_RESULTS!$C$37)^('Sheet8(F_24)'!$A26-Title_RESULTS!$H$7))+L25))</f>
        <v>937657.6271362909</v>
      </c>
      <c r="M26" s="5"/>
    </row>
    <row r="27" spans="1:13" ht="12.75">
      <c r="A27">
        <f t="shared" si="0"/>
        <v>2031</v>
      </c>
      <c r="B27" s="5">
        <f>IF(A27&gt;=(Title_RESULTS!$H$7+Title_RESULTS!$C$17),0,(+'Sheet6(p_6)'!N27-'Sheet6(p_6)'!R27))</f>
        <v>0</v>
      </c>
      <c r="C27" s="5">
        <f>IF(A27&gt;=(Title_RESULTS!$H$7+Title_RESULTS!$C$17),0,(IF(Partcipation!$B27=0,0,((Partcipation!$B27-Partcipation!$B26)*Title_RESULTS!$C$33*(1+Title_RESULTS!$C$35/100)^('Sheet8(F_24)'!$A27-Title_RESULTS!$H$7))/1000)))</f>
        <v>0</v>
      </c>
      <c r="D27" s="5">
        <f>IF(A27&gt;=(Title_RESULTS!$H$7+Title_RESULTS!$C$17),0,(+'Sheet6(p_6)'!$G27))</f>
        <v>143109</v>
      </c>
      <c r="E27" s="5">
        <f>IF(A27&gt;=(Title_RESULTS!$H$7+Title_RESULTS!$C$17),0,(IF(Title_RESULTS!$C$31&lt;0,((Partcipation!$B26+(Partcipation!$B27-Partcipation!$B26)/2)*(ABS(Title_RESULTS!$C$31)*(1+Title_RESULTS!$C$32/100)^('Sheet6(p_6)'!$A27-Title_RESULTS!$H$7))/1000)+'f-11B'!$Q26,+'f-11B'!$Q26)))</f>
        <v>0</v>
      </c>
      <c r="F27" s="5">
        <f>IF(A27&gt;=(Title_RESULTS!$H$7+Title_RESULTS!$C$17),0,(SUM(B27:E27)))</f>
        <v>143109</v>
      </c>
      <c r="G27" s="5">
        <f>IF(A27&gt;=(Title_RESULTS!$H$7+Title_RESULTS!$C$17),0,(+'Sheet6(p_6)'!$H27))</f>
        <v>0</v>
      </c>
      <c r="H27" s="5">
        <f>IF(A27&gt;=(Title_RESULTS!$H$7+Title_RESULTS!$C$17),0,(+'Sheet6(p_6)'!$I27))</f>
        <v>0</v>
      </c>
      <c r="I27" s="5">
        <f>IF(A27&gt;=(Title_RESULTS!$H$7+Title_RESULTS!$C$17),0,(+'f-11B'!$P26))</f>
        <v>0</v>
      </c>
      <c r="J27" s="5">
        <f>IF(A27&gt;=(Title_RESULTS!$H$7+Title_RESULTS!$C$17),0,(SUM(G27:I27)))</f>
        <v>0</v>
      </c>
      <c r="K27" s="23">
        <f>IF(A27&gt;=(Title_RESULTS!$H$7+Title_RESULTS!$C$17),0,(+F27-J27))</f>
        <v>143109</v>
      </c>
      <c r="L27" s="23">
        <f>IF(A26&gt;=(Title_RESULTS!$H$7+Title_RESULTS!$C$17),0,(+$K27/((1+Title_RESULTS!$C$37)^('Sheet8(F_24)'!$A27-Title_RESULTS!$H$7))+L26))</f>
        <v>1005091.011911582</v>
      </c>
      <c r="M27" s="5"/>
    </row>
    <row r="28" spans="1:13" ht="12.75">
      <c r="A28">
        <f t="shared" si="0"/>
        <v>2032</v>
      </c>
      <c r="B28" s="5">
        <f>IF(A28&gt;=(Title_RESULTS!$H$7+Title_RESULTS!$C$17),0,(+'Sheet6(p_6)'!N28-'Sheet6(p_6)'!R28))</f>
        <v>0</v>
      </c>
      <c r="C28" s="5">
        <f>IF(A28&gt;=(Title_RESULTS!$H$7+Title_RESULTS!$C$17),0,(IF(Partcipation!$B28=0,0,((Partcipation!$B28-Partcipation!$B27)*Title_RESULTS!$C$33*(1+Title_RESULTS!$C$35/100)^('Sheet8(F_24)'!$A28-Title_RESULTS!$H$7))/1000)))</f>
        <v>0</v>
      </c>
      <c r="D28" s="5">
        <f>IF(A28&gt;=(Title_RESULTS!$H$7+Title_RESULTS!$C$17),0,(+'Sheet6(p_6)'!$G28))</f>
        <v>143109</v>
      </c>
      <c r="E28" s="5">
        <f>IF(A28&gt;=(Title_RESULTS!$H$7+Title_RESULTS!$C$17),0,(IF(Title_RESULTS!$C$31&lt;0,((Partcipation!$B27+(Partcipation!$B28-Partcipation!$B27)/2)*(ABS(Title_RESULTS!$C$31)*(1+Title_RESULTS!$C$32/100)^('Sheet6(p_6)'!$A28-Title_RESULTS!$H$7))/1000)+'f-11B'!$Q27,+'f-11B'!$Q27)))</f>
        <v>0</v>
      </c>
      <c r="F28" s="5">
        <f>IF(A28&gt;=(Title_RESULTS!$H$7+Title_RESULTS!$C$17),0,(SUM(B28:E28)))</f>
        <v>143109</v>
      </c>
      <c r="G28" s="5">
        <f>IF(A28&gt;=(Title_RESULTS!$H$7+Title_RESULTS!$C$17),0,(+'Sheet6(p_6)'!$H28))</f>
        <v>0</v>
      </c>
      <c r="H28" s="5">
        <f>IF(A28&gt;=(Title_RESULTS!$H$7+Title_RESULTS!$C$17),0,(+'Sheet6(p_6)'!$I28))</f>
        <v>0</v>
      </c>
      <c r="I28" s="5">
        <f>IF(A28&gt;=(Title_RESULTS!$H$7+Title_RESULTS!$C$17),0,(+'f-11B'!$P27))</f>
        <v>0</v>
      </c>
      <c r="J28" s="5">
        <f>IF(A28&gt;=(Title_RESULTS!$H$7+Title_RESULTS!$C$17),0,(SUM(G28:I28)))</f>
        <v>0</v>
      </c>
      <c r="K28" s="23">
        <f>IF(A28&gt;=(Title_RESULTS!$H$7+Title_RESULTS!$C$17),0,(+F28-J28))</f>
        <v>143109</v>
      </c>
      <c r="L28" s="23">
        <f>IF(A27&gt;=(Title_RESULTS!$H$7+Title_RESULTS!$C$17),0,(+$K28/((1+Title_RESULTS!$C$37)^('Sheet8(F_24)'!$A28-Title_RESULTS!$H$7))+L27))</f>
        <v>1068065.782900834</v>
      </c>
      <c r="M28" s="5"/>
    </row>
    <row r="29" spans="1:13" ht="12.75">
      <c r="A29">
        <f t="shared" si="0"/>
        <v>2033</v>
      </c>
      <c r="B29" s="5">
        <f>IF(A29&gt;=(Title_RESULTS!$H$7+Title_RESULTS!$C$17),0,(+'Sheet6(p_6)'!N29-'Sheet6(p_6)'!R29))</f>
        <v>0</v>
      </c>
      <c r="C29" s="5">
        <f>IF(A29&gt;=(Title_RESULTS!$H$7+Title_RESULTS!$C$17),0,(IF(Partcipation!$B29=0,0,((Partcipation!$B29-Partcipation!$B28)*Title_RESULTS!$C$33*(1+Title_RESULTS!$C$35/100)^('Sheet8(F_24)'!$A29-Title_RESULTS!$H$7))/1000)))</f>
        <v>0</v>
      </c>
      <c r="D29" s="5">
        <f>IF(A29&gt;=(Title_RESULTS!$H$7+Title_RESULTS!$C$17),0,(+'Sheet6(p_6)'!$G29))</f>
        <v>143109</v>
      </c>
      <c r="E29" s="5">
        <f>IF(A29&gt;=(Title_RESULTS!$H$7+Title_RESULTS!$C$17),0,(IF(Title_RESULTS!$C$31&lt;0,((Partcipation!$B28+(Partcipation!$B29-Partcipation!$B28)/2)*(ABS(Title_RESULTS!$C$31)*(1+Title_RESULTS!$C$32/100)^('Sheet6(p_6)'!$A29-Title_RESULTS!$H$7))/1000)+'f-11B'!$Q28,+'f-11B'!$Q28)))</f>
        <v>0</v>
      </c>
      <c r="F29" s="5">
        <f>IF(A29&gt;=(Title_RESULTS!$H$7+Title_RESULTS!$C$17),0,(SUM(B29:E29)))</f>
        <v>143109</v>
      </c>
      <c r="G29" s="5">
        <f>IF(A29&gt;=(Title_RESULTS!$H$7+Title_RESULTS!$C$17),0,(+'Sheet6(p_6)'!$H29))</f>
        <v>0</v>
      </c>
      <c r="H29" s="5">
        <f>IF(A29&gt;=(Title_RESULTS!$H$7+Title_RESULTS!$C$17),0,(+'Sheet6(p_6)'!$I29))</f>
        <v>0</v>
      </c>
      <c r="I29" s="5">
        <f>IF(A29&gt;=(Title_RESULTS!$H$7+Title_RESULTS!$C$17),0,(+'f-11B'!$P28))</f>
        <v>0</v>
      </c>
      <c r="J29" s="5">
        <f>IF(A29&gt;=(Title_RESULTS!$H$7+Title_RESULTS!$C$17),0,(SUM(G29:I29)))</f>
        <v>0</v>
      </c>
      <c r="K29" s="23">
        <f>IF(A29&gt;=(Title_RESULTS!$H$7+Title_RESULTS!$C$17),0,(+F29-J29))</f>
        <v>143109</v>
      </c>
      <c r="L29" s="23">
        <f>IF(A28&gt;=(Title_RESULTS!$H$7+Title_RESULTS!$C$17),0,(+$K29/((1+Title_RESULTS!$C$37)^('Sheet8(F_24)'!$A29-Title_RESULTS!$H$7))+L28))</f>
        <v>1126876.738251275</v>
      </c>
      <c r="M29" s="5"/>
    </row>
    <row r="30" spans="1:13" ht="12.75">
      <c r="A30">
        <f t="shared" si="0"/>
        <v>2034</v>
      </c>
      <c r="B30" s="5">
        <f>IF(A30&gt;=(Title_RESULTS!$H$7+Title_RESULTS!$C$17),0,(+'Sheet6(p_6)'!N30-'Sheet6(p_6)'!R30))</f>
        <v>0</v>
      </c>
      <c r="C30" s="5">
        <f>IF(A30&gt;=(Title_RESULTS!$H$7+Title_RESULTS!$C$17),0,(IF(Partcipation!$B30=0,0,((Partcipation!$B30-Partcipation!$B29)*Title_RESULTS!$C$33*(1+Title_RESULTS!$C$35/100)^('Sheet8(F_24)'!$A30-Title_RESULTS!$H$7))/1000)))</f>
        <v>0</v>
      </c>
      <c r="D30" s="5">
        <f>IF(A30&gt;=(Title_RESULTS!$H$7+Title_RESULTS!$C$17),0,(+'Sheet6(p_6)'!$G30))</f>
        <v>143109</v>
      </c>
      <c r="E30" s="5">
        <f>IF(A30&gt;=(Title_RESULTS!$H$7+Title_RESULTS!$C$17),0,(IF(Title_RESULTS!$C$31&lt;0,((Partcipation!$B29+(Partcipation!$B30-Partcipation!$B29)/2)*(ABS(Title_RESULTS!$C$31)*(1+Title_RESULTS!$C$32/100)^('Sheet6(p_6)'!$A30-Title_RESULTS!$H$7))/1000)+'f-11B'!$Q29,+'f-11B'!$Q29)))</f>
        <v>0</v>
      </c>
      <c r="F30" s="5">
        <f>IF(A30&gt;=(Title_RESULTS!$H$7+Title_RESULTS!$C$17),0,(SUM(B30:E30)))</f>
        <v>143109</v>
      </c>
      <c r="G30" s="5">
        <f>IF(A30&gt;=(Title_RESULTS!$H$7+Title_RESULTS!$C$17),0,(+'Sheet6(p_6)'!$H30))</f>
        <v>0</v>
      </c>
      <c r="H30" s="5">
        <f>IF(A30&gt;=(Title_RESULTS!$H$7+Title_RESULTS!$C$17),0,(+'Sheet6(p_6)'!$I30))</f>
        <v>0</v>
      </c>
      <c r="I30" s="5">
        <f>IF(A30&gt;=(Title_RESULTS!$H$7+Title_RESULTS!$C$17),0,(+'f-11B'!$P29))</f>
        <v>0</v>
      </c>
      <c r="J30" s="5">
        <f>IF(A30&gt;=(Title_RESULTS!$H$7+Title_RESULTS!$C$17),0,(SUM(G30:I30)))</f>
        <v>0</v>
      </c>
      <c r="K30" s="23">
        <f>IF(A30&gt;=(Title_RESULTS!$H$7+Title_RESULTS!$C$17),0,(+F30-J30))</f>
        <v>143109</v>
      </c>
      <c r="L30" s="23">
        <f>IF(A29&gt;=(Title_RESULTS!$H$7+Title_RESULTS!$C$17),0,(+$K30/((1+Title_RESULTS!$C$37)^('Sheet8(F_24)'!$A30-Title_RESULTS!$H$7))+L29))</f>
        <v>1181799.184413435</v>
      </c>
      <c r="M30" s="5"/>
    </row>
    <row r="31" spans="1:13" ht="12.75">
      <c r="A31">
        <f t="shared" si="0"/>
        <v>2035</v>
      </c>
      <c r="B31" s="5">
        <f>IF(A31&gt;=(Title_RESULTS!$H$7+Title_RESULTS!$C$17),0,(+'Sheet6(p_6)'!N31-'Sheet6(p_6)'!R31))</f>
        <v>0</v>
      </c>
      <c r="C31" s="5">
        <f>IF(A31&gt;=(Title_RESULTS!$H$7+Title_RESULTS!$C$17),0,(IF(Partcipation!$B31=0,0,((Partcipation!$B31-Partcipation!$B30)*Title_RESULTS!$C$33*(1+Title_RESULTS!$C$35/100)^('Sheet8(F_24)'!$A31-Title_RESULTS!$H$7))/1000)))</f>
        <v>0</v>
      </c>
      <c r="D31" s="5">
        <f>IF(A31&gt;=(Title_RESULTS!$H$7+Title_RESULTS!$C$17),0,(+'Sheet6(p_6)'!$G31))</f>
        <v>143109</v>
      </c>
      <c r="E31" s="5">
        <f>IF(A31&gt;=(Title_RESULTS!$H$7+Title_RESULTS!$C$17),0,(IF(Title_RESULTS!$C$31&lt;0,((Partcipation!$B30+(Partcipation!$B31-Partcipation!$B30)/2)*(ABS(Title_RESULTS!$C$31)*(1+Title_RESULTS!$C$32/100)^('Sheet6(p_6)'!$A31-Title_RESULTS!$H$7))/1000)+'f-11B'!$Q30,+'f-11B'!$Q30)))</f>
        <v>0</v>
      </c>
      <c r="F31" s="5">
        <f>IF(A31&gt;=(Title_RESULTS!$H$7+Title_RESULTS!$C$17),0,(SUM(B31:E31)))</f>
        <v>143109</v>
      </c>
      <c r="G31" s="5">
        <f>IF(A31&gt;=(Title_RESULTS!$H$7+Title_RESULTS!$C$17),0,(+'Sheet6(p_6)'!$H31))</f>
        <v>0</v>
      </c>
      <c r="H31" s="5">
        <f>IF(A31&gt;=(Title_RESULTS!$H$7+Title_RESULTS!$C$17),0,(+'Sheet6(p_6)'!$I31))</f>
        <v>0</v>
      </c>
      <c r="I31" s="5">
        <f>IF(A31&gt;=(Title_RESULTS!$H$7+Title_RESULTS!$C$17),0,(+'f-11B'!$P30))</f>
        <v>0</v>
      </c>
      <c r="J31" s="5">
        <f>IF(A31&gt;=(Title_RESULTS!$H$7+Title_RESULTS!$C$17),0,(SUM(G31:I31)))</f>
        <v>0</v>
      </c>
      <c r="K31" s="23">
        <f>IF(A31&gt;=(Title_RESULTS!$H$7+Title_RESULTS!$C$17),0,(+F31-J31))</f>
        <v>143109</v>
      </c>
      <c r="L31" s="23">
        <f>IF(A30&gt;=(Title_RESULTS!$H$7+Title_RESULTS!$C$17),0,(+$K31/((1+Title_RESULTS!$C$37)^('Sheet8(F_24)'!$A31-Title_RESULTS!$H$7))+L30))</f>
        <v>1233090.2249085414</v>
      </c>
      <c r="M31" s="5"/>
    </row>
    <row r="32" spans="1:13" ht="12.75">
      <c r="A32">
        <f t="shared" si="0"/>
        <v>2036</v>
      </c>
      <c r="B32" s="5">
        <f>IF(A32&gt;=(Title_RESULTS!$H$7+Title_RESULTS!$C$17),0,(+'Sheet6(p_6)'!N32-'Sheet6(p_6)'!R32))</f>
        <v>0</v>
      </c>
      <c r="C32" s="5">
        <f>IF(A32&gt;=(Title_RESULTS!$H$7+Title_RESULTS!$C$17),0,(IF(Partcipation!$B32=0,0,((Partcipation!$B32-Partcipation!$B31)*Title_RESULTS!$C$33*(1+Title_RESULTS!$C$35/100)^('Sheet8(F_24)'!$A32-Title_RESULTS!$H$7))/1000)))</f>
        <v>0</v>
      </c>
      <c r="D32" s="5">
        <f>IF(A32&gt;=(Title_RESULTS!$H$7+Title_RESULTS!$C$17),0,(+'Sheet6(p_6)'!$G32))</f>
        <v>143109</v>
      </c>
      <c r="E32" s="5">
        <f>IF(A32&gt;=(Title_RESULTS!$H$7+Title_RESULTS!$C$17),0,(IF(Title_RESULTS!$C$31&lt;0,((Partcipation!$B31+(Partcipation!$B32-Partcipation!$B31)/2)*(ABS(Title_RESULTS!$C$31)*(1+Title_RESULTS!$C$32/100)^('Sheet6(p_6)'!$A32-Title_RESULTS!$H$7))/1000)+'f-11B'!$Q31,+'f-11B'!$Q31)))</f>
        <v>0</v>
      </c>
      <c r="F32" s="5">
        <f>IF(A32&gt;=(Title_RESULTS!$H$7+Title_RESULTS!$C$17),0,(SUM(B32:E32)))</f>
        <v>143109</v>
      </c>
      <c r="G32" s="5">
        <f>IF(A32&gt;=(Title_RESULTS!$H$7+Title_RESULTS!$C$17),0,(+'Sheet6(p_6)'!$H32))</f>
        <v>0</v>
      </c>
      <c r="H32" s="5">
        <f>IF(A32&gt;=(Title_RESULTS!$H$7+Title_RESULTS!$C$17),0,(+'Sheet6(p_6)'!$I32))</f>
        <v>0</v>
      </c>
      <c r="I32" s="5">
        <f>IF(A32&gt;=(Title_RESULTS!$H$7+Title_RESULTS!$C$17),0,(+'f-11B'!$P31))</f>
        <v>0</v>
      </c>
      <c r="J32" s="5">
        <f>IF(A32&gt;=(Title_RESULTS!$H$7+Title_RESULTS!$C$17),0,(SUM(G32:I32)))</f>
        <v>0</v>
      </c>
      <c r="K32" s="23">
        <f>IF(A32&gt;=(Title_RESULTS!$H$7+Title_RESULTS!$C$17),0,(+F32-J32))</f>
        <v>143109</v>
      </c>
      <c r="L32" s="23">
        <f>IF(A31&gt;=(Title_RESULTS!$H$7+Title_RESULTS!$C$17),0,(+$K32/((1+Title_RESULTS!$C$37)^('Sheet8(F_24)'!$A32-Title_RESULTS!$H$7))+L31))</f>
        <v>1280989.9638841732</v>
      </c>
      <c r="M32" s="5"/>
    </row>
    <row r="33" spans="1:13" ht="12.75">
      <c r="A33">
        <f t="shared" si="0"/>
        <v>2037</v>
      </c>
      <c r="B33" s="5">
        <f>IF(A33&gt;=(Title_RESULTS!$H$7+Title_RESULTS!$C$17),0,(+'Sheet6(p_6)'!N33-'Sheet6(p_6)'!R33))</f>
        <v>0</v>
      </c>
      <c r="C33" s="5">
        <f>IF(A33&gt;=(Title_RESULTS!$H$7+Title_RESULTS!$C$17),0,(IF(Partcipation!$B33=0,0,((Partcipation!$B33-Partcipation!$B32)*Title_RESULTS!$C$33*(1+Title_RESULTS!$C$35/100)^('Sheet8(F_24)'!$A33-Title_RESULTS!$H$7))/1000)))</f>
        <v>0</v>
      </c>
      <c r="D33" s="5">
        <f>IF(A33&gt;=(Title_RESULTS!$H$7+Title_RESULTS!$C$17),0,(+'Sheet6(p_6)'!$G33))</f>
        <v>143109</v>
      </c>
      <c r="E33" s="5">
        <f>IF(A33&gt;=(Title_RESULTS!$H$7+Title_RESULTS!$C$17),0,(IF(Title_RESULTS!$C$31&lt;0,((Partcipation!$B32+(Partcipation!$B33-Partcipation!$B32)/2)*(ABS(Title_RESULTS!$C$31)*(1+Title_RESULTS!$C$32/100)^('Sheet6(p_6)'!$A33-Title_RESULTS!$H$7))/1000)+'f-11B'!$Q32,+'f-11B'!$Q32)))</f>
        <v>0</v>
      </c>
      <c r="F33" s="5">
        <f>IF(A33&gt;=(Title_RESULTS!$H$7+Title_RESULTS!$C$17),0,(SUM(B33:E33)))</f>
        <v>143109</v>
      </c>
      <c r="G33" s="5">
        <f>IF(A33&gt;=(Title_RESULTS!$H$7+Title_RESULTS!$C$17),0,(+'Sheet6(p_6)'!$H33))</f>
        <v>0</v>
      </c>
      <c r="H33" s="5">
        <f>IF(A33&gt;=(Title_RESULTS!$H$7+Title_RESULTS!$C$17),0,(+'Sheet6(p_6)'!$I33))</f>
        <v>0</v>
      </c>
      <c r="I33" s="5">
        <f>IF(A33&gt;=(Title_RESULTS!$H$7+Title_RESULTS!$C$17),0,(+'f-11B'!$P32))</f>
        <v>0</v>
      </c>
      <c r="J33" s="5">
        <f>IF(A33&gt;=(Title_RESULTS!$H$7+Title_RESULTS!$C$17),0,(SUM(G33:I33)))</f>
        <v>0</v>
      </c>
      <c r="K33" s="23">
        <f>IF(A33&gt;=(Title_RESULTS!$H$7+Title_RESULTS!$C$17),0,(+F33-J33))</f>
        <v>143109</v>
      </c>
      <c r="L33" s="23">
        <f>IF(A32&gt;=(Title_RESULTS!$H$7+Title_RESULTS!$C$17),0,(+$K33/((1+Title_RESULTS!$C$37)^('Sheet8(F_24)'!$A33-Title_RESULTS!$H$7))+L32))</f>
        <v>1325722.6300922716</v>
      </c>
      <c r="M33" s="5"/>
    </row>
    <row r="34" spans="1:13" ht="12.75">
      <c r="A34">
        <f t="shared" si="0"/>
        <v>2038</v>
      </c>
      <c r="B34" s="5">
        <f>IF(A34&gt;=(Title_RESULTS!$H$7+Title_RESULTS!$C$17),0,(+'Sheet6(p_6)'!N34-'Sheet6(p_6)'!R34))</f>
        <v>0</v>
      </c>
      <c r="C34" s="5">
        <f>IF(A34&gt;=(Title_RESULTS!$H$7+Title_RESULTS!$C$17),0,(IF(Partcipation!$B34=0,0,((Partcipation!$B34-Partcipation!$B33)*Title_RESULTS!$C$33*(1+Title_RESULTS!$C$35/100)^('Sheet8(F_24)'!$A34-Title_RESULTS!$H$7))/1000)))</f>
        <v>0</v>
      </c>
      <c r="D34" s="5">
        <f>IF(A34&gt;=(Title_RESULTS!$H$7+Title_RESULTS!$C$17),0,(+'Sheet6(p_6)'!$G34))</f>
        <v>143109</v>
      </c>
      <c r="E34" s="5">
        <f>IF(A34&gt;=(Title_RESULTS!$H$7+Title_RESULTS!$C$17),0,(IF(Title_RESULTS!$C$31&lt;0,((Partcipation!$B33+(Partcipation!$B34-Partcipation!$B33)/2)*(ABS(Title_RESULTS!$C$31)*(1+Title_RESULTS!$C$32/100)^('Sheet6(p_6)'!$A34-Title_RESULTS!$H$7))/1000)+'f-11B'!$Q33,+'f-11B'!$Q33)))</f>
        <v>0</v>
      </c>
      <c r="F34" s="5">
        <f>IF(A34&gt;=(Title_RESULTS!$H$7+Title_RESULTS!$C$17),0,(SUM(B34:E34)))</f>
        <v>143109</v>
      </c>
      <c r="G34" s="5">
        <f>IF(A34&gt;=(Title_RESULTS!$H$7+Title_RESULTS!$C$17),0,(+'Sheet6(p_6)'!$H34))</f>
        <v>0</v>
      </c>
      <c r="H34" s="5">
        <f>IF(A34&gt;=(Title_RESULTS!$H$7+Title_RESULTS!$C$17),0,(+'Sheet6(p_6)'!$I34))</f>
        <v>0</v>
      </c>
      <c r="I34" s="5">
        <f>IF(A34&gt;=(Title_RESULTS!$H$7+Title_RESULTS!$C$17),0,(+'f-11B'!$P33))</f>
        <v>0</v>
      </c>
      <c r="J34" s="5">
        <f>IF(A34&gt;=(Title_RESULTS!$H$7+Title_RESULTS!$C$17),0,(SUM(G34:I34)))</f>
        <v>0</v>
      </c>
      <c r="K34" s="23">
        <f>IF(A34&gt;=(Title_RESULTS!$H$7+Title_RESULTS!$C$17),0,(+F34-J34))</f>
        <v>143109</v>
      </c>
      <c r="L34" s="23">
        <f>IF(A33&gt;=(Title_RESULTS!$H$7+Title_RESULTS!$C$17),0,(+$K34/((1+Title_RESULTS!$C$37)^('Sheet8(F_24)'!$A34-Title_RESULTS!$H$7))+L33))</f>
        <v>1367497.6265510859</v>
      </c>
      <c r="M34" s="5"/>
    </row>
    <row r="35" spans="1:13" ht="12.75">
      <c r="A35">
        <f t="shared" si="0"/>
        <v>2039</v>
      </c>
      <c r="B35" s="5">
        <f>IF(A35&gt;=(Title_RESULTS!$H$7+Title_RESULTS!$C$17),0,(+'Sheet6(p_6)'!N35-'Sheet6(p_6)'!R35))</f>
        <v>0</v>
      </c>
      <c r="C35" s="5">
        <f>IF(A35&gt;=(Title_RESULTS!$H$7+Title_RESULTS!$C$17),0,(IF(Partcipation!$B35=0,0,((Partcipation!$B35-Partcipation!$B34)*Title_RESULTS!$C$33*(1+Title_RESULTS!$C$35/100)^('Sheet8(F_24)'!$A35-Title_RESULTS!$H$7))/1000)))</f>
        <v>0</v>
      </c>
      <c r="D35" s="5">
        <f>IF(A35&gt;=(Title_RESULTS!$H$7+Title_RESULTS!$C$17),0,(+'Sheet6(p_6)'!$G35))</f>
        <v>143109</v>
      </c>
      <c r="E35" s="5">
        <f>IF(A35&gt;=(Title_RESULTS!$H$7+Title_RESULTS!$C$17),0,(IF(Title_RESULTS!$C$31&lt;0,((Partcipation!$B34+(Partcipation!$B35-Partcipation!$B34)/2)*(ABS(Title_RESULTS!$C$31)*(1+Title_RESULTS!$C$32/100)^('Sheet6(p_6)'!$A35-Title_RESULTS!$H$7))/1000)+'f-11B'!$Q34,+'f-11B'!$Q34)))</f>
        <v>0</v>
      </c>
      <c r="F35" s="5">
        <f>IF(A35&gt;=(Title_RESULTS!$H$7+Title_RESULTS!$C$17),0,(SUM(B35:E35)))</f>
        <v>143109</v>
      </c>
      <c r="G35" s="5">
        <f>IF(A35&gt;=(Title_RESULTS!$H$7+Title_RESULTS!$C$17),0,(+'Sheet6(p_6)'!$H35))</f>
        <v>0</v>
      </c>
      <c r="H35" s="5">
        <f>IF(A35&gt;=(Title_RESULTS!$H$7+Title_RESULTS!$C$17),0,(+'Sheet6(p_6)'!$I35))</f>
        <v>0</v>
      </c>
      <c r="I35" s="5">
        <f>IF(A35&gt;=(Title_RESULTS!$H$7+Title_RESULTS!$C$17),0,(+'f-11B'!$P34))</f>
        <v>0</v>
      </c>
      <c r="J35" s="5">
        <f>IF(A35&gt;=(Title_RESULTS!$H$7+Title_RESULTS!$C$17),0,(SUM(G35:I35)))</f>
        <v>0</v>
      </c>
      <c r="K35" s="23">
        <f>IF(A35&gt;=(Title_RESULTS!$H$7+Title_RESULTS!$C$17),0,(+F35-J35))</f>
        <v>143109</v>
      </c>
      <c r="L35" s="23">
        <f>IF(A34&gt;=(Title_RESULTS!$H$7+Title_RESULTS!$C$17),0,(+$K35/((1+Title_RESULTS!$C$37)^('Sheet8(F_24)'!$A35-Title_RESULTS!$H$7))+L34))</f>
        <v>1406510.5108047414</v>
      </c>
      <c r="M35" s="5"/>
    </row>
    <row r="36" spans="1:13" ht="12.75">
      <c r="A36">
        <f t="shared" si="0"/>
        <v>2040</v>
      </c>
      <c r="B36" s="5">
        <f>IF(A36&gt;=(Title_RESULTS!$H$7+Title_RESULTS!$C$17),0,(+'Sheet6(p_6)'!N36-'Sheet6(p_6)'!R36))</f>
        <v>0</v>
      </c>
      <c r="C36" s="5">
        <f>IF(A36&gt;=(Title_RESULTS!$H$7+Title_RESULTS!$C$17),0,(IF(Partcipation!$B36=0,0,((Partcipation!$B36-Partcipation!$B35)*Title_RESULTS!$C$33*(1+Title_RESULTS!$C$35/100)^('Sheet8(F_24)'!$A36-Title_RESULTS!$H$7))/1000)))</f>
        <v>0</v>
      </c>
      <c r="D36" s="5">
        <f>IF(A36&gt;=(Title_RESULTS!$H$7+Title_RESULTS!$C$17),0,(+'Sheet6(p_6)'!$G36))</f>
        <v>143109</v>
      </c>
      <c r="E36" s="5">
        <f>IF(A36&gt;=(Title_RESULTS!$H$7+Title_RESULTS!$C$17),0,(IF(Title_RESULTS!$C$31&lt;0,((Partcipation!$B35+(Partcipation!$B36-Partcipation!$B35)/2)*(ABS(Title_RESULTS!$C$31)*(1+Title_RESULTS!$C$32/100)^('Sheet6(p_6)'!$A36-Title_RESULTS!$H$7))/1000)+'f-11B'!$Q35,+'f-11B'!$Q35)))</f>
        <v>0</v>
      </c>
      <c r="F36" s="5">
        <f>IF(A36&gt;=(Title_RESULTS!$H$7+Title_RESULTS!$C$17),0,(SUM(B36:E36)))</f>
        <v>143109</v>
      </c>
      <c r="G36" s="5">
        <f>IF(A36&gt;=(Title_RESULTS!$H$7+Title_RESULTS!$C$17),0,(+'Sheet6(p_6)'!$H36))</f>
        <v>0</v>
      </c>
      <c r="H36" s="5">
        <f>IF(A36&gt;=(Title_RESULTS!$H$7+Title_RESULTS!$C$17),0,(+'Sheet6(p_6)'!$I36))</f>
        <v>0</v>
      </c>
      <c r="I36" s="5">
        <f>IF(A36&gt;=(Title_RESULTS!$H$7+Title_RESULTS!$C$17),0,(+'f-11B'!$P35))</f>
        <v>0</v>
      </c>
      <c r="J36" s="5">
        <f>IF(A36&gt;=(Title_RESULTS!$H$7+Title_RESULTS!$C$17),0,(SUM(G36:I36)))</f>
        <v>0</v>
      </c>
      <c r="K36" s="23">
        <f>IF(A36&gt;=(Title_RESULTS!$H$7+Title_RESULTS!$C$17),0,(+F36-J36))</f>
        <v>143109</v>
      </c>
      <c r="L36" s="23">
        <f>IF(A35&gt;=(Title_RESULTS!$H$7+Title_RESULTS!$C$17),0,(+$K36/((1+Title_RESULTS!$C$37)^('Sheet8(F_24)'!$A36-Title_RESULTS!$H$7))+L35))</f>
        <v>1442943.910369231</v>
      </c>
      <c r="M36" s="5"/>
    </row>
    <row r="37" spans="1:13" ht="12.75">
      <c r="A37">
        <f t="shared" si="0"/>
        <v>2041</v>
      </c>
      <c r="B37" s="5">
        <f>IF(A37&gt;=(Title_RESULTS!$H$7+Title_RESULTS!$C$17),0,(+'Sheet6(p_6)'!N37-'Sheet6(p_6)'!R37))</f>
        <v>0</v>
      </c>
      <c r="C37" s="5">
        <f>IF(A37&gt;=(Title_RESULTS!$H$7+Title_RESULTS!$C$17),0,(IF(Partcipation!$B37=0,0,((Partcipation!$B37-Partcipation!$B36)*Title_RESULTS!$C$33*(1+Title_RESULTS!$C$35/100)^('Sheet8(F_24)'!$A37-Title_RESULTS!$H$7))/1000)))</f>
        <v>0</v>
      </c>
      <c r="D37" s="5">
        <f>IF(A37&gt;=(Title_RESULTS!$H$7+Title_RESULTS!$C$17),0,(+'Sheet6(p_6)'!$G37))</f>
        <v>143109</v>
      </c>
      <c r="E37" s="5">
        <f>IF(A37&gt;=(Title_RESULTS!$H$7+Title_RESULTS!$C$17),0,(IF(Title_RESULTS!$C$31&lt;0,((Partcipation!$B36+(Partcipation!$B37-Partcipation!$B36)/2)*(ABS(Title_RESULTS!$C$31)*(1+Title_RESULTS!$C$32/100)^('Sheet6(p_6)'!$A37-Title_RESULTS!$H$7))/1000)+'f-11B'!$Q36,+'f-11B'!$Q36)))</f>
        <v>0</v>
      </c>
      <c r="F37" s="5">
        <f>IF(A37&gt;=(Title_RESULTS!$H$7+Title_RESULTS!$C$17),0,(SUM(B37:E37)))</f>
        <v>143109</v>
      </c>
      <c r="G37" s="5">
        <f>IF(A37&gt;=(Title_RESULTS!$H$7+Title_RESULTS!$C$17),0,(+'Sheet6(p_6)'!$H37))</f>
        <v>0</v>
      </c>
      <c r="H37" s="5">
        <f>IF(A37&gt;=(Title_RESULTS!$H$7+Title_RESULTS!$C$17),0,(+'Sheet6(p_6)'!$I37))</f>
        <v>0</v>
      </c>
      <c r="I37" s="5">
        <f>IF(A37&gt;=(Title_RESULTS!$H$7+Title_RESULTS!$C$17),0,(+'f-11B'!$P36))</f>
        <v>0</v>
      </c>
      <c r="J37" s="5">
        <f>IF(A37&gt;=(Title_RESULTS!$H$7+Title_RESULTS!$C$17),0,(SUM(G37:I37)))</f>
        <v>0</v>
      </c>
      <c r="K37" s="23">
        <f>IF(A37&gt;=(Title_RESULTS!$H$7+Title_RESULTS!$C$17),0,(+F37-J37))</f>
        <v>143109</v>
      </c>
      <c r="L37" s="23">
        <f>IF(A36&gt;=(Title_RESULTS!$H$7+Title_RESULTS!$C$17),0,(+$K37/((1+Title_RESULTS!$C$37)^('Sheet8(F_24)'!$A37-Title_RESULTS!$H$7))+L36))</f>
        <v>1476968.377650226</v>
      </c>
      <c r="M37" s="5"/>
    </row>
    <row r="38" spans="1:13" ht="12.75">
      <c r="A38">
        <f t="shared" si="0"/>
        <v>2042</v>
      </c>
      <c r="B38" s="5">
        <f>IF(A38&gt;=(Title_RESULTS!$H$7+Title_RESULTS!$C$17),0,(+'Sheet6(p_6)'!N38-'Sheet6(p_6)'!R38))</f>
        <v>0</v>
      </c>
      <c r="C38" s="5">
        <f>IF(A38&gt;=(Title_RESULTS!$H$7+Title_RESULTS!$C$17),0,(IF(Partcipation!$B38=0,0,((Partcipation!$B38-Partcipation!$B37)*Title_RESULTS!$C$33*(1+Title_RESULTS!$C$35/100)^('Sheet8(F_24)'!$A38-Title_RESULTS!$H$7))/1000)))</f>
        <v>0</v>
      </c>
      <c r="D38" s="5">
        <f>IF(A38&gt;=(Title_RESULTS!$H$7+Title_RESULTS!$C$17),0,(+'Sheet6(p_6)'!$G38))</f>
        <v>143109</v>
      </c>
      <c r="E38" s="5">
        <f>IF(A38&gt;=(Title_RESULTS!$H$7+Title_RESULTS!$C$17),0,(IF(Title_RESULTS!$C$31&lt;0,((Partcipation!$B37+(Partcipation!$B38-Partcipation!$B37)/2)*(ABS(Title_RESULTS!$C$31)*(1+Title_RESULTS!$C$32/100)^('Sheet6(p_6)'!$A38-Title_RESULTS!$H$7))/1000)+'f-11B'!$Q37,+'f-11B'!$Q37)))</f>
        <v>0</v>
      </c>
      <c r="F38" s="5">
        <f>IF(A38&gt;=(Title_RESULTS!$H$7+Title_RESULTS!$C$17),0,(SUM(B38:E38)))</f>
        <v>143109</v>
      </c>
      <c r="G38" s="5">
        <f>IF(A38&gt;=(Title_RESULTS!$H$7+Title_RESULTS!$C$17),0,(+'Sheet6(p_6)'!$H38))</f>
        <v>0</v>
      </c>
      <c r="H38" s="5">
        <f>IF(A38&gt;=(Title_RESULTS!$H$7+Title_RESULTS!$C$17),0,(+'Sheet6(p_6)'!$I38))</f>
        <v>0</v>
      </c>
      <c r="I38" s="5">
        <f>IF(A38&gt;=(Title_RESULTS!$H$7+Title_RESULTS!$C$17),0,(+'f-11B'!$P37))</f>
        <v>0</v>
      </c>
      <c r="J38" s="5">
        <f>IF(A38&gt;=(Title_RESULTS!$H$7+Title_RESULTS!$C$17),0,(SUM(G38:I38)))</f>
        <v>0</v>
      </c>
      <c r="K38" s="23">
        <f>IF(A38&gt;=(Title_RESULTS!$H$7+Title_RESULTS!$C$17),0,(+F38-J38))</f>
        <v>143109</v>
      </c>
      <c r="L38" s="23">
        <f>IF(A37&gt;=(Title_RESULTS!$H$7+Title_RESULTS!$C$17),0,(+$K38/((1+Title_RESULTS!$C$37)^('Sheet8(F_24)'!$A38-Title_RESULTS!$H$7))+L37))</f>
        <v>1508743.1883347563</v>
      </c>
      <c r="M38" s="5"/>
    </row>
    <row r="39" spans="1:13" ht="12.75">
      <c r="A39">
        <f t="shared" si="0"/>
        <v>2043</v>
      </c>
      <c r="B39" s="5">
        <f>IF(A39&gt;=(Title_RESULTS!$H$7+Title_RESULTS!$C$17),0,(+'Sheet6(p_6)'!N39-'Sheet6(p_6)'!R39))</f>
        <v>0</v>
      </c>
      <c r="C39" s="5">
        <f>IF(A39&gt;=(Title_RESULTS!$H$7+Title_RESULTS!$C$17),0,(IF(Partcipation!$B39=0,0,((Partcipation!$B39-Partcipation!$B38)*Title_RESULTS!$C$33*(1+Title_RESULTS!$C$35/100)^('Sheet8(F_24)'!$A39-Title_RESULTS!$H$7))/1000)))</f>
        <v>0</v>
      </c>
      <c r="D39" s="5">
        <f>IF(A39&gt;=(Title_RESULTS!$H$7+Title_RESULTS!$C$17),0,(+'Sheet6(p_6)'!$G39))</f>
        <v>143109</v>
      </c>
      <c r="E39" s="5">
        <f>IF(A39&gt;=(Title_RESULTS!$H$7+Title_RESULTS!$C$17),0,(IF(Title_RESULTS!$C$31&lt;0,((Partcipation!$B38+(Partcipation!$B39-Partcipation!$B38)/2)*(ABS(Title_RESULTS!$C$31)*(1+Title_RESULTS!$C$32/100)^('Sheet6(p_6)'!$A39-Title_RESULTS!$H$7))/1000)+'f-11B'!$Q38,+'f-11B'!$Q38)))</f>
        <v>0</v>
      </c>
      <c r="F39" s="5">
        <f>IF(A39&gt;=(Title_RESULTS!$H$7+Title_RESULTS!$C$17),0,(SUM(B39:E39)))</f>
        <v>143109</v>
      </c>
      <c r="G39" s="5">
        <f>IF(A39&gt;=(Title_RESULTS!$H$7+Title_RESULTS!$C$17),0,(+'Sheet6(p_6)'!$H39))</f>
        <v>0</v>
      </c>
      <c r="H39" s="5">
        <f>IF(A39&gt;=(Title_RESULTS!$H$7+Title_RESULTS!$C$17),0,(+'Sheet6(p_6)'!$I39))</f>
        <v>0</v>
      </c>
      <c r="I39" s="5">
        <f>IF(A39&gt;=(Title_RESULTS!$H$7+Title_RESULTS!$C$17),0,(+'f-11B'!$P38))</f>
        <v>0</v>
      </c>
      <c r="J39" s="5">
        <f>IF(A39&gt;=(Title_RESULTS!$H$7+Title_RESULTS!$C$17),0,(SUM(G39:I39)))</f>
        <v>0</v>
      </c>
      <c r="K39" s="23">
        <f>IF(A39&gt;=(Title_RESULTS!$H$7+Title_RESULTS!$C$17),0,(+F39-J39))</f>
        <v>143109</v>
      </c>
      <c r="L39" s="23">
        <f>IF(A38&gt;=(Title_RESULTS!$H$7+Title_RESULTS!$C$17),0,(+$K39/((1+Title_RESULTS!$C$37)^('Sheet8(F_24)'!$A39-Title_RESULTS!$H$7))+L38))</f>
        <v>1538417.0869941982</v>
      </c>
      <c r="M39" s="5"/>
    </row>
    <row r="40" spans="1:13" ht="12.75">
      <c r="A40">
        <f t="shared" si="0"/>
        <v>2044</v>
      </c>
      <c r="B40" s="5">
        <f>IF(A40&gt;=(Title_RESULTS!$H$7+Title_RESULTS!$C$17),0,(+'Sheet6(p_6)'!N40-'Sheet6(p_6)'!R40))</f>
        <v>0</v>
      </c>
      <c r="C40" s="5">
        <f>IF(A40&gt;=(Title_RESULTS!$H$7+Title_RESULTS!$C$17),0,(IF(Partcipation!$B40=0,0,((Partcipation!$B40-Partcipation!$B39)*Title_RESULTS!$C$33*(1+Title_RESULTS!$C$35/100)^('Sheet8(F_24)'!$A40-Title_RESULTS!$H$7))/1000)))</f>
        <v>0</v>
      </c>
      <c r="D40" s="5">
        <f>IF(A40&gt;=(Title_RESULTS!$H$7+Title_RESULTS!$C$17),0,(+'Sheet6(p_6)'!$G40))</f>
        <v>143109</v>
      </c>
      <c r="E40" s="5">
        <f>IF(A40&gt;=(Title_RESULTS!$H$7+Title_RESULTS!$C$17),0,(IF(Title_RESULTS!$C$31&lt;0,((Partcipation!$B39+(Partcipation!$B40-Partcipation!$B39)/2)*(ABS(Title_RESULTS!$C$31)*(1+Title_RESULTS!$C$32/100)^('Sheet6(p_6)'!$A40-Title_RESULTS!$H$7))/1000)+'f-11B'!$Q39,+'f-11B'!$Q39)))</f>
        <v>0</v>
      </c>
      <c r="F40" s="5">
        <f>IF(A40&gt;=(Title_RESULTS!$H$7+Title_RESULTS!$C$17),0,(SUM(B40:E40)))</f>
        <v>143109</v>
      </c>
      <c r="G40" s="5">
        <f>IF(A40&gt;=(Title_RESULTS!$H$7+Title_RESULTS!$C$17),0,(+'Sheet6(p_6)'!$H40))</f>
        <v>0</v>
      </c>
      <c r="H40" s="5">
        <f>IF(A40&gt;=(Title_RESULTS!$H$7+Title_RESULTS!$C$17),0,(+'Sheet6(p_6)'!$I40))</f>
        <v>0</v>
      </c>
      <c r="I40" s="5">
        <f>IF(A40&gt;=(Title_RESULTS!$H$7+Title_RESULTS!$C$17),0,(+'f-11B'!$P39))</f>
        <v>0</v>
      </c>
      <c r="J40" s="5">
        <f>IF(A40&gt;=(Title_RESULTS!$H$7+Title_RESULTS!$C$17),0,(SUM(G40:I40)))</f>
        <v>0</v>
      </c>
      <c r="K40" s="23">
        <f>IF(A40&gt;=(Title_RESULTS!$H$7+Title_RESULTS!$C$17),0,(+F40-J40))</f>
        <v>143109</v>
      </c>
      <c r="L40" s="23">
        <f>IF(A39&gt;=(Title_RESULTS!$H$7+Title_RESULTS!$C$17),0,(+$K40/((1+Title_RESULTS!$C$37)^('Sheet8(F_24)'!$A40-Title_RESULTS!$H$7))+L39))</f>
        <v>1566128.9833888954</v>
      </c>
      <c r="M40" s="5"/>
    </row>
    <row r="41" spans="2:13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2.75">
      <c r="A42" t="s">
        <v>87</v>
      </c>
      <c r="B42" s="5">
        <f aca="true" t="shared" si="1" ref="B42:K42">SUM(B16:B41)</f>
        <v>0</v>
      </c>
      <c r="C42" s="5">
        <f t="shared" si="1"/>
        <v>0</v>
      </c>
      <c r="D42" s="5">
        <f t="shared" si="1"/>
        <v>3363061.5</v>
      </c>
      <c r="E42" s="5">
        <f t="shared" si="1"/>
        <v>0</v>
      </c>
      <c r="F42" s="5">
        <f t="shared" si="1"/>
        <v>3363061.5</v>
      </c>
      <c r="G42" s="5">
        <f t="shared" si="1"/>
        <v>0</v>
      </c>
      <c r="H42" s="5">
        <f t="shared" si="1"/>
        <v>0</v>
      </c>
      <c r="I42" s="5">
        <f t="shared" si="1"/>
        <v>0</v>
      </c>
      <c r="J42" s="5">
        <f t="shared" si="1"/>
        <v>0</v>
      </c>
      <c r="K42" s="5">
        <f t="shared" si="1"/>
        <v>3363061.5</v>
      </c>
      <c r="L42" s="5"/>
      <c r="M42" s="5"/>
    </row>
    <row r="43" ht="12.75">
      <c r="M43" s="5"/>
    </row>
    <row r="44" spans="1:13" ht="12.75">
      <c r="A44" t="s">
        <v>118</v>
      </c>
      <c r="B44" s="5">
        <f>NPV(Title_RESULTS!$C$37,'Sheet8(F_24)'!B17:B41)+'Sheet8(F_24)'!B16</f>
        <v>0</v>
      </c>
      <c r="C44" s="5">
        <f>NPV(Title_RESULTS!$C$37,'Sheet8(F_24)'!C17:C41)+'Sheet8(F_24)'!C16</f>
        <v>0</v>
      </c>
      <c r="D44" s="5">
        <f>NPV(Title_RESULTS!$C$37,'Sheet8(F_24)'!D17:D41)+'Sheet8(F_24)'!D16</f>
        <v>1566128.9833888954</v>
      </c>
      <c r="E44" s="5">
        <f>NPV(Title_RESULTS!$C$37,'Sheet8(F_24)'!E17:E41)+'Sheet8(F_24)'!E16</f>
        <v>0</v>
      </c>
      <c r="F44" s="5">
        <f>NPV(Title_RESULTS!$C$37,'Sheet8(F_24)'!F17:F41)+'Sheet8(F_24)'!F16</f>
        <v>1566128.9833888954</v>
      </c>
      <c r="G44" s="5">
        <f>NPV(Title_RESULTS!$C$37,'Sheet8(F_24)'!G17:G41)+'Sheet8(F_24)'!G16</f>
        <v>0</v>
      </c>
      <c r="H44" s="5">
        <f>NPV(Title_RESULTS!$C$37,'Sheet8(F_24)'!H17:H41)+'Sheet8(F_24)'!H16</f>
        <v>0</v>
      </c>
      <c r="I44" s="5">
        <f>NPV(Title_RESULTS!$C$37,'Sheet8(F_24)'!I17:I41)+'Sheet8(F_24)'!I16</f>
        <v>0</v>
      </c>
      <c r="J44" s="5">
        <f>NPV(Title_RESULTS!$C$37,'Sheet8(F_24)'!J17:J41)+'Sheet8(F_24)'!J16</f>
        <v>0</v>
      </c>
      <c r="K44" s="5">
        <f>NPV(Title_RESULTS!$C$37,'Sheet8(F_24)'!K17:K41)+'Sheet8(F_24)'!K16</f>
        <v>1566128.9833888954</v>
      </c>
      <c r="L44" s="5"/>
      <c r="M44" s="5"/>
    </row>
    <row r="45" spans="2:12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1" ht="12.75">
      <c r="A46" t="s">
        <v>174</v>
      </c>
      <c r="D46">
        <f>+Title_RESULTS!H8</f>
        <v>2023</v>
      </c>
      <c r="F46" t="e">
        <f>+F44/J44</f>
        <v>#DIV/0!</v>
      </c>
      <c r="K46" s="10"/>
    </row>
    <row r="47" spans="1:10" ht="12.75">
      <c r="A47" t="s">
        <v>175</v>
      </c>
      <c r="D47">
        <f>+Title_RESULTS!C37</f>
        <v>0.0708</v>
      </c>
      <c r="J47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Commercial DR - Firm Service Level</v>
      </c>
      <c r="N2" t="s">
        <v>55</v>
      </c>
    </row>
    <row r="3" ht="12.75">
      <c r="N3" s="35">
        <f>+Title_RESULTS!I4</f>
        <v>43599.31790740741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2056.5</v>
      </c>
      <c r="D16" s="5">
        <f>IF(A16&gt;=(Title_RESULTS!$H$7+Title_RESULTS!$C$17),0,(+'Sheet6(p_6)'!$G16))</f>
        <v>23851.5</v>
      </c>
      <c r="E16" s="5">
        <f>+'Sheet6(p_6)'!M16</f>
        <v>0</v>
      </c>
      <c r="F16">
        <f>IF(A16&gt;=(Title_RESULTS!$H$7+Title_RESULTS!$C$17),0,(+'f-11B'!$R15))</f>
        <v>0</v>
      </c>
      <c r="G16" s="5">
        <f>IF(A16&gt;=(Title_RESULTS!$H$7+Title_RESULTS!$C$17),0,(SUM(B16:F16)))</f>
        <v>25908</v>
      </c>
      <c r="H16" s="5">
        <f>IF(A16&gt;=(Title_RESULTS!$H$7+Title_RESULTS!$C$17),0,(+'Sheet3(F_21)'!$J16+'Sheet4(F_22)'!$H16))</f>
        <v>0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0</v>
      </c>
      <c r="M16" s="23">
        <f>IF(A16&gt;=(Title_RESULTS!$H$7+Title_RESULTS!$C$17),0,(+L16-G16))</f>
        <v>-25908</v>
      </c>
      <c r="N16" s="24">
        <f>IF(A16&gt;=(Title_RESULTS!$H$7+Title_RESULTS!$C$17),0,(+$M16/((1+Title_RESULTS!$C$37)^('Sheet9(F_25)'!$A16-Title_RESULTS!$H$7))))</f>
        <v>-25908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2508.288</v>
      </c>
      <c r="D17" s="5">
        <f>IF(A17&gt;=(Title_RESULTS!$H$7+Title_RESULTS!$C$17),0,(+'Sheet6(p_6)'!$G17))</f>
        <v>71554.5</v>
      </c>
      <c r="E17" s="5">
        <f>+'Sheet6(p_6)'!M17</f>
        <v>0</v>
      </c>
      <c r="F17">
        <f>IF(A17&gt;=(Title_RESULTS!$H$7+Title_RESULTS!$C$17),0,(+'f-11B'!$R16))</f>
        <v>0</v>
      </c>
      <c r="G17" s="5">
        <f>IF(A17&gt;=(Title_RESULTS!$H$7+Title_RESULTS!$C$17),0,(SUM(B17:F17)))</f>
        <v>74062.788</v>
      </c>
      <c r="H17" s="5">
        <f>IF(A17&gt;=(Title_RESULTS!$H$7+Title_RESULTS!$C$17),0,(+'Sheet3(F_21)'!$J17+'Sheet4(F_22)'!$H17))</f>
        <v>0</v>
      </c>
      <c r="I17" s="5">
        <f>IF(A17&gt;=(Title_RESULTS!$H$7+Title_RESULTS!$C$17),0,(+'Sheet4(F_22)'!$D17+'Sheet4(F_22)'!$G17))</f>
        <v>14070.25451447336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14070.25451447336</v>
      </c>
      <c r="M17" s="23">
        <f>IF(A17&gt;=(Title_RESULTS!$H$7+Title_RESULTS!$C$17),0,(+L17-G17))</f>
        <v>-59992.53348552664</v>
      </c>
      <c r="N17" s="24">
        <f>(IF(A16&gt;=(Title_RESULTS!$H$7+Title_RESULTS!$C$17),0,(+$M17/((1+Title_RESULTS!$C$37)^('Sheet9(F_25)'!$A17-Title_RESULTS!$H$7))+N16)))</f>
        <v>-81933.89978102973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2980.5772799999995</v>
      </c>
      <c r="D18" s="5">
        <f>IF(A18&gt;=(Title_RESULTS!$H$7+Title_RESULTS!$C$17),0,(+'Sheet6(p_6)'!$G18))</f>
        <v>119257.5</v>
      </c>
      <c r="E18" s="5">
        <f>+'Sheet6(p_6)'!M18</f>
        <v>0</v>
      </c>
      <c r="F18">
        <f>IF(A18&gt;=(Title_RESULTS!$H$7+Title_RESULTS!$C$17),0,(+'f-11B'!$R17))</f>
        <v>0</v>
      </c>
      <c r="G18" s="5">
        <f>IF(A18&gt;=(Title_RESULTS!$H$7+Title_RESULTS!$C$17),0,(SUM(B18:F18)))</f>
        <v>122238.07728</v>
      </c>
      <c r="H18" s="5">
        <f>IF(A18&gt;=(Title_RESULTS!$H$7+Title_RESULTS!$C$17),0,(+'Sheet3(F_21)'!$J18+'Sheet4(F_22)'!$H18))</f>
        <v>0</v>
      </c>
      <c r="I18" s="5">
        <f>IF(A18&gt;=(Title_RESULTS!$H$7+Title_RESULTS!$C$17),0,(+'Sheet4(F_22)'!$D18+'Sheet4(F_22)'!$G18))</f>
        <v>14407.940622820719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14407.940622820719</v>
      </c>
      <c r="M18" s="23">
        <f>IF(A18&gt;=(Title_RESULTS!$H$7+Title_RESULTS!$C$17),0,(+L18-G18))</f>
        <v>-107830.13665717928</v>
      </c>
      <c r="N18" s="24">
        <f>(IF(A17&gt;=(Title_RESULTS!$H$7+Title_RESULTS!$C$17),0,(+$M18/((1+Title_RESULTS!$C$37)^('Sheet9(F_25)'!$A18-Title_RESULTS!$H$7))+N17)))</f>
        <v>-175976.24058165032</v>
      </c>
    </row>
    <row r="19" spans="1:14" ht="12.75">
      <c r="A19">
        <f aca="true" t="shared" si="0" ref="A19:A40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1265.941610496</v>
      </c>
      <c r="D19" s="5">
        <f>IF(A19&gt;=(Title_RESULTS!$H$7+Title_RESULTS!$C$17),0,(+'Sheet6(p_6)'!$G19))</f>
        <v>143109</v>
      </c>
      <c r="E19" s="5">
        <f>+'Sheet6(p_6)'!M19</f>
        <v>0</v>
      </c>
      <c r="F19">
        <f>IF(A19&gt;=(Title_RESULTS!$H$7+Title_RESULTS!$C$17),0,(+'f-11B'!$R18))</f>
        <v>0</v>
      </c>
      <c r="G19" s="5">
        <f>IF(A19&gt;=(Title_RESULTS!$H$7+Title_RESULTS!$C$17),0,(SUM(B19:F19)))</f>
        <v>144374.941610496</v>
      </c>
      <c r="H19" s="5">
        <f>IF(A19&gt;=(Title_RESULTS!$H$7+Title_RESULTS!$C$17),0,(+'Sheet3(F_21)'!$J19+'Sheet4(F_22)'!$H19))</f>
        <v>103015.19855444069</v>
      </c>
      <c r="I19" s="5">
        <f>IF(A19&gt;=(Title_RESULTS!$H$7+Title_RESULTS!$C$17),0,(+'Sheet4(F_22)'!$D19+'Sheet4(F_22)'!$G19))</f>
        <v>30924.292063659588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133939.49061810027</v>
      </c>
      <c r="M19" s="23">
        <f>IF(A19&gt;=(Title_RESULTS!$H$7+Title_RESULTS!$C$17),0,(+L19-G19))</f>
        <v>-10435.450992395723</v>
      </c>
      <c r="N19" s="24">
        <f>(IF(A18&gt;=(Title_RESULTS!$H$7+Title_RESULTS!$C$17),0,(+$M19/((1+Title_RESULTS!$C$37)^('Sheet9(F_25)'!$A19-Title_RESULTS!$H$7))+N18)))</f>
        <v>-184475.5988330208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1296.324209147904</v>
      </c>
      <c r="D20" s="5">
        <f>IF(A20&gt;=(Title_RESULTS!$H$7+Title_RESULTS!$C$17),0,(+'Sheet6(p_6)'!$G20))</f>
        <v>143109</v>
      </c>
      <c r="E20" s="5">
        <f>+'Sheet6(p_6)'!M20</f>
        <v>0</v>
      </c>
      <c r="F20">
        <f>IF(A20&gt;=(Title_RESULTS!$H$7+Title_RESULTS!$C$17),0,(+'f-11B'!$R19))</f>
        <v>0</v>
      </c>
      <c r="G20" s="5">
        <f>IF(A20&gt;=(Title_RESULTS!$H$7+Title_RESULTS!$C$17),0,(SUM(B20:F20)))</f>
        <v>144405.3242091479</v>
      </c>
      <c r="H20" s="5">
        <f>IF(A20&gt;=(Title_RESULTS!$H$7+Title_RESULTS!$C$17),0,(+'Sheet3(F_21)'!$J20+'Sheet4(F_22)'!$H20))</f>
        <v>101105.99389070447</v>
      </c>
      <c r="I20" s="5">
        <f>IF(A20&gt;=(Title_RESULTS!$H$7+Title_RESULTS!$C$17),0,(+'Sheet4(F_22)'!$D20+'Sheet4(F_22)'!$G20))</f>
        <v>30800.866823918128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131906.8607146226</v>
      </c>
      <c r="M20" s="23">
        <f>IF(A20&gt;=(Title_RESULTS!$H$7+Title_RESULTS!$C$17),0,(+L20-G20))</f>
        <v>-12498.463494525291</v>
      </c>
      <c r="N20" s="24">
        <f>(IF(A19&gt;=(Title_RESULTS!$H$7+Title_RESULTS!$C$17),0,(+$M20/((1+Title_RESULTS!$C$37)^('Sheet9(F_25)'!$A20-Title_RESULTS!$H$7))+N19)))</f>
        <v>-193982.15407061586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1327.4359901674538</v>
      </c>
      <c r="D21" s="5">
        <f>IF(A21&gt;=(Title_RESULTS!$H$7+Title_RESULTS!$C$17),0,(+'Sheet6(p_6)'!$G21))</f>
        <v>143109</v>
      </c>
      <c r="E21" s="5">
        <f>+'Sheet6(p_6)'!M21</f>
        <v>0</v>
      </c>
      <c r="F21">
        <f>IF(A21&gt;=(Title_RESULTS!$H$7+Title_RESULTS!$C$17),0,(+'f-11B'!$R20))</f>
        <v>0</v>
      </c>
      <c r="G21" s="5">
        <f>IF(A21&gt;=(Title_RESULTS!$H$7+Title_RESULTS!$C$17),0,(SUM(B21:F21)))</f>
        <v>144436.43599016746</v>
      </c>
      <c r="H21" s="5">
        <f>IF(A21&gt;=(Title_RESULTS!$H$7+Title_RESULTS!$C$17),0,(+'Sheet3(F_21)'!$J21+'Sheet4(F_22)'!$H21))</f>
        <v>99095.52822660287</v>
      </c>
      <c r="I21" s="5">
        <f>IF(A21&gt;=(Title_RESULTS!$H$7+Title_RESULTS!$C$17),0,(+'Sheet4(F_22)'!$D21+'Sheet4(F_22)'!$G21))</f>
        <v>30636.28167790233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129731.8099045052</v>
      </c>
      <c r="M21" s="23">
        <f>IF(A21&gt;=(Title_RESULTS!$H$7+Title_RESULTS!$C$17),0,(+L21-G21))</f>
        <v>-14704.626085662268</v>
      </c>
      <c r="N21" s="24">
        <f>(IF(A20&gt;=(Title_RESULTS!$H$7+Title_RESULTS!$C$17),0,(+$M21/((1+Title_RESULTS!$C$37)^('Sheet9(F_25)'!$A21-Title_RESULTS!$H$7))+N20)))</f>
        <v>-204427.2437481486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1359.2944539314724</v>
      </c>
      <c r="D22" s="5">
        <f>IF(A22&gt;=(Title_RESULTS!$H$7+Title_RESULTS!$C$17),0,(+'Sheet6(p_6)'!$G22))</f>
        <v>143109</v>
      </c>
      <c r="E22" s="5">
        <f>+'Sheet6(p_6)'!M22</f>
        <v>0</v>
      </c>
      <c r="F22">
        <f>IF(A22&gt;=(Title_RESULTS!$H$7+Title_RESULTS!$C$17),0,(+'f-11B'!$R21))</f>
        <v>0</v>
      </c>
      <c r="G22" s="5">
        <f>IF(A22&gt;=(Title_RESULTS!$H$7+Title_RESULTS!$C$17),0,(SUM(B22:F22)))</f>
        <v>144468.29445393148</v>
      </c>
      <c r="H22" s="5">
        <f>IF(A22&gt;=(Title_RESULTS!$H$7+Title_RESULTS!$C$17),0,(+'Sheet3(F_21)'!$J22+'Sheet4(F_22)'!$H22))</f>
        <v>97458.54534752472</v>
      </c>
      <c r="I22" s="5">
        <f>IF(A22&gt;=(Title_RESULTS!$H$7+Title_RESULTS!$C$17),0,(+'Sheet4(F_22)'!$D22+'Sheet4(F_22)'!$G22))</f>
        <v>30505.647309897617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127964.19265742233</v>
      </c>
      <c r="M22" s="23">
        <f>IF(A22&gt;=(Title_RESULTS!$H$7+Title_RESULTS!$C$17),0,(+L22-G22))</f>
        <v>-16504.101796509145</v>
      </c>
      <c r="N22" s="24">
        <f>(IF(A21&gt;=(Title_RESULTS!$H$7+Title_RESULTS!$C$17),0,(+$M22/((1+Title_RESULTS!$C$37)^('Sheet9(F_25)'!$A22-Title_RESULTS!$H$7))+N21)))</f>
        <v>-215375.4184421503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1391.9175208258282</v>
      </c>
      <c r="D23" s="5">
        <f>IF(A23&gt;=(Title_RESULTS!$H$7+Title_RESULTS!$C$17),0,(+'Sheet6(p_6)'!$G23))</f>
        <v>143109</v>
      </c>
      <c r="E23" s="5">
        <f>+'Sheet6(p_6)'!M23</f>
        <v>0</v>
      </c>
      <c r="F23">
        <f>IF(A23&gt;=(Title_RESULTS!$H$7+Title_RESULTS!$C$17),0,(+'f-11B'!$R22))</f>
        <v>0</v>
      </c>
      <c r="G23" s="5">
        <f>IF(A23&gt;=(Title_RESULTS!$H$7+Title_RESULTS!$C$17),0,(SUM(B23:F23)))</f>
        <v>144500.91752082584</v>
      </c>
      <c r="H23" s="5">
        <f>IF(A23&gt;=(Title_RESULTS!$H$7+Title_RESULTS!$C$17),0,(+'Sheet3(F_21)'!$J23+'Sheet4(F_22)'!$H23))</f>
        <v>95639.3012848039</v>
      </c>
      <c r="I23" s="5">
        <f>IF(A23&gt;=(Title_RESULTS!$H$7+Title_RESULTS!$C$17),0,(+'Sheet4(F_22)'!$D23+'Sheet4(F_22)'!$G23))</f>
        <v>30406.640708999566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126045.94199380347</v>
      </c>
      <c r="M23" s="23">
        <f>IF(A23&gt;=(Title_RESULTS!$H$7+Title_RESULTS!$C$17),0,(+L23-G23))</f>
        <v>-18454.97552702237</v>
      </c>
      <c r="N23" s="24">
        <f>(IF(A22&gt;=(Title_RESULTS!$H$7+Title_RESULTS!$C$17),0,(+$M23/((1+Title_RESULTS!$C$37)^('Sheet9(F_25)'!$A23-Title_RESULTS!$H$7))+N22)))</f>
        <v>-226808.27977423274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1425.3235413256475</v>
      </c>
      <c r="D24" s="5">
        <f>IF(A24&gt;=(Title_RESULTS!$H$7+Title_RESULTS!$C$17),0,(+'Sheet6(p_6)'!$G24))</f>
        <v>143109</v>
      </c>
      <c r="E24" s="5">
        <f>+'Sheet6(p_6)'!M24</f>
        <v>0</v>
      </c>
      <c r="F24">
        <f>IF(A24&gt;=(Title_RESULTS!$H$7+Title_RESULTS!$C$17),0,(+'f-11B'!$R23))</f>
        <v>0</v>
      </c>
      <c r="G24" s="5">
        <f>IF(A24&gt;=(Title_RESULTS!$H$7+Title_RESULTS!$C$17),0,(SUM(B24:F24)))</f>
        <v>144534.32354132563</v>
      </c>
      <c r="H24" s="5">
        <f>IF(A24&gt;=(Title_RESULTS!$H$7+Title_RESULTS!$C$17),0,(+'Sheet3(F_21)'!$J24+'Sheet4(F_22)'!$H24))</f>
        <v>93007.8532664128</v>
      </c>
      <c r="I24" s="5">
        <f>IF(A24&gt;=(Title_RESULTS!$H$7+Title_RESULTS!$C$17),0,(+'Sheet4(F_22)'!$D24+'Sheet4(F_22)'!$G24))</f>
        <v>30337.223640408716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123345.07690682152</v>
      </c>
      <c r="M24" s="23">
        <f>IF(A24&gt;=(Title_RESULTS!$H$7+Title_RESULTS!$C$17),0,(+L24-G24))</f>
        <v>-21189.246634504118</v>
      </c>
      <c r="N24" s="24">
        <f>(IF(A23&gt;=(Title_RESULTS!$H$7+Title_RESULTS!$C$17),0,(+$M24/((1+Title_RESULTS!$C$37)^('Sheet9(F_25)'!$A24-Title_RESULTS!$H$7))+N23)))</f>
        <v>-239067.0982975611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1459.531306317463</v>
      </c>
      <c r="D25" s="5">
        <f>IF(A25&gt;=(Title_RESULTS!$H$7+Title_RESULTS!$C$17),0,(+'Sheet6(p_6)'!$G25))</f>
        <v>143109</v>
      </c>
      <c r="E25" s="5">
        <f>+'Sheet6(p_6)'!M25</f>
        <v>0</v>
      </c>
      <c r="F25">
        <f>IF(A25&gt;=(Title_RESULTS!$H$7+Title_RESULTS!$C$17),0,(+'f-11B'!$R24))</f>
        <v>0</v>
      </c>
      <c r="G25" s="5">
        <f>IF(A25&gt;=(Title_RESULTS!$H$7+Title_RESULTS!$C$17),0,(SUM(B25:F25)))</f>
        <v>144568.53130631745</v>
      </c>
      <c r="H25" s="5">
        <f>IF(A25&gt;=(Title_RESULTS!$H$7+Title_RESULTS!$C$17),0,(+'Sheet3(F_21)'!$J25+'Sheet4(F_22)'!$H25))</f>
        <v>91418.23360972013</v>
      </c>
      <c r="I25" s="5">
        <f>IF(A25&gt;=(Title_RESULTS!$H$7+Title_RESULTS!$C$17),0,(+'Sheet4(F_22)'!$D25+'Sheet4(F_22)'!$G25))</f>
        <v>30291.432322154225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121709.66593187436</v>
      </c>
      <c r="M25" s="23">
        <f>IF(A25&gt;=(Title_RESULTS!$H$7+Title_RESULTS!$C$17),0,(+L25-G25))</f>
        <v>-22858.865374443092</v>
      </c>
      <c r="N25" s="24">
        <f>(IF(A24&gt;=(Title_RESULTS!$H$7+Title_RESULTS!$C$17),0,(+$M25/((1+Title_RESULTS!$C$37)^('Sheet9(F_25)'!$A25-Title_RESULTS!$H$7))+N24)))</f>
        <v>-251417.45233292796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1494.5600576690824</v>
      </c>
      <c r="D26" s="5">
        <f>IF(A26&gt;=(Title_RESULTS!$H$7+Title_RESULTS!$C$17),0,(+'Sheet6(p_6)'!$G26))</f>
        <v>143109</v>
      </c>
      <c r="E26" s="5">
        <f>+'Sheet6(p_6)'!M26</f>
        <v>0</v>
      </c>
      <c r="F26">
        <f>IF(A26&gt;=(Title_RESULTS!$H$7+Title_RESULTS!$C$17),0,(+'f-11B'!$R25))</f>
        <v>0</v>
      </c>
      <c r="G26" s="5">
        <f>IF(A26&gt;=(Title_RESULTS!$H$7+Title_RESULTS!$C$17),0,(SUM(B26:F26)))</f>
        <v>144603.5600576691</v>
      </c>
      <c r="H26" s="5">
        <f>IF(A26&gt;=(Title_RESULTS!$H$7+Title_RESULTS!$C$17),0,(+'Sheet3(F_21)'!$J26+'Sheet4(F_22)'!$H26))</f>
        <v>88853.1205060961</v>
      </c>
      <c r="I26" s="5">
        <f>IF(A26&gt;=(Title_RESULTS!$H$7+Title_RESULTS!$C$17),0,(+'Sheet4(F_22)'!$D26+'Sheet4(F_22)'!$G26))</f>
        <v>30259.783205633204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119112.9037117293</v>
      </c>
      <c r="M26" s="23">
        <f>IF(A26&gt;=(Title_RESULTS!$H$7+Title_RESULTS!$C$17),0,(+L26-G26))</f>
        <v>-25490.656345939788</v>
      </c>
      <c r="N26" s="24">
        <f>(IF(A25&gt;=(Title_RESULTS!$H$7+Title_RESULTS!$C$17),0,(+$M26/((1+Title_RESULTS!$C$37)^('Sheet9(F_25)'!$A26-Title_RESULTS!$H$7))+N25)))</f>
        <v>-264279.12323531037</v>
      </c>
    </row>
    <row r="27" spans="1:14" ht="12.75">
      <c r="A27">
        <f t="shared" si="0"/>
        <v>2031</v>
      </c>
      <c r="B27" s="5">
        <f>IF(A27&gt;=(Title_RESULTS!$H$7+Title_RESULTS!$C$17),0,(+'Sheet7(F_23)'!$B27))</f>
        <v>0</v>
      </c>
      <c r="C27" s="5">
        <f>IF(A27&gt;=(Title_RESULTS!$H$7+Title_RESULTS!$C$17),0,(+'Sheet6(p_6)'!$D27))</f>
        <v>1530.4294990531405</v>
      </c>
      <c r="D27" s="5">
        <f>IF(A27&gt;=(Title_RESULTS!$H$7+Title_RESULTS!$C$17),0,(+'Sheet6(p_6)'!$G27))</f>
        <v>143109</v>
      </c>
      <c r="E27" s="5">
        <f>+'Sheet6(p_6)'!M27</f>
        <v>0</v>
      </c>
      <c r="F27">
        <f>IF(A27&gt;=(Title_RESULTS!$H$7+Title_RESULTS!$C$17),0,(+'f-11B'!$R26))</f>
        <v>0</v>
      </c>
      <c r="G27" s="5">
        <f>IF(A27&gt;=(Title_RESULTS!$H$7+Title_RESULTS!$C$17),0,(SUM(B27:F27)))</f>
        <v>144639.42949905313</v>
      </c>
      <c r="H27" s="5">
        <f>IF(A27&gt;=(Title_RESULTS!$H$7+Title_RESULTS!$C$17),0,(+'Sheet3(F_21)'!$J27+'Sheet4(F_22)'!$H27))</f>
        <v>88000.58983425901</v>
      </c>
      <c r="I27" s="5">
        <f>IF(A27&gt;=(Title_RESULTS!$H$7+Title_RESULTS!$C$17),0,(+'Sheet4(F_22)'!$D27+'Sheet4(F_22)'!$G27))</f>
        <v>30237.93178803953</v>
      </c>
      <c r="J27" s="5">
        <f>IF(A27&gt;=(Title_RESULTS!$H$7+Title_RESULTS!$C$17),0,(+'Sheet6(p_6)'!$R27))</f>
        <v>0</v>
      </c>
      <c r="K27" s="9">
        <f>IF(A27&gt;=(Title_RESULTS!$H$7+Title_RESULTS!$C$17),0,(+'f-11B'!$S26))</f>
        <v>0</v>
      </c>
      <c r="L27" s="5">
        <f>IF(A27&gt;=(Title_RESULTS!$H$7+Title_RESULTS!$C$17),0,(SUM(H27:K27)))</f>
        <v>118238.52162229853</v>
      </c>
      <c r="M27" s="23">
        <f>IF(A27&gt;=(Title_RESULTS!$H$7+Title_RESULTS!$C$17),0,(+L27-G27))</f>
        <v>-26400.9078767546</v>
      </c>
      <c r="N27" s="24">
        <f>(IF(A26&gt;=(Title_RESULTS!$H$7+Title_RESULTS!$C$17),0,(+$M27/((1+Title_RESULTS!$C$37)^('Sheet9(F_25)'!$A27-Title_RESULTS!$H$7))+N26)))</f>
        <v>-276719.3092422715</v>
      </c>
    </row>
    <row r="28" spans="1:14" ht="12.75">
      <c r="A28">
        <f t="shared" si="0"/>
        <v>2032</v>
      </c>
      <c r="B28" s="5">
        <f>IF(A28&gt;=(Title_RESULTS!$H$7+Title_RESULTS!$C$17),0,(+'Sheet7(F_23)'!$B28))</f>
        <v>0</v>
      </c>
      <c r="C28" s="5">
        <f>IF(A28&gt;=(Title_RESULTS!$H$7+Title_RESULTS!$C$17),0,(+'Sheet6(p_6)'!$D28))</f>
        <v>1567.1598070304158</v>
      </c>
      <c r="D28" s="5">
        <f>IF(A28&gt;=(Title_RESULTS!$H$7+Title_RESULTS!$C$17),0,(+'Sheet6(p_6)'!$G28))</f>
        <v>143109</v>
      </c>
      <c r="E28" s="5">
        <f>+'Sheet6(p_6)'!M28</f>
        <v>0</v>
      </c>
      <c r="F28">
        <f>IF(A28&gt;=(Title_RESULTS!$H$7+Title_RESULTS!$C$17),0,(+'f-11B'!$R27))</f>
        <v>0</v>
      </c>
      <c r="G28" s="5">
        <f>IF(A28&gt;=(Title_RESULTS!$H$7+Title_RESULTS!$C$17),0,(SUM(B28:F28)))</f>
        <v>144676.1598070304</v>
      </c>
      <c r="H28" s="5">
        <f>IF(A28&gt;=(Title_RESULTS!$H$7+Title_RESULTS!$C$17),0,(+'Sheet3(F_21)'!$J28+'Sheet4(F_22)'!$H28))</f>
        <v>85918.16635558009</v>
      </c>
      <c r="I28" s="5">
        <f>IF(A28&gt;=(Title_RESULTS!$H$7+Title_RESULTS!$C$17),0,(+'Sheet4(F_22)'!$D28+'Sheet4(F_22)'!$G28))</f>
        <v>30226.113214147466</v>
      </c>
      <c r="J28" s="5">
        <f>IF(A28&gt;=(Title_RESULTS!$H$7+Title_RESULTS!$C$17),0,(+'Sheet6(p_6)'!$R28))</f>
        <v>0</v>
      </c>
      <c r="K28" s="9">
        <f>IF(A28&gt;=(Title_RESULTS!$H$7+Title_RESULTS!$C$17),0,(+'f-11B'!$S27))</f>
        <v>0</v>
      </c>
      <c r="L28" s="5">
        <f>IF(A28&gt;=(Title_RESULTS!$H$7+Title_RESULTS!$C$17),0,(SUM(H28:K28)))</f>
        <v>116144.27956972756</v>
      </c>
      <c r="M28" s="23">
        <f>IF(A28&gt;=(Title_RESULTS!$H$7+Title_RESULTS!$C$17),0,(+L28-G28))</f>
        <v>-28531.880237302845</v>
      </c>
      <c r="N28" s="24">
        <f>(IF(A27&gt;=(Title_RESULTS!$H$7+Title_RESULTS!$C$17),0,(+$M28/((1+Title_RESULTS!$C$37)^('Sheet9(F_25)'!$A28-Title_RESULTS!$H$7))+N27)))</f>
        <v>-289274.69446498225</v>
      </c>
    </row>
    <row r="29" spans="1:14" ht="12.75">
      <c r="A29">
        <f t="shared" si="0"/>
        <v>2033</v>
      </c>
      <c r="B29" s="5">
        <f>IF(A29&gt;=(Title_RESULTS!$H$7+Title_RESULTS!$C$17),0,(+'Sheet7(F_23)'!$B29))</f>
        <v>0</v>
      </c>
      <c r="C29" s="5">
        <f>IF(A29&gt;=(Title_RESULTS!$H$7+Title_RESULTS!$C$17),0,(+'Sheet6(p_6)'!$D29))</f>
        <v>1604.7716423991458</v>
      </c>
      <c r="D29" s="5">
        <f>IF(A29&gt;=(Title_RESULTS!$H$7+Title_RESULTS!$C$17),0,(+'Sheet6(p_6)'!$G29))</f>
        <v>143109</v>
      </c>
      <c r="E29" s="5">
        <f>+'Sheet6(p_6)'!M29</f>
        <v>0</v>
      </c>
      <c r="F29">
        <f>IF(A29&gt;=(Title_RESULTS!$H$7+Title_RESULTS!$C$17),0,(+'f-11B'!$R28))</f>
        <v>0</v>
      </c>
      <c r="G29" s="5">
        <f>IF(A29&gt;=(Title_RESULTS!$H$7+Title_RESULTS!$C$17),0,(SUM(B29:F29)))</f>
        <v>144713.77164239914</v>
      </c>
      <c r="H29" s="5">
        <f>IF(A29&gt;=(Title_RESULTS!$H$7+Title_RESULTS!$C$17),0,(+'Sheet3(F_21)'!$J29+'Sheet4(F_22)'!$H29))</f>
        <v>85280.13905974323</v>
      </c>
      <c r="I29" s="5">
        <f>IF(A29&gt;=(Title_RESULTS!$H$7+Title_RESULTS!$C$17),0,(+'Sheet4(F_22)'!$D29+'Sheet4(F_22)'!$G29))</f>
        <v>30224.568272205845</v>
      </c>
      <c r="J29" s="5">
        <f>IF(A29&gt;=(Title_RESULTS!$H$7+Title_RESULTS!$C$17),0,(+'Sheet6(p_6)'!$R29))</f>
        <v>0</v>
      </c>
      <c r="K29" s="9">
        <f>IF(A29&gt;=(Title_RESULTS!$H$7+Title_RESULTS!$C$17),0,(+'f-11B'!$S28))</f>
        <v>0</v>
      </c>
      <c r="L29" s="5">
        <f>IF(A29&gt;=(Title_RESULTS!$H$7+Title_RESULTS!$C$17),0,(SUM(H29:K29)))</f>
        <v>115504.70733194907</v>
      </c>
      <c r="M29" s="23">
        <f>IF(A29&gt;=(Title_RESULTS!$H$7+Title_RESULTS!$C$17),0,(+L29-G29))</f>
        <v>-29209.064310450063</v>
      </c>
      <c r="N29" s="24">
        <f>(IF(A28&gt;=(Title_RESULTS!$H$7+Title_RESULTS!$C$17),0,(+$M29/((1+Title_RESULTS!$C$37)^('Sheet9(F_25)'!$A29-Title_RESULTS!$H$7))+N28)))</f>
        <v>-301278.223082959</v>
      </c>
    </row>
    <row r="30" spans="1:14" ht="12.75">
      <c r="A30">
        <f t="shared" si="0"/>
        <v>2034</v>
      </c>
      <c r="B30" s="5">
        <f>IF(A30&gt;=(Title_RESULTS!$H$7+Title_RESULTS!$C$17),0,(+'Sheet7(F_23)'!$B30))</f>
        <v>0</v>
      </c>
      <c r="C30" s="5">
        <f>IF(A30&gt;=(Title_RESULTS!$H$7+Title_RESULTS!$C$17),0,(+'Sheet6(p_6)'!$D30))</f>
        <v>1643.286161816725</v>
      </c>
      <c r="D30" s="5">
        <f>IF(A30&gt;=(Title_RESULTS!$H$7+Title_RESULTS!$C$17),0,(+'Sheet6(p_6)'!$G30))</f>
        <v>143109</v>
      </c>
      <c r="E30" s="5">
        <f>+'Sheet6(p_6)'!M30</f>
        <v>0</v>
      </c>
      <c r="F30">
        <f>IF(A30&gt;=(Title_RESULTS!$H$7+Title_RESULTS!$C$17),0,(+'f-11B'!$R29))</f>
        <v>0</v>
      </c>
      <c r="G30" s="5">
        <f>IF(A30&gt;=(Title_RESULTS!$H$7+Title_RESULTS!$C$17),0,(SUM(B30:F30)))</f>
        <v>144752.28616181674</v>
      </c>
      <c r="H30" s="5">
        <f>IF(A30&gt;=(Title_RESULTS!$H$7+Title_RESULTS!$C$17),0,(+'Sheet3(F_21)'!$J30+'Sheet4(F_22)'!$H30))</f>
        <v>83047.21638671527</v>
      </c>
      <c r="I30" s="5">
        <f>IF(A30&gt;=(Title_RESULTS!$H$7+Title_RESULTS!$C$17),0,(+'Sheet4(F_22)'!$D30+'Sheet4(F_22)'!$G30))</f>
        <v>30233.54352938148</v>
      </c>
      <c r="J30" s="5">
        <f>IF(A30&gt;=(Title_RESULTS!$H$7+Title_RESULTS!$C$17),0,(+'Sheet6(p_6)'!$R30))</f>
        <v>0</v>
      </c>
      <c r="K30" s="9">
        <f>IF(A30&gt;=(Title_RESULTS!$H$7+Title_RESULTS!$C$17),0,(+'f-11B'!$S29))</f>
        <v>0</v>
      </c>
      <c r="L30" s="5">
        <f>IF(A30&gt;=(Title_RESULTS!$H$7+Title_RESULTS!$C$17),0,(SUM(H30:K30)))</f>
        <v>113280.75991609675</v>
      </c>
      <c r="M30" s="23">
        <f>IF(A30&gt;=(Title_RESULTS!$H$7+Title_RESULTS!$C$17),0,(+L30-G30))</f>
        <v>-31471.526245719986</v>
      </c>
      <c r="N30" s="24">
        <f>(IF(A29&gt;=(Title_RESULTS!$H$7+Title_RESULTS!$C$17),0,(+$M30/((1+Title_RESULTS!$C$37)^('Sheet9(F_25)'!$A30-Title_RESULTS!$H$7))+N29)))</f>
        <v>-313356.3817303645</v>
      </c>
    </row>
    <row r="31" spans="1:14" ht="12.75">
      <c r="A31">
        <f t="shared" si="0"/>
        <v>2035</v>
      </c>
      <c r="B31" s="5">
        <f>IF(A31&gt;=(Title_RESULTS!$H$7+Title_RESULTS!$C$17),0,(+'Sheet7(F_23)'!$B31))</f>
        <v>0</v>
      </c>
      <c r="C31" s="5">
        <f>IF(A31&gt;=(Title_RESULTS!$H$7+Title_RESULTS!$C$17),0,(+'Sheet6(p_6)'!$D31))</f>
        <v>1682.7250297003268</v>
      </c>
      <c r="D31" s="5">
        <f>IF(A31&gt;=(Title_RESULTS!$H$7+Title_RESULTS!$C$17),0,(+'Sheet6(p_6)'!$G31))</f>
        <v>143109</v>
      </c>
      <c r="E31" s="5">
        <f>+'Sheet6(p_6)'!M31</f>
        <v>0</v>
      </c>
      <c r="F31">
        <f>IF(A31&gt;=(Title_RESULTS!$H$7+Title_RESULTS!$C$17),0,(+'f-11B'!$R30))</f>
        <v>0</v>
      </c>
      <c r="G31" s="5">
        <f>IF(A31&gt;=(Title_RESULTS!$H$7+Title_RESULTS!$C$17),0,(SUM(B31:F31)))</f>
        <v>144791.72502970032</v>
      </c>
      <c r="H31" s="5">
        <f>IF(A31&gt;=(Title_RESULTS!$H$7+Title_RESULTS!$C$17),0,(+'Sheet3(F_21)'!$J31+'Sheet4(F_22)'!$H31))</f>
        <v>81890.71088007934</v>
      </c>
      <c r="I31" s="5">
        <f>IF(A31&gt;=(Title_RESULTS!$H$7+Title_RESULTS!$C$17),0,(+'Sheet4(F_22)'!$D31+'Sheet4(F_22)'!$G31))</f>
        <v>30253.291470453187</v>
      </c>
      <c r="J31" s="5">
        <f>IF(A31&gt;=(Title_RESULTS!$H$7+Title_RESULTS!$C$17),0,(+'Sheet6(p_6)'!$R31))</f>
        <v>0</v>
      </c>
      <c r="K31" s="9">
        <f>IF(A31&gt;=(Title_RESULTS!$H$7+Title_RESULTS!$C$17),0,(+'f-11B'!$S30))</f>
        <v>0</v>
      </c>
      <c r="L31" s="5">
        <f>IF(A31&gt;=(Title_RESULTS!$H$7+Title_RESULTS!$C$17),0,(SUM(H31:K31)))</f>
        <v>112144.00235053252</v>
      </c>
      <c r="M31" s="23">
        <f>IF(A31&gt;=(Title_RESULTS!$H$7+Title_RESULTS!$C$17),0,(+L31-G31))</f>
        <v>-32647.722679167797</v>
      </c>
      <c r="N31" s="24">
        <f>(IF(A30&gt;=(Title_RESULTS!$H$7+Title_RESULTS!$C$17),0,(+$M31/((1+Title_RESULTS!$C$37)^('Sheet9(F_25)'!$A31-Title_RESULTS!$H$7))+N30)))</f>
        <v>-325057.502316842</v>
      </c>
    </row>
    <row r="32" spans="1:14" ht="12.75">
      <c r="A32">
        <f t="shared" si="0"/>
        <v>2036</v>
      </c>
      <c r="B32" s="5">
        <f>IF(A32&gt;=(Title_RESULTS!$H$7+Title_RESULTS!$C$17),0,(+'Sheet7(F_23)'!$B32))</f>
        <v>0</v>
      </c>
      <c r="C32" s="5">
        <f>IF(A32&gt;=(Title_RESULTS!$H$7+Title_RESULTS!$C$17),0,(+'Sheet6(p_6)'!$D32))</f>
        <v>1723.1104304131345</v>
      </c>
      <c r="D32" s="5">
        <f>IF(A32&gt;=(Title_RESULTS!$H$7+Title_RESULTS!$C$17),0,(+'Sheet6(p_6)'!$G32))</f>
        <v>143109</v>
      </c>
      <c r="E32" s="5">
        <f>+'Sheet6(p_6)'!M32</f>
        <v>0</v>
      </c>
      <c r="F32">
        <f>IF(A32&gt;=(Title_RESULTS!$H$7+Title_RESULTS!$C$17),0,(+'f-11B'!$R31))</f>
        <v>0</v>
      </c>
      <c r="G32" s="5">
        <f>IF(A32&gt;=(Title_RESULTS!$H$7+Title_RESULTS!$C$17),0,(SUM(B32:F32)))</f>
        <v>144832.11043041313</v>
      </c>
      <c r="H32" s="5">
        <f>IF(A32&gt;=(Title_RESULTS!$H$7+Title_RESULTS!$C$17),0,(+'Sheet3(F_21)'!$J32+'Sheet4(F_22)'!$H32))</f>
        <v>81606.45928729036</v>
      </c>
      <c r="I32" s="5">
        <f>IF(A32&gt;=(Title_RESULTS!$H$7+Title_RESULTS!$C$17),0,(+'Sheet4(F_22)'!$D32+'Sheet4(F_22)'!$G32))</f>
        <v>30284.070639834474</v>
      </c>
      <c r="J32" s="5">
        <f>IF(A32&gt;=(Title_RESULTS!$H$7+Title_RESULTS!$C$17),0,(+'Sheet6(p_6)'!$R32))</f>
        <v>0</v>
      </c>
      <c r="K32" s="9">
        <f>IF(A32&gt;=(Title_RESULTS!$H$7+Title_RESULTS!$C$17),0,(+'f-11B'!$S31))</f>
        <v>0</v>
      </c>
      <c r="L32" s="5">
        <f>IF(A32&gt;=(Title_RESULTS!$H$7+Title_RESULTS!$C$17),0,(SUM(H32:K32)))</f>
        <v>111890.52992712484</v>
      </c>
      <c r="M32" s="23">
        <f>IF(A32&gt;=(Title_RESULTS!$H$7+Title_RESULTS!$C$17),0,(+L32-G32))</f>
        <v>-32941.58050328829</v>
      </c>
      <c r="N32" s="24">
        <f>(IF(A31&gt;=(Title_RESULTS!$H$7+Title_RESULTS!$C$17),0,(+$M32/((1+Title_RESULTS!$C$37)^('Sheet9(F_25)'!$A32-Title_RESULTS!$H$7))+N31)))</f>
        <v>-336083.31556095846</v>
      </c>
    </row>
    <row r="33" spans="1:14" ht="12.75">
      <c r="A33">
        <f t="shared" si="0"/>
        <v>2037</v>
      </c>
      <c r="B33" s="5">
        <f>IF(A33&gt;=(Title_RESULTS!$H$7+Title_RESULTS!$C$17),0,(+'Sheet7(F_23)'!$B33))</f>
        <v>0</v>
      </c>
      <c r="C33" s="5">
        <f>IF(A33&gt;=(Title_RESULTS!$H$7+Title_RESULTS!$C$17),0,(+'Sheet6(p_6)'!$D33))</f>
        <v>1764.4650807430496</v>
      </c>
      <c r="D33" s="5">
        <f>IF(A33&gt;=(Title_RESULTS!$H$7+Title_RESULTS!$C$17),0,(+'Sheet6(p_6)'!$G33))</f>
        <v>143109</v>
      </c>
      <c r="E33" s="5">
        <f>+'Sheet6(p_6)'!M33</f>
        <v>0</v>
      </c>
      <c r="F33">
        <f>IF(A33&gt;=(Title_RESULTS!$H$7+Title_RESULTS!$C$17),0,(+'f-11B'!$R32))</f>
        <v>0</v>
      </c>
      <c r="G33" s="5">
        <f>IF(A33&gt;=(Title_RESULTS!$H$7+Title_RESULTS!$C$17),0,(SUM(B33:F33)))</f>
        <v>144873.46508074304</v>
      </c>
      <c r="H33" s="5">
        <f>IF(A33&gt;=(Title_RESULTS!$H$7+Title_RESULTS!$C$17),0,(+'Sheet3(F_21)'!$J33+'Sheet4(F_22)'!$H33))</f>
        <v>79880.33488407123</v>
      </c>
      <c r="I33" s="5">
        <f>IF(A33&gt;=(Title_RESULTS!$H$7+Title_RESULTS!$C$17),0,(+'Sheet4(F_22)'!$D33+'Sheet4(F_22)'!$G33))</f>
        <v>30326.145787004767</v>
      </c>
      <c r="J33" s="5">
        <f>IF(A33&gt;=(Title_RESULTS!$H$7+Title_RESULTS!$C$17),0,(+'Sheet6(p_6)'!$R33))</f>
        <v>0</v>
      </c>
      <c r="K33" s="9">
        <f>IF(A33&gt;=(Title_RESULTS!$H$7+Title_RESULTS!$C$17),0,(+'f-11B'!$S32))</f>
        <v>0</v>
      </c>
      <c r="L33" s="5">
        <f>IF(A33&gt;=(Title_RESULTS!$H$7+Title_RESULTS!$C$17),0,(SUM(H33:K33)))</f>
        <v>110206.48067107599</v>
      </c>
      <c r="M33" s="23">
        <f>IF(A33&gt;=(Title_RESULTS!$H$7+Title_RESULTS!$C$17),0,(+L33-G33))</f>
        <v>-34666.98440966706</v>
      </c>
      <c r="N33" s="24">
        <f>(IF(A32&gt;=(Title_RESULTS!$H$7+Title_RESULTS!$C$17),0,(+$M33/((1+Title_RESULTS!$C$37)^('Sheet9(F_25)'!$A33-Title_RESULTS!$H$7))+N32)))</f>
        <v>-346919.4379714217</v>
      </c>
    </row>
    <row r="34" spans="1:14" ht="12.75">
      <c r="A34">
        <f t="shared" si="0"/>
        <v>2038</v>
      </c>
      <c r="B34" s="5">
        <f>IF(A34&gt;=(Title_RESULTS!$H$7+Title_RESULTS!$C$17),0,(+'Sheet7(F_23)'!$B34))</f>
        <v>0</v>
      </c>
      <c r="C34" s="5">
        <f>IF(A34&gt;=(Title_RESULTS!$H$7+Title_RESULTS!$C$17),0,(+'Sheet6(p_6)'!$D34))</f>
        <v>1806.8122426808823</v>
      </c>
      <c r="D34" s="5">
        <f>IF(A34&gt;=(Title_RESULTS!$H$7+Title_RESULTS!$C$17),0,(+'Sheet6(p_6)'!$G34))</f>
        <v>143109</v>
      </c>
      <c r="E34" s="5">
        <f>+'Sheet6(p_6)'!M34</f>
        <v>0</v>
      </c>
      <c r="F34">
        <f>IF(A34&gt;=(Title_RESULTS!$H$7+Title_RESULTS!$C$17),0,(+'f-11B'!$R33))</f>
        <v>0</v>
      </c>
      <c r="G34" s="5">
        <f>IF(A34&gt;=(Title_RESULTS!$H$7+Title_RESULTS!$C$17),0,(SUM(B34:F34)))</f>
        <v>144915.81224268087</v>
      </c>
      <c r="H34" s="5">
        <f>IF(A34&gt;=(Title_RESULTS!$H$7+Title_RESULTS!$C$17),0,(+'Sheet3(F_21)'!$J34+'Sheet4(F_22)'!$H34))</f>
        <v>79982.94025397036</v>
      </c>
      <c r="I34" s="5">
        <f>IF(A34&gt;=(Title_RESULTS!$H$7+Title_RESULTS!$C$17),0,(+'Sheet4(F_22)'!$D34+'Sheet4(F_22)'!$G34))</f>
        <v>30421.095124649837</v>
      </c>
      <c r="J34" s="5">
        <f>IF(A34&gt;=(Title_RESULTS!$H$7+Title_RESULTS!$C$17),0,(+'Sheet6(p_6)'!$R34))</f>
        <v>0</v>
      </c>
      <c r="K34" s="9">
        <f>IF(A34&gt;=(Title_RESULTS!$H$7+Title_RESULTS!$C$17),0,(+'f-11B'!$S33))</f>
        <v>0</v>
      </c>
      <c r="L34" s="5">
        <f>IF(A34&gt;=(Title_RESULTS!$H$7+Title_RESULTS!$C$17),0,(SUM(H34:K34)))</f>
        <v>110404.0353786202</v>
      </c>
      <c r="M34" s="23">
        <f>IF(A34&gt;=(Title_RESULTS!$H$7+Title_RESULTS!$C$17),0,(+L34-G34))</f>
        <v>-34511.77686406067</v>
      </c>
      <c r="N34" s="24">
        <f>(IF(A33&gt;=(Title_RESULTS!$H$7+Title_RESULTS!$C$17),0,(+$M34/((1+Title_RESULTS!$C$37)^('Sheet9(F_25)'!$A34-Title_RESULTS!$H$7))+N33)))</f>
        <v>-356993.7823961855</v>
      </c>
    </row>
    <row r="35" spans="1:14" ht="12.75">
      <c r="A35">
        <f t="shared" si="0"/>
        <v>2039</v>
      </c>
      <c r="B35" s="5">
        <f>IF(A35&gt;=(Title_RESULTS!$H$7+Title_RESULTS!$C$17),0,(+'Sheet7(F_23)'!$B35))</f>
        <v>0</v>
      </c>
      <c r="C35" s="5">
        <f>IF(A35&gt;=(Title_RESULTS!$H$7+Title_RESULTS!$C$17),0,(+'Sheet6(p_6)'!$D35))</f>
        <v>1850.1757365052242</v>
      </c>
      <c r="D35" s="5">
        <f>IF(A35&gt;=(Title_RESULTS!$H$7+Title_RESULTS!$C$17),0,(+'Sheet6(p_6)'!$G35))</f>
        <v>143109</v>
      </c>
      <c r="E35" s="5">
        <f>+'Sheet6(p_6)'!M35</f>
        <v>0</v>
      </c>
      <c r="F35">
        <f>IF(A35&gt;=(Title_RESULTS!$H$7+Title_RESULTS!$C$17),0,(+'f-11B'!$R34))</f>
        <v>0</v>
      </c>
      <c r="G35" s="5">
        <f>IF(A35&gt;=(Title_RESULTS!$H$7+Title_RESULTS!$C$17),0,(SUM(B35:F35)))</f>
        <v>144959.17573650522</v>
      </c>
      <c r="H35" s="5">
        <f>IF(A35&gt;=(Title_RESULTS!$H$7+Title_RESULTS!$C$17),0,(+'Sheet3(F_21)'!$J35+'Sheet4(F_22)'!$H35))</f>
        <v>79619.83466591942</v>
      </c>
      <c r="I35" s="5">
        <f>IF(A35&gt;=(Title_RESULTS!$H$7+Title_RESULTS!$C$17),0,(+'Sheet4(F_22)'!$D35+'Sheet4(F_22)'!$G35))</f>
        <v>30610.489383754033</v>
      </c>
      <c r="J35" s="5">
        <f>IF(A35&gt;=(Title_RESULTS!$H$7+Title_RESULTS!$C$17),0,(+'Sheet6(p_6)'!$R35))</f>
        <v>0</v>
      </c>
      <c r="K35" s="9">
        <f>IF(A35&gt;=(Title_RESULTS!$H$7+Title_RESULTS!$C$17),0,(+'f-11B'!$S34))</f>
        <v>0</v>
      </c>
      <c r="L35" s="5">
        <f>IF(A35&gt;=(Title_RESULTS!$H$7+Title_RESULTS!$C$17),0,(SUM(H35:K35)))</f>
        <v>110230.32404967345</v>
      </c>
      <c r="M35" s="23">
        <f>IF(A35&gt;=(Title_RESULTS!$H$7+Title_RESULTS!$C$17),0,(+L35-G35))</f>
        <v>-34728.85168683177</v>
      </c>
      <c r="N35" s="24">
        <f>(IF(A34&gt;=(Title_RESULTS!$H$7+Title_RESULTS!$C$17),0,(+$M35/((1+Title_RESULTS!$C$37)^('Sheet9(F_25)'!$A35-Title_RESULTS!$H$7))+N34)))</f>
        <v>-366461.2000367304</v>
      </c>
    </row>
    <row r="36" spans="1:14" ht="12.75">
      <c r="A36">
        <f t="shared" si="0"/>
        <v>2040</v>
      </c>
      <c r="B36" s="5">
        <f>IF(A36&gt;=(Title_RESULTS!$H$7+Title_RESULTS!$C$17),0,(+'Sheet7(F_23)'!$B36))</f>
        <v>0</v>
      </c>
      <c r="C36" s="5">
        <f>IF(A36&gt;=(Title_RESULTS!$H$7+Title_RESULTS!$C$17),0,(+'Sheet6(p_6)'!$D36))</f>
        <v>1894.5799541813492</v>
      </c>
      <c r="D36" s="5">
        <f>IF(A36&gt;=(Title_RESULTS!$H$7+Title_RESULTS!$C$17),0,(+'Sheet6(p_6)'!$G36))</f>
        <v>143109</v>
      </c>
      <c r="E36" s="5">
        <f>+'Sheet6(p_6)'!M36</f>
        <v>0</v>
      </c>
      <c r="F36">
        <f>IF(A36&gt;=(Title_RESULTS!$H$7+Title_RESULTS!$C$17),0,(+'f-11B'!$R35))</f>
        <v>0</v>
      </c>
      <c r="G36" s="5">
        <f>IF(A36&gt;=(Title_RESULTS!$H$7+Title_RESULTS!$C$17),0,(SUM(B36:F36)))</f>
        <v>145003.57995418136</v>
      </c>
      <c r="H36" s="5">
        <f>IF(A36&gt;=(Title_RESULTS!$H$7+Title_RESULTS!$C$17),0,(+'Sheet3(F_21)'!$J36+'Sheet4(F_22)'!$H36))</f>
        <v>81719.98485482618</v>
      </c>
      <c r="I36" s="5">
        <f>IF(A36&gt;=(Title_RESULTS!$H$7+Title_RESULTS!$C$17),0,(+'Sheet4(F_22)'!$D36+'Sheet4(F_22)'!$G36))</f>
        <v>30853.30572768746</v>
      </c>
      <c r="J36" s="5">
        <f>IF(A36&gt;=(Title_RESULTS!$H$7+Title_RESULTS!$C$17),0,(+'Sheet6(p_6)'!$R36))</f>
        <v>0</v>
      </c>
      <c r="K36" s="9">
        <f>IF(A36&gt;=(Title_RESULTS!$H$7+Title_RESULTS!$C$17),0,(+'f-11B'!$S35))</f>
        <v>0</v>
      </c>
      <c r="L36" s="5">
        <f>IF(A36&gt;=(Title_RESULTS!$H$7+Title_RESULTS!$C$17),0,(SUM(H36:K36)))</f>
        <v>112573.29058251364</v>
      </c>
      <c r="M36" s="23">
        <f>IF(A36&gt;=(Title_RESULTS!$H$7+Title_RESULTS!$C$17),0,(+L36-G36))</f>
        <v>-32430.28937166772</v>
      </c>
      <c r="N36" s="24">
        <f>(IF(A35&gt;=(Title_RESULTS!$H$7+Title_RESULTS!$C$17),0,(+$M36/((1+Title_RESULTS!$C$37)^('Sheet9(F_25)'!$A36-Title_RESULTS!$H$7))+N35)))</f>
        <v>-374717.4640779157</v>
      </c>
    </row>
    <row r="37" spans="1:14" ht="12.75">
      <c r="A37">
        <f t="shared" si="0"/>
        <v>2041</v>
      </c>
      <c r="B37" s="5">
        <f>IF(A37&gt;=(Title_RESULTS!$H$7+Title_RESULTS!$C$17),0,(+'Sheet7(F_23)'!$B37))</f>
        <v>0</v>
      </c>
      <c r="C37" s="5">
        <f>IF(A37&gt;=(Title_RESULTS!$H$7+Title_RESULTS!$C$17),0,(+'Sheet6(p_6)'!$D37))</f>
        <v>1940.049873081702</v>
      </c>
      <c r="D37" s="5">
        <f>IF(A37&gt;=(Title_RESULTS!$H$7+Title_RESULTS!$C$17),0,(+'Sheet6(p_6)'!$G37))</f>
        <v>143109</v>
      </c>
      <c r="E37" s="5">
        <f>+'Sheet6(p_6)'!M37</f>
        <v>0</v>
      </c>
      <c r="F37">
        <f>IF(A37&gt;=(Title_RESULTS!$H$7+Title_RESULTS!$C$17),0,(+'f-11B'!$R36))</f>
        <v>0</v>
      </c>
      <c r="G37" s="5">
        <f>IF(A37&gt;=(Title_RESULTS!$H$7+Title_RESULTS!$C$17),0,(SUM(B37:F37)))</f>
        <v>145049.0498730817</v>
      </c>
      <c r="H37" s="5">
        <f>IF(A37&gt;=(Title_RESULTS!$H$7+Title_RESULTS!$C$17),0,(+'Sheet3(F_21)'!$J37+'Sheet4(F_22)'!$H37))</f>
        <v>80683.4964835921</v>
      </c>
      <c r="I37" s="5">
        <f>IF(A37&gt;=(Title_RESULTS!$H$7+Title_RESULTS!$C$17),0,(+'Sheet4(F_22)'!$D37+'Sheet4(F_22)'!$G37))</f>
        <v>31108.542130547008</v>
      </c>
      <c r="J37" s="5">
        <f>IF(A37&gt;=(Title_RESULTS!$H$7+Title_RESULTS!$C$17),0,(+'Sheet6(p_6)'!$R37))</f>
        <v>0</v>
      </c>
      <c r="K37" s="9">
        <f>IF(A37&gt;=(Title_RESULTS!$H$7+Title_RESULTS!$C$17),0,(+'f-11B'!$S36))</f>
        <v>0</v>
      </c>
      <c r="L37" s="5">
        <f>IF(A37&gt;=(Title_RESULTS!$H$7+Title_RESULTS!$C$17),0,(SUM(H37:K37)))</f>
        <v>111792.0386141391</v>
      </c>
      <c r="M37" s="23">
        <f>IF(A37&gt;=(Title_RESULTS!$H$7+Title_RESULTS!$C$17),0,(+L37-G37))</f>
        <v>-33257.0112589426</v>
      </c>
      <c r="N37" s="24">
        <f>(IF(A36&gt;=(Title_RESULTS!$H$7+Title_RESULTS!$C$17),0,(+$M37/((1+Title_RESULTS!$C$37)^('Sheet9(F_25)'!$A37-Title_RESULTS!$H$7))+N36)))</f>
        <v>-382624.3888097186</v>
      </c>
    </row>
    <row r="38" spans="1:14" ht="12.75">
      <c r="A38">
        <f t="shared" si="0"/>
        <v>2042</v>
      </c>
      <c r="B38" s="5">
        <f>IF(A38&gt;=(Title_RESULTS!$H$7+Title_RESULTS!$C$17),0,(+'Sheet7(F_23)'!$B38))</f>
        <v>0</v>
      </c>
      <c r="C38" s="5">
        <f>IF(A38&gt;=(Title_RESULTS!$H$7+Title_RESULTS!$C$17),0,(+'Sheet6(p_6)'!$D38))</f>
        <v>1986.6110700356621</v>
      </c>
      <c r="D38" s="5">
        <f>IF(A38&gt;=(Title_RESULTS!$H$7+Title_RESULTS!$C$17),0,(+'Sheet6(p_6)'!$G38))</f>
        <v>143109</v>
      </c>
      <c r="E38" s="5">
        <f>+'Sheet6(p_6)'!M38</f>
        <v>0</v>
      </c>
      <c r="F38">
        <f>IF(A38&gt;=(Title_RESULTS!$H$7+Title_RESULTS!$C$17),0,(+'f-11B'!$R37))</f>
        <v>0</v>
      </c>
      <c r="G38" s="5">
        <f>IF(A38&gt;=(Title_RESULTS!$H$7+Title_RESULTS!$C$17),0,(SUM(B38:F38)))</f>
        <v>145095.61107003567</v>
      </c>
      <c r="H38" s="5">
        <f>IF(A38&gt;=(Title_RESULTS!$H$7+Title_RESULTS!$C$17),0,(+'Sheet3(F_21)'!$J38+'Sheet4(F_22)'!$H38))</f>
        <v>80164.59268177123</v>
      </c>
      <c r="I38" s="5">
        <f>IF(A38&gt;=(Title_RESULTS!$H$7+Title_RESULTS!$C$17),0,(+'Sheet4(F_22)'!$D38+'Sheet4(F_22)'!$G38))</f>
        <v>31376.49667374688</v>
      </c>
      <c r="J38" s="5">
        <f>IF(A38&gt;=(Title_RESULTS!$H$7+Title_RESULTS!$C$17),0,(+'Sheet6(p_6)'!$R38))</f>
        <v>0</v>
      </c>
      <c r="K38" s="9">
        <f>IF(A38&gt;=(Title_RESULTS!$H$7+Title_RESULTS!$C$17),0,(+'f-11B'!$S37))</f>
        <v>0</v>
      </c>
      <c r="L38" s="5">
        <f>IF(A38&gt;=(Title_RESULTS!$H$7+Title_RESULTS!$C$17),0,(SUM(H38:K38)))</f>
        <v>111541.08935551811</v>
      </c>
      <c r="M38" s="23">
        <f>IF(A38&gt;=(Title_RESULTS!$H$7+Title_RESULTS!$C$17),0,(+L38-G38))</f>
        <v>-33554.521714517556</v>
      </c>
      <c r="N38" s="24">
        <f>(IF(A37&gt;=(Title_RESULTS!$H$7+Title_RESULTS!$C$17),0,(+$M38/((1+Title_RESULTS!$C$37)^('Sheet9(F_25)'!$A38-Title_RESULTS!$H$7))+N37)))</f>
        <v>-390074.5741585699</v>
      </c>
    </row>
    <row r="39" spans="1:14" ht="12.75">
      <c r="A39">
        <f t="shared" si="0"/>
        <v>2043</v>
      </c>
      <c r="B39" s="5">
        <f>IF(A39&gt;=(Title_RESULTS!$H$7+Title_RESULTS!$C$17),0,(+'Sheet7(F_23)'!$B39))</f>
        <v>0</v>
      </c>
      <c r="C39" s="5">
        <f>IF(A39&gt;=(Title_RESULTS!$H$7+Title_RESULTS!$C$17),0,(+'Sheet6(p_6)'!$D39))</f>
        <v>2034.2897357165186</v>
      </c>
      <c r="D39" s="5">
        <f>IF(A39&gt;=(Title_RESULTS!$H$7+Title_RESULTS!$C$17),0,(+'Sheet6(p_6)'!$G39))</f>
        <v>143109</v>
      </c>
      <c r="E39" s="5">
        <f>+'Sheet6(p_6)'!M39</f>
        <v>0</v>
      </c>
      <c r="F39">
        <f>IF(A39&gt;=(Title_RESULTS!$H$7+Title_RESULTS!$C$17),0,(+'f-11B'!$R38))</f>
        <v>0</v>
      </c>
      <c r="G39" s="5">
        <f>IF(A39&gt;=(Title_RESULTS!$H$7+Title_RESULTS!$C$17),0,(SUM(B39:F39)))</f>
        <v>145143.2897357165</v>
      </c>
      <c r="H39" s="5">
        <f>IF(A39&gt;=(Title_RESULTS!$H$7+Title_RESULTS!$C$17),0,(+'Sheet3(F_21)'!$J39+'Sheet4(F_22)'!$H39))</f>
        <v>80281.04341021595</v>
      </c>
      <c r="I39" s="5">
        <f>IF(A39&gt;=(Title_RESULTS!$H$7+Title_RESULTS!$C$17),0,(+'Sheet4(F_22)'!$D39+'Sheet4(F_22)'!$G39))</f>
        <v>31657.47459265528</v>
      </c>
      <c r="J39" s="5">
        <f>IF(A39&gt;=(Title_RESULTS!$H$7+Title_RESULTS!$C$17),0,(+'Sheet6(p_6)'!$R39))</f>
        <v>0</v>
      </c>
      <c r="K39" s="9">
        <f>IF(A39&gt;=(Title_RESULTS!$H$7+Title_RESULTS!$C$17),0,(+'f-11B'!$S38))</f>
        <v>0</v>
      </c>
      <c r="L39" s="5">
        <f>IF(A39&gt;=(Title_RESULTS!$H$7+Title_RESULTS!$C$17),0,(SUM(H39:K39)))</f>
        <v>111938.51800287122</v>
      </c>
      <c r="M39" s="23">
        <f>IF(A39&gt;=(Title_RESULTS!$H$7+Title_RESULTS!$C$17),0,(+L39-G39))</f>
        <v>-33204.771732845285</v>
      </c>
      <c r="N39" s="24">
        <f>(IF(A38&gt;=(Title_RESULTS!$H$7+Title_RESULTS!$C$17),0,(+$M39/((1+Title_RESULTS!$C$37)^('Sheet9(F_25)'!$A39-Title_RESULTS!$H$7))+N38)))</f>
        <v>-396959.6410055911</v>
      </c>
    </row>
    <row r="40" spans="1:14" ht="12.75">
      <c r="A40">
        <f t="shared" si="0"/>
        <v>2044</v>
      </c>
      <c r="B40" s="5">
        <f>IF(A40&gt;=(Title_RESULTS!$H$7+Title_RESULTS!$C$17),0,(+'Sheet7(F_23)'!$B40))</f>
        <v>0</v>
      </c>
      <c r="C40" s="5">
        <f>IF(A40&gt;=(Title_RESULTS!$H$7+Title_RESULTS!$C$17),0,(+'Sheet6(p_6)'!$D40))</f>
        <v>2083.1126893737146</v>
      </c>
      <c r="D40" s="5">
        <f>IF(A40&gt;=(Title_RESULTS!$H$7+Title_RESULTS!$C$17),0,(+'Sheet6(p_6)'!$G40))</f>
        <v>143109</v>
      </c>
      <c r="E40" s="5">
        <f>+'Sheet6(p_6)'!M40</f>
        <v>0</v>
      </c>
      <c r="F40">
        <f>IF(A40&gt;=(Title_RESULTS!$H$7+Title_RESULTS!$C$17),0,(+'f-11B'!$R39))</f>
        <v>0</v>
      </c>
      <c r="G40" s="5">
        <f>IF(A40&gt;=(Title_RESULTS!$H$7+Title_RESULTS!$C$17),0,(SUM(B40:F40)))</f>
        <v>145192.11268937372</v>
      </c>
      <c r="H40" s="5">
        <f>IF(A40&gt;=(Title_RESULTS!$H$7+Title_RESULTS!$C$17),0,(+'Sheet3(F_21)'!$J40+'Sheet4(F_22)'!$H40))</f>
        <v>83581.08190036548</v>
      </c>
      <c r="I40" s="5">
        <f>IF(A40&gt;=(Title_RESULTS!$H$7+Title_RESULTS!$C$17),0,(+'Sheet4(F_22)'!$D40+'Sheet4(F_22)'!$G40))</f>
        <v>31951.788448289168</v>
      </c>
      <c r="J40" s="5">
        <f>IF(A40&gt;=(Title_RESULTS!$H$7+Title_RESULTS!$C$17),0,(+'Sheet6(p_6)'!$R40))</f>
        <v>0</v>
      </c>
      <c r="K40" s="9">
        <f>IF(A40&gt;=(Title_RESULTS!$H$7+Title_RESULTS!$C$17),0,(+'f-11B'!$S39))</f>
        <v>0</v>
      </c>
      <c r="L40" s="5">
        <f>IF(A40&gt;=(Title_RESULTS!$H$7+Title_RESULTS!$C$17),0,(SUM(H40:K40)))</f>
        <v>115532.87034865464</v>
      </c>
      <c r="M40" s="23">
        <f>IF(A40&gt;=(Title_RESULTS!$H$7+Title_RESULTS!$C$17),0,(+L40-G40))</f>
        <v>-29659.24234071908</v>
      </c>
      <c r="N40" s="24">
        <f>(IF(A39&gt;=(Title_RESULTS!$H$7+Title_RESULTS!$C$17),0,(+$M40/((1+Title_RESULTS!$C$37)^('Sheet9(F_25)'!$A40-Title_RESULTS!$H$7))+N39)))</f>
        <v>-402702.9125740545</v>
      </c>
    </row>
    <row r="41" ht="12.75">
      <c r="E41" s="5"/>
    </row>
    <row r="42" spans="1:13" ht="12.75">
      <c r="A42" t="s">
        <v>87</v>
      </c>
      <c r="B42" s="5">
        <f aca="true" t="shared" si="1" ref="B42:M42">SUM(B16:B41)</f>
        <v>0</v>
      </c>
      <c r="C42" s="5">
        <f t="shared" si="1"/>
        <v>43677.272922611846</v>
      </c>
      <c r="D42" s="5">
        <f t="shared" si="1"/>
        <v>3363061.5</v>
      </c>
      <c r="E42" s="5">
        <f t="shared" si="1"/>
        <v>0</v>
      </c>
      <c r="F42" s="5">
        <f t="shared" si="1"/>
        <v>0</v>
      </c>
      <c r="G42" s="5">
        <f t="shared" si="1"/>
        <v>3406738.772922611</v>
      </c>
      <c r="H42" s="5">
        <f t="shared" si="1"/>
        <v>1921250.365624705</v>
      </c>
      <c r="I42" s="5">
        <f t="shared" si="1"/>
        <v>702405.2196722637</v>
      </c>
      <c r="J42" s="5">
        <f t="shared" si="1"/>
        <v>0</v>
      </c>
      <c r="K42" s="9">
        <f t="shared" si="1"/>
        <v>0</v>
      </c>
      <c r="L42" s="5">
        <f t="shared" si="1"/>
        <v>2623655.585296969</v>
      </c>
      <c r="M42" s="5">
        <f t="shared" si="1"/>
        <v>-783083.1876256431</v>
      </c>
    </row>
    <row r="44" spans="1:13" ht="12.75">
      <c r="A44" t="s">
        <v>118</v>
      </c>
      <c r="B44" s="5">
        <f>NPV(Title_RESULTS!$C$37,'Sheet9(F_25)'!B17:B41)+'Sheet9(F_25)'!B16</f>
        <v>0</v>
      </c>
      <c r="C44" s="5">
        <f>NPV(Title_RESULTS!$C$37,'Sheet9(F_25)'!C17:C41)+'Sheet9(F_25)'!C16</f>
        <v>21763.618368332413</v>
      </c>
      <c r="D44" s="5">
        <f>NPV(Title_RESULTS!$C$37,'Sheet9(F_25)'!D17:D41)+'Sheet9(F_25)'!D16</f>
        <v>1566128.9833888954</v>
      </c>
      <c r="E44" s="5">
        <f>NPV(Title_RESULTS!$C$37,'Sheet9(F_25)'!E17:E41)+'Sheet9(F_25)'!E16</f>
        <v>0</v>
      </c>
      <c r="F44" s="5">
        <f>NPV(Title_RESULTS!$C$37,'Sheet9(F_25)'!F17:F41)+'Sheet9(F_25)'!F16</f>
        <v>0</v>
      </c>
      <c r="G44" s="5">
        <f>NPV(Title_RESULTS!$C$37,'Sheet9(F_25)'!G17:G41)+'Sheet9(F_25)'!G16</f>
        <v>1587892.6017572277</v>
      </c>
      <c r="H44" s="5">
        <f>NPV(Title_RESULTS!$C$37,'Sheet9(F_25)'!H17:H41)+'Sheet9(F_25)'!H16</f>
        <v>866623.7387851902</v>
      </c>
      <c r="I44" s="5">
        <f>NPV(Title_RESULTS!$C$37,'Sheet9(F_25)'!I17:I41)+'Sheet9(F_25)'!I16</f>
        <v>318565.9503979827</v>
      </c>
      <c r="J44" s="5">
        <f>NPV(Title_RESULTS!$C$37,'Sheet9(F_25)'!J17:J41)+'Sheet9(F_25)'!J16</f>
        <v>0</v>
      </c>
      <c r="K44" s="9">
        <f>NPV(Title_RESULTS!$C$37,'Sheet9(F_25)'!K17:K41)+'Sheet9(F_25)'!K16</f>
        <v>0</v>
      </c>
      <c r="L44" s="5">
        <f>NPV(Title_RESULTS!$C$37,'Sheet9(F_25)'!L17:L41)+'Sheet9(F_25)'!L16</f>
        <v>1185189.6891831728</v>
      </c>
      <c r="M44" s="5">
        <f>NPV(Title_RESULTS!$C$37,'Sheet9(F_25)'!M17:M41)+'Sheet9(F_25)'!M16</f>
        <v>-402702.9125740544</v>
      </c>
    </row>
    <row r="46" spans="1:10" ht="12.75">
      <c r="A46" t="s">
        <v>175</v>
      </c>
      <c r="D46">
        <f>+Title_RESULTS!C37</f>
        <v>0.0708</v>
      </c>
      <c r="F46" t="s">
        <v>183</v>
      </c>
      <c r="J46" s="10">
        <f>+L44/G44</f>
        <v>0.7463915934059978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623427.5598288542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36366.331596799995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81160.2548736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3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3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2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1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4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1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3593.804660223251</v>
      </c>
      <c r="P24" s="48">
        <f aca="true" t="shared" si="4" ref="P24:P61">N24*$L$5</f>
        <v>8020.4433436809995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3680.055972068609</v>
      </c>
      <c r="P25" s="48">
        <f t="shared" si="4"/>
        <v>8212.933983929343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85777.81082942894</v>
      </c>
      <c r="E26" s="11">
        <f>IF(B26=Title_RESULTS!$H$8,$F$16,+E25*(1+$F$7))</f>
        <v>0.09882230355451863</v>
      </c>
      <c r="F26" s="9">
        <f t="shared" si="1"/>
        <v>61608.54756165985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5003.66764845454</v>
      </c>
      <c r="L26" s="5">
        <f t="shared" si="3"/>
        <v>11166.89321743663</v>
      </c>
      <c r="N26" s="11">
        <f>IF(+B26=Title_RESULTS!$H$9,'Value of Defferal'!$O$16,+'Value of Defferal'!N25*(1+'Value of Defferal'!$F$7))</f>
        <v>0.10362269577198292</v>
      </c>
      <c r="O26" s="5">
        <f t="shared" si="7"/>
        <v>3768.3773153982556</v>
      </c>
      <c r="P26" s="48">
        <f t="shared" si="4"/>
        <v>8410.044399543647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83244.80201576633</v>
      </c>
      <c r="E27" s="11">
        <f>IF(B27=Title_RESULTS!$H$8,$F$16,+E26*(1+$F$7))</f>
        <v>0.10119403883982707</v>
      </c>
      <c r="F27" s="9">
        <f t="shared" si="1"/>
        <v>63087.15270313968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4855.909922632217</v>
      </c>
      <c r="L27" s="5">
        <f t="shared" si="3"/>
        <v>10837.13615477105</v>
      </c>
      <c r="N27" s="11">
        <f>IF(+B27=Title_RESULTS!$H$9,'Value of Defferal'!$O$16,+'Value of Defferal'!N26*(1+'Value of Defferal'!$F$7))</f>
        <v>0.10610964047051051</v>
      </c>
      <c r="O27" s="5">
        <f t="shared" si="7"/>
        <v>3858.8183709678137</v>
      </c>
      <c r="P27" s="48">
        <f t="shared" si="4"/>
        <v>8611.885465132695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80448.37875894492</v>
      </c>
      <c r="E28" s="11">
        <f>IF(B28=Title_RESULTS!$H$8,$F$16,+E27*(1+$F$7))</f>
        <v>0.10362269577198292</v>
      </c>
      <c r="F28" s="9">
        <f t="shared" si="1"/>
        <v>64601.24436801504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4692.786470934816</v>
      </c>
      <c r="L28" s="5">
        <f t="shared" si="3"/>
        <v>10473.086762536297</v>
      </c>
      <c r="N28" s="11">
        <f>IF(+B28=Title_RESULTS!$H$9,'Value of Defferal'!$O$16,+'Value of Defferal'!N27*(1+'Value of Defferal'!$F$7))</f>
        <v>0.10865627184180277</v>
      </c>
      <c r="O28" s="5">
        <f t="shared" si="7"/>
        <v>3951.4300118710416</v>
      </c>
      <c r="P28" s="48">
        <f t="shared" si="4"/>
        <v>8818.570716295879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77785.88876125074</v>
      </c>
      <c r="E29" s="11">
        <f>IF(B29=Title_RESULTS!$H$8,$F$16,+E28*(1+$F$7))</f>
        <v>0.10610964047051051</v>
      </c>
      <c r="F29" s="9">
        <f t="shared" si="1"/>
        <v>66151.67423284739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4537.475733379532</v>
      </c>
      <c r="L29" s="5">
        <f t="shared" si="3"/>
        <v>10126.473329420522</v>
      </c>
      <c r="N29" s="11">
        <f>IF(+B29=Title_RESULTS!$H$9,'Value of Defferal'!$O$16,+'Value of Defferal'!N28*(1+'Value of Defferal'!$F$7))</f>
        <v>0.11126402236600604</v>
      </c>
      <c r="O29" s="5">
        <f t="shared" si="7"/>
        <v>4046.2643321559467</v>
      </c>
      <c r="P29" s="48">
        <f t="shared" si="4"/>
        <v>9030.216413486982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75243.90159614524</v>
      </c>
      <c r="E30" s="11">
        <f>IF(B30=Title_RESULTS!$H$8,$F$16,+E29*(1+$F$7))</f>
        <v>0.10865627184180277</v>
      </c>
      <c r="F30" s="9">
        <f t="shared" si="1"/>
        <v>67739.31441443574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4389.194274365411</v>
      </c>
      <c r="L30" s="5">
        <f t="shared" si="3"/>
        <v>9795.547429606246</v>
      </c>
      <c r="N30" s="11">
        <f>IF(+B30=Title_RESULTS!$H$9,'Value of Defferal'!$O$16,+'Value of Defferal'!N29*(1+'Value of Defferal'!$F$7))</f>
        <v>0.11393435890279018</v>
      </c>
      <c r="O30" s="5">
        <f t="shared" si="7"/>
        <v>4143.374676127689</v>
      </c>
      <c r="P30" s="48">
        <f t="shared" si="4"/>
        <v>9246.941607410668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72810.47086212179</v>
      </c>
      <c r="E31" s="11">
        <f>IF(B31=Title_RESULTS!$H$8,$F$16,+E30*(1+$F$7))</f>
        <v>0.11126402236600604</v>
      </c>
      <c r="F31" s="9">
        <f t="shared" si="1"/>
        <v>69365.0579603822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4247.245225761215</v>
      </c>
      <c r="L31" s="5">
        <f t="shared" si="3"/>
        <v>9478.753833498924</v>
      </c>
      <c r="N31" s="11">
        <f>IF(+B31=Title_RESULTS!$H$9,'Value of Defferal'!$O$16,+'Value of Defferal'!N30*(1+'Value of Defferal'!$F$7))</f>
        <v>0.11666878351645714</v>
      </c>
      <c r="O31" s="5">
        <f t="shared" si="7"/>
        <v>4242.815668354754</v>
      </c>
      <c r="P31" s="48">
        <f t="shared" si="4"/>
        <v>9468.868205988525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70452.79960597586</v>
      </c>
      <c r="E32" s="11">
        <f>IF(B32=Title_RESULTS!$H$8,$F$16,+E31*(1+$F$7))</f>
        <v>0.11393435890279018</v>
      </c>
      <c r="F32" s="9">
        <f t="shared" si="1"/>
        <v>71029.81935143136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4109.715446486162</v>
      </c>
      <c r="L32" s="5">
        <f t="shared" si="3"/>
        <v>9171.82290457192</v>
      </c>
      <c r="N32" s="11">
        <f>IF(+B32=Title_RESULTS!$H$9,'Value of Defferal'!$O$16,+'Value of Defferal'!N31*(1+'Value of Defferal'!$F$7))</f>
        <v>0.11946883432085212</v>
      </c>
      <c r="O32" s="5">
        <f t="shared" si="7"/>
        <v>4344.643244395268</v>
      </c>
      <c r="P32" s="48">
        <f t="shared" si="4"/>
        <v>9696.12104293225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68119.39215910117</v>
      </c>
      <c r="E33" s="11">
        <f>IF(B33=Title_RESULTS!$H$8,$F$16,+E32*(1+$F$7))</f>
        <v>0.11666878351645714</v>
      </c>
      <c r="F33" s="9">
        <f t="shared" si="1"/>
        <v>72734.53501586572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3973.6010453410113</v>
      </c>
      <c r="L33" s="5">
        <f t="shared" si="3"/>
        <v>8868.05073388974</v>
      </c>
      <c r="N33" s="11">
        <f>IF(+B33=Title_RESULTS!$H$9,'Value of Defferal'!$O$16,+'Value of Defferal'!N32*(1+'Value of Defferal'!$F$7))</f>
        <v>0.12233608634455258</v>
      </c>
      <c r="O33" s="5">
        <f t="shared" si="7"/>
        <v>4448.9146822607545</v>
      </c>
      <c r="P33" s="48">
        <f t="shared" si="4"/>
        <v>9928.827947962624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65785.98471222648</v>
      </c>
      <c r="E34" s="11">
        <f>IF(B34=Title_RESULTS!$H$8,$F$16,+E33*(1+$F$7))</f>
        <v>0.11946883432085212</v>
      </c>
      <c r="F34" s="9">
        <f t="shared" si="1"/>
        <v>74480.1638562465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3837.4866441958598</v>
      </c>
      <c r="L34" s="5">
        <f t="shared" si="3"/>
        <v>8564.27856320756</v>
      </c>
      <c r="N34" s="11">
        <f>IF(+B34=Title_RESULTS!$H$9,'Value of Defferal'!$O$16,+'Value of Defferal'!N33*(1+'Value of Defferal'!$F$7))</f>
        <v>0.12527215241682185</v>
      </c>
      <c r="O34" s="5">
        <f t="shared" si="7"/>
        <v>4555.688634635014</v>
      </c>
      <c r="P34" s="48">
        <f t="shared" si="4"/>
        <v>10167.119818713729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63452.577265351785</v>
      </c>
      <c r="E35" s="11">
        <f>IF(B35=Title_RESULTS!$H$8,$F$16,+E34*(1+$F$7))</f>
        <v>0.12233608634455258</v>
      </c>
      <c r="F35" s="9">
        <f t="shared" si="1"/>
        <v>76267.68778879642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3701.3722430507087</v>
      </c>
      <c r="L35" s="5">
        <f t="shared" si="3"/>
        <v>8260.50639252538</v>
      </c>
      <c r="N35" s="11">
        <f>IF(+B35=Title_RESULTS!$H$9,'Value of Defferal'!$O$16,+'Value of Defferal'!N34*(1+'Value of Defferal'!$F$7))</f>
        <v>0.12827868407482557</v>
      </c>
      <c r="O35" s="5">
        <f t="shared" si="7"/>
        <v>4665.025161866253</v>
      </c>
      <c r="P35" s="48">
        <f t="shared" si="4"/>
        <v>10411.130694362857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61119.16981847711</v>
      </c>
      <c r="E36" s="11">
        <f>IF(B36=Title_RESULTS!$H$8,$F$16,+E35*(1+$F$7))</f>
        <v>0.12527215241682185</v>
      </c>
      <c r="F36" s="9">
        <f t="shared" si="1"/>
        <v>78098.11229572754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3565.2578419055576</v>
      </c>
      <c r="L36" s="5">
        <f t="shared" si="3"/>
        <v>7956.7342218431995</v>
      </c>
      <c r="N36" s="11">
        <f>IF(+B36=Title_RESULTS!$H$9,'Value of Defferal'!$O$16,+'Value of Defferal'!N35*(1+'Value of Defferal'!$F$7))</f>
        <v>0.1313573724926214</v>
      </c>
      <c r="O36" s="5">
        <f t="shared" si="7"/>
        <v>4776.985765751044</v>
      </c>
      <c r="P36" s="48">
        <f t="shared" si="4"/>
        <v>10660.997831027566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58785.76237160241</v>
      </c>
      <c r="E37" s="11">
        <f>IF(B37&gt;Title_RESULTS!$H$8-1+Title_RESULTS!$C$18,0,+E36*(1+$F$7))</f>
        <v>0.12827868407482557</v>
      </c>
      <c r="F37" s="9">
        <f t="shared" si="1"/>
        <v>79972.46699082499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3429.143440760406</v>
      </c>
      <c r="L37" s="5">
        <f t="shared" si="3"/>
        <v>7652.962051161018</v>
      </c>
      <c r="N37" s="11">
        <f>IF(+B37=Title_RESULTS!$H$9,'Value of Defferal'!$O$16,+'Value of Defferal'!N36*(1+'Value of Defferal'!$F$7))</f>
        <v>0.1345099494324443</v>
      </c>
      <c r="O37" s="5">
        <f t="shared" si="7"/>
        <v>4891.633424129069</v>
      </c>
      <c r="P37" s="48">
        <f t="shared" si="4"/>
        <v>10916.861778972227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56452.35492472771</v>
      </c>
      <c r="E38" s="11">
        <f>IF(B38&gt;Title_RESULTS!$H$8-1+Title_RESULTS!$C$18,0,+E37*(1+$F$7))</f>
        <v>0.1313573724926214</v>
      </c>
      <c r="F38" s="9">
        <f t="shared" si="1"/>
        <v>81891.8061986048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3293.0290396152545</v>
      </c>
      <c r="L38" s="5">
        <f t="shared" si="3"/>
        <v>7349.189880478836</v>
      </c>
      <c r="N38" s="11">
        <f>IF(+B38=Title_RESULTS!$H$9,'Value of Defferal'!$O$16,+'Value of Defferal'!N37*(1+'Value of Defferal'!$F$7))</f>
        <v>0.13773818821882297</v>
      </c>
      <c r="O38" s="5">
        <f t="shared" si="7"/>
        <v>5009.032626308167</v>
      </c>
      <c r="P38" s="48">
        <f t="shared" si="4"/>
        <v>11178.866461667561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54118.94747785301</v>
      </c>
      <c r="E39" s="11">
        <f>IF(B39&gt;Title_RESULTS!$H$8-1+Title_RESULTS!$C$18,0,+E38*(1+$F$7))</f>
        <v>0.1345099494324443</v>
      </c>
      <c r="F39" s="9">
        <f t="shared" si="1"/>
        <v>83857.20954737131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3156.9146384701025</v>
      </c>
      <c r="L39" s="5">
        <f t="shared" si="3"/>
        <v>7045.417709796655</v>
      </c>
      <c r="N39" s="11">
        <f>IF(+B39&gt;Title_RESULTS!$H$9+Title_RESULTS!$C$19-1,0,+'Value of Defferal'!N38*(1+'Value of Defferal'!$F$7))</f>
        <v>0.14104390473607473</v>
      </c>
      <c r="O39" s="5">
        <f t="shared" si="7"/>
        <v>5129.249409339563</v>
      </c>
      <c r="P39" s="48">
        <f t="shared" si="4"/>
        <v>11447.159256747584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51785.54003097834</v>
      </c>
      <c r="E40" s="11">
        <f>IF(B40&gt;Title_RESULTS!$H$8-1+Title_RESULTS!$C$18,0,+E39*(1+$F$7))</f>
        <v>0.13773818821882297</v>
      </c>
      <c r="F40" s="9">
        <f t="shared" si="1"/>
        <v>85869.78257650824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3020.8002373249524</v>
      </c>
      <c r="L40" s="5">
        <f t="shared" si="3"/>
        <v>6741.645539114476</v>
      </c>
      <c r="N40" s="11">
        <f>IF(+B40&gt;Title_RESULTS!$H$9+Title_RESULTS!$C$19-1,0,+'Value of Defferal'!N39*(1+'Value of Defferal'!$F$7))</f>
        <v>0.14442895844974052</v>
      </c>
      <c r="O40" s="5">
        <f t="shared" si="7"/>
        <v>5252.351395163712</v>
      </c>
      <c r="P40" s="48">
        <f t="shared" si="4"/>
        <v>11721.891078909524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49671.2488800608</v>
      </c>
      <c r="E41" s="11">
        <f>IF(B41&gt;Title_RESULTS!$H$8-1+Title_RESULTS!$C$18,0,+E40*(1+$F$7))</f>
        <v>0.14104390473607473</v>
      </c>
      <c r="F41" s="9">
        <f t="shared" si="1"/>
        <v>87930.65735834444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2897.467523083774</v>
      </c>
      <c r="L41" s="5">
        <f t="shared" si="3"/>
        <v>6466.3987907471555</v>
      </c>
      <c r="N41" s="11">
        <f>IF(+B41&gt;Title_RESULTS!$H$9+Title_RESULTS!$C$19-1,0,+'Value of Defferal'!N40*(1+'Value of Defferal'!$F$7))</f>
        <v>0.1478952534525343</v>
      </c>
      <c r="O41" s="5">
        <f t="shared" si="7"/>
        <v>5378.4078286476415</v>
      </c>
      <c r="P41" s="48">
        <f t="shared" si="4"/>
        <v>12003.216464803354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47995.11611980597</v>
      </c>
      <c r="E42" s="11">
        <f>IF(B42&gt;Title_RESULTS!$H$8-1+Title_RESULTS!$C$18,0,+E41*(1+$F$7))</f>
        <v>0.14442895844974052</v>
      </c>
      <c r="F42" s="9">
        <f t="shared" si="1"/>
        <v>90040.9931349447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2799.6938542770563</v>
      </c>
      <c r="L42" s="5">
        <f t="shared" si="3"/>
        <v>6248.193227198414</v>
      </c>
      <c r="N42" s="11">
        <f>IF(+B42&gt;Title_RESULTS!$H$9+Title_RESULTS!$C$19-1,0,+'Value of Defferal'!N41*(1+'Value of Defferal'!$F$7))</f>
        <v>0.1514447395353951</v>
      </c>
      <c r="O42" s="5">
        <f t="shared" si="7"/>
        <v>5507.489616535185</v>
      </c>
      <c r="P42" s="48">
        <f t="shared" si="4"/>
        <v>12291.293659958634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46538.02545425671</v>
      </c>
      <c r="E43" s="11">
        <f>IF(B43&gt;Title_RESULTS!$H$8-1+Title_RESULTS!$C$18,0,+E42*(1+$F$7))</f>
        <v>0.1478952534525343</v>
      </c>
      <c r="F43" s="9">
        <f t="shared" si="1"/>
        <v>92201.97697018337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2714.697544000826</v>
      </c>
      <c r="L43" s="5">
        <f t="shared" si="3"/>
        <v>6058.503426153388</v>
      </c>
      <c r="N43" s="11">
        <f>IF(+B43&gt;Title_RESULTS!$H$9+Title_RESULTS!$C$19-1,0,+'Value of Defferal'!N42*(1+'Value of Defferal'!$F$7))</f>
        <v>0.1550794132842446</v>
      </c>
      <c r="O43" s="5">
        <f t="shared" si="7"/>
        <v>5639.66936733203</v>
      </c>
      <c r="P43" s="48">
        <f t="shared" si="4"/>
        <v>12586.284707797642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45080.93478870746</v>
      </c>
      <c r="E44" s="11">
        <f>IF(B44&gt;Title_RESULTS!$H$8-1+Title_RESULTS!$C$18,0,+E43*(1+$F$7))</f>
        <v>0.1514447395353951</v>
      </c>
      <c r="F44" s="9">
        <f t="shared" si="1"/>
        <v>94414.82441746777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2629.7012337245965</v>
      </c>
      <c r="L44" s="5">
        <f t="shared" si="3"/>
        <v>5868.813625108363</v>
      </c>
      <c r="N44" s="11">
        <f>IF(+B44&gt;Title_RESULTS!$H$9+Title_RESULTS!$C$19-1,0,+'Value of Defferal'!N43*(1+'Value of Defferal'!$F$7))</f>
        <v>0.15880131920306648</v>
      </c>
      <c r="O44" s="5">
        <f t="shared" si="7"/>
        <v>5775.021432147998</v>
      </c>
      <c r="P44" s="48">
        <f t="shared" si="4"/>
        <v>12888.355540784785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43623.84412315819</v>
      </c>
      <c r="E45" s="11">
        <f>IF(B45&gt;Title_RESULTS!$H$8-1+Title_RESULTS!$C$18,0,+E44*(1+$F$7))</f>
        <v>0.1550794132842446</v>
      </c>
      <c r="F45" s="9">
        <f t="shared" si="1"/>
        <v>96680.780203487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2544.704923448365</v>
      </c>
      <c r="L45" s="5">
        <f t="shared" si="3"/>
        <v>5679.123824063336</v>
      </c>
      <c r="N45" s="11">
        <f>IF(+B45&gt;Title_RESULTS!$H$9+Title_RESULTS!$C$19-1,0,+'Value of Defferal'!N44*(1+'Value of Defferal'!$F$7))</f>
        <v>0.16261255086394008</v>
      </c>
      <c r="O45" s="5">
        <f t="shared" si="7"/>
        <v>5913.621946519551</v>
      </c>
      <c r="P45" s="48">
        <f t="shared" si="4"/>
        <v>13197.676073763621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42166.75345760893</v>
      </c>
      <c r="E46" s="11">
        <f>IF(B46&gt;Title_RESULTS!$H$8-1+Title_RESULTS!$C$18,0,+E45*(1+$F$7))</f>
        <v>0.15880131920306648</v>
      </c>
      <c r="F46" s="9">
        <f t="shared" si="1"/>
        <v>99001.11892837069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2459.708613172135</v>
      </c>
      <c r="L46" s="5">
        <f t="shared" si="3"/>
        <v>5489.43402301831</v>
      </c>
      <c r="N46" s="11">
        <f>IF(+B46&gt;Title_RESULTS!$H$9+Title_RESULTS!$C$19-1,0,+'Value of Defferal'!N45*(1+'Value of Defferal'!$F$7))</f>
        <v>0.16651525208467466</v>
      </c>
      <c r="O46" s="5">
        <f t="shared" si="7"/>
        <v>6055.54887323602</v>
      </c>
      <c r="P46" s="48">
        <f t="shared" si="4"/>
        <v>13514.42029953395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40709.66279205968</v>
      </c>
      <c r="E47" s="11">
        <f>IF(B47&gt;Title_RESULTS!$H$8-1+Title_RESULTS!$C$18,0,+E46*(1+$F$7))</f>
        <v>0.16261255086394008</v>
      </c>
      <c r="F47" s="9">
        <f t="shared" si="1"/>
        <v>101377.1457826516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2374.7123028959054</v>
      </c>
      <c r="L47" s="5">
        <f t="shared" si="3"/>
        <v>5299.744221973285</v>
      </c>
      <c r="N47" s="11">
        <f>IF(+B47&gt;Title_RESULTS!$H$9+Title_RESULTS!$C$19-1,0,+'Value of Defferal'!N46*(1+'Value of Defferal'!$F$7))</f>
        <v>0.17051161813470686</v>
      </c>
      <c r="O47" s="5">
        <f t="shared" si="7"/>
        <v>6200.882046193685</v>
      </c>
      <c r="P47" s="48">
        <f t="shared" si="4"/>
        <v>13838.766386722766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39252.57212651042</v>
      </c>
      <c r="E48" s="11">
        <f>IF(B48&gt;Title_RESULTS!$H$8-1+Title_RESULTS!$C$18,0,+E47*(1+$F$7))</f>
        <v>0.16651525208467466</v>
      </c>
      <c r="F48" s="9">
        <f t="shared" si="1"/>
        <v>103810.19728143525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2289.715992619675</v>
      </c>
      <c r="L48" s="5">
        <f t="shared" si="3"/>
        <v>5110.054420928259</v>
      </c>
      <c r="N48" s="11">
        <f>IF(+B48&gt;Title_RESULTS!$H$9+Title_RESULTS!$C$19-1,0,+'Value of Defferal'!N47*(1+'Value of Defferal'!$F$7))</f>
        <v>0.17460389696993983</v>
      </c>
      <c r="O48" s="5">
        <f t="shared" si="7"/>
        <v>6349.703215302334</v>
      </c>
      <c r="P48" s="48">
        <f t="shared" si="4"/>
        <v>14170.896780004112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37795.48146096115</v>
      </c>
      <c r="E49" s="11">
        <f>IF(B49&gt;Title_RESULTS!$H$8-1+Title_RESULTS!$C$18,0,+E48*(1+$F$7))</f>
        <v>0.17051161813470686</v>
      </c>
      <c r="F49" s="9">
        <f t="shared" si="1"/>
        <v>106301.6420161897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2204.719682343444</v>
      </c>
      <c r="L49" s="5">
        <f t="shared" si="3"/>
        <v>4920.364619883231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36338.39079541189</v>
      </c>
      <c r="E50" s="11">
        <f>IF(B50&gt;Title_RESULTS!$H$8-1+Title_RESULTS!$C$18,0,+E49*(1+$F$7))</f>
        <v>0.17460389696993983</v>
      </c>
      <c r="F50" s="9">
        <f t="shared" si="1"/>
        <v>108852.88142457826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2119.723372067214</v>
      </c>
      <c r="L50" s="5">
        <f t="shared" si="3"/>
        <v>4730.674818838205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34881.30012986263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2034.727061790984</v>
      </c>
      <c r="L51" s="5">
        <f t="shared" si="3"/>
        <v>4540.98501779318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1489437.1113183552</v>
      </c>
      <c r="F63" s="9">
        <f>SUM(F23:F61)</f>
        <v>2077366.7923795097</v>
      </c>
      <c r="J63" t="s">
        <v>87</v>
      </c>
      <c r="K63" s="9">
        <f>SUM(K23:K61)</f>
        <v>86883.17195610172</v>
      </c>
      <c r="O63" s="9">
        <f>SUM(O23:O61)</f>
        <v>121178.80967693064</v>
      </c>
    </row>
    <row r="64" spans="3:15" ht="12.75">
      <c r="C64" t="s">
        <v>89</v>
      </c>
      <c r="D64" s="9">
        <f>NPV(+Title_RESULTS!$C$37,'Value of Defferal'!D24:D61)+'Value of Defferal'!D23</f>
        <v>665042.6781654374</v>
      </c>
      <c r="F64" s="9">
        <f>NPV(+Title_RESULTS!$C$37,'Value of Defferal'!F24:F61)+'Value of Defferal'!F23</f>
        <v>772459.6000633972</v>
      </c>
      <c r="J64" t="s">
        <v>89</v>
      </c>
      <c r="K64" s="9">
        <f>NPV(+Title_RESULTS!$C$37,'Value of Defferal'!K24:K61)+'Value of Defferal'!K23</f>
        <v>38793.861738848434</v>
      </c>
      <c r="O64" s="9">
        <f>NPV(+Title_RESULTS!$C$37,'Value of Defferal'!O24:O61)+'Value of Defferal'!O23</f>
        <v>51666.13770845336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340.2953437366692</v>
      </c>
      <c r="C25" t="s">
        <v>372</v>
      </c>
    </row>
    <row r="26" spans="2:3" ht="18">
      <c r="B26" s="15">
        <f>+((Input!$C$6*'EUE_Line Losses'!C4)+(Input!$C$7*'EUE_Line Losses'!C3))/'EUE_Line Losses'!C22</f>
        <v>339.19761682138966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f>SUM(E4:E9)</f>
        <v>11.870000000000001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2" sqref="C42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242.29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320.74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0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0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25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1860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393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0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0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47703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Commercial DR - Firm Service Level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43599.31790740741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320.74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339.19761682138966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0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0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25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0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1860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393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0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11.870000000000001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0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0</v>
      </c>
      <c r="D39" s="13" t="s">
        <v>189</v>
      </c>
      <c r="G39" s="20" t="s">
        <v>346</v>
      </c>
      <c r="H39" s="79">
        <f>+'Sheet7(F_23)'!H46</f>
        <v>54.45738245932977</v>
      </c>
      <c r="I39" s="10"/>
    </row>
    <row r="40" spans="1:17" ht="18">
      <c r="A40" s="14" t="s">
        <v>7</v>
      </c>
      <c r="B40" s="13" t="s">
        <v>322</v>
      </c>
      <c r="C40" s="74">
        <f>+Input!C41</f>
        <v>47703</v>
      </c>
      <c r="D40" s="13" t="s">
        <v>190</v>
      </c>
      <c r="G40" s="18" t="s">
        <v>347</v>
      </c>
      <c r="H40" s="41">
        <f>+'Sheet8(F_24)'!K44</f>
        <v>1566128.9833888954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+'Sheet9(F_25)'!J46</f>
        <v>0.7463915934059978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2019-05-14T11:37:48Z</dcterms:created>
  <dcterms:modified xsi:type="dcterms:W3CDTF">2019-05-14T11:37:49Z</dcterms:modified>
  <cp:category/>
  <cp:version/>
  <cp:contentType/>
  <cp:contentStatus/>
</cp:coreProperties>
</file>