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<sst xmlns="http://schemas.openxmlformats.org/spreadsheetml/2006/main" count="1258" uniqueCount="468">
  <si>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</si>
  <si>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</si>
  <si>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</si>
  <si>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</si>
  <si>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</si>
  <si>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</si>
  <si>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</si>
  <si>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</si>
  <si>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</si>
  <si>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</si>
  <si>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</si>
  <si>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</si>
  <si>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</si>
  <si>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</si>
  <si>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</si>
  <si>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</si>
  <si>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</si>
  <si>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</si>
  <si>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</si>
  <si>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</si>
  <si>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</si>
  <si>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</si>
  <si>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</si>
  <si>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</si>
  <si>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</si>
  <si>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</si>
  <si>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</si>
  <si>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</si>
  <si>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</si>
  <si>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</si>
  <si>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</si>
  <si>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</si>
  <si>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</si>
  <si>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</si>
  <si>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</si>
  <si>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</si>
  <si>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</si>
  <si>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</si>
  <si>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</si>
  <si>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</si>
  <si>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</si>
  <si>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</si>
  <si>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</si>
  <si>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</si>
  <si>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</si>
  <si>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</si>
  <si>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</si>
  <si>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</si>
  <si>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</si>
  <si>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</si>
  <si>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</si>
  <si>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</si>
  <si>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</si>
  <si>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</si>
  <si>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</si>
  <si>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</si>
  <si>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</si>
  <si>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</si>
  <si>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</si>
  <si>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</si>
  <si>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</si>
  <si>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</si>
  <si>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</si>
  <si>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</si>
  <si>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</si>
  <si>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</si>
  <si>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</si>
  <si>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</si>
  <si>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</si>
  <si>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</si>
  <si>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</si>
  <si>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</si>
  <si>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</si>
  <si>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</si>
  <si>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</si>
  <si>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</si>
  <si>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</si>
  <si>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</si>
  <si>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</si>
  <si>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</si>
  <si>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</si>
  <si>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</si>
  <si>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</si>
  <si>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</si>
  <si>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</si>
  <si>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</si>
  <si>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</si>
  <si>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</si>
  <si>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</si>
  <si>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</si>
  <si>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</si>
  <si>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</si>
  <si>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</si>
  <si>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</si>
  <si>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</si>
  <si>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</si>
  <si>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</si>
  <si>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</si>
  <si>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</si>
  <si>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</si>
  <si>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</si>
  <si>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</si>
  <si>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</si>
  <si>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</si>
  <si>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</si>
  <si>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</si>
  <si>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</si>
  <si>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</si>
  <si>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</si>
  <si>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</si>
  <si>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</si>
  <si>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</si>
  <si>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</si>
  <si>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</si>
  <si>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</si>
  <si>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</si>
  <si>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</si>
  <si>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</si>
  <si>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</si>
  <si>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</si>
  <si>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</si>
  <si>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</si>
  <si>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</si>
  <si>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</si>
  <si>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</si>
  <si>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</si>
  <si>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</si>
  <si>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</si>
  <si>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</si>
  <si>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</si>
  <si>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</si>
  <si>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</si>
  <si>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</si>
  <si>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</si>
  <si>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</si>
  <si>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</si>
  <si>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</si>
  <si>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</si>
  <si>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</si>
  <si>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</si>
  <si>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</si>
  <si>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</si>
  <si>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</si>
  <si>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</si>
  <si>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</si>
  <si>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</si>
  <si>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</si>
  <si>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</si>
  <si>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</si>
  <si>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</si>
  <si>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</si>
  <si>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</si>
  <si>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</si>
  <si>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</si>
  <si>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</si>
  <si>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</si>
  <si>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</si>
  <si>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</si>
  <si>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</si>
  <si>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</si>
  <si>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</si>
  <si>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</si>
  <si>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</si>
  <si>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</si>
  <si>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</si>
  <si>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</si>
  <si>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</si>
  <si>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</si>
  <si>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</si>
  <si>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</si>
  <si>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</si>
  <si>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</si>
  <si>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</si>
  <si>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</si>
  <si>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</si>
  <si>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</si>
  <si>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</si>
  <si>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</si>
  <si>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</si>
  <si>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</si>
  <si>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</si>
  <si>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</si>
  <si>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</si>
  <si>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</si>
  <si>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</si>
  <si>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</si>
  <si>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</si>
  <si>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</si>
  <si>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</si>
  <si>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</si>
  <si>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</si>
  <si>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</si>
  <si>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</si>
  <si>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</si>
  <si>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</si>
  <si>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</si>
  <si>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</si>
  <si>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</si>
  <si>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</si>
  <si>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</si>
  <si>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</si>
  <si>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</si>
  <si>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</si>
  <si>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</si>
  <si>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</si>
  <si>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</si>
  <si>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</si>
  <si>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</si>
  <si>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</si>
  <si>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</si>
  <si>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</si>
  <si>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</si>
  <si>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</si>
  <si>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</si>
  <si>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</si>
  <si>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</si>
  <si>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</si>
  <si>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</si>
  <si>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</si>
  <si>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</si>
  <si>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</si>
  <si>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</si>
  <si>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</si>
  <si>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</si>
  <si>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</si>
  <si>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</si>
  <si>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</si>
  <si>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</si>
  <si>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</si>
  <si>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</si>
  <si>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</si>
  <si>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</si>
  <si>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</si>
  <si>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</si>
  <si>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</si>
  <si>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</si>
  <si>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</si>
  <si>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</si>
  <si>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</si>
  <si>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</si>
  <si>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</si>
  <si>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</si>
  <si>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</si>
  <si>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</si>
  <si>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</si>
  <si>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</si>
  <si>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</si>
  <si>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</si>
  <si>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</si>
  <si>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</si>
  <si>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</si>
  <si>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</si>
  <si>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</si>
  <si>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</si>
  <si>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</si>
  <si>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</si>
  <si>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</si>
  <si>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</si>
  <si>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</si>
  <si>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</si>
  <si>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</si>
  <si>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</si>
  <si>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</si>
  <si>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</si>
  <si>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</si>
  <si>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</si>
  <si>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</si>
  <si>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</si>
  <si>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</si>
  <si>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</si>
  <si>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</si>
  <si>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</si>
  <si>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</si>
  <si>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</si>
  <si>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</si>
  <si>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</si>
  <si>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</si>
  <si>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</si>
  <si>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</si>
  <si>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</si>
  <si>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</si>
  <si>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</si>
  <si>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</si>
  <si>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</si>
  <si>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</si>
  <si>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</si>
  <si>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</si>
  <si>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</si>
  <si>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</si>
  <si>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</si>
  <si>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</si>
  <si>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</si>
  <si>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</si>
  <si>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</si>
  <si>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</si>
  <si>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</si>
  <si>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</si>
  <si>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</si>
  <si>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</si>
  <si>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</si>
  <si>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</si>
  <si>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</si>
  <si>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</si>
  <si>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</si>
  <si>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</si>
  <si>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</si>
  <si>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</si>
  <si>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</si>
  <si>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</si>
  <si>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</si>
  <si>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</si>
  <si>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</si>
  <si>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</si>
  <si>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</si>
  <si>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</si>
  <si>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</si>
  <si>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</si>
  <si>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</si>
  <si>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</si>
  <si>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</si>
  <si>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</si>
  <si>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</si>
  <si>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</si>
  <si>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</si>
  <si>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</si>
  <si>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</si>
  <si>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</si>
  <si>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</si>
  <si>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</si>
  <si>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</si>
  <si>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</si>
  <si>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</si>
  <si>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</si>
  <si>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</si>
  <si>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</si>
  <si>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</si>
  <si>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</si>
  <si>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</si>
  <si>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</si>
  <si>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</si>
  <si>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</si>
  <si>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</si>
  <si>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</si>
  <si>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</si>
  <si>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</si>
  <si>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</si>
  <si>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</si>
  <si>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</si>
  <si>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</si>
  <si>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</si>
  <si>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</si>
  <si>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</si>
  <si>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</si>
  <si>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</si>
  <si>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</si>
  <si>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</si>
  <si>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</si>
  <si>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</si>
  <si>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</si>
  <si>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</si>
  <si>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</si>
  <si>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</si>
  <si>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</si>
  <si>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</si>
  <si>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</si>
  <si>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</si>
  <si>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</si>
  <si>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</si>
  <si>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</si>
  <si>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</si>
  <si>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</si>
  <si>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</si>
  <si>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</si>
  <si>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</si>
  <si>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</si>
  <si>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</si>
  <si>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</si>
  <si>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</si>
  <si>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</si>
  <si>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</si>
  <si>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</si>
  <si>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</si>
  <si>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</si>
  <si>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</si>
  <si>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</si>
  <si>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</si>
  <si>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</si>
  <si>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</si>
  <si>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</si>
  <si>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</si>
  <si>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</si>
  <si>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</si>
  <si>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</si>
  <si>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</si>
  <si>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</si>
  <si>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</si>
  <si>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</si>
  <si>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</si>
  <si>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</si>
  <si>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</si>
  <si>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</si>
  <si>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</si>
  <si>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</si>
  <si>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</si>
  <si>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</si>
  <si>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</si>
  <si>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</si>
  <si>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</si>
  <si>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</si>
  <si>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</si>
  <si>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</si>
  <si>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</si>
  <si>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</si>
  <si>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</si>
  <si>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</si>
  <si>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</si>
  <si>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</si>
  <si>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</si>
  <si>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</si>
  <si>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</si>
  <si>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</si>
  <si>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</si>
  <si>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</si>
  <si>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</si>
  <si>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</si>
  <si>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</si>
  <si>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</si>
  <si>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</si>
  <si>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</si>
  <si>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</si>
  <si>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</si>
  <si>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</si>
  <si>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</si>
  <si>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</si>
  <si>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</si>
  <si>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</si>
  <si>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</si>
  <si>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</si>
  <si>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</si>
  <si>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</si>
  <si>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</si>
  <si>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</si>
  <si>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</si>
  <si>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</si>
  <si>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</si>
  <si>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</si>
  <si>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</si>
  <si>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</si>
  <si>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</si>
  <si>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</si>
  <si>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</si>
  <si>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</si>
  <si>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</si>
  <si>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</si>
  <si>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</si>
  <si>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</si>
  <si>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</si>
  <si>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</si>
  <si>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</si>
  <si>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</si>
  <si>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</si>
  <si>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</si>
  <si>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</si>
  <si>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</si>
  <si>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</si>
  <si>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</si>
  <si>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</si>
  <si>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Heat Pump Pool Heater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</si>
</sst>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43599.32186585648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232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43599.32186585648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Heat Pump Pool Heater</v>
      </c>
      <c r="J2" t="s">
        <v>55</v>
      </c>
    </row>
    <row r="3" ht="12.75">
      <c r="J3" s="35">
        <f>+Title_RESULTS!I4</f>
        <v>43599.32186585648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232</v>
      </c>
      <c r="H5" t="s">
        <v>59</v>
      </c>
    </row>
    <row r="6" spans="3:7" ht="12.75">
      <c r="C6" t="s">
        <v>61</v>
      </c>
      <c r="G6" s="36">
        <f>+'Value of Defferal'!E3</f>
        <v>142.13461951909474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14.046070515721988</v>
      </c>
      <c r="D19" s="5">
        <f>IF((Title_RESULTS!$H$8-Title_RESULTS!$H$7)&lt;=('Sheet3(F_21)'!A19-Title_RESULTS!$H$7),((Title_RESULTS!$C$8*Partcipation!$C$26*8760*Title_RESULTS!$H$21/100000)),0)</f>
        <v>184.72624403927074</v>
      </c>
      <c r="E19" s="5">
        <f>IF($G19=0,0,((Title_RESULTS!$H$14*((1+Title_RESULTS!$H$15/100)^($A19-Title_RESULTS!$H$7))*'EUE_Line Losses'!$B$25*Partcipation!$C$26))/1000)</f>
        <v>1.455307409814082</v>
      </c>
      <c r="F19" s="5">
        <f>IF($G19=0,0,(Title_RESULTS!$H$19/100*((1+Title_RESULTS!$H$20/100)^($A19-Title_RESULTS!$H$7))*$D19*1000)/1000)</f>
        <v>0.41653141785233094</v>
      </c>
      <c r="G19" s="5">
        <f>(+Title_RESULTS!$H$22/100*((1+Title_RESULTS!$H$23/100)^(+'Sheet4(F_22)'!A19-Title_RESULTS!$H$7)))*'Sheet3(F_21)'!D19</f>
        <v>7.914206084196819</v>
      </c>
      <c r="H19" s="5">
        <f>IF($G19=0,0,(($D19))*(Partcipation!$G19/100))</f>
        <v>5.860675762052855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17.971439665532365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14.383176208099316</v>
      </c>
      <c r="D20" s="5">
        <f>IF((Title_RESULTS!$H$8-Title_RESULTS!$H$7)&lt;=('Sheet3(F_21)'!A20-Title_RESULTS!$H$7),((Title_RESULTS!$C$8*Partcipation!$C$26*8760*Title_RESULTS!$H$21/100000)),0)</f>
        <v>184.72624403927074</v>
      </c>
      <c r="E20" s="5">
        <f>IF($G20=0,0,((Title_RESULTS!$H$14*((1+Title_RESULTS!$H$15/100)^($A20-Title_RESULTS!$H$7))*'EUE_Line Losses'!$B$25*Partcipation!$C$26))/1000)</f>
        <v>1.4902347876496196</v>
      </c>
      <c r="F20" s="5">
        <f>IF($G20=0,0,(Title_RESULTS!$H$19/100*((1+Title_RESULTS!$H$20/100)^($A20-Title_RESULTS!$H$7))*$D20*1000)/1000)</f>
        <v>0.42652817188078684</v>
      </c>
      <c r="G20" s="5">
        <f>(+Title_RESULTS!$H$22/100*((1+Title_RESULTS!$H$23/100)^(+'Sheet4(F_22)'!A20-Title_RESULTS!$H$7)))*'Sheet3(F_21)'!D20</f>
        <v>8.273511040419356</v>
      </c>
      <c r="H20" s="5">
        <f>IF($G20=0,0,(($D20))*(Partcipation!$G20/100))</f>
        <v>6.122849591842226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18.450600616206852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14.7283724370937</v>
      </c>
      <c r="D21" s="5">
        <f>IF((Title_RESULTS!$H$8-Title_RESULTS!$H$7)&lt;=('Sheet3(F_21)'!A21-Title_RESULTS!$H$7),((Title_RESULTS!$C$8*Partcipation!$C$26*8760*Title_RESULTS!$H$21/100000)),0)</f>
        <v>184.72624403927074</v>
      </c>
      <c r="E21" s="5">
        <f>IF($G21=0,0,((Title_RESULTS!$H$14*((1+Title_RESULTS!$H$15/100)^($A21-Title_RESULTS!$H$7))*'EUE_Line Losses'!$B$25*Partcipation!$C$26))/1000)</f>
        <v>1.526000422553211</v>
      </c>
      <c r="F21" s="5">
        <f>IF($G21=0,0,(Title_RESULTS!$H$19/100*((1+Title_RESULTS!$H$20/100)^($A21-Title_RESULTS!$H$7))*$D21*1000)/1000)</f>
        <v>0.4367648480059258</v>
      </c>
      <c r="G21" s="5">
        <f>(+Title_RESULTS!$H$22/100*((1+Title_RESULTS!$H$23/100)^(+'Sheet4(F_22)'!A21-Title_RESULTS!$H$7)))*'Sheet3(F_21)'!D21</f>
        <v>8.649128441654396</v>
      </c>
      <c r="H21" s="5">
        <f>IF($G21=0,0,(($D21))*(Partcipation!$G21/100))</f>
        <v>6.365487793871423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18.974778355435806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15.081853375583949</v>
      </c>
      <c r="D22" s="5">
        <f>IF((Title_RESULTS!$H$8-Title_RESULTS!$H$7)&lt;=('Sheet3(F_21)'!A22-Title_RESULTS!$H$7),((Title_RESULTS!$C$8*Partcipation!$C$26*8760*Title_RESULTS!$H$21/100000)),0)</f>
        <v>184.72624403927074</v>
      </c>
      <c r="E22" s="5">
        <f>IF($G22=0,0,((Title_RESULTS!$H$14*((1+Title_RESULTS!$H$15/100)^($A22-Title_RESULTS!$H$7))*'EUE_Line Losses'!$B$25*Partcipation!$C$26))/1000)</f>
        <v>1.5626244326944874</v>
      </c>
      <c r="F22" s="5">
        <f>IF($G22=0,0,(Title_RESULTS!$H$19/100*((1+Title_RESULTS!$H$20/100)^($A22-Title_RESULTS!$H$7))*$D22*1000)/1000)</f>
        <v>0.4472472043580679</v>
      </c>
      <c r="G22" s="5">
        <f>(+Title_RESULTS!$H$22/100*((1+Title_RESULTS!$H$23/100)^(+'Sheet4(F_22)'!A22-Title_RESULTS!$H$7)))*'Sheet3(F_21)'!D22</f>
        <v>9.041798872905506</v>
      </c>
      <c r="H22" s="5">
        <f>IF($G22=0,0,(($D22))*(Partcipation!$G22/100))</f>
        <v>6.571731873634255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19.561792011907755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15.443817856597963</v>
      </c>
      <c r="D23" s="5">
        <f>IF((Title_RESULTS!$H$8-Title_RESULTS!$H$7)&lt;=('Sheet3(F_21)'!A23-Title_RESULTS!$H$7),((Title_RESULTS!$C$8*Partcipation!$C$26*8760*Title_RESULTS!$H$21/100000)),0)</f>
        <v>184.72624403927074</v>
      </c>
      <c r="E23" s="5">
        <f>IF($G23=0,0,((Title_RESULTS!$H$14*((1+Title_RESULTS!$H$15/100)^($A23-Title_RESULTS!$H$7))*'EUE_Line Losses'!$B$25*Partcipation!$C$26))/1000)</f>
        <v>1.6001274190791555</v>
      </c>
      <c r="F23" s="5">
        <f>IF($G23=0,0,(Title_RESULTS!$H$19/100*((1+Title_RESULTS!$H$20/100)^($A23-Title_RESULTS!$H$7))*$D23*1000)/1000)</f>
        <v>0.4579811372626616</v>
      </c>
      <c r="G23" s="5">
        <f>(+Title_RESULTS!$H$22/100*((1+Title_RESULTS!$H$23/100)^(+'Sheet4(F_22)'!A23-Title_RESULTS!$H$7)))*'Sheet3(F_21)'!D23</f>
        <v>9.452296541735418</v>
      </c>
      <c r="H23" s="5">
        <f>IF($G23=0,0,(($D23))*(Partcipation!$G23/100))</f>
        <v>6.86588041643158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20.088342538243616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15.814469485156316</v>
      </c>
      <c r="D24" s="5">
        <f>IF((Title_RESULTS!$H$8-Title_RESULTS!$H$7)&lt;=('Sheet3(F_21)'!A24-Title_RESULTS!$H$7),((Title_RESULTS!$C$8*Partcipation!$C$26*8760*Title_RESULTS!$H$21/100000)),0)</f>
        <v>184.72624403927074</v>
      </c>
      <c r="E24" s="5">
        <f>IF($G24=0,0,((Title_RESULTS!$H$14*((1+Title_RESULTS!$H$15/100)^($A24-Title_RESULTS!$H$7))*'EUE_Line Losses'!$B$25*Partcipation!$C$26))/1000)</f>
        <v>1.6385304771370548</v>
      </c>
      <c r="F24" s="5">
        <f>IF($G24=0,0,(Title_RESULTS!$H$19/100*((1+Title_RESULTS!$H$20/100)^($A24-Title_RESULTS!$H$7))*$D24*1000)/1000)</f>
        <v>0.4689726845569654</v>
      </c>
      <c r="G24" s="5">
        <f>(+Title_RESULTS!$H$22/100*((1+Title_RESULTS!$H$23/100)^(+'Sheet4(F_22)'!A24-Title_RESULTS!$H$7)))*'Sheet3(F_21)'!D24</f>
        <v>9.881430804730208</v>
      </c>
      <c r="H24" s="5">
        <f>IF($G24=0,0,(($D24))*(Partcipation!$G24/100))</f>
        <v>7.389502598892415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20.41390085268813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16.194016752800067</v>
      </c>
      <c r="D25" s="5">
        <f>IF((Title_RESULTS!$H$8-Title_RESULTS!$H$7)&lt;=('Sheet3(F_21)'!A25-Title_RESULTS!$H$7),((Title_RESULTS!$C$8*Partcipation!$C$26*8760*Title_RESULTS!$H$21/100000)),0)</f>
        <v>184.72624403927074</v>
      </c>
      <c r="E25" s="5">
        <f>IF($G25=0,0,((Title_RESULTS!$H$14*((1+Title_RESULTS!$H$15/100)^($A25-Title_RESULTS!$H$7))*'EUE_Line Losses'!$B$25*Partcipation!$C$26))/1000)</f>
        <v>1.6778552085883442</v>
      </c>
      <c r="F25" s="5">
        <f>IF($G25=0,0,(Title_RESULTS!$H$19/100*((1+Title_RESULTS!$H$20/100)^($A25-Title_RESULTS!$H$7))*$D25*1000)/1000)</f>
        <v>0.48022802898633254</v>
      </c>
      <c r="G25" s="5">
        <f>(+Title_RESULTS!$H$22/100*((1+Title_RESULTS!$H$23/100)^(+'Sheet4(F_22)'!A25-Title_RESULTS!$H$7)))*'Sheet3(F_21)'!D25</f>
        <v>10.33004776326496</v>
      </c>
      <c r="H25" s="5">
        <f>IF($G25=0,0,(($D25))*(Partcipation!$G25/100))</f>
        <v>7.713795749839345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20.968352003800355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16.58267315486727</v>
      </c>
      <c r="D26" s="5">
        <f>IF((Title_RESULTS!$H$8-Title_RESULTS!$H$7)&lt;=('Sheet3(F_21)'!A26-Title_RESULTS!$H$7),((Title_RESULTS!$C$8*Partcipation!$C$26*8760*Title_RESULTS!$H$21/100000)),0)</f>
        <v>184.72624403927074</v>
      </c>
      <c r="E26" s="5">
        <f>IF($G26=0,0,((Title_RESULTS!$H$14*((1+Title_RESULTS!$H$15/100)^($A26-Title_RESULTS!$H$7))*'EUE_Line Losses'!$B$25*Partcipation!$C$26))/1000)</f>
        <v>1.7181237335944644</v>
      </c>
      <c r="F26" s="5">
        <f>IF($G26=0,0,(Title_RESULTS!$H$19/100*((1+Title_RESULTS!$H$20/100)^($A26-Title_RESULTS!$H$7))*$D26*1000)/1000)</f>
        <v>0.49175350168200455</v>
      </c>
      <c r="G26" s="5">
        <f>(+Title_RESULTS!$H$22/100*((1+Title_RESULTS!$H$23/100)^(+'Sheet4(F_22)'!A26-Title_RESULTS!$H$7)))*'Sheet3(F_21)'!D26</f>
        <v>10.79903193171719</v>
      </c>
      <c r="H26" s="5">
        <f>IF($G26=0,0,(($D26))*(Partcipation!$G26/100))</f>
        <v>8.287338885451053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21.304243436409877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16.980657310584082</v>
      </c>
      <c r="D27" s="5">
        <f>IF((Title_RESULTS!$H$8-Title_RESULTS!$H$7)&lt;=('Sheet3(F_21)'!A27-Title_RESULTS!$H$7),((Title_RESULTS!$C$8*Partcipation!$C$26*8760*Title_RESULTS!$H$21/100000)),0)</f>
        <v>184.72624403927074</v>
      </c>
      <c r="E27" s="5">
        <f>IF($G27=0,0,((Title_RESULTS!$H$14*((1+Title_RESULTS!$H$15/100)^($A27-Title_RESULTS!$H$7))*'EUE_Line Losses'!$B$25*Partcipation!$C$26))/1000)</f>
        <v>1.7593587032007323</v>
      </c>
      <c r="F27" s="5">
        <f>IF($G27=0,0,(Title_RESULTS!$H$19/100*((1+Title_RESULTS!$H$20/100)^($A27-Title_RESULTS!$H$7))*$D27*1000)/1000)</f>
        <v>0.5035555857223728</v>
      </c>
      <c r="G27" s="5">
        <f>(+Title_RESULTS!$H$22/100*((1+Title_RESULTS!$H$23/100)^(+'Sheet4(F_22)'!A27-Title_RESULTS!$H$7)))*'Sheet3(F_21)'!D27</f>
        <v>11.289307981417151</v>
      </c>
      <c r="H27" s="5">
        <f>IF($G27=0,0,(($D27))*(Partcipation!$G27/100))</f>
        <v>8.493420611274676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22.03945896964966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17.388193086038104</v>
      </c>
      <c r="D28" s="5">
        <f>IF((Title_RESULTS!$H$8-Title_RESULTS!$H$7)&lt;=('Sheet3(F_21)'!A28-Title_RESULTS!$H$7),((Title_RESULTS!$C$8*Partcipation!$C$26*8760*Title_RESULTS!$H$21/100000)),0)</f>
        <v>184.72624403927074</v>
      </c>
      <c r="E28" s="5">
        <f>IF($G28=0,0,((Title_RESULTS!$H$14*((1+Title_RESULTS!$H$15/100)^($A28-Title_RESULTS!$H$7))*'EUE_Line Losses'!$B$25*Partcipation!$C$26))/1000)</f>
        <v>1.8015833120775495</v>
      </c>
      <c r="F28" s="5">
        <f>IF($G28=0,0,(Title_RESULTS!$H$19/100*((1+Title_RESULTS!$H$20/100)^($A28-Title_RESULTS!$H$7))*$D28*1000)/1000)</f>
        <v>0.5156409197797096</v>
      </c>
      <c r="G28" s="5">
        <f>(+Title_RESULTS!$H$22/100*((1+Title_RESULTS!$H$23/100)^(+'Sheet4(F_22)'!A28-Title_RESULTS!$H$7)))*'Sheet3(F_21)'!D28</f>
        <v>11.801842563773489</v>
      </c>
      <c r="H28" s="5">
        <f>IF($G28=0,0,(($D28))*(Partcipation!$G28/100))</f>
        <v>9.003110030375662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22.50414985129319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17.805509720103018</v>
      </c>
      <c r="D29" s="5">
        <f>IF((Title_RESULTS!$H$8-Title_RESULTS!$H$7)&lt;=('Sheet3(F_21)'!A29-Title_RESULTS!$H$7),((Title_RESULTS!$C$8*Partcipation!$C$26*8760*Title_RESULTS!$H$21/100000)),0)</f>
        <v>184.72624403927074</v>
      </c>
      <c r="E29" s="5">
        <f>IF($G29=0,0,((Title_RESULTS!$H$14*((1+Title_RESULTS!$H$15/100)^($A29-Title_RESULTS!$H$7))*'EUE_Line Losses'!$B$25*Partcipation!$C$26))/1000)</f>
        <v>1.8448213115674106</v>
      </c>
      <c r="F29" s="5">
        <f>IF($G29=0,0,(Title_RESULTS!$H$19/100*((1+Title_RESULTS!$H$20/100)^($A29-Title_RESULTS!$H$7))*$D29*1000)/1000)</f>
        <v>0.5280163018544227</v>
      </c>
      <c r="G29" s="5">
        <f>(+Title_RESULTS!$H$22/100*((1+Title_RESULTS!$H$23/100)^(+'Sheet4(F_22)'!A29-Title_RESULTS!$H$7)))*'Sheet3(F_21)'!D29</f>
        <v>12.337646216168807</v>
      </c>
      <c r="H29" s="5">
        <f>IF($G29=0,0,(($D29))*(Partcipation!$G29/100))</f>
        <v>9.208448091799116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23.307545457894545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18.23284195338549</v>
      </c>
      <c r="D30" s="5">
        <f>IF((Title_RESULTS!$H$8-Title_RESULTS!$H$7)&lt;=('Sheet3(F_21)'!A30-Title_RESULTS!$H$7),((Title_RESULTS!$C$8*Partcipation!$C$26*8760*Title_RESULTS!$H$21/100000)),0)</f>
        <v>184.72624403927074</v>
      </c>
      <c r="E30" s="5">
        <f>IF($G30=0,0,((Title_RESULTS!$H$14*((1+Title_RESULTS!$H$15/100)^($A30-Title_RESULTS!$H$7))*'EUE_Line Losses'!$B$25*Partcipation!$C$26))/1000)</f>
        <v>1.8890970230450281</v>
      </c>
      <c r="F30" s="5">
        <f>IF($G30=0,0,(Title_RESULTS!$H$19/100*((1+Title_RESULTS!$H$20/100)^($A30-Title_RESULTS!$H$7))*$D30*1000)/1000)</f>
        <v>0.5406886930989289</v>
      </c>
      <c r="G30" s="5">
        <f>(+Title_RESULTS!$H$22/100*((1+Title_RESULTS!$H$23/100)^(+'Sheet4(F_22)'!A30-Title_RESULTS!$H$7)))*'Sheet3(F_21)'!D30</f>
        <v>12.897775354382873</v>
      </c>
      <c r="H30" s="5">
        <f>IF($G30=0,0,(($D30))*(Partcipation!$G30/100))</f>
        <v>9.802642524877403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23.757760499034912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192.6816518560313</v>
      </c>
      <c r="D32" s="9">
        <f t="shared" si="1"/>
        <v>2216.714928471249</v>
      </c>
      <c r="E32" s="9">
        <f t="shared" si="1"/>
        <v>19.96366424100114</v>
      </c>
      <c r="F32" s="9">
        <f t="shared" si="1"/>
        <v>5.713908495040509</v>
      </c>
      <c r="G32" s="9">
        <f t="shared" si="1"/>
        <v>122.66802359636617</v>
      </c>
      <c r="H32" s="9">
        <f t="shared" si="1"/>
        <v>91.684883930342</v>
      </c>
      <c r="I32" s="9">
        <f t="shared" si="1"/>
        <v>0</v>
      </c>
      <c r="J32" s="9">
        <f t="shared" si="1"/>
        <v>249.34236425809706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108.64764782738332</v>
      </c>
      <c r="D34" s="5"/>
      <c r="E34" s="5">
        <f>NPV(Title_RESULTS!$C$37,E17:E31)+'Sheet3(F_21)'!E16</f>
        <v>11.256936718712923</v>
      </c>
      <c r="F34" s="5">
        <f>NPV(Title_RESULTS!$C$37,F17:F31)+'Sheet3(F_21)'!F16</f>
        <v>3.2219088424200835</v>
      </c>
      <c r="G34" s="5">
        <f>NPV(Title_RESULTS!$C$37,G17:G31)+'Sheet3(F_21)'!G16</f>
        <v>68.0160659259897</v>
      </c>
      <c r="H34" s="5">
        <f>NPV(Title_RESULTS!$C$37,H17:H31)+'Sheet3(F_21)'!H16</f>
        <v>50.69940853832138</v>
      </c>
      <c r="I34" s="5">
        <f>NPV(Title_RESULTS!$C$37,I17:I31)+'Sheet3(F_21)'!I16</f>
        <v>0</v>
      </c>
      <c r="J34" s="5">
        <f>NPV(Title_RESULTS!$C$37,J17:J31)+'Sheet3(F_21)'!J16</f>
        <v>140.44315077618464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Heat Pump Pool Heater</v>
      </c>
      <c r="F2" t="s">
        <v>55</v>
      </c>
    </row>
    <row r="3" spans="6:7" ht="12.75">
      <c r="F3" s="35">
        <f>+Title_RESULTS!I4</f>
        <v>43599.32186585648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4964.008438818566</v>
      </c>
      <c r="C16" s="5">
        <f>$B16*'Sheet2(F_12)'!$E16/100</f>
        <v>143.99147049904062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143.99147049904062</v>
      </c>
      <c r="G16" s="5">
        <f>+$F16*'Sheet2(F_12)'!$I16</f>
        <v>143.99147049904062</v>
      </c>
    </row>
    <row r="17" spans="1:7" ht="12.75">
      <c r="A17">
        <f>+A16+1</f>
        <v>2021</v>
      </c>
      <c r="B17" s="5">
        <f>(+Partcipation!$C16+(Partcipation!$C17-Partcipation!$C16)/2)*Title_RESULTS!$C$10/1000</f>
        <v>14892.025316455698</v>
      </c>
      <c r="C17" s="5">
        <f>$B17*'Sheet2(F_12)'!$E17/100</f>
        <v>428.4607950503825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428.4607950503825</v>
      </c>
      <c r="G17" s="5">
        <f>+$F17*'Sheet2(F_12)'!$I17</f>
        <v>428.4607950503825</v>
      </c>
    </row>
    <row r="18" spans="1:7" ht="12.75">
      <c r="A18">
        <f>+A17+1</f>
        <v>2022</v>
      </c>
      <c r="B18" s="5">
        <f>(+Partcipation!$C17+(Partcipation!$C18-Partcipation!$C17)/2)*Title_RESULTS!$C$10/1000</f>
        <v>24820.042194092828</v>
      </c>
      <c r="C18" s="5">
        <f>$B18*'Sheet2(F_12)'!$E18/100</f>
        <v>737.0003640123564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737.0003640123564</v>
      </c>
      <c r="G18" s="5">
        <f>+$F18*'Sheet2(F_12)'!$I18</f>
        <v>737.0003640123564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29784.050632911396</v>
      </c>
      <c r="C19" s="5">
        <f>$B19*'Sheet2(F_12)'!$E19/100</f>
        <v>920.6818984933436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920.6818984933436</v>
      </c>
      <c r="G19" s="5">
        <f>+$F19*'Sheet2(F_12)'!$I19</f>
        <v>920.6818984933436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29784.050632911396</v>
      </c>
      <c r="C20" s="5">
        <f>$B20*'Sheet2(F_12)'!$E20/100</f>
        <v>956.8612268470486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956.8612268470486</v>
      </c>
      <c r="G20" s="5">
        <f>+$F20*'Sheet2(F_12)'!$I20</f>
        <v>956.8612268470486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29784.050632911396</v>
      </c>
      <c r="C21" s="5">
        <f>$B21*'Sheet2(F_12)'!$E21/100</f>
        <v>1027.3808798817024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1027.3808798817024</v>
      </c>
      <c r="G21" s="5">
        <f>+$F21*'Sheet2(F_12)'!$I21</f>
        <v>1027.3808798817024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29784.050632911396</v>
      </c>
      <c r="C22" s="5">
        <f>$B22*'Sheet2(F_12)'!$E22/100</f>
        <v>1060.3337359015857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1060.3337359015857</v>
      </c>
      <c r="G22" s="5">
        <f>+$F22*'Sheet2(F_12)'!$I22</f>
        <v>1060.3337359015857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29784.050632911396</v>
      </c>
      <c r="C23" s="5">
        <f>$B23*'Sheet2(F_12)'!$E23/100</f>
        <v>1126.5998485540338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1126.5998485540338</v>
      </c>
      <c r="G23" s="5">
        <f>+$F23*'Sheet2(F_12)'!$I23</f>
        <v>1126.5998485540338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29784.050632911396</v>
      </c>
      <c r="C24" s="5">
        <f>$B24*'Sheet2(F_12)'!$E24/100</f>
        <v>1248.402912814246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1248.402912814246</v>
      </c>
      <c r="G24" s="5">
        <f>+$F24*'Sheet2(F_12)'!$I24</f>
        <v>1248.402912814246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29784.050632911396</v>
      </c>
      <c r="C25" s="5">
        <f>$B25*'Sheet2(F_12)'!$E25/100</f>
        <v>1337.4942737414021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1337.4942737414021</v>
      </c>
      <c r="G25" s="5">
        <f>+$F25*'Sheet2(F_12)'!$I25</f>
        <v>1337.4942737414021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29784.050632911396</v>
      </c>
      <c r="C26" s="5">
        <f>$B26*'Sheet2(F_12)'!$E26/100</f>
        <v>1493.907006309848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1493.907006309848</v>
      </c>
      <c r="G26" s="5">
        <f>+$F26*'Sheet2(F_12)'!$I26</f>
        <v>1493.907006309848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29784.050632911396</v>
      </c>
      <c r="C27" s="5">
        <f>$B27*'Sheet2(F_12)'!$E27/100</f>
        <v>1488.351396865307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1488.351396865307</v>
      </c>
      <c r="G27" s="5">
        <f>+$F27*'Sheet2(F_12)'!$I27</f>
        <v>1488.351396865307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29784.050632911396</v>
      </c>
      <c r="C28" s="5">
        <f>$B28*'Sheet2(F_12)'!$E28/100</f>
        <v>1626.6305175501288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1626.6305175501288</v>
      </c>
      <c r="G28" s="5">
        <f>+$F28*'Sheet2(F_12)'!$I28</f>
        <v>1626.6305175501288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29784.050632911396</v>
      </c>
      <c r="C29" s="5">
        <f>$B29*'Sheet2(F_12)'!$E29/100</f>
        <v>1734.653482245728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1734.653482245728</v>
      </c>
      <c r="G29" s="5">
        <f>+$F29*'Sheet2(F_12)'!$I29</f>
        <v>1734.653482245728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29784.050632911396</v>
      </c>
      <c r="C30" s="5">
        <f>$B30*'Sheet2(F_12)'!$E30/100</f>
        <v>1815.4228862204495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1815.4228862204495</v>
      </c>
      <c r="G30" s="5">
        <f>+$F30*'Sheet2(F_12)'!$I30</f>
        <v>1815.4228862204495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402084.68354430376</v>
      </c>
      <c r="C32" s="5">
        <f t="shared" si="2"/>
        <v>17146.172694986606</v>
      </c>
      <c r="D32" s="5">
        <f t="shared" si="2"/>
        <v>0</v>
      </c>
      <c r="E32" s="5">
        <f t="shared" si="2"/>
        <v>0</v>
      </c>
      <c r="F32" s="5">
        <f t="shared" si="2"/>
        <v>17146.172694986606</v>
      </c>
      <c r="G32" s="5">
        <f t="shared" si="2"/>
        <v>17146.172694986606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9820.995810556647</v>
      </c>
      <c r="D34" s="5"/>
      <c r="E34" s="5">
        <f>NPV(+Title_RESULTS!$C$37,E17:E31)+E16</f>
        <v>0</v>
      </c>
      <c r="F34" s="5">
        <f>NPV(+Title_RESULTS!$C$37,F17:F31)+F16</f>
        <v>9820.995810556647</v>
      </c>
      <c r="G34" s="5">
        <f>NPV(+Title_RESULTS!$C$37,G17:G31)+G16</f>
        <v>9820.995810556647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Heat Pump Pool Heater</v>
      </c>
      <c r="J2" t="s">
        <v>42</v>
      </c>
    </row>
    <row r="3" spans="9:10" ht="12.75">
      <c r="I3" s="4"/>
      <c r="J3" s="35">
        <f>+Title_RESULTS!I4</f>
        <v>43599.32186585648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Heat Pump Pool Heater</v>
      </c>
      <c r="H2" t="s">
        <v>108</v>
      </c>
    </row>
    <row r="3" ht="12.75">
      <c r="H3" s="35">
        <f>+Title_RESULTS!I4</f>
        <v>43599.32186585648</v>
      </c>
    </row>
    <row r="5" spans="3:6" ht="12.75">
      <c r="C5" t="s">
        <v>60</v>
      </c>
      <c r="F5" s="38">
        <f>+'Value of Defferal'!L4</f>
        <v>8.2911232</v>
      </c>
    </row>
    <row r="6" spans="3:6" ht="12.75">
      <c r="C6" t="s">
        <v>62</v>
      </c>
      <c r="F6" s="38">
        <f>+'Value of Defferal'!L5</f>
        <v>86.0338176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143.99147049904062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0.8193478936783118</v>
      </c>
      <c r="C17" s="5">
        <f>IF(+Title_RESULTS!$H$9&lt;='Sheet4(F_22)'!$A17,(+Title_RESULTS!$H$16*((1+Title_RESULTS!$H$18/100)^('Sheet4(F_22)'!$A17-Title_RESULTS!$H$7))*Title_RESULTS!$C$8*Partcipation!$C$26/1000),0)</f>
        <v>0.6596717013290592</v>
      </c>
      <c r="D17" s="5">
        <f>(+B17+C17)*+Partcipation!$H17</f>
        <v>1.479019595007371</v>
      </c>
      <c r="E17" s="5">
        <f>VLOOKUP(A17,'Value of Defferal'!$I24:$P$58,'Value of Defferal'!$K$13)</f>
        <v>8.502060038821288</v>
      </c>
      <c r="F17" s="5">
        <f>IF(+'Value of Defferal'!P24=0,0,Title_RESULTS!$H$17*Title_RESULTS!$C$7*Partcipation!$C$26*(1+Title_RESULTS!$H$18/100)^('Sheet4(F_22)'!A17-Title_RESULTS!$H$7))/1000</f>
        <v>11.8444032</v>
      </c>
      <c r="G17" s="5">
        <f>(+E17+F17)*Partcipation!$H17</f>
        <v>20.346463238821286</v>
      </c>
      <c r="H17" s="5">
        <f>+'Sheet5(p_5)'!$F17*'Sheet2(F_12)'!$I17</f>
        <v>428.4607950503825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0.8390122431265913</v>
      </c>
      <c r="C18" s="5">
        <f>IF(+Title_RESULTS!$H$9&lt;='Sheet4(F_22)'!$A18,(+Title_RESULTS!$H$16*((1+Title_RESULTS!$H$18/100)^('Sheet4(F_22)'!$A18-Title_RESULTS!$H$7))*Title_RESULTS!$C$8*Partcipation!$C$26/1000),0)</f>
        <v>0.6755038221609565</v>
      </c>
      <c r="D18" s="5">
        <f>(+B18+C18)*+Partcipation!$H18</f>
        <v>1.5145160652875478</v>
      </c>
      <c r="E18" s="5">
        <f>VLOOKUP(A18,'Value of Defferal'!$I25:$P$58,'Value of Defferal'!$K$13)</f>
        <v>8.706109479752998</v>
      </c>
      <c r="F18" s="5">
        <f>IF(+'Value of Defferal'!P25=0,0,Title_RESULTS!$H$17*Title_RESULTS!$C$7*Partcipation!$C$26*(1+Title_RESULTS!$H$18/100)^('Sheet4(F_22)'!A18-Title_RESULTS!$H$7))/1000</f>
        <v>12.1286688768</v>
      </c>
      <c r="G18" s="5">
        <f>(+E18+F18)*Partcipation!$H18</f>
        <v>20.834778356553</v>
      </c>
      <c r="H18" s="5">
        <f>+'Sheet5(p_5)'!$F18*'Sheet2(F_12)'!$I18</f>
        <v>737.0003640123564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0.8591485369616295</v>
      </c>
      <c r="C19" s="5">
        <f>IF(+Title_RESULTS!$H$9&lt;='Sheet4(F_22)'!$A19,(+Title_RESULTS!$H$16*((1+Title_RESULTS!$H$18/100)^('Sheet4(F_22)'!$A19-Title_RESULTS!$H$7))*Title_RESULTS!$C$8*Partcipation!$C$26/1000),0)</f>
        <v>0.6917159138928195</v>
      </c>
      <c r="D19" s="5">
        <f>(+B19+C19)*+Partcipation!$H19</f>
        <v>1.5508644508544491</v>
      </c>
      <c r="E19" s="5">
        <f>VLOOKUP(A19,'Value of Defferal'!$I26:$P$58,'Value of Defferal'!$K$13)</f>
        <v>8.91505610726707</v>
      </c>
      <c r="F19" s="5">
        <f>IF(+'Value of Defferal'!P26=0,0,Title_RESULTS!$H$17*Title_RESULTS!$C$7*Partcipation!$C$26*(1+Title_RESULTS!$H$18/100)^('Sheet4(F_22)'!A19-Title_RESULTS!$H$7))/1000</f>
        <v>12.419756929843203</v>
      </c>
      <c r="G19" s="5">
        <f>(+E19+F19)*Partcipation!$H19</f>
        <v>21.334813037110273</v>
      </c>
      <c r="H19" s="5">
        <f>+'Sheet5(p_5)'!$F19*'Sheet2(F_12)'!$I19</f>
        <v>920.6818984933436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0.8797681018487086</v>
      </c>
      <c r="C20" s="5">
        <f>IF(+Title_RESULTS!$H$9&lt;='Sheet4(F_22)'!$A20,(+Title_RESULTS!$H$16*((1+Title_RESULTS!$H$18/100)^('Sheet4(F_22)'!$A20-Title_RESULTS!$H$7))*Title_RESULTS!$C$8*Partcipation!$C$26/1000),0)</f>
        <v>0.7083170958262471</v>
      </c>
      <c r="D20" s="5">
        <f>(+B20+C20)*+Partcipation!$H20</f>
        <v>1.5880851976749557</v>
      </c>
      <c r="E20" s="5">
        <f>VLOOKUP(A20,'Value of Defferal'!$I27:$P$58,'Value of Defferal'!$K$13)</f>
        <v>9.12901745384148</v>
      </c>
      <c r="F20" s="5">
        <f>IF(+'Value of Defferal'!P27=0,0,Title_RESULTS!$H$17*Title_RESULTS!$C$7*Partcipation!$C$26*(1+Title_RESULTS!$H$18/100)^('Sheet4(F_22)'!A20-Title_RESULTS!$H$7))/1000</f>
        <v>12.717831096159438</v>
      </c>
      <c r="G20" s="5">
        <f>(+E20+F20)*Partcipation!$H20</f>
        <v>21.846848550000917</v>
      </c>
      <c r="H20" s="5">
        <f>+'Sheet5(p_5)'!$F20*'Sheet2(F_12)'!$I20</f>
        <v>956.8612268470486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0.9008825362930776</v>
      </c>
      <c r="C21" s="5">
        <f>IF(+Title_RESULTS!$H$9&lt;='Sheet4(F_22)'!$A21,(+Title_RESULTS!$H$16*((1+Title_RESULTS!$H$18/100)^('Sheet4(F_22)'!$A21-Title_RESULTS!$H$7))*Title_RESULTS!$C$8*Partcipation!$C$26/1000),0)</f>
        <v>0.7253167061260771</v>
      </c>
      <c r="D21" s="5">
        <f>(+B21+C21)*+Partcipation!$H21</f>
        <v>1.6261992424191547</v>
      </c>
      <c r="E21" s="5">
        <f>VLOOKUP(A21,'Value of Defferal'!$I28:$P$58,'Value of Defferal'!$K$13)</f>
        <v>9.348113872733675</v>
      </c>
      <c r="F21" s="5">
        <f>IF(+'Value of Defferal'!P28=0,0,Title_RESULTS!$H$17*Title_RESULTS!$C$7*Partcipation!$C$26*(1+Title_RESULTS!$H$18/100)^('Sheet4(F_22)'!A21-Title_RESULTS!$H$7))/1000</f>
        <v>13.023059042467267</v>
      </c>
      <c r="G21" s="5">
        <f>(+E21+F21)*Partcipation!$H21</f>
        <v>22.371172915200944</v>
      </c>
      <c r="H21" s="5">
        <f>+'Sheet5(p_5)'!$F21*'Sheet2(F_12)'!$I21</f>
        <v>1027.3808798817024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0.9225037171641115</v>
      </c>
      <c r="C22" s="5">
        <f>IF(+Title_RESULTS!$H$9&lt;='Sheet4(F_22)'!$A22,(+Title_RESULTS!$H$16*((1+Title_RESULTS!$H$18/100)^('Sheet4(F_22)'!$A22-Title_RESULTS!$H$7))*Title_RESULTS!$C$8*Partcipation!$C$26/1000),0)</f>
        <v>0.7427243070731028</v>
      </c>
      <c r="D22" s="5">
        <f>(+B22+C22)*+Partcipation!$H22</f>
        <v>1.6652280242372144</v>
      </c>
      <c r="E22" s="5">
        <f>VLOOKUP(A22,'Value of Defferal'!$I29:$P$58,'Value of Defferal'!$K$13)</f>
        <v>9.572468605679285</v>
      </c>
      <c r="F22" s="5">
        <f>IF(+'Value of Defferal'!P29=0,0,Title_RESULTS!$H$17*Title_RESULTS!$C$7*Partcipation!$C$26*(1+Title_RESULTS!$H$18/100)^('Sheet4(F_22)'!A22-Title_RESULTS!$H$7))/1000</f>
        <v>13.335612459486478</v>
      </c>
      <c r="G22" s="5">
        <f>(+E22+F22)*Partcipation!$H22</f>
        <v>22.908081065165764</v>
      </c>
      <c r="H22" s="5">
        <f>+'Sheet5(p_5)'!$F22*'Sheet2(F_12)'!$I22</f>
        <v>1060.3337359015857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0.94464380637605</v>
      </c>
      <c r="C23" s="5">
        <f>IF(+Title_RESULTS!$H$9&lt;='Sheet4(F_22)'!$A23,(+Title_RESULTS!$H$16*((1+Title_RESULTS!$H$18/100)^('Sheet4(F_22)'!$A23-Title_RESULTS!$H$7))*Title_RESULTS!$C$8*Partcipation!$C$26/1000),0)</f>
        <v>0.7605496904428575</v>
      </c>
      <c r="D23" s="5">
        <f>(+B23+C23)*+Partcipation!$H23</f>
        <v>1.7051934968189075</v>
      </c>
      <c r="E23" s="5">
        <f>VLOOKUP(A23,'Value of Defferal'!$I30:$P$58,'Value of Defferal'!$K$13)</f>
        <v>9.802207852215586</v>
      </c>
      <c r="F23" s="5">
        <f>IF(+'Value of Defferal'!P30=0,0,Title_RESULTS!$H$17*Title_RESULTS!$C$7*Partcipation!$C$26*(1+Title_RESULTS!$H$18/100)^('Sheet4(F_22)'!A23-Title_RESULTS!$H$7))/1000</f>
        <v>13.655667158514156</v>
      </c>
      <c r="G23" s="5">
        <f>(+E23+F23)*Partcipation!$H23</f>
        <v>23.457875010729744</v>
      </c>
      <c r="H23" s="5">
        <f>+'Sheet5(p_5)'!$F23*'Sheet2(F_12)'!$I23</f>
        <v>1126.5998485540338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0.9673152577290753</v>
      </c>
      <c r="C24" s="5">
        <f>IF(+Title_RESULTS!$H$9&lt;='Sheet4(F_22)'!$A24,(+Title_RESULTS!$H$16*((1+Title_RESULTS!$H$18/100)^('Sheet4(F_22)'!$A24-Title_RESULTS!$H$7))*Title_RESULTS!$C$8*Partcipation!$C$26/1000),0)</f>
        <v>0.778802883013486</v>
      </c>
      <c r="D24" s="5">
        <f>(+B24+C24)*+Partcipation!$H24</f>
        <v>1.7461181407425612</v>
      </c>
      <c r="E24" s="5">
        <f>VLOOKUP(A24,'Value of Defferal'!$I31:$P$58,'Value of Defferal'!$K$13)</f>
        <v>10.03746084066876</v>
      </c>
      <c r="F24" s="5">
        <f>IF(+'Value of Defferal'!P31=0,0,Title_RESULTS!$H$17*Title_RESULTS!$C$7*Partcipation!$C$26*(1+Title_RESULTS!$H$18/100)^('Sheet4(F_22)'!A24-Title_RESULTS!$H$7))/1000</f>
        <v>13.983403170318494</v>
      </c>
      <c r="G24" s="5">
        <f>(+E24+F24)*Partcipation!$H24</f>
        <v>24.020864010987253</v>
      </c>
      <c r="H24" s="5">
        <f>+'Sheet5(p_5)'!$F24*'Sheet2(F_12)'!$I24</f>
        <v>1248.402912814246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0.9905308239145731</v>
      </c>
      <c r="C25" s="5">
        <f>IF(+Title_RESULTS!$H$9&lt;='Sheet4(F_22)'!$A25,(+Title_RESULTS!$H$16*((1+Title_RESULTS!$H$18/100)^('Sheet4(F_22)'!$A25-Title_RESULTS!$H$7))*Title_RESULTS!$C$8*Partcipation!$C$26/1000),0)</f>
        <v>0.7974941522058095</v>
      </c>
      <c r="D25" s="5">
        <f>(+B25+C25)*+Partcipation!$H25</f>
        <v>1.7880249761203828</v>
      </c>
      <c r="E25" s="5">
        <f>VLOOKUP(A25,'Value of Defferal'!$I32:$P$58,'Value of Defferal'!$K$13)</f>
        <v>10.278359900844812</v>
      </c>
      <c r="F25" s="5">
        <f>IF(+'Value of Defferal'!P32=0,0,Title_RESULTS!$H$17*Title_RESULTS!$C$7*Partcipation!$C$26*(1+Title_RESULTS!$H$18/100)^('Sheet4(F_22)'!A25-Title_RESULTS!$H$7))/1000</f>
        <v>14.319004846406136</v>
      </c>
      <c r="G25" s="5">
        <f>(+E25+F25)*Partcipation!$H25</f>
        <v>24.59736474725095</v>
      </c>
      <c r="H25" s="5">
        <f>+'Sheet5(p_5)'!$F25*'Sheet2(F_12)'!$I25</f>
        <v>1337.4942737414021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1.014303563688523</v>
      </c>
      <c r="C26" s="5">
        <f>IF(+Title_RESULTS!$H$9&lt;='Sheet4(F_22)'!$A26,(+Title_RESULTS!$H$16*((1+Title_RESULTS!$H$18/100)^('Sheet4(F_22)'!$A26-Title_RESULTS!$H$7))*Title_RESULTS!$C$8*Partcipation!$C$26/1000),0)</f>
        <v>0.8166340118587491</v>
      </c>
      <c r="D26" s="5">
        <f>(+B26+C26)*+Partcipation!$H26</f>
        <v>1.830937575547272</v>
      </c>
      <c r="E26" s="5">
        <f>VLOOKUP(A26,'Value of Defferal'!$I33:$P$58,'Value of Defferal'!$K$13)</f>
        <v>10.525040538465088</v>
      </c>
      <c r="F26" s="5">
        <f>IF(+'Value of Defferal'!P33=0,0,Title_RESULTS!$H$17*Title_RESULTS!$C$7*Partcipation!$C$26*(1+Title_RESULTS!$H$18/100)^('Sheet4(F_22)'!A26-Title_RESULTS!$H$7))/1000</f>
        <v>14.662660962719883</v>
      </c>
      <c r="G26" s="5">
        <f>(+E26+F26)*Partcipation!$H26</f>
        <v>25.18770150118497</v>
      </c>
      <c r="H26" s="5">
        <f>+'Sheet5(p_5)'!$F26*'Sheet2(F_12)'!$I26</f>
        <v>1493.907006309848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1.0386468492170478</v>
      </c>
      <c r="C27" s="5">
        <f>IF(+Title_RESULTS!$H$9&lt;='Sheet4(F_22)'!$A27,(+Title_RESULTS!$H$16*((1+Title_RESULTS!$H$18/100)^('Sheet4(F_22)'!$A27-Title_RESULTS!$H$7))*Title_RESULTS!$C$8*Partcipation!$C$26/1000),0)</f>
        <v>0.8362332281433591</v>
      </c>
      <c r="D27" s="5">
        <f>(+B27+C27)*+Partcipation!$H27</f>
        <v>1.8748800773604068</v>
      </c>
      <c r="E27" s="5">
        <f>VLOOKUP(A27,'Value of Defferal'!$I34:$P$58,'Value of Defferal'!$K$13)</f>
        <v>10.777641511388252</v>
      </c>
      <c r="F27" s="5">
        <f>IF(+'Value of Defferal'!P34=0,0,Title_RESULTS!$H$17*Title_RESULTS!$C$7*Partcipation!$C$26*(1+Title_RESULTS!$H$18/100)^('Sheet4(F_22)'!A27-Title_RESULTS!$H$7))/1000</f>
        <v>15.014564825825165</v>
      </c>
      <c r="G27" s="5">
        <f>(+E27+F27)*Partcipation!$H27</f>
        <v>25.792206337213415</v>
      </c>
      <c r="H27" s="5">
        <f>+'Sheet5(p_5)'!$F27*'Sheet2(F_12)'!$I27</f>
        <v>1488.351396865307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1.0635743735982568</v>
      </c>
      <c r="C28" s="5">
        <f>IF(+Title_RESULTS!$H$9&lt;='Sheet4(F_22)'!$A28,(+Title_RESULTS!$H$16*((1+Title_RESULTS!$H$18/100)^('Sheet4(F_22)'!$A28-Title_RESULTS!$H$7))*Title_RESULTS!$C$8*Partcipation!$C$26/1000),0)</f>
        <v>0.8563028256187996</v>
      </c>
      <c r="D28" s="5">
        <f>(+B28+C28)*+Partcipation!$H28</f>
        <v>1.9198771992170562</v>
      </c>
      <c r="E28" s="5">
        <f>VLOOKUP(A28,'Value of Defferal'!$I35:$P$58,'Value of Defferal'!$K$13)</f>
        <v>11.036304907661568</v>
      </c>
      <c r="F28" s="5">
        <f>IF(+'Value of Defferal'!P35=0,0,Title_RESULTS!$H$17*Title_RESULTS!$C$7*Partcipation!$C$26*(1+Title_RESULTS!$H$18/100)^('Sheet4(F_22)'!A28-Title_RESULTS!$H$7))/1000</f>
        <v>15.374914381644965</v>
      </c>
      <c r="G28" s="5">
        <f>(+E28+F28)*Partcipation!$H28</f>
        <v>26.411219289306533</v>
      </c>
      <c r="H28" s="5">
        <f>+'Sheet5(p_5)'!$F28*'Sheet2(F_12)'!$I28</f>
        <v>1626.6305175501288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1.089100158564615</v>
      </c>
      <c r="C29" s="5">
        <f>IF(+Title_RESULTS!$H$9&lt;='Sheet4(F_22)'!$A29,(+Title_RESULTS!$H$16*((1+Title_RESULTS!$H$18/100)^('Sheet4(F_22)'!$A29-Title_RESULTS!$H$7))*Title_RESULTS!$C$8*Partcipation!$C$26/1000),0)</f>
        <v>0.8768540934336507</v>
      </c>
      <c r="D29" s="5">
        <f>(+B29+C29)*+Partcipation!$H29</f>
        <v>1.9659542519982658</v>
      </c>
      <c r="E29" s="5">
        <f>VLOOKUP(A29,'Value of Defferal'!$I36:$P$58,'Value of Defferal'!$K$13)</f>
        <v>11.301176225445447</v>
      </c>
      <c r="F29" s="5">
        <f>IF(+'Value of Defferal'!P36=0,0,Title_RESULTS!$H$17*Title_RESULTS!$C$7*Partcipation!$C$26*(1+Title_RESULTS!$H$18/100)^('Sheet4(F_22)'!A29-Title_RESULTS!$H$7))/1000</f>
        <v>15.743912326804445</v>
      </c>
      <c r="G29" s="5">
        <f>(+E29+F29)*Partcipation!$H29</f>
        <v>27.045088552249894</v>
      </c>
      <c r="H29" s="5">
        <f>+'Sheet5(p_5)'!$F29*'Sheet2(F_12)'!$I29</f>
        <v>1734.653482245728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1.1152385623701657</v>
      </c>
      <c r="C30" s="5">
        <f>IF(+Title_RESULTS!$H$9&lt;='Sheet4(F_22)'!$A30,(+Title_RESULTS!$H$16*((1+Title_RESULTS!$H$18/100)^('Sheet4(F_22)'!$A30-Title_RESULTS!$H$7))*Title_RESULTS!$C$8*Partcipation!$C$26/1000),0)</f>
        <v>0.8978985916760583</v>
      </c>
      <c r="D30" s="5">
        <f>(+B30+C30)*+Partcipation!$H30</f>
        <v>2.013137154046224</v>
      </c>
      <c r="E30" s="5">
        <f>VLOOKUP(A30,'Value of Defferal'!$I37:$P$58,'Value of Defferal'!$K$13)</f>
        <v>11.572404454856137</v>
      </c>
      <c r="F30" s="5">
        <f>IF(+'Value of Defferal'!P37=0,0,Title_RESULTS!$H$17*Title_RESULTS!$C$7*Partcipation!$C$26*(1+Title_RESULTS!$H$18/100)^('Sheet4(F_22)'!A30-Title_RESULTS!$H$7))/1000</f>
        <v>16.12176622264775</v>
      </c>
      <c r="G30" s="5">
        <f>(+E30+F30)*Partcipation!$H30</f>
        <v>27.694170677503887</v>
      </c>
      <c r="H30" s="5">
        <f>+'Sheet5(p_5)'!$F30*'Sheet2(F_12)'!$I30</f>
        <v>1815.4228862204495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13.444016424530737</v>
      </c>
      <c r="C32" s="5">
        <f t="shared" si="1"/>
        <v>10.824019022801032</v>
      </c>
      <c r="D32" s="5">
        <f t="shared" si="1"/>
        <v>24.268035447331766</v>
      </c>
      <c r="E32" s="5">
        <f t="shared" si="1"/>
        <v>139.50342178964146</v>
      </c>
      <c r="F32" s="5">
        <f t="shared" si="1"/>
        <v>194.3452254996374</v>
      </c>
      <c r="G32" s="5">
        <f t="shared" si="1"/>
        <v>333.84864728927886</v>
      </c>
      <c r="H32" s="5">
        <f t="shared" si="1"/>
        <v>17146.172694986606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8.142497786947134</v>
      </c>
      <c r="C34" s="5">
        <f>NPV(Title_RESULTS!$C$37,'Sheet4(F_22)'!C17:C31)+'Sheet4(F_22)'!C16</f>
        <v>6.555671174145223</v>
      </c>
      <c r="D34" s="5">
        <f>NPV(Title_RESULTS!$C$37,'Sheet4(F_22)'!D17:D31)+'Sheet4(F_22)'!D16</f>
        <v>14.698168961092362</v>
      </c>
      <c r="E34" s="5">
        <f>NPV(Title_RESULTS!$C$37,'Sheet4(F_22)'!E17:E31)+'Sheet4(F_22)'!E16</f>
        <v>84.49158847508303</v>
      </c>
      <c r="F34" s="5">
        <f>NPV(Title_RESULTS!$C$37,'Sheet4(F_22)'!F17:F31)+'Sheet4(F_22)'!F16</f>
        <v>117.70705409486844</v>
      </c>
      <c r="G34" s="5">
        <f>NPV(Title_RESULTS!$C$37,'Sheet4(F_22)'!G17:G31)+'Sheet4(F_22)'!G16</f>
        <v>202.1986425699515</v>
      </c>
      <c r="H34" s="5">
        <f>NPV(Title_RESULTS!$C$37,'Sheet4(F_22)'!H17:H31)+'Sheet4(F_22)'!H16</f>
        <v>9820.995810556647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Heat Pump Pool Heater</v>
      </c>
      <c r="P2" t="s">
        <v>121</v>
      </c>
    </row>
    <row r="3" ht="12.75">
      <c r="P3" s="35">
        <f>+Title_RESULTS!I4</f>
        <v>43599.32186585648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18.24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18.24</v>
      </c>
      <c r="H16" s="5">
        <f>IF(Partcipation!$B17&lt;Partcipation!$B16,0,IF(Partcipation!$B16=0,0,(Partcipation!$B16-Partcipation!$B15)*(+Title_RESULTS!$C$29*(1+Title_RESULTS!$C$30/100)^(+'Sheet8(F_24)'!$A16-Title_RESULTS!$H$7))/1000))</f>
        <v>906.95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906.95</v>
      </c>
      <c r="K16" s="5">
        <f>(+Partcipation!$B15+(Partcipation!$B16-Partcipation!$B15)/2)*(+Title_RESULTS!$C$14)/1000</f>
        <v>4705.88</v>
      </c>
      <c r="L16" s="5">
        <f>($K16)*Partcipation!$E73*Title_RESULTS!$C$12/100</f>
        <v>114.56994467084282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106.13547840000001</v>
      </c>
      <c r="N16" s="5">
        <f>'Sheet2(F_12)'!$I16*('Sheet6(p_6)'!$L16+'Sheet6(p_6)'!$M16)</f>
        <v>220.7054230708428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18.24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18.24</v>
      </c>
      <c r="H17" s="5">
        <f>IF(Partcipation!$B18&lt;Partcipation!$B17,0,IF(Partcipation!$B17=0,0,(Partcipation!$B17-Partcipation!$B16)*(+Title_RESULTS!$C$29*(1+Title_RESULTS!$C$30/100)^(+'Sheet8(F_24)'!$A17-Title_RESULTS!$H$7))/1000))</f>
        <v>927.80985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927.80985</v>
      </c>
      <c r="K17" s="5">
        <f>(+Partcipation!$B16+(Partcipation!$B17-Partcipation!$B16)/2)*(+Title_RESULTS!$C$14)/1000</f>
        <v>14117.64</v>
      </c>
      <c r="L17" s="5">
        <f>($K17)*Partcipation!$E74*Title_RESULTS!$C$12/100</f>
        <v>360.0681824293949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321.59049955200004</v>
      </c>
      <c r="N17" s="5">
        <f>'Sheet2(F_12)'!$I17*('Sheet6(p_6)'!$L17+'Sheet6(p_6)'!$M17)</f>
        <v>681.6586819813949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18.24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18.24</v>
      </c>
      <c r="H18" s="5">
        <f>IF(Partcipation!$B19&lt;Partcipation!$B18,0,IF(Partcipation!$B18=0,0,(Partcipation!$B18-Partcipation!$B17)*(+Title_RESULTS!$C$29*(1+Title_RESULTS!$C$30/100)^(+'Sheet8(F_24)'!$A18-Title_RESULTS!$H$7))/1000))</f>
        <v>949.1494765499999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949.1494765499999</v>
      </c>
      <c r="K18" s="5">
        <f>(+Partcipation!$B17+(Partcipation!$B18-Partcipation!$B17)/2)*(+Title_RESULTS!$C$14)/1000</f>
        <v>23529.4</v>
      </c>
      <c r="L18" s="5">
        <f>($K18)*Partcipation!$E75*Title_RESULTS!$C$12/100</f>
        <v>622.2190561072825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541.3440075792</v>
      </c>
      <c r="N18" s="5">
        <f>'Sheet2(F_12)'!$I18*('Sheet6(p_6)'!$L18+'Sheet6(p_6)'!$M18)</f>
        <v>1163.5630636864826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28235.28</v>
      </c>
      <c r="L19" s="5">
        <f>($K19)*Partcipation!$E76*Title_RESULTS!$C$12/100</f>
        <v>740.5421817431836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656.1089371859904</v>
      </c>
      <c r="N19" s="5">
        <f>'Sheet2(F_12)'!$I19*('Sheet6(p_6)'!$L19+'Sheet6(p_6)'!$M19)</f>
        <v>1396.6511189291741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28235.28</v>
      </c>
      <c r="L20" s="5">
        <f>($K20)*Partcipation!$E77*Title_RESULTS!$C$12/100</f>
        <v>782.545536970662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662.6700265578503</v>
      </c>
      <c r="N20" s="5">
        <f>'Sheet2(F_12)'!$I20*('Sheet6(p_6)'!$L20+'Sheet6(p_6)'!$M20)</f>
        <v>1445.2155635285123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28235.28</v>
      </c>
      <c r="L21" s="5">
        <f>($K21)*Partcipation!$E78*Title_RESULTS!$C$12/100</f>
        <v>827.4626154340514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669.2967268234288</v>
      </c>
      <c r="N21" s="5">
        <f>'Sheet2(F_12)'!$I21*('Sheet6(p_6)'!$L21+'Sheet6(p_6)'!$M21)</f>
        <v>1496.75934225748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28235.28</v>
      </c>
      <c r="L22" s="5">
        <f>($K22)*Partcipation!$E79*Title_RESULTS!$C$12/100</f>
        <v>864.8756478691525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675.9896940916632</v>
      </c>
      <c r="N22" s="5">
        <f>'Sheet2(F_12)'!$I22*('Sheet6(p_6)'!$L22+'Sheet6(p_6)'!$M22)</f>
        <v>1540.8653419608158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28235.28</v>
      </c>
      <c r="L23" s="5">
        <f>($K23)*Partcipation!$E80*Title_RESULTS!$C$12/100</f>
        <v>915.8003631516916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682.7495910325796</v>
      </c>
      <c r="N23" s="5">
        <f>'Sheet2(F_12)'!$I23*('Sheet6(p_6)'!$L23+'Sheet6(p_6)'!$M23)</f>
        <v>1598.5499541842712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28235.28</v>
      </c>
      <c r="L24" s="5">
        <f>($K24)*Partcipation!$E81*Title_RESULTS!$C$12/100</f>
        <v>1002.522180599781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689.5770869429057</v>
      </c>
      <c r="N24" s="5">
        <f>'Sheet2(F_12)'!$I24*('Sheet6(p_6)'!$L24+'Sheet6(p_6)'!$M24)</f>
        <v>1692.0992675426867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28235.28</v>
      </c>
      <c r="L25" s="5">
        <f>($K25)*Partcipation!$E82*Title_RESULTS!$C$12/100</f>
        <v>1053.5984282844415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696.4728578123347</v>
      </c>
      <c r="N25" s="5">
        <f>'Sheet2(F_12)'!$I25*('Sheet6(p_6)'!$L25+'Sheet6(p_6)'!$M25)</f>
        <v>1750.0712860967762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28235.28</v>
      </c>
      <c r="L26" s="5">
        <f>($K26)*Partcipation!$E83*Title_RESULTS!$C$12/100</f>
        <v>1147.9502612695144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703.437586390458</v>
      </c>
      <c r="N26" s="5">
        <f>'Sheet2(F_12)'!$I26*('Sheet6(p_6)'!$L26+'Sheet6(p_6)'!$M26)</f>
        <v>1851.3878476599725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28235.28</v>
      </c>
      <c r="L27" s="5">
        <f>($K27)*Partcipation!$E84*Title_RESULTS!$C$12/100</f>
        <v>1187.5224969213718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710.4719622543626</v>
      </c>
      <c r="N27" s="5">
        <f>'Sheet2(F_12)'!$I27*('Sheet6(p_6)'!$L27+'Sheet6(p_6)'!$M27)</f>
        <v>1897.9944591757344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28235.28</v>
      </c>
      <c r="L28" s="5">
        <f>($K28)*Partcipation!$E85*Title_RESULTS!$C$12/100</f>
        <v>1272.2534714134351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717.5766818769062</v>
      </c>
      <c r="N28" s="5">
        <f>'Sheet2(F_12)'!$I28*('Sheet6(p_6)'!$L28+'Sheet6(p_6)'!$M28)</f>
        <v>1989.8301532903413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28235.28</v>
      </c>
      <c r="L29" s="5">
        <f>($K29)*Partcipation!$E86*Title_RESULTS!$C$12/100</f>
        <v>1298.9394762777295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724.7524486956753</v>
      </c>
      <c r="N29" s="5">
        <f>'Sheet2(F_12)'!$I29*('Sheet6(p_6)'!$L29+'Sheet6(p_6)'!$M29)</f>
        <v>2023.6919249734046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28235.28</v>
      </c>
      <c r="L30" s="5">
        <f>($K30)*Partcipation!$E87*Title_RESULTS!$C$12/100</f>
        <v>1384.7276290219015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731.9999731826322</v>
      </c>
      <c r="N30" s="5">
        <f>'Sheet2(F_12)'!$I30*('Sheet6(p_6)'!$L30+'Sheet6(p_6)'!$M30)</f>
        <v>2116.7276022045335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122.90304</v>
      </c>
      <c r="C32" s="5">
        <f t="shared" si="4"/>
        <v>0</v>
      </c>
      <c r="D32" s="5">
        <f t="shared" si="4"/>
        <v>122.90304</v>
      </c>
      <c r="E32" s="5">
        <f t="shared" si="4"/>
        <v>54.72</v>
      </c>
      <c r="F32" s="5">
        <f t="shared" si="4"/>
        <v>0</v>
      </c>
      <c r="G32" s="5">
        <f t="shared" si="4"/>
        <v>54.72</v>
      </c>
      <c r="H32" s="5">
        <f t="shared" si="4"/>
        <v>2783.9093265499996</v>
      </c>
      <c r="I32" s="5">
        <f t="shared" si="4"/>
        <v>0</v>
      </c>
      <c r="J32" s="5">
        <f t="shared" si="4"/>
        <v>2783.9093265499996</v>
      </c>
      <c r="K32" s="5">
        <f t="shared" si="4"/>
        <v>381176.28</v>
      </c>
      <c r="L32" s="5">
        <f t="shared" si="4"/>
        <v>13575.597472164436</v>
      </c>
      <c r="M32" s="5">
        <f t="shared" si="4"/>
        <v>9290.173558377986</v>
      </c>
      <c r="N32" s="5">
        <f t="shared" si="4"/>
        <v>22865.771030542426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114.83173044385765</v>
      </c>
      <c r="C34" s="5">
        <f>NPV(Title_RESULTS!$C$37,'Sheet6(p_6)'!C17:C31)+'Sheet6(p_6)'!C16</f>
        <v>0</v>
      </c>
      <c r="D34" s="5">
        <f>NPV(Title_RESULTS!$C$37,'Sheet6(p_6)'!D17:D31)+'Sheet6(p_6)'!D16</f>
        <v>114.83173044385765</v>
      </c>
      <c r="E34" s="5">
        <f>NPV(Title_RESULTS!$C$37,'Sheet6(p_6)'!E17:E31)+'Sheet6(p_6)'!E16</f>
        <v>51.18171953311102</v>
      </c>
      <c r="F34" s="5">
        <f>NPV(Title_RESULTS!$C$37,'Sheet6(p_6)'!F17:F31)+'Sheet6(p_6)'!F16</f>
        <v>0</v>
      </c>
      <c r="G34" s="5">
        <f>NPV(Title_RESULTS!$C$37,'Sheet6(p_6)'!G17:G31)+'Sheet6(p_6)'!G16</f>
        <v>51.18171953311102</v>
      </c>
      <c r="H34" s="5">
        <f>NPV(Title_RESULTS!$C$37,'Sheet6(p_6)'!H17:H31)+'Sheet6(p_6)'!H16</f>
        <v>2601.1998243609105</v>
      </c>
      <c r="I34" s="5">
        <f>NPV(Title_RESULTS!$C$37,'Sheet6(p_6)'!I17:I31)+'Sheet6(p_6)'!I16</f>
        <v>0</v>
      </c>
      <c r="J34" s="5">
        <f>NPV(Title_RESULTS!$C$37,'Sheet6(p_6)'!J17:J31)+'Sheet6(p_6)'!J16</f>
        <v>2601.1998243609105</v>
      </c>
      <c r="K34" s="5"/>
      <c r="L34" s="5">
        <f>NPV(Title_RESULTS!$C$37,'Sheet6(p_6)'!L17:L31)+'Sheet6(p_6)'!L16</f>
        <v>7833.797455727274</v>
      </c>
      <c r="M34" s="5">
        <f>NPV(Title_RESULTS!$C$37,'Sheet6(p_6)'!M17:M31)+'Sheet6(p_6)'!M16</f>
        <v>5623.297660280901</v>
      </c>
      <c r="N34" s="5">
        <f>NPV(Title_RESULTS!$C$37,'Sheet6(p_6)'!N17:N31)+'Sheet6(p_6)'!N16</f>
        <v>13457.095116008177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Heat Pump Pool Heater</v>
      </c>
      <c r="M2" t="s">
        <v>55</v>
      </c>
    </row>
    <row r="3" ht="12.75">
      <c r="M3" s="35">
        <f>+Title_RESULTS!I4</f>
        <v>43599.32186585648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906.95</v>
      </c>
      <c r="E16" s="5">
        <f>IF(A16&gt;=(Title_RESULTS!$H$7+Title_RESULTS!$C$17),0,(+'f-11B'!$N15))</f>
        <v>0</v>
      </c>
      <c r="F16" s="5">
        <f>IF(A16&gt;=(Title_RESULTS!$H$7+Title_RESULTS!$C$17),0,(SUM(B16:E16)))</f>
        <v>946.95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143.99147049904062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143.99147049904062</v>
      </c>
      <c r="L16" s="23">
        <f>IF(A16&gt;=(Title_RESULTS!$H$7+Title_RESULTS!$C$17),0,(+$K16-$F16))</f>
        <v>-802.9585295009595</v>
      </c>
      <c r="M16" s="23">
        <f>IF(A16&gt;=(Title_RESULTS!$H$7+Title_RESULTS!$C$17),0,(+$L16/(1+Title_RESULTS!$C$37)^('Sheet7(F_23)'!$A16-Title_RESULTS!$H$7)))</f>
        <v>-802.9585295009595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927.80985</v>
      </c>
      <c r="E17" s="5">
        <f>IF(A17&gt;=(Title_RESULTS!$H$7+Title_RESULTS!$C$17),0,(+'f-11B'!$N16))</f>
        <v>0</v>
      </c>
      <c r="F17" s="5">
        <f>IF(A17&gt;=(Title_RESULTS!$H$7+Title_RESULTS!$C$17),0,(SUM(B17:E17)))</f>
        <v>968.76985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21.82548283382866</v>
      </c>
      <c r="I17" s="5">
        <f>IF(A17&gt;=(Title_RESULTS!$H$7+Title_RESULTS!$C$17),0,(+'Sheet4(F_22)'!$H17))</f>
        <v>428.4607950503825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450.28627788421113</v>
      </c>
      <c r="L17" s="23">
        <f>IF(A17&gt;=(Title_RESULTS!$H$7+Title_RESULTS!$C$17),0,(+$K17-$F17))</f>
        <v>-518.4835721157889</v>
      </c>
      <c r="M17" s="23">
        <f>IF(A17&gt;=(Title_RESULTS!$H$7+Title_RESULTS!$C$17),0,(+M16+$L17/(1+Title_RESULTS!$C$37)^('Sheet7(F_23)'!$A17-Title_RESULTS!$H$7)))</f>
        <v>-1287.1605953543299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949.1494765499999</v>
      </c>
      <c r="E18" s="5">
        <f>IF(A18&gt;=(Title_RESULTS!$H$7+Title_RESULTS!$C$17),0,(+'f-11B'!$N17))</f>
        <v>0</v>
      </c>
      <c r="F18" s="5">
        <f>IF(A18&gt;=(Title_RESULTS!$H$7+Title_RESULTS!$C$17),0,(SUM(B18:E18)))</f>
        <v>991.0925165499999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22.349294421840547</v>
      </c>
      <c r="I18" s="5">
        <f>IF(A18&gt;=(Title_RESULTS!$H$7+Title_RESULTS!$C$17),0,(+'Sheet4(F_22)'!$H18))</f>
        <v>737.0003640123564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759.349658434197</v>
      </c>
      <c r="L18" s="23">
        <f>IF(A18&gt;=(Title_RESULTS!$H$7+Title_RESULTS!$C$17),0,(+$K18-$F18))</f>
        <v>-231.74285811580296</v>
      </c>
      <c r="M18" s="23">
        <f>IF(A18&gt;=(Title_RESULTS!$H$7+Title_RESULTS!$C$17),0,(+M17+$L18/(1+Title_RESULTS!$C$37)^('Sheet7(F_23)'!$A18-Title_RESULTS!$H$7)))</f>
        <v>-1489.2714478178113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17.971439665532365</v>
      </c>
      <c r="H19" s="5">
        <f>IF(A19&gt;=(Title_RESULTS!$H$7+Title_RESULTS!$C$17),0,(+'Sheet4(F_22)'!$D19+'Sheet4(F_22)'!$G19))</f>
        <v>22.88567748796472</v>
      </c>
      <c r="I19" s="5">
        <f>IF(A19&gt;=(Title_RESULTS!$H$7+Title_RESULTS!$C$17),0,(+'Sheet4(F_22)'!$H19))</f>
        <v>920.6818984933436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961.5390156468407</v>
      </c>
      <c r="L19" s="23">
        <f>IF(A19&gt;=(Title_RESULTS!$H$7+Title_RESULTS!$C$17),0,(+$K19-$F19))</f>
        <v>961.5390156468407</v>
      </c>
      <c r="M19" s="23">
        <f>IF(A19&gt;=(Title_RESULTS!$H$7+Title_RESULTS!$C$17),0,(+M18+$L19/(1+Title_RESULTS!$C$37)^('Sheet7(F_23)'!$A19-Title_RESULTS!$H$7)))</f>
        <v>-706.1270899354455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18.450600616206852</v>
      </c>
      <c r="H20" s="5">
        <f>IF(A20&gt;=(Title_RESULTS!$H$7+Title_RESULTS!$C$17),0,(+'Sheet4(F_22)'!$D20+'Sheet4(F_22)'!$G20))</f>
        <v>23.434933747675874</v>
      </c>
      <c r="I20" s="5">
        <f>IF(A20&gt;=(Title_RESULTS!$H$7+Title_RESULTS!$C$17),0,(+'Sheet4(F_22)'!$H20))</f>
        <v>956.8612268470486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998.7467612109313</v>
      </c>
      <c r="L20" s="23">
        <f>IF(A20&gt;=(Title_RESULTS!$H$7+Title_RESULTS!$C$17),0,(+$K20-$F20))</f>
        <v>998.7467612109313</v>
      </c>
      <c r="M20" s="23">
        <f>IF(A20&gt;=(Title_RESULTS!$H$7+Title_RESULTS!$C$17),0,(+M19+$L20/(1+Title_RESULTS!$C$37)^('Sheet7(F_23)'!$A20-Title_RESULTS!$H$7)))</f>
        <v>53.537588685235505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18.974778355435806</v>
      </c>
      <c r="H21" s="5">
        <f>IF(A21&gt;=(Title_RESULTS!$H$7+Title_RESULTS!$C$17),0,(+'Sheet4(F_22)'!$D21+'Sheet4(F_22)'!$G21))</f>
        <v>23.9973721576201</v>
      </c>
      <c r="I21" s="5">
        <f>IF(A21&gt;=(Title_RESULTS!$H$7+Title_RESULTS!$C$17),0,(+'Sheet4(F_22)'!$H21))</f>
        <v>1027.3808798817024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1070.3530303947582</v>
      </c>
      <c r="L21" s="23">
        <f>IF(A21&gt;=(Title_RESULTS!$H$7+Title_RESULTS!$C$17),0,(+$K21-$F21))</f>
        <v>1070.3530303947582</v>
      </c>
      <c r="M21" s="23">
        <f>IF(A21&gt;=(Title_RESULTS!$H$7+Title_RESULTS!$C$17),0,(+M20+$L21/(1+Title_RESULTS!$C$37)^('Sheet7(F_23)'!$A21-Title_RESULTS!$H$7)))</f>
        <v>813.838008700211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19.561792011907755</v>
      </c>
      <c r="H22" s="5">
        <f>IF(A22&gt;=(Title_RESULTS!$H$7+Title_RESULTS!$C$17),0,(+'Sheet4(F_22)'!$D22+'Sheet4(F_22)'!$G22))</f>
        <v>24.57330908940298</v>
      </c>
      <c r="I22" s="5">
        <f>IF(A22&gt;=(Title_RESULTS!$H$7+Title_RESULTS!$C$17),0,(+'Sheet4(F_22)'!$H22))</f>
        <v>1060.3337359015857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1104.4688370028964</v>
      </c>
      <c r="L22" s="23">
        <f>IF(A22&gt;=(Title_RESULTS!$H$7+Title_RESULTS!$C$17),0,(+$K22-$F22))</f>
        <v>1104.4688370028964</v>
      </c>
      <c r="M22" s="23">
        <f>IF(A22&gt;=(Title_RESULTS!$H$7+Title_RESULTS!$C$17),0,(+M21+$L22/(1+Title_RESULTS!$C$37)^('Sheet7(F_23)'!$A22-Title_RESULTS!$H$7)))</f>
        <v>1546.4993749883283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20.088342538243616</v>
      </c>
      <c r="H23" s="5">
        <f>IF(A23&gt;=(Title_RESULTS!$H$7+Title_RESULTS!$C$17),0,(+'Sheet4(F_22)'!$D23+'Sheet4(F_22)'!$G23))</f>
        <v>25.16306850754865</v>
      </c>
      <c r="I23" s="5">
        <f>IF(A23&gt;=(Title_RESULTS!$H$7+Title_RESULTS!$C$17),0,(+'Sheet4(F_22)'!$H23))</f>
        <v>1126.5998485540338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1171.851259599826</v>
      </c>
      <c r="L23" s="23">
        <f>IF(A23&gt;=(Title_RESULTS!$H$7+Title_RESULTS!$C$17),0,(+$K23-$F23))</f>
        <v>1171.851259599826</v>
      </c>
      <c r="M23" s="23">
        <f>IF(A23&gt;=(Title_RESULTS!$H$7+Title_RESULTS!$C$17),0,(+M22+$L23/(1+Title_RESULTS!$C$37)^('Sheet7(F_23)'!$A23-Title_RESULTS!$H$7)))</f>
        <v>2272.461483863182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20.41390085268813</v>
      </c>
      <c r="H24" s="5">
        <f>IF(A24&gt;=(Title_RESULTS!$H$7+Title_RESULTS!$C$17),0,(+'Sheet4(F_22)'!$D24+'Sheet4(F_22)'!$G24))</f>
        <v>25.766982151729813</v>
      </c>
      <c r="I24" s="5">
        <f>IF(A24&gt;=(Title_RESULTS!$H$7+Title_RESULTS!$C$17),0,(+'Sheet4(F_22)'!$H24))</f>
        <v>1248.402912814246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1294.583795818664</v>
      </c>
      <c r="L24" s="23">
        <f>IF(A24&gt;=(Title_RESULTS!$H$7+Title_RESULTS!$C$17),0,(+$K24-$F24))</f>
        <v>1294.583795818664</v>
      </c>
      <c r="M24" s="23">
        <f>IF(A24&gt;=(Title_RESULTS!$H$7+Title_RESULTS!$C$17),0,(+M23+$L24/(1+Title_RESULTS!$C$37)^('Sheet7(F_23)'!$A24-Title_RESULTS!$H$7)))</f>
        <v>3021.4294906039268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20.968352003800355</v>
      </c>
      <c r="H25" s="5">
        <f>IF(A25&gt;=(Title_RESULTS!$H$7+Title_RESULTS!$C$17),0,(+'Sheet4(F_22)'!$D25+'Sheet4(F_22)'!$G25))</f>
        <v>26.385389723371333</v>
      </c>
      <c r="I25" s="5">
        <f>IF(A25&gt;=(Title_RESULTS!$H$7+Title_RESULTS!$C$17),0,(+'Sheet4(F_22)'!$H25))</f>
        <v>1337.4942737414021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1384.8480154685737</v>
      </c>
      <c r="L25" s="23">
        <f>IF(A25&gt;=(Title_RESULTS!$H$7+Title_RESULTS!$C$17),0,(+$K25-$F25))</f>
        <v>1384.8480154685737</v>
      </c>
      <c r="M25" s="23">
        <f>IF(A25&gt;=(Title_RESULTS!$H$7+Title_RESULTS!$C$17),0,(+M24+$L25/(1+Title_RESULTS!$C$37)^('Sheet7(F_23)'!$A25-Title_RESULTS!$H$7)))</f>
        <v>3769.6452483000257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21.304243436409877</v>
      </c>
      <c r="H26" s="5">
        <f>IF(A26&gt;=(Title_RESULTS!$H$7+Title_RESULTS!$C$17),0,(+'Sheet4(F_22)'!$D26+'Sheet4(F_22)'!$G26))</f>
        <v>27.018639076732242</v>
      </c>
      <c r="I26" s="5">
        <f>IF(A26&gt;=(Title_RESULTS!$H$7+Title_RESULTS!$C$17),0,(+'Sheet4(F_22)'!$H26))</f>
        <v>1493.907006309848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1542.22988882299</v>
      </c>
      <c r="L26" s="23">
        <f>IF(A26&gt;=(Title_RESULTS!$H$7+Title_RESULTS!$C$17),0,(+$K26-$F26))</f>
        <v>1542.22988882299</v>
      </c>
      <c r="M26" s="23">
        <f>IF(A26&gt;=(Title_RESULTS!$H$7+Title_RESULTS!$C$17),0,(+M25+$L26/(1+Title_RESULTS!$C$37)^('Sheet7(F_23)'!$A26-Title_RESULTS!$H$7)))</f>
        <v>4547.799134047993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22.03945896964966</v>
      </c>
      <c r="H27" s="5">
        <f>IF(A27&gt;=(Title_RESULTS!$H$7+Title_RESULTS!$C$17),0,(+'Sheet4(F_22)'!$D27+'Sheet4(F_22)'!$G27))</f>
        <v>27.66708641457382</v>
      </c>
      <c r="I27" s="5">
        <f>IF(A27&gt;=(Title_RESULTS!$H$7+Title_RESULTS!$C$17),0,(+'Sheet4(F_22)'!$H27))</f>
        <v>1488.351396865307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1538.0579422495305</v>
      </c>
      <c r="L27" s="23">
        <f>IF(A27&gt;=(Title_RESULTS!$H$7+Title_RESULTS!$C$17),0,(+$K27-$F27))</f>
        <v>1538.0579422495305</v>
      </c>
      <c r="M27" s="23">
        <f>IF(A27&gt;=(Title_RESULTS!$H$7+Title_RESULTS!$C$17),0,(+M26+$L27/(1+Title_RESULTS!$C$37)^('Sheet7(F_23)'!$A27-Title_RESULTS!$H$7)))</f>
        <v>5272.536593092533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22.50414985129319</v>
      </c>
      <c r="H28" s="5">
        <f>IF(A28&gt;=(Title_RESULTS!$H$7+Title_RESULTS!$C$17),0,(+'Sheet4(F_22)'!$D28+'Sheet4(F_22)'!$G28))</f>
        <v>28.33109648852359</v>
      </c>
      <c r="I28" s="5">
        <f>IF(A28&gt;=(Title_RESULTS!$H$7+Title_RESULTS!$C$17),0,(+'Sheet4(F_22)'!$H28))</f>
        <v>1626.6305175501288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1677.4657638899457</v>
      </c>
      <c r="L28" s="23">
        <f>IF(A28&gt;=(Title_RESULTS!$H$7+Title_RESULTS!$C$17),0,(+$K28-$F28))</f>
        <v>1677.4657638899457</v>
      </c>
      <c r="M28" s="23">
        <f>IF(A28&gt;=(Title_RESULTS!$H$7+Title_RESULTS!$C$17),0,(+M27+$L28/(1+Title_RESULTS!$C$37)^('Sheet7(F_23)'!$A28-Title_RESULTS!$H$7)))</f>
        <v>6010.701364862862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23.307545457894545</v>
      </c>
      <c r="H29" s="5">
        <f>IF(A29&gt;=(Title_RESULTS!$H$7+Title_RESULTS!$C$17),0,(+'Sheet4(F_22)'!$D29+'Sheet4(F_22)'!$G29))</f>
        <v>29.01104280424816</v>
      </c>
      <c r="I29" s="5">
        <f>IF(A29&gt;=(Title_RESULTS!$H$7+Title_RESULTS!$C$17),0,(+'Sheet4(F_22)'!$H29))</f>
        <v>1734.653482245728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1786.9720705078705</v>
      </c>
      <c r="L29" s="23">
        <f>IF(A29&gt;=(Title_RESULTS!$H$7+Title_RESULTS!$C$17),0,(+$K29-$F29))</f>
        <v>1786.9720705078705</v>
      </c>
      <c r="M29" s="23">
        <f>IF(A29&gt;=(Title_RESULTS!$H$7+Title_RESULTS!$C$17),0,(+M28+$L29/(1+Title_RESULTS!$C$37)^('Sheet7(F_23)'!$A29-Title_RESULTS!$H$7)))</f>
        <v>6745.061430624786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23.757760499034912</v>
      </c>
      <c r="H30" s="5">
        <f>IF(A30&gt;=(Title_RESULTS!$H$7+Title_RESULTS!$C$17),0,(+'Sheet4(F_22)'!$D30+'Sheet4(F_22)'!$G30))</f>
        <v>29.70730783155011</v>
      </c>
      <c r="I30" s="5">
        <f>IF(A30&gt;=(Title_RESULTS!$H$7+Title_RESULTS!$C$17),0,(+'Sheet4(F_22)'!$H30))</f>
        <v>1815.4228862204495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1868.8879545510345</v>
      </c>
      <c r="L30" s="23">
        <f>IF(A30&gt;=(Title_RESULTS!$H$7+Title_RESULTS!$C$17),0,(+$K30-$F30))</f>
        <v>1868.8879545510345</v>
      </c>
      <c r="M30" s="23">
        <f>IF(A30&gt;=(Title_RESULTS!$H$7+Title_RESULTS!$C$17),0,(+M29+$L30/(1+Title_RESULTS!$C$37)^('Sheet7(F_23)'!$A30-Title_RESULTS!$H$7)))</f>
        <v>7462.304218059108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122.90304</v>
      </c>
      <c r="D32" s="5">
        <f t="shared" si="1"/>
        <v>2783.9093265499996</v>
      </c>
      <c r="E32" s="5">
        <f t="shared" si="1"/>
        <v>0</v>
      </c>
      <c r="F32" s="5">
        <f t="shared" si="1"/>
        <v>2906.8123665499998</v>
      </c>
      <c r="G32" s="5">
        <f t="shared" si="1"/>
        <v>249.34236425809706</v>
      </c>
      <c r="H32" s="5">
        <f t="shared" si="1"/>
        <v>358.11668273661064</v>
      </c>
      <c r="I32" s="5">
        <f t="shared" si="1"/>
        <v>17146.172694986606</v>
      </c>
      <c r="J32" s="5">
        <f t="shared" si="1"/>
        <v>0</v>
      </c>
      <c r="K32" s="5">
        <f t="shared" si="1"/>
        <v>17753.63174198131</v>
      </c>
      <c r="L32" s="5">
        <f t="shared" si="1"/>
        <v>14846.81937543131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114.83173044385765</v>
      </c>
      <c r="D34" s="5">
        <f>NPV(Title_RESULTS!$C$37,'Sheet7(F_23)'!D17:D31)+'Sheet7(F_23)'!D16</f>
        <v>2601.1998243609105</v>
      </c>
      <c r="E34" s="5">
        <f>NPV(Title_RESULTS!$C$37,'Sheet7(F_23)'!E17:E31)+'Sheet7(F_23)'!E16</f>
        <v>0</v>
      </c>
      <c r="F34" s="5">
        <f>NPV(Title_RESULTS!$C$37,'Sheet7(F_23)'!F17:F31)+'Sheet7(F_23)'!F16</f>
        <v>2716.0315548047683</v>
      </c>
      <c r="G34" s="5">
        <f>NPV(Title_RESULTS!$C$37,'Sheet7(F_23)'!G17:G31)+'Sheet7(F_23)'!G16</f>
        <v>140.44315077618464</v>
      </c>
      <c r="H34" s="5">
        <f>NPV(Title_RESULTS!$C$37,'Sheet7(F_23)'!H17:H31)+'Sheet7(F_23)'!H16</f>
        <v>216.89681153104385</v>
      </c>
      <c r="I34" s="5">
        <f>NPV(Title_RESULTS!$C$37,'Sheet7(F_23)'!I17:I31)+'Sheet7(F_23)'!I16</f>
        <v>9820.995810556647</v>
      </c>
      <c r="J34" s="5">
        <f>NPV(Title_RESULTS!$C$37,'Sheet7(F_23)'!J17:J31)+'Sheet7(F_23)'!J16</f>
        <v>0</v>
      </c>
      <c r="K34" s="5">
        <f>NPV(Title_RESULTS!$C$37,'Sheet7(F_23)'!K17:K31)+'Sheet7(F_23)'!K16</f>
        <v>10178.335772863877</v>
      </c>
      <c r="L34" s="5">
        <f>NPV(Title_RESULTS!$C$37,'Sheet7(F_23)'!L17:L31)+'Sheet7(F_23)'!L16</f>
        <v>7462.304218059108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3.7475027691994205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Heat Pump Pool Heater</v>
      </c>
      <c r="L2" t="s">
        <v>55</v>
      </c>
    </row>
    <row r="3" ht="12.75">
      <c r="L3" s="35">
        <f>+Title_RESULTS!I4</f>
        <v>43599.32186585648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220.7054230708428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18.24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238.94542307084282</v>
      </c>
      <c r="G16" s="5">
        <f>IF(A16&gt;=(Title_RESULTS!$H$7+Title_RESULTS!$C$17),0,(+'Sheet6(p_6)'!$H16))</f>
        <v>906.95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906.95</v>
      </c>
      <c r="K16" s="23">
        <f>IF(A16&gt;=(Title_RESULTS!$H$7+Title_RESULTS!$C$17),0,(+F16-J16))</f>
        <v>-668.0045769291572</v>
      </c>
      <c r="L16" s="23">
        <f>IF(A16&gt;=(Title_RESULTS!$H$7+Title_RESULTS!$C$17),0,(+$K16/((1+Title_RESULTS!$C$37)^('Sheet8(F_24)'!$A16-Title_RESULTS!$H$7))))</f>
        <v>-668.0045769291572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681.6586819813949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18.24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699.8986819813949</v>
      </c>
      <c r="G17" s="5">
        <f>IF(A17&gt;=(Title_RESULTS!$H$7+Title_RESULTS!$C$17),0,(+'Sheet6(p_6)'!$H17))</f>
        <v>927.80985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927.80985</v>
      </c>
      <c r="K17" s="23">
        <f>IF(A17&gt;=(Title_RESULTS!$H$7+Title_RESULTS!$C$17),0,(+F17-J17))</f>
        <v>-227.91116801860505</v>
      </c>
      <c r="L17" s="23">
        <f>IF(A16&gt;=(Title_RESULTS!$H$7+Title_RESULTS!$C$17),0,(+$K17/((1+Title_RESULTS!$C$37)^('Sheet8(F_24)'!$A17-Title_RESULTS!$H$7))+L16))</f>
        <v>-880.846534361549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1163.5630636864826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18.24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1181.8030636864826</v>
      </c>
      <c r="G18" s="5">
        <f>IF(A18&gt;=(Title_RESULTS!$H$7+Title_RESULTS!$C$17),0,(+'Sheet6(p_6)'!$H18))</f>
        <v>949.1494765499999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949.1494765499999</v>
      </c>
      <c r="K18" s="23">
        <f>IF(A18&gt;=(Title_RESULTS!$H$7+Title_RESULTS!$C$17),0,(+F18-J18))</f>
        <v>232.65358713648266</v>
      </c>
      <c r="L18" s="23">
        <f>IF(A17&gt;=(Title_RESULTS!$H$7+Title_RESULTS!$C$17),0,(+$K18/((1+Title_RESULTS!$C$37)^('Sheet8(F_24)'!$A18-Title_RESULTS!$H$7))+L17))</f>
        <v>-677.9414040496393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1396.6511189291741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1396.6511189291741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1396.6511189291741</v>
      </c>
      <c r="L19" s="23">
        <f>IF(A18&gt;=(Title_RESULTS!$H$7+Title_RESULTS!$C$17),0,(+$K19/((1+Title_RESULTS!$C$37)^('Sheet8(F_24)'!$A19-Title_RESULTS!$H$7))+L18))</f>
        <v>459.58856189113465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1445.2155635285123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1445.2155635285123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1445.2155635285123</v>
      </c>
      <c r="L20" s="23">
        <f>IF(A19&gt;=(Title_RESULTS!$H$7+Title_RESULTS!$C$17),0,(+$K20/((1+Title_RESULTS!$C$37)^('Sheet8(F_24)'!$A20-Title_RESULTS!$H$7))+L19))</f>
        <v>1558.8454098175994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1496.75934225748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1496.75934225748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1496.75934225748</v>
      </c>
      <c r="L21" s="23">
        <f>IF(A20&gt;=(Title_RESULTS!$H$7+Title_RESULTS!$C$17),0,(+$K21/((1+Title_RESULTS!$C$37)^('Sheet8(F_24)'!$A21-Title_RESULTS!$H$7))+L20))</f>
        <v>2622.0336517007454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1540.8653419608158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1540.8653419608158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1540.8653419608158</v>
      </c>
      <c r="L22" s="23">
        <f>IF(A21&gt;=(Title_RESULTS!$H$7+Title_RESULTS!$C$17),0,(+$K22/((1+Title_RESULTS!$C$37)^('Sheet8(F_24)'!$A22-Title_RESULTS!$H$7))+L21))</f>
        <v>3644.183366463642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1598.5499541842712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1598.5499541842712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1598.5499541842712</v>
      </c>
      <c r="L23" s="23">
        <f>IF(A22&gt;=(Title_RESULTS!$H$7+Title_RESULTS!$C$17),0,(+$K23/((1+Title_RESULTS!$C$37)^('Sheet8(F_24)'!$A23-Title_RESULTS!$H$7))+L22))</f>
        <v>4634.485408958102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1692.0992675426867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1692.0992675426867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1692.0992675426867</v>
      </c>
      <c r="L24" s="23">
        <f>IF(A23&gt;=(Title_RESULTS!$H$7+Title_RESULTS!$C$17),0,(+$K24/((1+Title_RESULTS!$C$37)^('Sheet8(F_24)'!$A24-Title_RESULTS!$H$7))+L23))</f>
        <v>5613.431862414591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1750.0712860967762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1750.0712860967762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1750.0712860967762</v>
      </c>
      <c r="L25" s="23">
        <f>IF(A24&gt;=(Title_RESULTS!$H$7+Title_RESULTS!$C$17),0,(+$K25/((1+Title_RESULTS!$C$37)^('Sheet8(F_24)'!$A25-Title_RESULTS!$H$7))+L24))</f>
        <v>6558.973105007938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1851.3878476599725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1851.3878476599725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1851.3878476599725</v>
      </c>
      <c r="L26" s="23">
        <f>IF(A25&gt;=(Title_RESULTS!$H$7+Title_RESULTS!$C$17),0,(+$K26/((1+Title_RESULTS!$C$37)^('Sheet8(F_24)'!$A26-Title_RESULTS!$H$7))+L25))</f>
        <v>7493.117008017542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1897.9944591757344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1897.9944591757344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1897.9944591757344</v>
      </c>
      <c r="L27" s="23">
        <f>IF(A26&gt;=(Title_RESULTS!$H$7+Title_RESULTS!$C$17),0,(+$K27/((1+Title_RESULTS!$C$37)^('Sheet8(F_24)'!$A27-Title_RESULTS!$H$7))+L26))</f>
        <v>8387.457620187062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1989.8301532903413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1989.8301532903413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1989.8301532903413</v>
      </c>
      <c r="L28" s="23">
        <f>IF(A27&gt;=(Title_RESULTS!$H$7+Title_RESULTS!$C$17),0,(+$K28/((1+Title_RESULTS!$C$37)^('Sheet8(F_24)'!$A28-Title_RESULTS!$H$7))+L27))</f>
        <v>9263.077589657658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2023.6919249734046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2023.6919249734046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2023.6919249734046</v>
      </c>
      <c r="L29" s="23">
        <f>IF(A28&gt;=(Title_RESULTS!$H$7+Title_RESULTS!$C$17),0,(+$K29/((1+Title_RESULTS!$C$37)^('Sheet8(F_24)'!$A29-Title_RESULTS!$H$7))+L28))</f>
        <v>10094.7181953684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2116.7276022045335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2116.7276022045335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2116.7276022045335</v>
      </c>
      <c r="L30" s="23">
        <f>IF(A29&gt;=(Title_RESULTS!$H$7+Title_RESULTS!$C$17),0,(+$K30/((1+Title_RESULTS!$C$37)^('Sheet8(F_24)'!$A30-Title_RESULTS!$H$7))+L29))</f>
        <v>10907.077011180378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22865.771030542426</v>
      </c>
      <c r="C32" s="5">
        <f t="shared" si="1"/>
        <v>0</v>
      </c>
      <c r="D32" s="5">
        <f t="shared" si="1"/>
        <v>54.72</v>
      </c>
      <c r="E32" s="5">
        <f t="shared" si="1"/>
        <v>0</v>
      </c>
      <c r="F32" s="5">
        <f t="shared" si="1"/>
        <v>22920.491030542424</v>
      </c>
      <c r="G32" s="5">
        <f t="shared" si="1"/>
        <v>2783.9093265499996</v>
      </c>
      <c r="H32" s="5">
        <f t="shared" si="1"/>
        <v>0</v>
      </c>
      <c r="I32" s="5">
        <f t="shared" si="1"/>
        <v>0</v>
      </c>
      <c r="J32" s="5">
        <f t="shared" si="1"/>
        <v>2783.9093265499996</v>
      </c>
      <c r="K32" s="5">
        <f t="shared" si="1"/>
        <v>20136.581703992422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13457.095116008177</v>
      </c>
      <c r="C34" s="5">
        <f>NPV(Title_RESULTS!$C$37,'Sheet8(F_24)'!C17:C31)+'Sheet8(F_24)'!C16</f>
        <v>0</v>
      </c>
      <c r="D34" s="5">
        <f>NPV(Title_RESULTS!$C$37,'Sheet8(F_24)'!D17:D31)+'Sheet8(F_24)'!D16</f>
        <v>51.18171953311102</v>
      </c>
      <c r="E34" s="5">
        <f>NPV(Title_RESULTS!$C$37,'Sheet8(F_24)'!E17:E31)+'Sheet8(F_24)'!E16</f>
        <v>0</v>
      </c>
      <c r="F34" s="5">
        <f>NPV(Title_RESULTS!$C$37,'Sheet8(F_24)'!F17:F31)+'Sheet8(F_24)'!F16</f>
        <v>13508.276835541288</v>
      </c>
      <c r="G34" s="5">
        <f>NPV(Title_RESULTS!$C$37,'Sheet8(F_24)'!G17:G31)+'Sheet8(F_24)'!G16</f>
        <v>2601.1998243609105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2601.1998243609105</v>
      </c>
      <c r="K34" s="5">
        <f>NPV(Title_RESULTS!$C$37,'Sheet8(F_24)'!K17:K31)+'Sheet8(F_24)'!K16</f>
        <v>10907.077011180376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5.193094628499039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Heat Pump Pool Heater</v>
      </c>
      <c r="N2" t="s">
        <v>55</v>
      </c>
    </row>
    <row r="3" ht="12.75">
      <c r="N3" s="35">
        <f>+Title_RESULTS!I4</f>
        <v>43599.32186585648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18.24</v>
      </c>
      <c r="E16" s="5">
        <f>+'Sheet6(p_6)'!M16</f>
        <v>106.13547840000001</v>
      </c>
      <c r="F16">
        <f>IF(A16&gt;=(Title_RESULTS!$H$7+Title_RESULTS!$C$17),0,(+'f-11B'!$R15))</f>
        <v>0</v>
      </c>
      <c r="G16" s="5">
        <f>IF(A16&gt;=(Title_RESULTS!$H$7+Title_RESULTS!$C$17),0,(SUM(B16:F16)))</f>
        <v>164.37547840000002</v>
      </c>
      <c r="H16" s="5">
        <f>IF(A16&gt;=(Title_RESULTS!$H$7+Title_RESULTS!$C$17),0,(+'Sheet3(F_21)'!$J16+'Sheet4(F_22)'!$H16))</f>
        <v>143.99147049904062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143.99147049904062</v>
      </c>
      <c r="M16" s="23">
        <f>IF(A16&gt;=(Title_RESULTS!$H$7+Title_RESULTS!$C$17),0,(+L16-G16))</f>
        <v>-20.384007900959404</v>
      </c>
      <c r="N16" s="24">
        <f>IF(A16&gt;=(Title_RESULTS!$H$7+Title_RESULTS!$C$17),0,(+$M16/((1+Title_RESULTS!$C$37)^('Sheet9(F_25)'!$A16-Title_RESULTS!$H$7))))</f>
        <v>-20.384007900959404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18.24</v>
      </c>
      <c r="E17" s="5">
        <f>+'Sheet6(p_6)'!M17</f>
        <v>321.59049955200004</v>
      </c>
      <c r="F17">
        <f>IF(A17&gt;=(Title_RESULTS!$H$7+Title_RESULTS!$C$17),0,(+'f-11B'!$R16))</f>
        <v>0</v>
      </c>
      <c r="G17" s="5">
        <f>IF(A17&gt;=(Title_RESULTS!$H$7+Title_RESULTS!$C$17),0,(SUM(B17:F17)))</f>
        <v>380.790499552</v>
      </c>
      <c r="H17" s="5">
        <f>IF(A17&gt;=(Title_RESULTS!$H$7+Title_RESULTS!$C$17),0,(+'Sheet3(F_21)'!$J17+'Sheet4(F_22)'!$H17))</f>
        <v>428.4607950503825</v>
      </c>
      <c r="I17" s="5">
        <f>IF(A17&gt;=(Title_RESULTS!$H$7+Title_RESULTS!$C$17),0,(+'Sheet4(F_22)'!$D17+'Sheet4(F_22)'!$G17))</f>
        <v>21.82548283382866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450.28627788421113</v>
      </c>
      <c r="M17" s="23">
        <f>IF(A17&gt;=(Title_RESULTS!$H$7+Title_RESULTS!$C$17),0,(+L17-G17))</f>
        <v>69.4957783322111</v>
      </c>
      <c r="N17" s="24">
        <f>(IF(A16&gt;=(Title_RESULTS!$H$7+Title_RESULTS!$C$17),0,(+$M17/((1+Title_RESULTS!$C$37)^('Sheet9(F_25)'!$A17-Title_RESULTS!$H$7))+N16)))</f>
        <v>44.51679367936475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18.24</v>
      </c>
      <c r="E18" s="5">
        <f>+'Sheet6(p_6)'!M18</f>
        <v>541.3440075792</v>
      </c>
      <c r="F18">
        <f>IF(A18&gt;=(Title_RESULTS!$H$7+Title_RESULTS!$C$17),0,(+'f-11B'!$R17))</f>
        <v>0</v>
      </c>
      <c r="G18" s="5">
        <f>IF(A18&gt;=(Title_RESULTS!$H$7+Title_RESULTS!$C$17),0,(SUM(B18:F18)))</f>
        <v>601.5270475792</v>
      </c>
      <c r="H18" s="5">
        <f>IF(A18&gt;=(Title_RESULTS!$H$7+Title_RESULTS!$C$17),0,(+'Sheet3(F_21)'!$J18+'Sheet4(F_22)'!$H18))</f>
        <v>737.0003640123564</v>
      </c>
      <c r="I18" s="5">
        <f>IF(A18&gt;=(Title_RESULTS!$H$7+Title_RESULTS!$C$17),0,(+'Sheet4(F_22)'!$D18+'Sheet4(F_22)'!$G18))</f>
        <v>22.349294421840547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759.349658434197</v>
      </c>
      <c r="M18" s="23">
        <f>IF(A18&gt;=(Title_RESULTS!$H$7+Title_RESULTS!$C$17),0,(+L18-G18))</f>
        <v>157.82261085499692</v>
      </c>
      <c r="N18" s="24">
        <f>(IF(A17&gt;=(Title_RESULTS!$H$7+Title_RESULTS!$C$17),0,(+$M18/((1+Title_RESULTS!$C$37)^('Sheet9(F_25)'!$A18-Title_RESULTS!$H$7))+N17)))</f>
        <v>182.15927671966767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656.1089371859904</v>
      </c>
      <c r="F19">
        <f>IF(A19&gt;=(Title_RESULTS!$H$7+Title_RESULTS!$C$17),0,(+'f-11B'!$R18))</f>
        <v>0</v>
      </c>
      <c r="G19" s="5">
        <f>IF(A19&gt;=(Title_RESULTS!$H$7+Title_RESULTS!$C$17),0,(SUM(B19:F19)))</f>
        <v>656.1089371859904</v>
      </c>
      <c r="H19" s="5">
        <f>IF(A19&gt;=(Title_RESULTS!$H$7+Title_RESULTS!$C$17),0,(+'Sheet3(F_21)'!$J19+'Sheet4(F_22)'!$H19))</f>
        <v>938.653338158876</v>
      </c>
      <c r="I19" s="5">
        <f>IF(A19&gt;=(Title_RESULTS!$H$7+Title_RESULTS!$C$17),0,(+'Sheet4(F_22)'!$D19+'Sheet4(F_22)'!$G19))</f>
        <v>22.88567748796472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961.5390156468407</v>
      </c>
      <c r="M19" s="23">
        <f>IF(A19&gt;=(Title_RESULTS!$H$7+Title_RESULTS!$C$17),0,(+L19-G19))</f>
        <v>305.43007846085027</v>
      </c>
      <c r="N19" s="24">
        <f>(IF(A18&gt;=(Title_RESULTS!$H$7+Title_RESULTS!$C$17),0,(+$M19/((1+Title_RESULTS!$C$37)^('Sheet9(F_25)'!$A19-Title_RESULTS!$H$7))+N18)))</f>
        <v>430.92280974518184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662.6700265578503</v>
      </c>
      <c r="F20">
        <f>IF(A20&gt;=(Title_RESULTS!$H$7+Title_RESULTS!$C$17),0,(+'f-11B'!$R19))</f>
        <v>0</v>
      </c>
      <c r="G20" s="5">
        <f>IF(A20&gt;=(Title_RESULTS!$H$7+Title_RESULTS!$C$17),0,(SUM(B20:F20)))</f>
        <v>662.6700265578503</v>
      </c>
      <c r="H20" s="5">
        <f>IF(A20&gt;=(Title_RESULTS!$H$7+Title_RESULTS!$C$17),0,(+'Sheet3(F_21)'!$J20+'Sheet4(F_22)'!$H20))</f>
        <v>975.3118274632554</v>
      </c>
      <c r="I20" s="5">
        <f>IF(A20&gt;=(Title_RESULTS!$H$7+Title_RESULTS!$C$17),0,(+'Sheet4(F_22)'!$D20+'Sheet4(F_22)'!$G20))</f>
        <v>23.434933747675874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998.7467612109314</v>
      </c>
      <c r="M20" s="23">
        <f>IF(A20&gt;=(Title_RESULTS!$H$7+Title_RESULTS!$C$17),0,(+L20-G20))</f>
        <v>336.0767346530811</v>
      </c>
      <c r="N20" s="24">
        <f>(IF(A19&gt;=(Title_RESULTS!$H$7+Title_RESULTS!$C$17),0,(+$M20/((1+Title_RESULTS!$C$37)^('Sheet9(F_25)'!$A20-Title_RESULTS!$H$7))+N19)))</f>
        <v>686.5487947672261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669.2967268234288</v>
      </c>
      <c r="F21">
        <f>IF(A21&gt;=(Title_RESULTS!$H$7+Title_RESULTS!$C$17),0,(+'f-11B'!$R20))</f>
        <v>0</v>
      </c>
      <c r="G21" s="5">
        <f>IF(A21&gt;=(Title_RESULTS!$H$7+Title_RESULTS!$C$17),0,(SUM(B21:F21)))</f>
        <v>669.2967268234288</v>
      </c>
      <c r="H21" s="5">
        <f>IF(A21&gt;=(Title_RESULTS!$H$7+Title_RESULTS!$C$17),0,(+'Sheet3(F_21)'!$J21+'Sheet4(F_22)'!$H21))</f>
        <v>1046.3556582371382</v>
      </c>
      <c r="I21" s="5">
        <f>IF(A21&gt;=(Title_RESULTS!$H$7+Title_RESULTS!$C$17),0,(+'Sheet4(F_22)'!$D21+'Sheet4(F_22)'!$G21))</f>
        <v>23.9973721576201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1070.3530303947582</v>
      </c>
      <c r="M21" s="23">
        <f>IF(A21&gt;=(Title_RESULTS!$H$7+Title_RESULTS!$C$17),0,(+L21-G21))</f>
        <v>401.0563035713294</v>
      </c>
      <c r="N21" s="24">
        <f>(IF(A20&gt;=(Title_RESULTS!$H$7+Title_RESULTS!$C$17),0,(+$M21/((1+Title_RESULTS!$C$37)^('Sheet9(F_25)'!$A21-Title_RESULTS!$H$7))+N20)))</f>
        <v>971.429826909001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675.9896940916632</v>
      </c>
      <c r="F22">
        <f>IF(A22&gt;=(Title_RESULTS!$H$7+Title_RESULTS!$C$17),0,(+'f-11B'!$R21))</f>
        <v>0</v>
      </c>
      <c r="G22" s="5">
        <f>IF(A22&gt;=(Title_RESULTS!$H$7+Title_RESULTS!$C$17),0,(SUM(B22:F22)))</f>
        <v>675.9896940916632</v>
      </c>
      <c r="H22" s="5">
        <f>IF(A22&gt;=(Title_RESULTS!$H$7+Title_RESULTS!$C$17),0,(+'Sheet3(F_21)'!$J22+'Sheet4(F_22)'!$H22))</f>
        <v>1079.8955279134934</v>
      </c>
      <c r="I22" s="5">
        <f>IF(A22&gt;=(Title_RESULTS!$H$7+Title_RESULTS!$C$17),0,(+'Sheet4(F_22)'!$D22+'Sheet4(F_22)'!$G22))</f>
        <v>24.57330908940298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1104.4688370028964</v>
      </c>
      <c r="M22" s="23">
        <f>IF(A22&gt;=(Title_RESULTS!$H$7+Title_RESULTS!$C$17),0,(+L22-G22))</f>
        <v>428.4791429112332</v>
      </c>
      <c r="N22" s="24">
        <f>(IF(A21&gt;=(Title_RESULTS!$H$7+Title_RESULTS!$C$17),0,(+$M22/((1+Title_RESULTS!$C$37)^('Sheet9(F_25)'!$A22-Title_RESULTS!$H$7))+N21)))</f>
        <v>1255.6661075117124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682.7495910325796</v>
      </c>
      <c r="F23">
        <f>IF(A23&gt;=(Title_RESULTS!$H$7+Title_RESULTS!$C$17),0,(+'f-11B'!$R22))</f>
        <v>0</v>
      </c>
      <c r="G23" s="5">
        <f>IF(A23&gt;=(Title_RESULTS!$H$7+Title_RESULTS!$C$17),0,(SUM(B23:F23)))</f>
        <v>682.7495910325796</v>
      </c>
      <c r="H23" s="5">
        <f>IF(A23&gt;=(Title_RESULTS!$H$7+Title_RESULTS!$C$17),0,(+'Sheet3(F_21)'!$J23+'Sheet4(F_22)'!$H23))</f>
        <v>1146.6881910922773</v>
      </c>
      <c r="I23" s="5">
        <f>IF(A23&gt;=(Title_RESULTS!$H$7+Title_RESULTS!$C$17),0,(+'Sheet4(F_22)'!$D23+'Sheet4(F_22)'!$G23))</f>
        <v>25.16306850754865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1171.8512595998259</v>
      </c>
      <c r="M23" s="23">
        <f>IF(A23&gt;=(Title_RESULTS!$H$7+Title_RESULTS!$C$17),0,(+L23-G23))</f>
        <v>489.1016685672463</v>
      </c>
      <c r="N23" s="24">
        <f>(IF(A22&gt;=(Title_RESULTS!$H$7+Title_RESULTS!$C$17),0,(+$M23/((1+Title_RESULTS!$C$37)^('Sheet9(F_25)'!$A23-Title_RESULTS!$H$7))+N22)))</f>
        <v>1558.6646970157592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689.5770869429057</v>
      </c>
      <c r="F24">
        <f>IF(A24&gt;=(Title_RESULTS!$H$7+Title_RESULTS!$C$17),0,(+'f-11B'!$R23))</f>
        <v>0</v>
      </c>
      <c r="G24" s="5">
        <f>IF(A24&gt;=(Title_RESULTS!$H$7+Title_RESULTS!$C$17),0,(SUM(B24:F24)))</f>
        <v>689.5770869429057</v>
      </c>
      <c r="H24" s="5">
        <f>IF(A24&gt;=(Title_RESULTS!$H$7+Title_RESULTS!$C$17),0,(+'Sheet3(F_21)'!$J24+'Sheet4(F_22)'!$H24))</f>
        <v>1268.8168136669342</v>
      </c>
      <c r="I24" s="5">
        <f>IF(A24&gt;=(Title_RESULTS!$H$7+Title_RESULTS!$C$17),0,(+'Sheet4(F_22)'!$D24+'Sheet4(F_22)'!$G24))</f>
        <v>25.766982151729813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1294.583795818664</v>
      </c>
      <c r="M24" s="23">
        <f>IF(A24&gt;=(Title_RESULTS!$H$7+Title_RESULTS!$C$17),0,(+L24-G24))</f>
        <v>605.0067088757582</v>
      </c>
      <c r="N24" s="24">
        <f>(IF(A23&gt;=(Title_RESULTS!$H$7+Title_RESULTS!$C$17),0,(+$M24/((1+Title_RESULTS!$C$37)^('Sheet9(F_25)'!$A24-Title_RESULTS!$H$7))+N23)))</f>
        <v>1908.6850435356273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696.4728578123347</v>
      </c>
      <c r="F25">
        <f>IF(A25&gt;=(Title_RESULTS!$H$7+Title_RESULTS!$C$17),0,(+'f-11B'!$R24))</f>
        <v>0</v>
      </c>
      <c r="G25" s="5">
        <f>IF(A25&gt;=(Title_RESULTS!$H$7+Title_RESULTS!$C$17),0,(SUM(B25:F25)))</f>
        <v>696.4728578123347</v>
      </c>
      <c r="H25" s="5">
        <f>IF(A25&gt;=(Title_RESULTS!$H$7+Title_RESULTS!$C$17),0,(+'Sheet3(F_21)'!$J25+'Sheet4(F_22)'!$H25))</f>
        <v>1358.4626257452026</v>
      </c>
      <c r="I25" s="5">
        <f>IF(A25&gt;=(Title_RESULTS!$H$7+Title_RESULTS!$C$17),0,(+'Sheet4(F_22)'!$D25+'Sheet4(F_22)'!$G25))</f>
        <v>26.385389723371333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1384.848015468574</v>
      </c>
      <c r="M25" s="23">
        <f>IF(A25&gt;=(Title_RESULTS!$H$7+Title_RESULTS!$C$17),0,(+L25-G25))</f>
        <v>688.3751576562393</v>
      </c>
      <c r="N25" s="24">
        <f>(IF(A24&gt;=(Title_RESULTS!$H$7+Title_RESULTS!$C$17),0,(+$M25/((1+Title_RESULTS!$C$37)^('Sheet9(F_25)'!$A25-Title_RESULTS!$H$7))+N24)))</f>
        <v>2280.6053802165175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703.437586390458</v>
      </c>
      <c r="F26">
        <f>IF(A26&gt;=(Title_RESULTS!$H$7+Title_RESULTS!$C$17),0,(+'f-11B'!$R25))</f>
        <v>0</v>
      </c>
      <c r="G26" s="5">
        <f>IF(A26&gt;=(Title_RESULTS!$H$7+Title_RESULTS!$C$17),0,(SUM(B26:F26)))</f>
        <v>703.437586390458</v>
      </c>
      <c r="H26" s="5">
        <f>IF(A26&gt;=(Title_RESULTS!$H$7+Title_RESULTS!$C$17),0,(+'Sheet3(F_21)'!$J26+'Sheet4(F_22)'!$H26))</f>
        <v>1515.2112497462579</v>
      </c>
      <c r="I26" s="5">
        <f>IF(A26&gt;=(Title_RESULTS!$H$7+Title_RESULTS!$C$17),0,(+'Sheet4(F_22)'!$D26+'Sheet4(F_22)'!$G26))</f>
        <v>27.018639076732242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1542.22988882299</v>
      </c>
      <c r="M26" s="23">
        <f>IF(A26&gt;=(Title_RESULTS!$H$7+Title_RESULTS!$C$17),0,(+L26-G26))</f>
        <v>838.792302432532</v>
      </c>
      <c r="N26" s="24">
        <f>(IF(A25&gt;=(Title_RESULTS!$H$7+Title_RESULTS!$C$17),0,(+$M26/((1+Title_RESULTS!$C$37)^('Sheet9(F_25)'!$A26-Title_RESULTS!$H$7))+N25)))</f>
        <v>2703.8298905205543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710.4719622543626</v>
      </c>
      <c r="F27">
        <f>IF(A27&gt;=(Title_RESULTS!$H$7+Title_RESULTS!$C$17),0,(+'f-11B'!$R26))</f>
        <v>0</v>
      </c>
      <c r="G27" s="5">
        <f>IF(A27&gt;=(Title_RESULTS!$H$7+Title_RESULTS!$C$17),0,(SUM(B27:F27)))</f>
        <v>710.4719622543626</v>
      </c>
      <c r="H27" s="5">
        <f>IF(A27&gt;=(Title_RESULTS!$H$7+Title_RESULTS!$C$17),0,(+'Sheet3(F_21)'!$J27+'Sheet4(F_22)'!$H27))</f>
        <v>1510.3908558349565</v>
      </c>
      <c r="I27" s="5">
        <f>IF(A27&gt;=(Title_RESULTS!$H$7+Title_RESULTS!$C$17),0,(+'Sheet4(F_22)'!$D27+'Sheet4(F_22)'!$G27))</f>
        <v>27.66708641457382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1538.0579422495302</v>
      </c>
      <c r="M27" s="23">
        <f>IF(A27&gt;=(Title_RESULTS!$H$7+Title_RESULTS!$C$17),0,(+L27-G27))</f>
        <v>827.5859799951677</v>
      </c>
      <c r="N27" s="24">
        <f>(IF(A26&gt;=(Title_RESULTS!$H$7+Title_RESULTS!$C$17),0,(+$M27/((1+Title_RESULTS!$C$37)^('Sheet9(F_25)'!$A27-Title_RESULTS!$H$7))+N26)))</f>
        <v>3093.790856103785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717.5766818769062</v>
      </c>
      <c r="F28">
        <f>IF(A28&gt;=(Title_RESULTS!$H$7+Title_RESULTS!$C$17),0,(+'f-11B'!$R27))</f>
        <v>0</v>
      </c>
      <c r="G28" s="5">
        <f>IF(A28&gt;=(Title_RESULTS!$H$7+Title_RESULTS!$C$17),0,(SUM(B28:F28)))</f>
        <v>717.5766818769062</v>
      </c>
      <c r="H28" s="5">
        <f>IF(A28&gt;=(Title_RESULTS!$H$7+Title_RESULTS!$C$17),0,(+'Sheet3(F_21)'!$J28+'Sheet4(F_22)'!$H28))</f>
        <v>1649.1346674014221</v>
      </c>
      <c r="I28" s="5">
        <f>IF(A28&gt;=(Title_RESULTS!$H$7+Title_RESULTS!$C$17),0,(+'Sheet4(F_22)'!$D28+'Sheet4(F_22)'!$G28))</f>
        <v>28.33109648852359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1677.4657638899457</v>
      </c>
      <c r="M28" s="23">
        <f>IF(A28&gt;=(Title_RESULTS!$H$7+Title_RESULTS!$C$17),0,(+L28-G28))</f>
        <v>959.8890820130396</v>
      </c>
      <c r="N28" s="24">
        <f>(IF(A27&gt;=(Title_RESULTS!$H$7+Title_RESULTS!$C$17),0,(+$M28/((1+Title_RESULTS!$C$37)^('Sheet9(F_25)'!$A28-Title_RESULTS!$H$7))+N27)))</f>
        <v>3516.1877362081427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724.7524486956753</v>
      </c>
      <c r="F29">
        <f>IF(A29&gt;=(Title_RESULTS!$H$7+Title_RESULTS!$C$17),0,(+'f-11B'!$R28))</f>
        <v>0</v>
      </c>
      <c r="G29" s="5">
        <f>IF(A29&gt;=(Title_RESULTS!$H$7+Title_RESULTS!$C$17),0,(SUM(B29:F29)))</f>
        <v>724.7524486956753</v>
      </c>
      <c r="H29" s="5">
        <f>IF(A29&gt;=(Title_RESULTS!$H$7+Title_RESULTS!$C$17),0,(+'Sheet3(F_21)'!$J29+'Sheet4(F_22)'!$H29))</f>
        <v>1757.9610277036224</v>
      </c>
      <c r="I29" s="5">
        <f>IF(A29&gt;=(Title_RESULTS!$H$7+Title_RESULTS!$C$17),0,(+'Sheet4(F_22)'!$D29+'Sheet4(F_22)'!$G29))</f>
        <v>29.01104280424816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1786.9720705078705</v>
      </c>
      <c r="M29" s="23">
        <f>IF(A29&gt;=(Title_RESULTS!$H$7+Title_RESULTS!$C$17),0,(+L29-G29))</f>
        <v>1062.2196218121953</v>
      </c>
      <c r="N29" s="24">
        <f>(IF(A28&gt;=(Title_RESULTS!$H$7+Title_RESULTS!$C$17),0,(+$M29/((1+Title_RESULTS!$C$37)^('Sheet9(F_25)'!$A29-Title_RESULTS!$H$7))+N28)))</f>
        <v>3952.709204115536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731.9999731826322</v>
      </c>
      <c r="F30">
        <f>IF(A30&gt;=(Title_RESULTS!$H$7+Title_RESULTS!$C$17),0,(+'f-11B'!$R29))</f>
        <v>0</v>
      </c>
      <c r="G30" s="5">
        <f>IF(A30&gt;=(Title_RESULTS!$H$7+Title_RESULTS!$C$17),0,(SUM(B30:F30)))</f>
        <v>731.9999731826322</v>
      </c>
      <c r="H30" s="5">
        <f>IF(A30&gt;=(Title_RESULTS!$H$7+Title_RESULTS!$C$17),0,(+'Sheet3(F_21)'!$J30+'Sheet4(F_22)'!$H30))</f>
        <v>1839.1806467194845</v>
      </c>
      <c r="I30" s="5">
        <f>IF(A30&gt;=(Title_RESULTS!$H$7+Title_RESULTS!$C$17),0,(+'Sheet4(F_22)'!$D30+'Sheet4(F_22)'!$G30))</f>
        <v>29.70730783155011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1868.8879545510345</v>
      </c>
      <c r="M30" s="23">
        <f>IF(A30&gt;=(Title_RESULTS!$H$7+Title_RESULTS!$C$17),0,(+L30-G30))</f>
        <v>1136.8879813684023</v>
      </c>
      <c r="N30" s="24">
        <f>(IF(A29&gt;=(Title_RESULTS!$H$7+Title_RESULTS!$C$17),0,(+$M30/((1+Title_RESULTS!$C$37)^('Sheet9(F_25)'!$A30-Title_RESULTS!$H$7))+N29)))</f>
        <v>4389.024662606007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122.90304</v>
      </c>
      <c r="D32" s="5">
        <f t="shared" si="1"/>
        <v>54.72</v>
      </c>
      <c r="E32" s="5">
        <f t="shared" si="1"/>
        <v>9290.173558377986</v>
      </c>
      <c r="F32" s="5">
        <f t="shared" si="1"/>
        <v>0</v>
      </c>
      <c r="G32" s="5">
        <f t="shared" si="1"/>
        <v>9467.796598377985</v>
      </c>
      <c r="H32" s="5">
        <f t="shared" si="1"/>
        <v>17395.5150592447</v>
      </c>
      <c r="I32" s="5">
        <f t="shared" si="1"/>
        <v>358.11668273661064</v>
      </c>
      <c r="J32" s="5">
        <f t="shared" si="1"/>
        <v>0</v>
      </c>
      <c r="K32" s="9">
        <f t="shared" si="1"/>
        <v>0</v>
      </c>
      <c r="L32" s="5">
        <f t="shared" si="1"/>
        <v>17753.631741981313</v>
      </c>
      <c r="M32" s="5">
        <f t="shared" si="1"/>
        <v>8285.835143603323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114.83173044385765</v>
      </c>
      <c r="D34" s="5">
        <f>NPV(Title_RESULTS!$C$37,'Sheet9(F_25)'!D17:D31)+'Sheet9(F_25)'!D16</f>
        <v>51.18171953311102</v>
      </c>
      <c r="E34" s="5">
        <f>NPV(Title_RESULTS!$C$37,'Sheet9(F_25)'!E17:E31)+'Sheet9(F_25)'!E16</f>
        <v>5623.297660280901</v>
      </c>
      <c r="F34" s="5">
        <f>NPV(Title_RESULTS!$C$37,'Sheet9(F_25)'!F17:F31)+'Sheet9(F_25)'!F16</f>
        <v>0</v>
      </c>
      <c r="G34" s="5">
        <f>NPV(Title_RESULTS!$C$37,'Sheet9(F_25)'!G17:G31)+'Sheet9(F_25)'!G16</f>
        <v>5789.3111102578705</v>
      </c>
      <c r="H34" s="5">
        <f>NPV(Title_RESULTS!$C$37,'Sheet9(F_25)'!H17:H31)+'Sheet9(F_25)'!H16</f>
        <v>9961.438961332835</v>
      </c>
      <c r="I34" s="5">
        <f>NPV(Title_RESULTS!$C$37,'Sheet9(F_25)'!I17:I31)+'Sheet9(F_25)'!I16</f>
        <v>216.89681153104385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10178.335772863877</v>
      </c>
      <c r="M34" s="5">
        <f>NPV(Title_RESULTS!$C$37,'Sheet9(F_25)'!M17:M31)+'Sheet9(F_25)'!M16</f>
        <v>4389.024662606006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1.7581255487944416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142.13461951909474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8.2911232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86.0338176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0.8193478936783118</v>
      </c>
      <c r="P24" s="48">
        <f aca="true" t="shared" si="4" ref="P24:P61">N24*$L$5</f>
        <v>8.502060038821288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0.8390122431265913</v>
      </c>
      <c r="P25" s="48">
        <f t="shared" si="4"/>
        <v>8.706109479752998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19.556396430033928</v>
      </c>
      <c r="E26" s="11">
        <f>IF(B26=Title_RESULTS!$H$8,$F$16,+E25*(1+$F$7))</f>
        <v>0.09882230355451863</v>
      </c>
      <c r="F26" s="9">
        <f t="shared" si="1"/>
        <v>14.046070515721988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1.1407811319864163</v>
      </c>
      <c r="L26" s="5">
        <f t="shared" si="3"/>
        <v>11.837449940538923</v>
      </c>
      <c r="N26" s="11">
        <f>IF(+B26=Title_RESULTS!$H$9,'Value of Defferal'!$O$16,+'Value of Defferal'!N25*(1+'Value of Defferal'!$F$7))</f>
        <v>0.10362269577198292</v>
      </c>
      <c r="O26" s="5">
        <f t="shared" si="7"/>
        <v>0.8591485369616295</v>
      </c>
      <c r="P26" s="48">
        <f t="shared" si="4"/>
        <v>8.91505610726707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18.97889830969532</v>
      </c>
      <c r="E27" s="11">
        <f>IF(B27=Title_RESULTS!$H$8,$F$16,+E26*(1+$F$7))</f>
        <v>0.10119403883982707</v>
      </c>
      <c r="F27" s="9">
        <f t="shared" si="1"/>
        <v>14.383176208099316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1.1070939973552043</v>
      </c>
      <c r="L27" s="5">
        <f t="shared" si="3"/>
        <v>11.48789141554579</v>
      </c>
      <c r="N27" s="11">
        <f>IF(+B27=Title_RESULTS!$H$9,'Value of Defferal'!$O$16,+'Value of Defferal'!N26*(1+'Value of Defferal'!$F$7))</f>
        <v>0.10610964047051051</v>
      </c>
      <c r="O27" s="5">
        <f t="shared" si="7"/>
        <v>0.8797681018487086</v>
      </c>
      <c r="P27" s="48">
        <f t="shared" si="4"/>
        <v>9.12901745384148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18.341344596587458</v>
      </c>
      <c r="E28" s="11">
        <f>IF(B28=Title_RESULTS!$H$8,$F$16,+E27*(1+$F$7))</f>
        <v>0.10362269577198292</v>
      </c>
      <c r="F28" s="9">
        <f t="shared" si="1"/>
        <v>14.7283724370937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1.0699036464056626</v>
      </c>
      <c r="L28" s="5">
        <f t="shared" si="3"/>
        <v>11.101981353315276</v>
      </c>
      <c r="N28" s="11">
        <f>IF(+B28=Title_RESULTS!$H$9,'Value of Defferal'!$O$16,+'Value of Defferal'!N27*(1+'Value of Defferal'!$F$7))</f>
        <v>0.10865627184180277</v>
      </c>
      <c r="O28" s="5">
        <f t="shared" si="7"/>
        <v>0.9008825362930776</v>
      </c>
      <c r="P28" s="48">
        <f t="shared" si="4"/>
        <v>9.348113872733675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17.734326191915798</v>
      </c>
      <c r="E29" s="11">
        <f>IF(B29=Title_RESULTS!$H$8,$F$16,+E28*(1+$F$7))</f>
        <v>0.10610964047051051</v>
      </c>
      <c r="F29" s="9">
        <f t="shared" si="1"/>
        <v>15.081853375583949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1.0344945082602293</v>
      </c>
      <c r="L29" s="5">
        <f t="shared" si="3"/>
        <v>10.734554255792784</v>
      </c>
      <c r="N29" s="11">
        <f>IF(+B29=Title_RESULTS!$H$9,'Value of Defferal'!$O$16,+'Value of Defferal'!N28*(1+'Value of Defferal'!$F$7))</f>
        <v>0.11126402236600604</v>
      </c>
      <c r="O29" s="5">
        <f t="shared" si="7"/>
        <v>0.9225037171641115</v>
      </c>
      <c r="P29" s="48">
        <f t="shared" si="4"/>
        <v>9.572468605679285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17.15478110630252</v>
      </c>
      <c r="E30" s="11">
        <f>IF(B30=Title_RESULTS!$H$8,$F$16,+E29*(1+$F$7))</f>
        <v>0.10865627184180277</v>
      </c>
      <c r="F30" s="9">
        <f t="shared" si="1"/>
        <v>15.443817856597963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1.0006879682277448</v>
      </c>
      <c r="L30" s="5">
        <f t="shared" si="3"/>
        <v>10.383756706572687</v>
      </c>
      <c r="N30" s="11">
        <f>IF(+B30=Title_RESULTS!$H$9,'Value of Defferal'!$O$16,+'Value of Defferal'!N29*(1+'Value of Defferal'!$F$7))</f>
        <v>0.11393435890279018</v>
      </c>
      <c r="O30" s="5">
        <f t="shared" si="7"/>
        <v>0.94464380637605</v>
      </c>
      <c r="P30" s="48">
        <f t="shared" si="4"/>
        <v>9.802207852215586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16.59998569173752</v>
      </c>
      <c r="E31" s="11">
        <f>IF(B31=Title_RESULTS!$H$8,$F$16,+E30*(1+$F$7))</f>
        <v>0.11126402236600604</v>
      </c>
      <c r="F31" s="9">
        <f t="shared" si="1"/>
        <v>15.814469485156316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0.9683251480470109</v>
      </c>
      <c r="L31" s="5">
        <f t="shared" si="3"/>
        <v>10.047940086642246</v>
      </c>
      <c r="N31" s="11">
        <f>IF(+B31=Title_RESULTS!$H$9,'Value of Defferal'!$O$16,+'Value of Defferal'!N30*(1+'Value of Defferal'!$F$7))</f>
        <v>0.11666878351645714</v>
      </c>
      <c r="O31" s="5">
        <f t="shared" si="7"/>
        <v>0.9673152577290753</v>
      </c>
      <c r="P31" s="48">
        <f t="shared" si="4"/>
        <v>10.03746084066876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16.062462603994327</v>
      </c>
      <c r="E32" s="11">
        <f>IF(B32=Title_RESULTS!$H$8,$F$16,+E31*(1+$F$7))</f>
        <v>0.11393435890279018</v>
      </c>
      <c r="F32" s="9">
        <f t="shared" si="1"/>
        <v>16.194016752800067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0.9369698726158588</v>
      </c>
      <c r="L32" s="5">
        <f t="shared" si="3"/>
        <v>9.722578373618672</v>
      </c>
      <c r="N32" s="11">
        <f>IF(+B32=Title_RESULTS!$H$9,'Value of Defferal'!$O$16,+'Value of Defferal'!N31*(1+'Value of Defferal'!$F$7))</f>
        <v>0.11946883432085212</v>
      </c>
      <c r="O32" s="5">
        <f t="shared" si="7"/>
        <v>0.9905308239145731</v>
      </c>
      <c r="P32" s="48">
        <f t="shared" si="4"/>
        <v>10.278359900844812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15.530471397613264</v>
      </c>
      <c r="E33" s="11">
        <f>IF(B33=Title_RESULTS!$H$8,$F$16,+E32*(1+$F$7))</f>
        <v>0.11666878351645714</v>
      </c>
      <c r="F33" s="9">
        <f t="shared" si="1"/>
        <v>16.58267315486727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0.9059372878145926</v>
      </c>
      <c r="L33" s="5">
        <f t="shared" si="3"/>
        <v>9.400565097968798</v>
      </c>
      <c r="N33" s="11">
        <f>IF(+B33=Title_RESULTS!$H$9,'Value of Defferal'!$O$16,+'Value of Defferal'!N32*(1+'Value of Defferal'!$F$7))</f>
        <v>0.12233608634455258</v>
      </c>
      <c r="O33" s="5">
        <f t="shared" si="7"/>
        <v>1.014303563688523</v>
      </c>
      <c r="P33" s="48">
        <f t="shared" si="4"/>
        <v>10.525040538465088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14.998480191232195</v>
      </c>
      <c r="E34" s="11">
        <f>IF(B34=Title_RESULTS!$H$8,$F$16,+E33*(1+$F$7))</f>
        <v>0.11946883432085212</v>
      </c>
      <c r="F34" s="9">
        <f t="shared" si="1"/>
        <v>16.980657310584082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0.874904703013326</v>
      </c>
      <c r="L34" s="5">
        <f t="shared" si="3"/>
        <v>9.07855182231892</v>
      </c>
      <c r="N34" s="11">
        <f>IF(+B34=Title_RESULTS!$H$9,'Value of Defferal'!$O$16,+'Value of Defferal'!N33*(1+'Value of Defferal'!$F$7))</f>
        <v>0.12527215241682185</v>
      </c>
      <c r="O34" s="5">
        <f t="shared" si="7"/>
        <v>1.0386468492170478</v>
      </c>
      <c r="P34" s="48">
        <f t="shared" si="4"/>
        <v>10.777641511388252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14.466488984851129</v>
      </c>
      <c r="E35" s="11">
        <f>IF(B35=Title_RESULTS!$H$8,$F$16,+E34*(1+$F$7))</f>
        <v>0.12233608634455258</v>
      </c>
      <c r="F35" s="9">
        <f t="shared" si="1"/>
        <v>17.388193086038104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0.8438721182120597</v>
      </c>
      <c r="L35" s="5">
        <f t="shared" si="3"/>
        <v>8.756538546669043</v>
      </c>
      <c r="N35" s="11">
        <f>IF(+B35=Title_RESULTS!$H$9,'Value of Defferal'!$O$16,+'Value of Defferal'!N34*(1+'Value of Defferal'!$F$7))</f>
        <v>0.12827868407482557</v>
      </c>
      <c r="O35" s="5">
        <f t="shared" si="7"/>
        <v>1.0635743735982568</v>
      </c>
      <c r="P35" s="48">
        <f t="shared" si="4"/>
        <v>11.036304907661568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13.934497778470066</v>
      </c>
      <c r="E36" s="11">
        <f>IF(B36=Title_RESULTS!$H$8,$F$16,+E35*(1+$F$7))</f>
        <v>0.12527215241682185</v>
      </c>
      <c r="F36" s="9">
        <f t="shared" si="1"/>
        <v>17.805509720103018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0.8128395334107934</v>
      </c>
      <c r="L36" s="5">
        <f t="shared" si="3"/>
        <v>8.434525271019169</v>
      </c>
      <c r="N36" s="11">
        <f>IF(+B36=Title_RESULTS!$H$9,'Value of Defferal'!$O$16,+'Value of Defferal'!N35*(1+'Value of Defferal'!$F$7))</f>
        <v>0.1313573724926214</v>
      </c>
      <c r="O36" s="5">
        <f t="shared" si="7"/>
        <v>1.089100158564615</v>
      </c>
      <c r="P36" s="48">
        <f t="shared" si="4"/>
        <v>11.301176225445447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13.402506572088997</v>
      </c>
      <c r="E37" s="11">
        <f>IF(B37&gt;Title_RESULTS!$H$8-1+Title_RESULTS!$C$18,0,+E36*(1+$F$7))</f>
        <v>0.12827868407482557</v>
      </c>
      <c r="F37" s="9">
        <f t="shared" si="1"/>
        <v>18.23284195338549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0.7818069486095268</v>
      </c>
      <c r="L37" s="5">
        <f t="shared" si="3"/>
        <v>8.11251199536929</v>
      </c>
      <c r="N37" s="11">
        <f>IF(+B37=Title_RESULTS!$H$9,'Value of Defferal'!$O$16,+'Value of Defferal'!N36*(1+'Value of Defferal'!$F$7))</f>
        <v>0.1345099494324443</v>
      </c>
      <c r="O37" s="5">
        <f t="shared" si="7"/>
        <v>1.1152385623701657</v>
      </c>
      <c r="P37" s="48">
        <f t="shared" si="4"/>
        <v>11.572404454856137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12.87051536570793</v>
      </c>
      <c r="E38" s="11">
        <f>IF(B38&gt;Title_RESULTS!$H$8-1+Title_RESULTS!$C$18,0,+E37*(1+$F$7))</f>
        <v>0.1313573724926214</v>
      </c>
      <c r="F38" s="9">
        <f t="shared" si="1"/>
        <v>18.670430160266744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0.7507743638082603</v>
      </c>
      <c r="L38" s="5">
        <f t="shared" si="3"/>
        <v>7.790498719719412</v>
      </c>
      <c r="N38" s="11">
        <f>IF(+B38=Title_RESULTS!$H$9,'Value of Defferal'!$O$16,+'Value of Defferal'!N37*(1+'Value of Defferal'!$F$7))</f>
        <v>0.13773818821882297</v>
      </c>
      <c r="O38" s="5">
        <f t="shared" si="7"/>
        <v>1.1420042878670498</v>
      </c>
      <c r="P38" s="48">
        <f t="shared" si="4"/>
        <v>11.850142161772686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12.338524159326862</v>
      </c>
      <c r="E39" s="11">
        <f>IF(B39&gt;Title_RESULTS!$H$8-1+Title_RESULTS!$C$18,0,+E38*(1+$F$7))</f>
        <v>0.1345099494324443</v>
      </c>
      <c r="F39" s="9">
        <f t="shared" si="1"/>
        <v>19.118520484113144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0.7197417790069939</v>
      </c>
      <c r="L39" s="5">
        <f t="shared" si="3"/>
        <v>7.468485444069535</v>
      </c>
      <c r="N39" s="11">
        <f>IF(+B39&gt;Title_RESULTS!$H$9+Title_RESULTS!$C$19-1,0,+'Value of Defferal'!N38*(1+'Value of Defferal'!$F$7))</f>
        <v>0.14104390473607473</v>
      </c>
      <c r="O39" s="5">
        <f t="shared" si="7"/>
        <v>1.169412390775859</v>
      </c>
      <c r="P39" s="48">
        <f t="shared" si="4"/>
        <v>12.13454557365523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11.806532952945801</v>
      </c>
      <c r="E40" s="11">
        <f>IF(B40&gt;Title_RESULTS!$H$8-1+Title_RESULTS!$C$18,0,+E39*(1+$F$7))</f>
        <v>0.13773818821882297</v>
      </c>
      <c r="F40" s="9">
        <f t="shared" si="1"/>
        <v>19.57736497573186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0.6887091942057276</v>
      </c>
      <c r="L40" s="5">
        <f t="shared" si="3"/>
        <v>7.146472168419661</v>
      </c>
      <c r="N40" s="11">
        <f>IF(+B40&gt;Title_RESULTS!$H$9+Title_RESULTS!$C$19-1,0,+'Value of Defferal'!N39*(1+'Value of Defferal'!$F$7))</f>
        <v>0.14442895844974052</v>
      </c>
      <c r="O40" s="5">
        <f t="shared" si="7"/>
        <v>1.1974782881544797</v>
      </c>
      <c r="P40" s="48">
        <f t="shared" si="4"/>
        <v>12.425774667422955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11.324497849507717</v>
      </c>
      <c r="E41" s="11">
        <f>IF(B41&gt;Title_RESULTS!$H$8-1+Title_RESULTS!$C$18,0,+E40*(1+$F$7))</f>
        <v>0.14104390473607473</v>
      </c>
      <c r="F41" s="9">
        <f t="shared" si="1"/>
        <v>20.047221735149424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0.6605906932884125</v>
      </c>
      <c r="L41" s="5">
        <f t="shared" si="3"/>
        <v>6.854697227829498</v>
      </c>
      <c r="N41" s="11">
        <f>IF(+B41&gt;Title_RESULTS!$H$9+Title_RESULTS!$C$19-1,0,+'Value of Defferal'!N40*(1+'Value of Defferal'!$F$7))</f>
        <v>0.1478952534525343</v>
      </c>
      <c r="O41" s="5">
        <f t="shared" si="7"/>
        <v>1.226217767070187</v>
      </c>
      <c r="P41" s="48">
        <f t="shared" si="4"/>
        <v>12.723993259441107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10.942358034887215</v>
      </c>
      <c r="E42" s="11">
        <f>IF(B42&gt;Title_RESULTS!$H$8-1+Title_RESULTS!$C$18,0,+E41*(1+$F$7))</f>
        <v>0.14442895844974052</v>
      </c>
      <c r="F42" s="9">
        <f t="shared" si="1"/>
        <v>20.52835505679301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0.6382993733175022</v>
      </c>
      <c r="L42" s="5">
        <f t="shared" si="3"/>
        <v>6.623388717489122</v>
      </c>
      <c r="N42" s="11">
        <f>IF(+B42&gt;Title_RESULTS!$H$9+Title_RESULTS!$C$19-1,0,+'Value of Defferal'!N41*(1+'Value of Defferal'!$F$7))</f>
        <v>0.1514447395353951</v>
      </c>
      <c r="O42" s="5">
        <f t="shared" si="7"/>
        <v>1.2556469934798715</v>
      </c>
      <c r="P42" s="48">
        <f t="shared" si="4"/>
        <v>13.029369097667693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10.610157406141314</v>
      </c>
      <c r="E43" s="11">
        <f>IF(B43&gt;Title_RESULTS!$H$8-1+Title_RESULTS!$C$18,0,+E42*(1+$F$7))</f>
        <v>0.1478952534525343</v>
      </c>
      <c r="F43" s="9">
        <f t="shared" si="1"/>
        <v>21.021035578156045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0.6189211504090453</v>
      </c>
      <c r="L43" s="5">
        <f t="shared" si="3"/>
        <v>6.422308302338817</v>
      </c>
      <c r="N43" s="11">
        <f>IF(+B43&gt;Title_RESULTS!$H$9+Title_RESULTS!$C$19-1,0,+'Value of Defferal'!N42*(1+'Value of Defferal'!$F$7))</f>
        <v>0.1550794132842446</v>
      </c>
      <c r="O43" s="5">
        <f t="shared" si="7"/>
        <v>1.2857825213233884</v>
      </c>
      <c r="P43" s="48">
        <f t="shared" si="4"/>
        <v>13.342073956011717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10.277956777395415</v>
      </c>
      <c r="E44" s="11">
        <f>IF(B44&gt;Title_RESULTS!$H$8-1+Title_RESULTS!$C$18,0,+E43*(1+$F$7))</f>
        <v>0.1514447395353951</v>
      </c>
      <c r="F44" s="9">
        <f t="shared" si="1"/>
        <v>21.52554043203179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0.5995429275005886</v>
      </c>
      <c r="L44" s="5">
        <f t="shared" si="3"/>
        <v>6.221227887188513</v>
      </c>
      <c r="N44" s="11">
        <f>IF(+B44&gt;Title_RESULTS!$H$9+Title_RESULTS!$C$19-1,0,+'Value of Defferal'!N43*(1+'Value of Defferal'!$F$7))</f>
        <v>0.15880131920306648</v>
      </c>
      <c r="O44" s="5">
        <f t="shared" si="7"/>
        <v>1.31664130183515</v>
      </c>
      <c r="P44" s="48">
        <f t="shared" si="4"/>
        <v>13.662283730956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9.94575614864951</v>
      </c>
      <c r="E45" s="11">
        <f>IF(B45&gt;Title_RESULTS!$H$8-1+Title_RESULTS!$C$18,0,+E44*(1+$F$7))</f>
        <v>0.1550794132842446</v>
      </c>
      <c r="F45" s="9">
        <f t="shared" si="1"/>
        <v>22.04215340240055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0.5801647045921313</v>
      </c>
      <c r="L45" s="5">
        <f t="shared" si="3"/>
        <v>6.0201474720382055</v>
      </c>
      <c r="N45" s="11">
        <f>IF(+B45&gt;Title_RESULTS!$H$9+Title_RESULTS!$C$19-1,0,+'Value of Defferal'!N44*(1+'Value of Defferal'!$F$7))</f>
        <v>0.16261255086394008</v>
      </c>
      <c r="O45" s="5">
        <f t="shared" si="7"/>
        <v>1.3482406930791935</v>
      </c>
      <c r="P45" s="48">
        <f t="shared" si="4"/>
        <v>13.990178540498944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9.613555519903608</v>
      </c>
      <c r="E46" s="11">
        <f>IF(B46&gt;Title_RESULTS!$H$8-1+Title_RESULTS!$C$18,0,+E45*(1+$F$7))</f>
        <v>0.15880131920306648</v>
      </c>
      <c r="F46" s="9">
        <f t="shared" si="1"/>
        <v>22.571165084058165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0.5607864816836744</v>
      </c>
      <c r="L46" s="5">
        <f t="shared" si="3"/>
        <v>5.819067056887901</v>
      </c>
      <c r="N46" s="11">
        <f>IF(+B46&gt;Title_RESULTS!$H$9+Title_RESULTS!$C$19-1,0,+'Value of Defferal'!N45*(1+'Value of Defferal'!$F$7))</f>
        <v>0.16651525208467466</v>
      </c>
      <c r="O46" s="5">
        <f t="shared" si="7"/>
        <v>1.3805984697130944</v>
      </c>
      <c r="P46" s="48">
        <f t="shared" si="4"/>
        <v>14.32594282547092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9.281354891157708</v>
      </c>
      <c r="E47" s="11">
        <f>IF(B47&gt;Title_RESULTS!$H$8-1+Title_RESULTS!$C$18,0,+E46*(1+$F$7))</f>
        <v>0.16261255086394008</v>
      </c>
      <c r="F47" s="9">
        <f t="shared" si="1"/>
        <v>23.112873046075563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0.5414082587752177</v>
      </c>
      <c r="L47" s="5">
        <f t="shared" si="3"/>
        <v>5.617986641737597</v>
      </c>
      <c r="N47" s="11">
        <f>IF(+B47&gt;Title_RESULTS!$H$9+Title_RESULTS!$C$19-1,0,+'Value of Defferal'!N46*(1+'Value of Defferal'!$F$7))</f>
        <v>0.17051161813470686</v>
      </c>
      <c r="O47" s="5">
        <f t="shared" si="7"/>
        <v>1.4137328329862087</v>
      </c>
      <c r="P47" s="48">
        <f t="shared" si="4"/>
        <v>14.669765453282224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8.949154262411808</v>
      </c>
      <c r="E48" s="11">
        <f>IF(B48&gt;Title_RESULTS!$H$8-1+Title_RESULTS!$C$18,0,+E47*(1+$F$7))</f>
        <v>0.16651525208467466</v>
      </c>
      <c r="F48" s="9">
        <f t="shared" si="1"/>
        <v>23.66758199918138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0.5220300358667608</v>
      </c>
      <c r="L48" s="5">
        <f t="shared" si="3"/>
        <v>5.416906226587292</v>
      </c>
      <c r="N48" s="11">
        <f>IF(+B48&gt;Title_RESULTS!$H$9+Title_RESULTS!$C$19-1,0,+'Value of Defferal'!N47*(1+'Value of Defferal'!$F$7))</f>
        <v>0.17460389696993983</v>
      </c>
      <c r="O48" s="5">
        <f t="shared" si="7"/>
        <v>1.4476624209778777</v>
      </c>
      <c r="P48" s="48">
        <f t="shared" si="4"/>
        <v>15.021839824160997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8.616953633665903</v>
      </c>
      <c r="E49" s="11">
        <f>IF(B49&gt;Title_RESULTS!$H$8-1+Title_RESULTS!$C$18,0,+E48*(1+$F$7))</f>
        <v>0.17051161813470686</v>
      </c>
      <c r="F49" s="9">
        <f t="shared" si="1"/>
        <v>24.235603967161733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0.5026518129583036</v>
      </c>
      <c r="L49" s="5">
        <f t="shared" si="3"/>
        <v>5.215825811436986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8.28475300492</v>
      </c>
      <c r="E50" s="11">
        <f>IF(B50&gt;Title_RESULTS!$H$8-1+Title_RESULTS!$C$18,0,+E49*(1+$F$7))</f>
        <v>0.17460389696993983</v>
      </c>
      <c r="F50" s="9">
        <f t="shared" si="1"/>
        <v>24.817258462373616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0.4832735900498467</v>
      </c>
      <c r="L50" s="5">
        <f t="shared" si="3"/>
        <v>5.01474539628668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7.952552376174101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0.46389536714138985</v>
      </c>
      <c r="L51" s="5">
        <f t="shared" si="3"/>
        <v>4.813664981136377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339.5752622373174</v>
      </c>
      <c r="F63" s="9">
        <f>SUM(F23:F61)</f>
        <v>473.61675623952436</v>
      </c>
      <c r="J63" t="s">
        <v>87</v>
      </c>
      <c r="K63" s="9">
        <f>SUM(K23:K61)</f>
        <v>19.808406596562282</v>
      </c>
      <c r="O63" s="9">
        <f>SUM(O23:O61)</f>
        <v>27.6274343917931</v>
      </c>
    </row>
    <row r="64" spans="3:15" ht="12.75">
      <c r="C64" t="s">
        <v>89</v>
      </c>
      <c r="D64" s="9">
        <f>NPV(+Title_RESULTS!$C$37,'Value of Defferal'!D24:D61)+'Value of Defferal'!D23</f>
        <v>151.62240830507037</v>
      </c>
      <c r="F64" s="9">
        <f>NPV(+Title_RESULTS!$C$37,'Value of Defferal'!F24:F61)+'Value of Defferal'!F23</f>
        <v>176.11228380571424</v>
      </c>
      <c r="J64" t="s">
        <v>89</v>
      </c>
      <c r="K64" s="9">
        <f>NPV(+Title_RESULTS!$C$37,'Value of Defferal'!K24:K61)+'Value of Defferal'!K23</f>
        <v>8.844573344561963</v>
      </c>
      <c r="O64" s="9">
        <f>NPV(+Title_RESULTS!$C$37,'Value of Defferal'!O24:O61)+'Value of Defferal'!O23</f>
        <v>11.779310538065003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0.07749346162178582</v>
      </c>
      <c r="C25" t="s">
        <v>372</v>
      </c>
    </row>
    <row r="26" spans="2:3" ht="18">
      <c r="B26" s="15">
        <f>+((Input!$C$6*'EUE_Line Losses'!C4)+(Input!$C$7*'EUE_Line Losses'!C3))/'EUE_Line Losses'!C22</f>
        <v>0.07724348271332845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39" sqref="C39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0.34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9411.76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906.95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18.24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Heat Pump Pool Heater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43599.32186585648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0.07724348271332845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9928.016877637132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9411.76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906.95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18.24</v>
      </c>
      <c r="D39" s="13" t="s">
        <v>189</v>
      </c>
      <c r="G39" s="20" t="s">
        <v>346</v>
      </c>
      <c r="H39" s="79">
        <f>+'Sheet7(F_23)'!H36</f>
        <v>3.7475027691994205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10907.077011180376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1.7581255487944416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2019-05-14T11:43:30Z</dcterms:created>
  <dcterms:modified xsi:type="dcterms:W3CDTF">2019-05-14T11:43:33Z</dcterms:modified>
  <cp:category/>
  <cp:version/>
  <cp:contentType/>
  <cp:contentStatus/>
</cp:coreProperties>
</file>