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<sst xmlns="http://schemas.openxmlformats.org/spreadsheetml/2006/main" count="1258" uniqueCount="468">
  <si>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</si>
  <si>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</si>
  <si>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</si>
  <si>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</si>
  <si>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</si>
  <si>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</si>
  <si>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</si>
  <si>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</si>
  <si>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</si>
  <si>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</si>
  <si>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</si>
  <si>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</si>
  <si>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</si>
  <si>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</si>
  <si>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</si>
  <si>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</si>
  <si>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</si>
  <si>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</si>
  <si>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</si>
  <si>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</si>
  <si>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</si>
  <si>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</si>
  <si>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</si>
  <si>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</si>
  <si>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</si>
  <si>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</si>
  <si>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</si>
  <si>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</si>
  <si>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</si>
  <si>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</si>
  <si>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</si>
  <si>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</si>
  <si>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</si>
  <si>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</si>
  <si>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</si>
  <si>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</si>
  <si>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</si>
  <si>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</si>
  <si>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</si>
  <si>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</si>
  <si>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</si>
  <si>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</si>
  <si>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</si>
  <si>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</si>
  <si>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</si>
  <si>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</si>
  <si>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</si>
  <si>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</si>
  <si>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</si>
  <si>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</si>
  <si>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</si>
  <si>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</si>
  <si>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</si>
  <si>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</si>
  <si>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</si>
  <si>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</si>
  <si>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</si>
  <si>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</si>
  <si>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</si>
  <si>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</si>
  <si>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</si>
  <si>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</si>
  <si>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</si>
  <si>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</si>
  <si>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</si>
  <si>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</si>
  <si>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</si>
  <si>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</si>
  <si>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</si>
  <si>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</si>
  <si>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</si>
  <si>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</si>
  <si>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</si>
  <si>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</si>
  <si>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</si>
  <si>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</si>
  <si>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</si>
  <si>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</si>
  <si>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</si>
  <si>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</si>
  <si>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</si>
  <si>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</si>
  <si>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</si>
  <si>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</si>
  <si>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</si>
  <si>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</si>
  <si>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</si>
  <si>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</si>
  <si>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</si>
  <si>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</si>
  <si>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</si>
  <si>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</si>
  <si>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</si>
  <si>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</si>
  <si>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</si>
  <si>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</si>
  <si>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</si>
  <si>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</si>
  <si>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</si>
  <si>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</si>
  <si>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</si>
  <si>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</si>
  <si>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</si>
  <si>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</si>
  <si>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</si>
  <si>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</si>
  <si>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</si>
  <si>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</si>
  <si>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</si>
  <si>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</si>
  <si>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</si>
  <si>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</si>
  <si>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</si>
  <si>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</si>
  <si>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</si>
  <si>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</si>
  <si>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</si>
  <si>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</si>
  <si>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</si>
  <si>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</si>
  <si>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</si>
  <si>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</si>
  <si>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</si>
  <si>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</si>
  <si>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</si>
  <si>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</si>
  <si>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</si>
  <si>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</si>
  <si>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</si>
  <si>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</si>
  <si>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</si>
  <si>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</si>
  <si>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</si>
  <si>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</si>
  <si>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</si>
  <si>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</si>
  <si>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</si>
  <si>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</si>
  <si>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</si>
  <si>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</si>
  <si>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</si>
  <si>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</si>
  <si>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</si>
  <si>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</si>
  <si>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</si>
  <si>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</si>
  <si>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</si>
  <si>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</si>
  <si>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</si>
  <si>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</si>
  <si>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</si>
  <si>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</si>
  <si>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</si>
  <si>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</si>
  <si>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</si>
  <si>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</si>
  <si>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</si>
  <si>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</si>
  <si>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</si>
  <si>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</si>
  <si>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</si>
  <si>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</si>
  <si>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</si>
  <si>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</si>
  <si>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</si>
  <si>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</si>
  <si>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</si>
  <si>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</si>
  <si>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</si>
  <si>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</si>
  <si>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</si>
  <si>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</si>
  <si>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</si>
  <si>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</si>
  <si>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</si>
  <si>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</si>
  <si>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</si>
  <si>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</si>
  <si>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</si>
  <si>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</si>
  <si>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</si>
  <si>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</si>
  <si>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</si>
  <si>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</si>
  <si>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</si>
  <si>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</si>
  <si>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</si>
  <si>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</si>
  <si>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</si>
  <si>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</si>
  <si>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</si>
  <si>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</si>
  <si>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</si>
  <si>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</si>
  <si>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</si>
  <si>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</si>
  <si>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</si>
  <si>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</si>
  <si>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</si>
  <si>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</si>
  <si>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</si>
  <si>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</si>
  <si>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</si>
  <si>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</si>
  <si>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</si>
  <si>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</si>
  <si>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</si>
  <si>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</si>
  <si>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</si>
  <si>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</si>
  <si>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</si>
  <si>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</si>
  <si>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</si>
  <si>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</si>
  <si>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</si>
  <si>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</si>
  <si>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</si>
  <si>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</si>
  <si>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</si>
  <si>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</si>
  <si>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</si>
  <si>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</si>
  <si>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</si>
  <si>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</si>
  <si>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</si>
  <si>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</si>
  <si>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</si>
  <si>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</si>
  <si>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</si>
  <si>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</si>
  <si>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</si>
  <si>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</si>
  <si>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</si>
  <si>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</si>
  <si>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</si>
  <si>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</si>
  <si>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</si>
  <si>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</si>
  <si>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</si>
  <si>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</si>
  <si>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</si>
  <si>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</si>
  <si>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</si>
  <si>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</si>
  <si>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</si>
  <si>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</si>
  <si>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</si>
  <si>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</si>
  <si>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</si>
  <si>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</si>
  <si>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</si>
  <si>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</si>
  <si>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</si>
  <si>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</si>
  <si>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</si>
  <si>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</si>
  <si>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</si>
  <si>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</si>
  <si>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</si>
  <si>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</si>
  <si>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</si>
  <si>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</si>
  <si>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</si>
  <si>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</si>
  <si>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</si>
  <si>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</si>
  <si>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</si>
  <si>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</si>
  <si>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</si>
  <si>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</si>
  <si>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</si>
  <si>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</si>
  <si>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</si>
  <si>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</si>
  <si>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</si>
  <si>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</si>
  <si>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</si>
  <si>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</si>
  <si>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</si>
  <si>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</si>
  <si>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</si>
  <si>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</si>
  <si>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</si>
  <si>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</si>
  <si>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</si>
  <si>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</si>
  <si>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</si>
  <si>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</si>
  <si>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</si>
  <si>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</si>
  <si>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</si>
  <si>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</si>
  <si>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</si>
  <si>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</si>
  <si>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</si>
  <si>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</si>
  <si>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</si>
  <si>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</si>
  <si>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</si>
  <si>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</si>
  <si>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</si>
  <si>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</si>
  <si>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</si>
  <si>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</si>
  <si>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</si>
  <si>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</si>
  <si>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</si>
  <si>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</si>
  <si>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</si>
  <si>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</si>
  <si>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</si>
  <si>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</si>
  <si>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</si>
  <si>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</si>
  <si>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</si>
  <si>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</si>
  <si>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</si>
  <si>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</si>
  <si>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</si>
  <si>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</si>
  <si>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</si>
  <si>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</si>
  <si>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</si>
  <si>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</si>
  <si>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</si>
  <si>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</si>
  <si>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</si>
  <si>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</si>
  <si>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</si>
  <si>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</si>
  <si>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</si>
  <si>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</si>
  <si>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</si>
  <si>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</si>
  <si>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</si>
  <si>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</si>
  <si>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</si>
  <si>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</si>
  <si>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</si>
  <si>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</si>
  <si>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</si>
  <si>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</si>
  <si>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</si>
  <si>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</si>
  <si>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</si>
  <si>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</si>
  <si>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</si>
  <si>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</si>
  <si>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</si>
  <si>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</si>
  <si>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</si>
  <si>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</si>
  <si>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</si>
  <si>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</si>
  <si>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</si>
  <si>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</si>
  <si>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</si>
  <si>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</si>
  <si>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</si>
  <si>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</si>
  <si>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</si>
  <si>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</si>
  <si>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</si>
  <si>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</si>
  <si>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</si>
  <si>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</si>
  <si>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</si>
  <si>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</si>
  <si>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</si>
  <si>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</si>
  <si>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</si>
  <si>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</si>
  <si>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</si>
  <si>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</si>
  <si>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</si>
  <si>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</si>
  <si>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</si>
  <si>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</si>
  <si>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</si>
  <si>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</si>
  <si>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</si>
  <si>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</si>
  <si>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</si>
  <si>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</si>
  <si>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</si>
  <si>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</si>
  <si>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</si>
  <si>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</si>
  <si>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</si>
  <si>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</si>
  <si>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</si>
  <si>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</si>
  <si>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</si>
  <si>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</si>
  <si>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</si>
  <si>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</si>
  <si>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</si>
  <si>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</si>
  <si>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</si>
  <si>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</si>
  <si>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</si>
  <si>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</si>
  <si>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</si>
  <si>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</si>
  <si>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</si>
  <si>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</si>
  <si>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</si>
  <si>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</si>
  <si>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</si>
  <si>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</si>
  <si>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</si>
  <si>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</si>
  <si>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</si>
  <si>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</si>
  <si>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</si>
  <si>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</si>
  <si>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</si>
  <si>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</si>
  <si>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</si>
  <si>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</si>
  <si>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</si>
  <si>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</si>
  <si>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</si>
  <si>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</si>
  <si>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</si>
  <si>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</si>
  <si>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</si>
  <si>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</si>
  <si>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</si>
  <si>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</si>
  <si>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</si>
  <si>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</si>
  <si>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</si>
  <si>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</si>
  <si>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</si>
  <si>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</si>
  <si>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</si>
  <si>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</si>
  <si>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</si>
  <si>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</si>
  <si>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</si>
  <si>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</si>
  <si>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</si>
  <si>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</si>
  <si>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</si>
  <si>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</si>
  <si>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</si>
  <si>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</si>
  <si>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</si>
  <si>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</si>
  <si>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</si>
  <si>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</si>
  <si>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</si>
  <si>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</si>
  <si>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</si>
  <si>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</si>
  <si>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</si>
  <si>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</si>
  <si>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</si>
  <si>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</si>
  <si>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</si>
  <si>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</si>
  <si>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</si>
  <si>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</si>
  <si>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</si>
  <si>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</si>
  <si>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</si>
  <si>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High Bay LED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</si>
</sst>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43599.321942476854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534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43599.321942476854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High Bay LED</v>
      </c>
      <c r="J2" t="s">
        <v>55</v>
      </c>
    </row>
    <row r="3" ht="12.75">
      <c r="J3" s="35">
        <f>+Title_RESULTS!I4</f>
        <v>43599.321942476854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534</v>
      </c>
      <c r="H5" t="s">
        <v>59</v>
      </c>
    </row>
    <row r="6" spans="3:7" ht="12.75">
      <c r="C6" t="s">
        <v>61</v>
      </c>
      <c r="G6" s="36">
        <f>+'Value of Defferal'!E3</f>
        <v>327.1546845827439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32.33017954911872</v>
      </c>
      <c r="D19" s="5">
        <f>IF((Title_RESULTS!$H$8-Title_RESULTS!$H$7)&lt;=('Sheet3(F_21)'!A19-Title_RESULTS!$H$7),((Title_RESULTS!$C$8*Partcipation!$C$26*8760*Title_RESULTS!$H$21/100000)),0)</f>
        <v>425.91865357643763</v>
      </c>
      <c r="E19" s="5">
        <f>IF($G19=0,0,((Title_RESULTS!$H$14*((1+Title_RESULTS!$H$15/100)^($A19-Title_RESULTS!$H$7))*'EUE_Line Losses'!$B$25*Partcipation!$C$26))/1000)</f>
        <v>3.355465682483401</v>
      </c>
      <c r="F19" s="5">
        <f>IF($G19=0,0,(Title_RESULTS!$H$19/100*((1+Title_RESULTS!$H$20/100)^($A19-Title_RESULTS!$H$7))*$D19*1000)/1000)</f>
        <v>0.9603860111302553</v>
      </c>
      <c r="G19" s="5">
        <f>(+Title_RESULTS!$H$22/100*((1+Title_RESULTS!$H$23/100)^(+'Sheet4(F_22)'!A19-Title_RESULTS!$H$7)))*'Sheet3(F_21)'!D19</f>
        <v>18.24758586436134</v>
      </c>
      <c r="H19" s="5">
        <f>IF($G19=0,0,(($D19))*(Partcipation!$G19/100))</f>
        <v>13.512812662888097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41.380804444205616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33.106103858297566</v>
      </c>
      <c r="D20" s="5">
        <f>IF((Title_RESULTS!$H$8-Title_RESULTS!$H$7)&lt;=('Sheet3(F_21)'!A20-Title_RESULTS!$H$7),((Title_RESULTS!$C$8*Partcipation!$C$26*8760*Title_RESULTS!$H$21/100000)),0)</f>
        <v>425.91865357643763</v>
      </c>
      <c r="E20" s="5">
        <f>IF($G20=0,0,((Title_RESULTS!$H$14*((1+Title_RESULTS!$H$15/100)^($A20-Title_RESULTS!$H$7))*'EUE_Line Losses'!$B$25*Partcipation!$C$26))/1000)</f>
        <v>3.4359968588630023</v>
      </c>
      <c r="F20" s="5">
        <f>IF($G20=0,0,(Title_RESULTS!$H$19/100*((1+Title_RESULTS!$H$20/100)^($A20-Title_RESULTS!$H$7))*$D20*1000)/1000)</f>
        <v>0.9834352753973814</v>
      </c>
      <c r="G20" s="5">
        <f>(+Title_RESULTS!$H$22/100*((1+Title_RESULTS!$H$23/100)^(+'Sheet4(F_22)'!A20-Title_RESULTS!$H$7)))*'Sheet3(F_21)'!D20</f>
        <v>19.07602626260335</v>
      </c>
      <c r="H20" s="5">
        <f>IF($G20=0,0,(($D20))*(Partcipation!$G20/100))</f>
        <v>14.117300266518086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42.48426198864321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33.900650350896704</v>
      </c>
      <c r="D21" s="5">
        <f>IF((Title_RESULTS!$H$8-Title_RESULTS!$H$7)&lt;=('Sheet3(F_21)'!A21-Title_RESULTS!$H$7),((Title_RESULTS!$C$8*Partcipation!$C$26*8760*Title_RESULTS!$H$21/100000)),0)</f>
        <v>425.91865357643763</v>
      </c>
      <c r="E21" s="5">
        <f>IF($G21=0,0,((Title_RESULTS!$H$14*((1+Title_RESULTS!$H$15/100)^($A21-Title_RESULTS!$H$7))*'EUE_Line Losses'!$B$25*Partcipation!$C$26))/1000)</f>
        <v>3.5184607834757142</v>
      </c>
      <c r="F21" s="5">
        <f>IF($G21=0,0,(Title_RESULTS!$H$19/100*((1+Title_RESULTS!$H$20/100)^($A21-Title_RESULTS!$H$7))*$D21*1000)/1000)</f>
        <v>1.0070377220069187</v>
      </c>
      <c r="G21" s="5">
        <f>(+Title_RESULTS!$H$22/100*((1+Title_RESULTS!$H$23/100)^(+'Sheet4(F_22)'!A21-Title_RESULTS!$H$7)))*'Sheet3(F_21)'!D21</f>
        <v>19.942077854925543</v>
      </c>
      <c r="H21" s="5">
        <f>IF($G21=0,0,(($D21))*(Partcipation!$G21/100))</f>
        <v>14.67674506469475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43.691481646610136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34.714265959318226</v>
      </c>
      <c r="D22" s="5">
        <f>IF((Title_RESULTS!$H$8-Title_RESULTS!$H$7)&lt;=('Sheet3(F_21)'!A22-Title_RESULTS!$H$7),((Title_RESULTS!$C$8*Partcipation!$C$26*8760*Title_RESULTS!$H$21/100000)),0)</f>
        <v>425.91865357643763</v>
      </c>
      <c r="E22" s="5">
        <f>IF($G22=0,0,((Title_RESULTS!$H$14*((1+Title_RESULTS!$H$15/100)^($A22-Title_RESULTS!$H$7))*'EUE_Line Losses'!$B$25*Partcipation!$C$26))/1000)</f>
        <v>3.6029038422791304</v>
      </c>
      <c r="F22" s="5">
        <f>IF($G22=0,0,(Title_RESULTS!$H$19/100*((1+Title_RESULTS!$H$20/100)^($A22-Title_RESULTS!$H$7))*$D22*1000)/1000)</f>
        <v>1.0312066273350846</v>
      </c>
      <c r="G22" s="5">
        <f>(+Title_RESULTS!$H$22/100*((1+Title_RESULTS!$H$23/100)^(+'Sheet4(F_22)'!A22-Title_RESULTS!$H$7)))*'Sheet3(F_21)'!D22</f>
        <v>20.847448189539165</v>
      </c>
      <c r="H22" s="5">
        <f>IF($G22=0,0,(($D22))*(Partcipation!$G22/100))</f>
        <v>15.152276850757712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45.0435477677139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35.54740834234186</v>
      </c>
      <c r="D23" s="5">
        <f>IF((Title_RESULTS!$H$8-Title_RESULTS!$H$7)&lt;=('Sheet3(F_21)'!A23-Title_RESULTS!$H$7),((Title_RESULTS!$C$8*Partcipation!$C$26*8760*Title_RESULTS!$H$21/100000)),0)</f>
        <v>425.91865357643763</v>
      </c>
      <c r="E23" s="5">
        <f>IF($G23=0,0,((Title_RESULTS!$H$14*((1+Title_RESULTS!$H$15/100)^($A23-Title_RESULTS!$H$7))*'EUE_Line Losses'!$B$25*Partcipation!$C$26))/1000)</f>
        <v>3.6893735344938308</v>
      </c>
      <c r="F23" s="5">
        <f>IF($G23=0,0,(Title_RESULTS!$H$19/100*((1+Title_RESULTS!$H$20/100)^($A23-Title_RESULTS!$H$7))*$D23*1000)/1000)</f>
        <v>1.0559555863911267</v>
      </c>
      <c r="G23" s="5">
        <f>(+Title_RESULTS!$H$22/100*((1+Title_RESULTS!$H$23/100)^(+'Sheet4(F_22)'!A23-Title_RESULTS!$H$7)))*'Sheet3(F_21)'!D23</f>
        <v>21.793922337344245</v>
      </c>
      <c r="H23" s="5">
        <f>IF($G23=0,0,(($D23))*(Partcipation!$G23/100))</f>
        <v>15.830487745756875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46.25617205481419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36.40054614255807</v>
      </c>
      <c r="D24" s="5">
        <f>IF((Title_RESULTS!$H$8-Title_RESULTS!$H$7)&lt;=('Sheet3(F_21)'!A24-Title_RESULTS!$H$7),((Title_RESULTS!$C$8*Partcipation!$C$26*8760*Title_RESULTS!$H$21/100000)),0)</f>
        <v>425.91865357643763</v>
      </c>
      <c r="E24" s="5">
        <f>IF($G24=0,0,((Title_RESULTS!$H$14*((1+Title_RESULTS!$H$15/100)^($A24-Title_RESULTS!$H$7))*'EUE_Line Losses'!$B$25*Partcipation!$C$26))/1000)</f>
        <v>3.7779184993216823</v>
      </c>
      <c r="F24" s="5">
        <f>IF($G24=0,0,(Title_RESULTS!$H$19/100*((1+Title_RESULTS!$H$20/100)^($A24-Title_RESULTS!$H$7))*$D24*1000)/1000)</f>
        <v>1.0812985204645136</v>
      </c>
      <c r="G24" s="5">
        <f>(+Title_RESULTS!$H$22/100*((1+Title_RESULTS!$H$23/100)^(+'Sheet4(F_22)'!A24-Title_RESULTS!$H$7)))*'Sheet3(F_21)'!D24</f>
        <v>22.783366411459678</v>
      </c>
      <c r="H24" s="5">
        <f>IF($G24=0,0,(($D24))*(Partcipation!$G24/100))</f>
        <v>17.0377902386775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47.00533933512645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37.27415924997946</v>
      </c>
      <c r="D25" s="5">
        <f>IF((Title_RESULTS!$H$8-Title_RESULTS!$H$7)&lt;=('Sheet3(F_21)'!A25-Title_RESULTS!$H$7),((Title_RESULTS!$C$8*Partcipation!$C$26*8760*Title_RESULTS!$H$21/100000)),0)</f>
        <v>425.91865357643763</v>
      </c>
      <c r="E25" s="5">
        <f>IF($G25=0,0,((Title_RESULTS!$H$14*((1+Title_RESULTS!$H$15/100)^($A25-Title_RESULTS!$H$7))*'EUE_Line Losses'!$B$25*Partcipation!$C$26))/1000)</f>
        <v>3.868588543305403</v>
      </c>
      <c r="F25" s="5">
        <f>IF($G25=0,0,(Title_RESULTS!$H$19/100*((1+Title_RESULTS!$H$20/100)^($A25-Title_RESULTS!$H$7))*$D25*1000)/1000)</f>
        <v>1.107249684955662</v>
      </c>
      <c r="G25" s="5">
        <f>(+Title_RESULTS!$H$22/100*((1+Title_RESULTS!$H$23/100)^(+'Sheet4(F_22)'!A25-Title_RESULTS!$H$7)))*'Sheet3(F_21)'!D25</f>
        <v>23.81773124653995</v>
      </c>
      <c r="H25" s="5">
        <f>IF($G25=0,0,(($D25))*(Partcipation!$G25/100))</f>
        <v>17.785504798315344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48.282223926465136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38.16873907197897</v>
      </c>
      <c r="D26" s="5">
        <f>IF((Title_RESULTS!$H$8-Title_RESULTS!$H$7)&lt;=('Sheet3(F_21)'!A26-Title_RESULTS!$H$7),((Title_RESULTS!$C$8*Partcipation!$C$26*8760*Title_RESULTS!$H$21/100000)),0)</f>
        <v>425.91865357643763</v>
      </c>
      <c r="E26" s="5">
        <f>IF($G26=0,0,((Title_RESULTS!$H$14*((1+Title_RESULTS!$H$15/100)^($A26-Title_RESULTS!$H$7))*'EUE_Line Losses'!$B$25*Partcipation!$C$26))/1000)</f>
        <v>3.9614346683447317</v>
      </c>
      <c r="F26" s="5">
        <f>IF($G26=0,0,(Title_RESULTS!$H$19/100*((1+Title_RESULTS!$H$20/100)^($A26-Title_RESULTS!$H$7))*$D26*1000)/1000)</f>
        <v>1.1338236773945978</v>
      </c>
      <c r="G26" s="5">
        <f>(+Title_RESULTS!$H$22/100*((1+Title_RESULTS!$H$23/100)^(+'Sheet4(F_22)'!A26-Title_RESULTS!$H$7)))*'Sheet3(F_21)'!D26</f>
        <v>24.899056245132865</v>
      </c>
      <c r="H26" s="5">
        <f>IF($G26=0,0,(($D26))*(Partcipation!$G26/100))</f>
        <v>19.107908777014845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49.05514488583633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39.08478880970647</v>
      </c>
      <c r="D27" s="5">
        <f>IF((Title_RESULTS!$H$8-Title_RESULTS!$H$7)&lt;=('Sheet3(F_21)'!A27-Title_RESULTS!$H$7),((Title_RESULTS!$C$8*Partcipation!$C$26*8760*Title_RESULTS!$H$21/100000)),0)</f>
        <v>425.91865357643763</v>
      </c>
      <c r="E27" s="5">
        <f>IF($G27=0,0,((Title_RESULTS!$H$14*((1+Title_RESULTS!$H$15/100)^($A27-Title_RESULTS!$H$7))*'EUE_Line Losses'!$B$25*Partcipation!$C$26))/1000)</f>
        <v>4.056509100385006</v>
      </c>
      <c r="F27" s="5">
        <f>IF($G27=0,0,(Title_RESULTS!$H$19/100*((1+Title_RESULTS!$H$20/100)^($A27-Title_RESULTS!$H$7))*$D27*1000)/1000)</f>
        <v>1.1610354456520684</v>
      </c>
      <c r="G27" s="5">
        <f>(+Title_RESULTS!$H$22/100*((1+Title_RESULTS!$H$23/100)^(+'Sheet4(F_22)'!A27-Title_RESULTS!$H$7)))*'Sheet3(F_21)'!D27</f>
        <v>26.0294733986619</v>
      </c>
      <c r="H27" s="5">
        <f>IF($G27=0,0,(($D27))*(Partcipation!$G27/100))</f>
        <v>19.58306622768464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50.748740526720795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40.022823741139426</v>
      </c>
      <c r="D28" s="5">
        <f>IF((Title_RESULTS!$H$8-Title_RESULTS!$H$7)&lt;=('Sheet3(F_21)'!A28-Title_RESULTS!$H$7),((Title_RESULTS!$C$8*Partcipation!$C$26*8760*Title_RESULTS!$H$21/100000)),0)</f>
        <v>425.91865357643763</v>
      </c>
      <c r="E28" s="5">
        <f>IF($G28=0,0,((Title_RESULTS!$H$14*((1+Title_RESULTS!$H$15/100)^($A28-Title_RESULTS!$H$7))*'EUE_Line Losses'!$B$25*Partcipation!$C$26))/1000)</f>
        <v>4.153865318794247</v>
      </c>
      <c r="F28" s="5">
        <f>IF($G28=0,0,(Title_RESULTS!$H$19/100*((1+Title_RESULTS!$H$20/100)^($A28-Title_RESULTS!$H$7))*$D28*1000)/1000)</f>
        <v>1.1889002963477178</v>
      </c>
      <c r="G28" s="5">
        <f>(+Title_RESULTS!$H$22/100*((1+Title_RESULTS!$H$23/100)^(+'Sheet4(F_22)'!A28-Title_RESULTS!$H$7)))*'Sheet3(F_21)'!D28</f>
        <v>27.21121149096115</v>
      </c>
      <c r="H28" s="5">
        <f>IF($G28=0,0,(($D28))*(Partcipation!$G28/100))</f>
        <v>20.75824429864406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51.81855654859848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40.98337151092677</v>
      </c>
      <c r="D29" s="5">
        <f>IF((Title_RESULTS!$H$8-Title_RESULTS!$H$7)&lt;=('Sheet3(F_21)'!A29-Title_RESULTS!$H$7),((Title_RESULTS!$C$8*Partcipation!$C$26*8760*Title_RESULTS!$H$21/100000)),0)</f>
        <v>425.91865357643763</v>
      </c>
      <c r="E29" s="5">
        <f>IF($G29=0,0,((Title_RESULTS!$H$14*((1+Title_RESULTS!$H$15/100)^($A29-Title_RESULTS!$H$7))*'EUE_Line Losses'!$B$25*Partcipation!$C$26))/1000)</f>
        <v>4.253558086445309</v>
      </c>
      <c r="F29" s="5">
        <f>IF($G29=0,0,(Title_RESULTS!$H$19/100*((1+Title_RESULTS!$H$20/100)^($A29-Title_RESULTS!$H$7))*$D29*1000)/1000)</f>
        <v>1.217433903460063</v>
      </c>
      <c r="G29" s="5">
        <f>(+Title_RESULTS!$H$22/100*((1+Title_RESULTS!$H$23/100)^(+'Sheet4(F_22)'!A29-Title_RESULTS!$H$7)))*'Sheet3(F_21)'!D29</f>
        <v>28.446600492650788</v>
      </c>
      <c r="H29" s="5">
        <f>IF($G29=0,0,(($D29))*(Partcipation!$G29/100))</f>
        <v>21.23168710101534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53.66927689246759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41.96697242718901</v>
      </c>
      <c r="D30" s="5">
        <f>IF((Title_RESULTS!$H$8-Title_RESULTS!$H$7)&lt;=('Sheet3(F_21)'!A30-Title_RESULTS!$H$7),((Title_RESULTS!$C$8*Partcipation!$C$26*8760*Title_RESULTS!$H$21/100000)),0)</f>
        <v>425.91865357643763</v>
      </c>
      <c r="E30" s="5">
        <f>IF($G30=0,0,((Title_RESULTS!$H$14*((1+Title_RESULTS!$H$15/100)^($A30-Title_RESULTS!$H$7))*'EUE_Line Losses'!$B$25*Partcipation!$C$26))/1000)</f>
        <v>4.355643480519995</v>
      </c>
      <c r="F30" s="5">
        <f>IF($G30=0,0,(Title_RESULTS!$H$19/100*((1+Title_RESULTS!$H$20/100)^($A30-Title_RESULTS!$H$7))*$D30*1000)/1000)</f>
        <v>1.2466523171431045</v>
      </c>
      <c r="G30" s="5">
        <f>(+Title_RESULTS!$H$22/100*((1+Title_RESULTS!$H$23/100)^(+'Sheet4(F_22)'!A30-Title_RESULTS!$H$7)))*'Sheet3(F_21)'!D30</f>
        <v>29.738076155017136</v>
      </c>
      <c r="H30" s="5">
        <f>IF($G30=0,0,(($D30))*(Partcipation!$G30/100))</f>
        <v>22.601706256742432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54.70563812312682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443.50000901345123</v>
      </c>
      <c r="D32" s="9">
        <f t="shared" si="1"/>
        <v>5111.0238429172505</v>
      </c>
      <c r="E32" s="9">
        <f t="shared" si="1"/>
        <v>46.02971839871145</v>
      </c>
      <c r="F32" s="9">
        <f t="shared" si="1"/>
        <v>13.174415067678494</v>
      </c>
      <c r="G32" s="9">
        <f t="shared" si="1"/>
        <v>282.8325759491971</v>
      </c>
      <c r="H32" s="9">
        <f t="shared" si="1"/>
        <v>211.39553028870967</v>
      </c>
      <c r="I32" s="9">
        <f t="shared" si="1"/>
        <v>0</v>
      </c>
      <c r="J32" s="9">
        <f t="shared" si="1"/>
        <v>574.1411881403286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250.07691353371857</v>
      </c>
      <c r="D34" s="5"/>
      <c r="E34" s="5">
        <f>NPV(Title_RESULTS!$C$37,E17:E31)+'Sheet3(F_21)'!E16</f>
        <v>25.95483579263434</v>
      </c>
      <c r="F34" s="5">
        <f>NPV(Title_RESULTS!$C$37,F17:F31)+'Sheet3(F_21)'!F16</f>
        <v>7.428674161847038</v>
      </c>
      <c r="G34" s="5">
        <f>NPV(Title_RESULTS!$C$37,G17:G31)+'Sheet3(F_21)'!G16</f>
        <v>156.82293207133688</v>
      </c>
      <c r="H34" s="5">
        <f>NPV(Title_RESULTS!$C$37,H17:H31)+'Sheet3(F_21)'!H16</f>
        <v>116.89635078150012</v>
      </c>
      <c r="I34" s="5">
        <f>NPV(Title_RESULTS!$C$37,I17:I31)+'Sheet3(F_21)'!I16</f>
        <v>0</v>
      </c>
      <c r="J34" s="5">
        <f>NPV(Title_RESULTS!$C$37,J17:J31)+'Sheet3(F_21)'!J16</f>
        <v>323.38700477803667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High Bay LED</v>
      </c>
      <c r="F2" t="s">
        <v>55</v>
      </c>
    </row>
    <row r="3" spans="6:7" ht="12.75">
      <c r="F3" s="35">
        <f>+Title_RESULTS!I4</f>
        <v>43599.321942476854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457.3154008438819</v>
      </c>
      <c r="C16" s="5">
        <f>$B16*'Sheet2(F_12)'!$E16/100</f>
        <v>13.265391842291253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13.265391842291253</v>
      </c>
      <c r="G16" s="5">
        <f>+$F16*'Sheet2(F_12)'!$I16</f>
        <v>13.265391842291253</v>
      </c>
    </row>
    <row r="17" spans="1:7" ht="12.75">
      <c r="A17">
        <f>+A16+1</f>
        <v>2021</v>
      </c>
      <c r="B17" s="5">
        <f>(+Partcipation!$C16+(Partcipation!$C17-Partcipation!$C16)/2)*Title_RESULTS!$C$10/1000</f>
        <v>1371.9462025316457</v>
      </c>
      <c r="C17" s="5">
        <f>$B17*'Sheet2(F_12)'!$E17/100</f>
        <v>39.47247927745025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39.47247927745025</v>
      </c>
      <c r="G17" s="5">
        <f>+$F17*'Sheet2(F_12)'!$I17</f>
        <v>39.47247927745025</v>
      </c>
    </row>
    <row r="18" spans="1:7" ht="12.75">
      <c r="A18">
        <f>+A17+1</f>
        <v>2022</v>
      </c>
      <c r="B18" s="5">
        <f>(+Partcipation!$C17+(Partcipation!$C18-Partcipation!$C17)/2)*Title_RESULTS!$C$10/1000</f>
        <v>2286.5770042194094</v>
      </c>
      <c r="C18" s="5">
        <f>$B18*'Sheet2(F_12)'!$E18/100</f>
        <v>67.89706767110444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67.89706767110444</v>
      </c>
      <c r="G18" s="5">
        <f>+$F18*'Sheet2(F_12)'!$I18</f>
        <v>67.89706767110444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2743.8924050632913</v>
      </c>
      <c r="C19" s="5">
        <f>$B19*'Sheet2(F_12)'!$E19/100</f>
        <v>84.81895561793155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84.81895561793155</v>
      </c>
      <c r="G19" s="5">
        <f>+$F19*'Sheet2(F_12)'!$I19</f>
        <v>84.81895561793155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2743.8924050632913</v>
      </c>
      <c r="C20" s="5">
        <f>$B20*'Sheet2(F_12)'!$E20/100</f>
        <v>88.15202087200167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88.15202087200167</v>
      </c>
      <c r="G20" s="5">
        <f>+$F20*'Sheet2(F_12)'!$I20</f>
        <v>88.15202087200167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2743.8924050632913</v>
      </c>
      <c r="C21" s="5">
        <f>$B21*'Sheet2(F_12)'!$E21/100</f>
        <v>94.64873089826214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94.64873089826214</v>
      </c>
      <c r="G21" s="5">
        <f>+$F21*'Sheet2(F_12)'!$I21</f>
        <v>94.64873089826214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2743.8924050632913</v>
      </c>
      <c r="C22" s="5">
        <f>$B22*'Sheet2(F_12)'!$E22/100</f>
        <v>97.68455340852167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97.68455340852167</v>
      </c>
      <c r="G22" s="5">
        <f>+$F22*'Sheet2(F_12)'!$I22</f>
        <v>97.68455340852167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2743.8924050632913</v>
      </c>
      <c r="C23" s="5">
        <f>$B23*'Sheet2(F_12)'!$E23/100</f>
        <v>103.7894007800609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103.7894007800609</v>
      </c>
      <c r="G23" s="5">
        <f>+$F23*'Sheet2(F_12)'!$I23</f>
        <v>103.7894007800609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2743.8924050632913</v>
      </c>
      <c r="C24" s="5">
        <f>$B24*'Sheet2(F_12)'!$E24/100</f>
        <v>115.01065832680055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115.01065832680055</v>
      </c>
      <c r="G24" s="5">
        <f>+$F24*'Sheet2(F_12)'!$I24</f>
        <v>115.01065832680055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2743.8924050632913</v>
      </c>
      <c r="C25" s="5">
        <f>$B25*'Sheet2(F_12)'!$E25/100</f>
        <v>123.21830985203167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123.21830985203167</v>
      </c>
      <c r="G25" s="5">
        <f>+$F25*'Sheet2(F_12)'!$I25</f>
        <v>123.21830985203167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2743.8924050632913</v>
      </c>
      <c r="C26" s="5">
        <f>$B26*'Sheet2(F_12)'!$E26/100</f>
        <v>137.62802578487762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137.62802578487762</v>
      </c>
      <c r="G26" s="5">
        <f>+$F26*'Sheet2(F_12)'!$I26</f>
        <v>137.62802578487762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2743.8924050632913</v>
      </c>
      <c r="C27" s="5">
        <f>$B27*'Sheet2(F_12)'!$E27/100</f>
        <v>137.11620841160436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137.11620841160436</v>
      </c>
      <c r="G27" s="5">
        <f>+$F27*'Sheet2(F_12)'!$I27</f>
        <v>137.11620841160436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2743.8924050632913</v>
      </c>
      <c r="C28" s="5">
        <f>$B28*'Sheet2(F_12)'!$E28/100</f>
        <v>149.8553429807167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149.8553429807167</v>
      </c>
      <c r="G28" s="5">
        <f>+$F28*'Sheet2(F_12)'!$I28</f>
        <v>149.8553429807167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2743.8924050632913</v>
      </c>
      <c r="C29" s="5">
        <f>$B29*'Sheet2(F_12)'!$E29/100</f>
        <v>159.80709185644375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159.80709185644375</v>
      </c>
      <c r="G29" s="5">
        <f>+$F29*'Sheet2(F_12)'!$I29</f>
        <v>159.80709185644375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2743.8924050632913</v>
      </c>
      <c r="C30" s="5">
        <f>$B30*'Sheet2(F_12)'!$E30/100</f>
        <v>167.24807283177273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167.24807283177273</v>
      </c>
      <c r="G30" s="5">
        <f>+$F30*'Sheet2(F_12)'!$I30</f>
        <v>167.24807283177273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37042.54746835444</v>
      </c>
      <c r="C32" s="5">
        <f t="shared" si="2"/>
        <v>1579.6123104118712</v>
      </c>
      <c r="D32" s="5">
        <f t="shared" si="2"/>
        <v>0</v>
      </c>
      <c r="E32" s="5">
        <f t="shared" si="2"/>
        <v>0</v>
      </c>
      <c r="F32" s="5">
        <f t="shared" si="2"/>
        <v>1579.6123104118712</v>
      </c>
      <c r="G32" s="5">
        <f t="shared" si="2"/>
        <v>1579.6123104118712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904.7713538657331</v>
      </c>
      <c r="D34" s="5"/>
      <c r="E34" s="5">
        <f>NPV(+Title_RESULTS!$C$37,E17:E31)+E16</f>
        <v>0</v>
      </c>
      <c r="F34" s="5">
        <f>NPV(+Title_RESULTS!$C$37,F17:F31)+F16</f>
        <v>904.7713538657331</v>
      </c>
      <c r="G34" s="5">
        <f>NPV(+Title_RESULTS!$C$37,G17:G31)+G16</f>
        <v>904.7713538657331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High Bay LED</v>
      </c>
      <c r="J2" t="s">
        <v>42</v>
      </c>
    </row>
    <row r="3" spans="9:10" ht="12.75">
      <c r="I3" s="4"/>
      <c r="J3" s="35">
        <f>+Title_RESULTS!I4</f>
        <v>43599.321942476854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High Bay LED</v>
      </c>
      <c r="H2" t="s">
        <v>108</v>
      </c>
    </row>
    <row r="3" ht="12.75">
      <c r="H3" s="35">
        <f>+Title_RESULTS!I4</f>
        <v>43599.321942476854</v>
      </c>
    </row>
    <row r="5" spans="3:6" ht="12.75">
      <c r="C5" t="s">
        <v>60</v>
      </c>
      <c r="F5" s="38">
        <f>+'Value of Defferal'!L4</f>
        <v>19.0838784</v>
      </c>
    </row>
    <row r="6" spans="3:6" ht="12.75">
      <c r="C6" t="s">
        <v>62</v>
      </c>
      <c r="F6" s="38">
        <f>+'Value of Defferal'!L5</f>
        <v>40.486502400000006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13.265391842291253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1.885912824242321</v>
      </c>
      <c r="C17" s="5">
        <f>IF(+Title_RESULTS!$H$9&lt;='Sheet4(F_22)'!$A17,(+Title_RESULTS!$H$16*((1+Title_RESULTS!$H$18/100)^('Sheet4(F_22)'!$A17-Title_RESULTS!$H$7))*Title_RESULTS!$C$8*Partcipation!$C$26/1000),0)</f>
        <v>1.5209884458692315</v>
      </c>
      <c r="D17" s="5">
        <f>(+B17+C17)*+Partcipation!$H17</f>
        <v>3.4069012701115526</v>
      </c>
      <c r="E17" s="5">
        <f>VLOOKUP(A17,'Value of Defferal'!$I24:$P$58,'Value of Defferal'!$K$13)</f>
        <v>4.000969430033548</v>
      </c>
      <c r="F17" s="5">
        <f>IF(+'Value of Defferal'!P24=0,0,Title_RESULTS!$H$17*Title_RESULTS!$C$7*Partcipation!$C$26*(1+Title_RESULTS!$H$18/100)^('Sheet4(F_22)'!A17-Title_RESULTS!$H$7))/1000</f>
        <v>5.5738368000000005</v>
      </c>
      <c r="G17" s="5">
        <f>(+E17+F17)*Partcipation!$H17</f>
        <v>9.574806230033548</v>
      </c>
      <c r="H17" s="5">
        <f>+'Sheet5(p_5)'!$F17*'Sheet2(F_12)'!$I17</f>
        <v>39.47247927745025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1.9311747320241368</v>
      </c>
      <c r="C18" s="5">
        <f>IF(+Title_RESULTS!$H$9&lt;='Sheet4(F_22)'!$A18,(+Title_RESULTS!$H$16*((1+Title_RESULTS!$H$18/100)^('Sheet4(F_22)'!$A18-Title_RESULTS!$H$7))*Title_RESULTS!$C$8*Partcipation!$C$26/1000),0)</f>
        <v>1.557492168570093</v>
      </c>
      <c r="D18" s="5">
        <f>(+B18+C18)*+Partcipation!$H18</f>
        <v>3.4886669005942297</v>
      </c>
      <c r="E18" s="5">
        <f>VLOOKUP(A18,'Value of Defferal'!$I25:$P$58,'Value of Defferal'!$K$13)</f>
        <v>4.096992696354352</v>
      </c>
      <c r="F18" s="5">
        <f>IF(+'Value of Defferal'!P25=0,0,Title_RESULTS!$H$17*Title_RESULTS!$C$7*Partcipation!$C$26*(1+Title_RESULTS!$H$18/100)^('Sheet4(F_22)'!A18-Title_RESULTS!$H$7))/1000</f>
        <v>5.7076088832</v>
      </c>
      <c r="G18" s="5">
        <f>(+E18+F18)*Partcipation!$H18</f>
        <v>9.804601579554351</v>
      </c>
      <c r="H18" s="5">
        <f>+'Sheet5(p_5)'!$F18*'Sheet2(F_12)'!$I18</f>
        <v>67.89706767110444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1.9775229255927163</v>
      </c>
      <c r="C19" s="5">
        <f>IF(+Title_RESULTS!$H$9&lt;='Sheet4(F_22)'!$A19,(+Title_RESULTS!$H$16*((1+Title_RESULTS!$H$18/100)^('Sheet4(F_22)'!$A19-Title_RESULTS!$H$7))*Title_RESULTS!$C$8*Partcipation!$C$26/1000),0)</f>
        <v>1.5948719806157754</v>
      </c>
      <c r="D19" s="5">
        <f>(+B19+C19)*+Partcipation!$H19</f>
        <v>3.5723949062084914</v>
      </c>
      <c r="E19" s="5">
        <f>VLOOKUP(A19,'Value of Defferal'!$I26:$P$58,'Value of Defferal'!$K$13)</f>
        <v>4.195320521066857</v>
      </c>
      <c r="F19" s="5">
        <f>IF(+'Value of Defferal'!P26=0,0,Title_RESULTS!$H$17*Title_RESULTS!$C$7*Partcipation!$C$26*(1+Title_RESULTS!$H$18/100)^('Sheet4(F_22)'!A19-Title_RESULTS!$H$7))/1000</f>
        <v>5.8445914963967995</v>
      </c>
      <c r="G19" s="5">
        <f>(+E19+F19)*Partcipation!$H19</f>
        <v>10.039912017463656</v>
      </c>
      <c r="H19" s="5">
        <f>+'Sheet5(p_5)'!$F19*'Sheet2(F_12)'!$I19</f>
        <v>84.81895561793155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2.024983475806941</v>
      </c>
      <c r="C20" s="5">
        <f>IF(+Title_RESULTS!$H$9&lt;='Sheet4(F_22)'!$A20,(+Title_RESULTS!$H$16*((1+Title_RESULTS!$H$18/100)^('Sheet4(F_22)'!$A20-Title_RESULTS!$H$7))*Title_RESULTS!$C$8*Partcipation!$C$26/1000),0)</f>
        <v>1.6331489081505537</v>
      </c>
      <c r="D20" s="5">
        <f>(+B20+C20)*+Partcipation!$H20</f>
        <v>3.658132383957495</v>
      </c>
      <c r="E20" s="5">
        <f>VLOOKUP(A20,'Value of Defferal'!$I27:$P$58,'Value of Defferal'!$K$13)</f>
        <v>4.2960082135724615</v>
      </c>
      <c r="F20" s="5">
        <f>IF(+'Value of Defferal'!P27=0,0,Title_RESULTS!$H$17*Title_RESULTS!$C$7*Partcipation!$C$26*(1+Title_RESULTS!$H$18/100)^('Sheet4(F_22)'!A20-Title_RESULTS!$H$7))/1000</f>
        <v>5.984861692310322</v>
      </c>
      <c r="G20" s="5">
        <f>(+E20+F20)*Partcipation!$H20</f>
        <v>10.280869905882785</v>
      </c>
      <c r="H20" s="5">
        <f>+'Sheet5(p_5)'!$F20*'Sheet2(F_12)'!$I20</f>
        <v>88.15202087200167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2.073583079226308</v>
      </c>
      <c r="C21" s="5">
        <f>IF(+Title_RESULTS!$H$9&lt;='Sheet4(F_22)'!$A21,(+Title_RESULTS!$H$16*((1+Title_RESULTS!$H$18/100)^('Sheet4(F_22)'!$A21-Title_RESULTS!$H$7))*Title_RESULTS!$C$8*Partcipation!$C$26/1000),0)</f>
        <v>1.6723444819461675</v>
      </c>
      <c r="D21" s="5">
        <f>(+B21+C21)*+Partcipation!$H21</f>
        <v>3.7459275611724756</v>
      </c>
      <c r="E21" s="5">
        <f>VLOOKUP(A21,'Value of Defferal'!$I28:$P$58,'Value of Defferal'!$K$13)</f>
        <v>4.3991124106982005</v>
      </c>
      <c r="F21" s="5">
        <f>IF(+'Value of Defferal'!P28=0,0,Title_RESULTS!$H$17*Title_RESULTS!$C$7*Partcipation!$C$26*(1+Title_RESULTS!$H$18/100)^('Sheet4(F_22)'!A21-Title_RESULTS!$H$7))/1000</f>
        <v>6.128498372925771</v>
      </c>
      <c r="G21" s="5">
        <f>(+E21+F21)*Partcipation!$H21</f>
        <v>10.52761078362397</v>
      </c>
      <c r="H21" s="5">
        <f>+'Sheet5(p_5)'!$F21*'Sheet2(F_12)'!$I21</f>
        <v>94.64873089826214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2.1233490731277396</v>
      </c>
      <c r="C22" s="5">
        <f>IF(+Title_RESULTS!$H$9&lt;='Sheet4(F_22)'!$A22,(+Title_RESULTS!$H$16*((1+Title_RESULTS!$H$18/100)^('Sheet4(F_22)'!$A22-Title_RESULTS!$H$7))*Title_RESULTS!$C$8*Partcipation!$C$26/1000),0)</f>
        <v>1.7124807495128749</v>
      </c>
      <c r="D22" s="5">
        <f>(+B22+C22)*+Partcipation!$H22</f>
        <v>3.8358298226406147</v>
      </c>
      <c r="E22" s="5">
        <f>VLOOKUP(A22,'Value of Defferal'!$I29:$P$58,'Value of Defferal'!$K$13)</f>
        <v>4.504691108554958</v>
      </c>
      <c r="F22" s="5">
        <f>IF(+'Value of Defferal'!P29=0,0,Title_RESULTS!$H$17*Title_RESULTS!$C$7*Partcipation!$C$26*(1+Title_RESULTS!$H$18/100)^('Sheet4(F_22)'!A22-Title_RESULTS!$H$7))/1000</f>
        <v>6.275582333875988</v>
      </c>
      <c r="G22" s="5">
        <f>(+E22+F22)*Partcipation!$H22</f>
        <v>10.780273442430946</v>
      </c>
      <c r="H22" s="5">
        <f>+'Sheet5(p_5)'!$F22*'Sheet2(F_12)'!$I22</f>
        <v>97.68455340852167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2.174309450882805</v>
      </c>
      <c r="C23" s="5">
        <f>IF(+Title_RESULTS!$H$9&lt;='Sheet4(F_22)'!$A23,(+Title_RESULTS!$H$16*((1+Title_RESULTS!$H$18/100)^('Sheet4(F_22)'!$A23-Title_RESULTS!$H$7))*Title_RESULTS!$C$8*Partcipation!$C$26/1000),0)</f>
        <v>1.7535802875011843</v>
      </c>
      <c r="D23" s="5">
        <f>(+B23+C23)*+Partcipation!$H23</f>
        <v>3.927889738383989</v>
      </c>
      <c r="E23" s="5">
        <f>VLOOKUP(A23,'Value of Defferal'!$I30:$P$58,'Value of Defferal'!$K$13)</f>
        <v>4.612803695160276</v>
      </c>
      <c r="F23" s="5">
        <f>IF(+'Value of Defferal'!P30=0,0,Title_RESULTS!$H$17*Title_RESULTS!$C$7*Partcipation!$C$26*(1+Title_RESULTS!$H$18/100)^('Sheet4(F_22)'!A23-Title_RESULTS!$H$7))/1000</f>
        <v>6.426196309889014</v>
      </c>
      <c r="G23" s="5">
        <f>(+E23+F23)*Partcipation!$H23</f>
        <v>11.03900000504929</v>
      </c>
      <c r="H23" s="5">
        <f>+'Sheet5(p_5)'!$F23*'Sheet2(F_12)'!$I23</f>
        <v>103.7894007800609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2.2264928777039925</v>
      </c>
      <c r="C24" s="5">
        <f>IF(+Title_RESULTS!$H$9&lt;='Sheet4(F_22)'!$A24,(+Title_RESULTS!$H$16*((1+Title_RESULTS!$H$18/100)^('Sheet4(F_22)'!$A24-Title_RESULTS!$H$7))*Title_RESULTS!$C$8*Partcipation!$C$26/1000),0)</f>
        <v>1.7956662144012125</v>
      </c>
      <c r="D24" s="5">
        <f>(+B24+C24)*+Partcipation!$H24</f>
        <v>4.0221590921052055</v>
      </c>
      <c r="E24" s="5">
        <f>VLOOKUP(A24,'Value of Defferal'!$I31:$P$58,'Value of Defferal'!$K$13)</f>
        <v>4.723510983844123</v>
      </c>
      <c r="F24" s="5">
        <f>IF(+'Value of Defferal'!P31=0,0,Title_RESULTS!$H$17*Title_RESULTS!$C$7*Partcipation!$C$26*(1+Title_RESULTS!$H$18/100)^('Sheet4(F_22)'!A24-Title_RESULTS!$H$7))/1000</f>
        <v>6.580425021326349</v>
      </c>
      <c r="G24" s="5">
        <f>(+E24+F24)*Partcipation!$H24</f>
        <v>11.30393600517047</v>
      </c>
      <c r="H24" s="5">
        <f>+'Sheet5(p_5)'!$F24*'Sheet2(F_12)'!$I24</f>
        <v>115.01065832680055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2.2799287067688883</v>
      </c>
      <c r="C25" s="5">
        <f>IF(+Title_RESULTS!$H$9&lt;='Sheet4(F_22)'!$A25,(+Title_RESULTS!$H$16*((1+Title_RESULTS!$H$18/100)^('Sheet4(F_22)'!$A25-Title_RESULTS!$H$7))*Title_RESULTS!$C$8*Partcipation!$C$26/1000),0)</f>
        <v>1.8387622035468414</v>
      </c>
      <c r="D25" s="5">
        <f>(+B25+C25)*+Partcipation!$H25</f>
        <v>4.118690910315729</v>
      </c>
      <c r="E25" s="5">
        <f>VLOOKUP(A25,'Value of Defferal'!$I32:$P$58,'Value of Defferal'!$K$13)</f>
        <v>4.8368752474563825</v>
      </c>
      <c r="F25" s="5">
        <f>IF(+'Value of Defferal'!P32=0,0,Title_RESULTS!$H$17*Title_RESULTS!$C$7*Partcipation!$C$26*(1+Title_RESULTS!$H$18/100)^('Sheet4(F_22)'!A25-Title_RESULTS!$H$7))/1000</f>
        <v>6.738355221838181</v>
      </c>
      <c r="G25" s="5">
        <f>(+E25+F25)*Partcipation!$H25</f>
        <v>11.575230469294564</v>
      </c>
      <c r="H25" s="5">
        <f>+'Sheet5(p_5)'!$F25*'Sheet2(F_12)'!$I25</f>
        <v>123.21830985203167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2.334646995731342</v>
      </c>
      <c r="C26" s="5">
        <f>IF(+Title_RESULTS!$H$9&lt;='Sheet4(F_22)'!$A26,(+Title_RESULTS!$H$16*((1+Title_RESULTS!$H$18/100)^('Sheet4(F_22)'!$A26-Title_RESULTS!$H$7))*Title_RESULTS!$C$8*Partcipation!$C$26/1000),0)</f>
        <v>1.8828924964319658</v>
      </c>
      <c r="D26" s="5">
        <f>(+B26+C26)*+Partcipation!$H26</f>
        <v>4.217539492163308</v>
      </c>
      <c r="E26" s="5">
        <f>VLOOKUP(A26,'Value of Defferal'!$I33:$P$58,'Value of Defferal'!$K$13)</f>
        <v>4.952960253395336</v>
      </c>
      <c r="F26" s="5">
        <f>IF(+'Value of Defferal'!P33=0,0,Title_RESULTS!$H$17*Title_RESULTS!$C$7*Partcipation!$C$26*(1+Title_RESULTS!$H$18/100)^('Sheet4(F_22)'!A26-Title_RESULTS!$H$7))/1000</f>
        <v>6.9000757471622975</v>
      </c>
      <c r="G26" s="5">
        <f>(+E26+F26)*Partcipation!$H26</f>
        <v>11.853036000557633</v>
      </c>
      <c r="H26" s="5">
        <f>+'Sheet5(p_5)'!$F26*'Sheet2(F_12)'!$I26</f>
        <v>137.62802578487762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2.3906785236288943</v>
      </c>
      <c r="C27" s="5">
        <f>IF(+Title_RESULTS!$H$9&lt;='Sheet4(F_22)'!$A27,(+Title_RESULTS!$H$16*((1+Title_RESULTS!$H$18/100)^('Sheet4(F_22)'!$A27-Title_RESULTS!$H$7))*Title_RESULTS!$C$8*Partcipation!$C$26/1000),0)</f>
        <v>1.9280819163463334</v>
      </c>
      <c r="D27" s="5">
        <f>(+B27+C27)*+Partcipation!$H27</f>
        <v>4.318760439975228</v>
      </c>
      <c r="E27" s="5">
        <f>VLOOKUP(A27,'Value of Defferal'!$I34:$P$58,'Value of Defferal'!$K$13)</f>
        <v>5.071831299476824</v>
      </c>
      <c r="F27" s="5">
        <f>IF(+'Value of Defferal'!P34=0,0,Title_RESULTS!$H$17*Title_RESULTS!$C$7*Partcipation!$C$26*(1+Title_RESULTS!$H$18/100)^('Sheet4(F_22)'!A27-Title_RESULTS!$H$7))/1000</f>
        <v>7.065677565094194</v>
      </c>
      <c r="G27" s="5">
        <f>(+E27+F27)*Partcipation!$H27</f>
        <v>12.137508864571018</v>
      </c>
      <c r="H27" s="5">
        <f>+'Sheet5(p_5)'!$F27*'Sheet2(F_12)'!$I27</f>
        <v>137.11620841160436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2.4480548081959874</v>
      </c>
      <c r="C28" s="5">
        <f>IF(+Title_RESULTS!$H$9&lt;='Sheet4(F_22)'!$A28,(+Title_RESULTS!$H$16*((1+Title_RESULTS!$H$18/100)^('Sheet4(F_22)'!$A28-Title_RESULTS!$H$7))*Title_RESULTS!$C$8*Partcipation!$C$26/1000),0)</f>
        <v>1.9743558823386451</v>
      </c>
      <c r="D28" s="5">
        <f>(+B28+C28)*+Partcipation!$H28</f>
        <v>4.422410690534632</v>
      </c>
      <c r="E28" s="5">
        <f>VLOOKUP(A28,'Value of Defferal'!$I35:$P$58,'Value of Defferal'!$K$13)</f>
        <v>5.193555250664268</v>
      </c>
      <c r="F28" s="5">
        <f>IF(+'Value of Defferal'!P35=0,0,Title_RESULTS!$H$17*Title_RESULTS!$C$7*Partcipation!$C$26*(1+Title_RESULTS!$H$18/100)^('Sheet4(F_22)'!A28-Title_RESULTS!$H$7))/1000</f>
        <v>7.235253826656454</v>
      </c>
      <c r="G28" s="5">
        <f>(+E28+F28)*Partcipation!$H28</f>
        <v>12.428809077320722</v>
      </c>
      <c r="H28" s="5">
        <f>+'Sheet5(p_5)'!$F28*'Sheet2(F_12)'!$I28</f>
        <v>149.8553429807167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2.5068081235926916</v>
      </c>
      <c r="C29" s="5">
        <f>IF(+Title_RESULTS!$H$9&lt;='Sheet4(F_22)'!$A29,(+Title_RESULTS!$H$16*((1+Title_RESULTS!$H$18/100)^('Sheet4(F_22)'!$A29-Title_RESULTS!$H$7))*Title_RESULTS!$C$8*Partcipation!$C$26/1000),0)</f>
        <v>2.0217404235147725</v>
      </c>
      <c r="D29" s="5">
        <f>(+B29+C29)*+Partcipation!$H29</f>
        <v>4.528548547107464</v>
      </c>
      <c r="E29" s="5">
        <f>VLOOKUP(A29,'Value of Defferal'!$I36:$P$58,'Value of Defferal'!$K$13)</f>
        <v>5.31820057668021</v>
      </c>
      <c r="F29" s="5">
        <f>IF(+'Value of Defferal'!P36=0,0,Title_RESULTS!$H$17*Title_RESULTS!$C$7*Partcipation!$C$26*(1+Title_RESULTS!$H$18/100)^('Sheet4(F_22)'!A29-Title_RESULTS!$H$7))/1000</f>
        <v>7.408899918496209</v>
      </c>
      <c r="G29" s="5">
        <f>(+E29+F29)*Partcipation!$H29</f>
        <v>12.727100495176419</v>
      </c>
      <c r="H29" s="5">
        <f>+'Sheet5(p_5)'!$F29*'Sheet2(F_12)'!$I29</f>
        <v>159.80709185644375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2.566971518558916</v>
      </c>
      <c r="C30" s="5">
        <f>IF(+Title_RESULTS!$H$9&lt;='Sheet4(F_22)'!$A30,(+Title_RESULTS!$H$16*((1+Title_RESULTS!$H$18/100)^('Sheet4(F_22)'!$A30-Title_RESULTS!$H$7))*Title_RESULTS!$C$8*Partcipation!$C$26/1000),0)</f>
        <v>2.070262193679127</v>
      </c>
      <c r="D30" s="5">
        <f>(+B30+C30)*+Partcipation!$H30</f>
        <v>4.637233712238043</v>
      </c>
      <c r="E30" s="5">
        <f>VLOOKUP(A30,'Value of Defferal'!$I37:$P$58,'Value of Defferal'!$K$13)</f>
        <v>5.445837390520535</v>
      </c>
      <c r="F30" s="5">
        <f>IF(+'Value of Defferal'!P37=0,0,Title_RESULTS!$H$17*Title_RESULTS!$C$7*Partcipation!$C$26*(1+Title_RESULTS!$H$18/100)^('Sheet4(F_22)'!A30-Title_RESULTS!$H$7))/1000</f>
        <v>7.586713516540117</v>
      </c>
      <c r="G30" s="5">
        <f>(+E30+F30)*Partcipation!$H30</f>
        <v>13.032550907060653</v>
      </c>
      <c r="H30" s="5">
        <f>+'Sheet5(p_5)'!$F30*'Sheet2(F_12)'!$I30</f>
        <v>167.24807283177273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30.944417115083677</v>
      </c>
      <c r="C32" s="5">
        <f t="shared" si="1"/>
        <v>24.956668352424778</v>
      </c>
      <c r="D32" s="5">
        <f t="shared" si="1"/>
        <v>55.90108546750846</v>
      </c>
      <c r="E32" s="5">
        <f t="shared" si="1"/>
        <v>65.64866907747833</v>
      </c>
      <c r="F32" s="5">
        <f t="shared" si="1"/>
        <v>91.45657670571168</v>
      </c>
      <c r="G32" s="5">
        <f t="shared" si="1"/>
        <v>157.10524578319</v>
      </c>
      <c r="H32" s="5">
        <f t="shared" si="1"/>
        <v>1579.6123104118712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18.74178369926625</v>
      </c>
      <c r="C34" s="5">
        <f>NPV(Title_RESULTS!$C$37,'Sheet4(F_22)'!C17:C31)+'Sheet4(F_22)'!C16</f>
        <v>15.115246099997632</v>
      </c>
      <c r="D34" s="5">
        <f>NPV(Title_RESULTS!$C$37,'Sheet4(F_22)'!D17:D31)+'Sheet4(F_22)'!D16</f>
        <v>33.857029799263884</v>
      </c>
      <c r="E34" s="5">
        <f>NPV(Title_RESULTS!$C$37,'Sheet4(F_22)'!E17:E31)+'Sheet4(F_22)'!E16</f>
        <v>39.760747517686134</v>
      </c>
      <c r="F34" s="5">
        <f>NPV(Title_RESULTS!$C$37,'Sheet4(F_22)'!F17:F31)+'Sheet4(F_22)'!F16</f>
        <v>55.39155486817337</v>
      </c>
      <c r="G34" s="5">
        <f>NPV(Title_RESULTS!$C$37,'Sheet4(F_22)'!G17:G31)+'Sheet4(F_22)'!G16</f>
        <v>95.1523023858595</v>
      </c>
      <c r="H34" s="5">
        <f>NPV(Title_RESULTS!$C$37,'Sheet4(F_22)'!H17:H31)+'Sheet4(F_22)'!H16</f>
        <v>904.7713538657331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High Bay LED</v>
      </c>
      <c r="P2" t="s">
        <v>121</v>
      </c>
    </row>
    <row r="3" ht="12.75">
      <c r="P3" s="35">
        <f>+Title_RESULTS!I4</f>
        <v>43599.321942476854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175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175</v>
      </c>
      <c r="E16" s="5">
        <f>IF(+'Sheet9(F_25)'!$A16&gt;=Title_RESULTS!$H$8,0,((Partcipation!$B16-Partcipation!$B15)*(Title_RESULTS!$C$39*((1+Title_RESULTS!$C$41/100)^('Sheet9(F_25)'!$A16-Title_RESULTS!$H$7)))/1000))</f>
        <v>31.58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31.58</v>
      </c>
      <c r="H16" s="5">
        <f>IF(Partcipation!$B17&lt;Partcipation!$B16,0,IF(Partcipation!$B16=0,0,(Partcipation!$B16-Partcipation!$B15)*(+Title_RESULTS!$C$29*(1+Title_RESULTS!$C$30/100)^(+'Sheet8(F_24)'!$A16-Title_RESULTS!$H$7))/1000))</f>
        <v>149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149</v>
      </c>
      <c r="K16" s="5">
        <f>(+Partcipation!$B15+(Partcipation!$B16-Partcipation!$B15)/2)*(+Title_RESULTS!$C$14)/1000</f>
        <v>433.535</v>
      </c>
      <c r="L16" s="5">
        <f>($K16)*Partcipation!$E73*Title_RESULTS!$C$12/100</f>
        <v>10.554897482059433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17.567586300000002</v>
      </c>
      <c r="N16" s="5">
        <f>'Sheet2(F_12)'!$I16*('Sheet6(p_6)'!$L16+'Sheet6(p_6)'!$M16)</f>
        <v>28.122483782059433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179.20000000000002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179.20000000000002</v>
      </c>
      <c r="E17" s="5">
        <f>IF(+'Sheet9(F_25)'!$A17&gt;=Title_RESULTS!$H$8,0,((Partcipation!$B17-Partcipation!$B16)*(Title_RESULTS!$C$39*((1+Title_RESULTS!$C$41/100)^('Sheet9(F_25)'!$A17-Title_RESULTS!$H$7)))/1000))</f>
        <v>31.58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31.58</v>
      </c>
      <c r="H17" s="5">
        <f>IF(Partcipation!$B18&lt;Partcipation!$B17,0,IF(Partcipation!$B17=0,0,(Partcipation!$B17-Partcipation!$B16)*(+Title_RESULTS!$C$29*(1+Title_RESULTS!$C$30/100)^(+'Sheet8(F_24)'!$A17-Title_RESULTS!$H$7))/1000))</f>
        <v>152.427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152.427</v>
      </c>
      <c r="K17" s="5">
        <f>(+Partcipation!$B16+(Partcipation!$B17-Partcipation!$B16)/2)*(+Title_RESULTS!$C$14)/1000</f>
        <v>1300.605</v>
      </c>
      <c r="L17" s="5">
        <f>($K17)*Partcipation!$E74*Title_RESULTS!$C$12/100</f>
        <v>33.17172547313737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53.229786489</v>
      </c>
      <c r="N17" s="5">
        <f>'Sheet2(F_12)'!$I17*('Sheet6(p_6)'!$L17+'Sheet6(p_6)'!$M17)</f>
        <v>86.40151196213736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183.5008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183.5008</v>
      </c>
      <c r="E18" s="5">
        <f>IF(+'Sheet9(F_25)'!$A18&gt;=Title_RESULTS!$H$8,0,((Partcipation!$B18-Partcipation!$B17)*(Title_RESULTS!$C$39*((1+Title_RESULTS!$C$41/100)^('Sheet9(F_25)'!$A18-Title_RESULTS!$H$7)))/1000))</f>
        <v>31.58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31.58</v>
      </c>
      <c r="H18" s="5">
        <f>IF(Partcipation!$B19&lt;Partcipation!$B18,0,IF(Partcipation!$B18=0,0,(Partcipation!$B18-Partcipation!$B17)*(+Title_RESULTS!$C$29*(1+Title_RESULTS!$C$30/100)^(+'Sheet8(F_24)'!$A18-Title_RESULTS!$H$7))/1000))</f>
        <v>155.93282099999996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155.93282099999996</v>
      </c>
      <c r="K18" s="5">
        <f>(+Partcipation!$B17+(Partcipation!$B18-Partcipation!$B17)/2)*(+Title_RESULTS!$C$14)/1000</f>
        <v>2167.675</v>
      </c>
      <c r="L18" s="5">
        <f>($K18)*Partcipation!$E75*Title_RESULTS!$C$12/100</f>
        <v>57.32269809036157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89.60347392315</v>
      </c>
      <c r="N18" s="5">
        <f>'Sheet2(F_12)'!$I18*('Sheet6(p_6)'!$L18+'Sheet6(p_6)'!$M18)</f>
        <v>146.92617201351158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2601.21</v>
      </c>
      <c r="L19" s="5">
        <f>($K19)*Partcipation!$E76*Title_RESULTS!$C$12/100</f>
        <v>68.2233619986126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108.59941039485778</v>
      </c>
      <c r="N19" s="5">
        <f>'Sheet2(F_12)'!$I19*('Sheet6(p_6)'!$L19+'Sheet6(p_6)'!$M19)</f>
        <v>176.8227723934704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2601.21</v>
      </c>
      <c r="L20" s="5">
        <f>($K20)*Partcipation!$E77*Title_RESULTS!$C$12/100</f>
        <v>72.09297291273386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109.68540449880638</v>
      </c>
      <c r="N20" s="5">
        <f>'Sheet2(F_12)'!$I20*('Sheet6(p_6)'!$L20+'Sheet6(p_6)'!$M20)</f>
        <v>181.77837741154025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2601.21</v>
      </c>
      <c r="L21" s="5">
        <f>($K21)*Partcipation!$E78*Title_RESULTS!$C$12/100</f>
        <v>76.23101417422491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110.78225854379443</v>
      </c>
      <c r="N21" s="5">
        <f>'Sheet2(F_12)'!$I21*('Sheet6(p_6)'!$L21+'Sheet6(p_6)'!$M21)</f>
        <v>187.01327271801932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2601.21</v>
      </c>
      <c r="L22" s="5">
        <f>($K22)*Partcipation!$E79*Title_RESULTS!$C$12/100</f>
        <v>79.6777359386455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111.8900811292324</v>
      </c>
      <c r="N22" s="5">
        <f>'Sheet2(F_12)'!$I22*('Sheet6(p_6)'!$L22+'Sheet6(p_6)'!$M22)</f>
        <v>191.5678170678779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2601.21</v>
      </c>
      <c r="L23" s="5">
        <f>($K23)*Partcipation!$E80*Title_RESULTS!$C$12/100</f>
        <v>84.36923815289991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113.00898194052469</v>
      </c>
      <c r="N23" s="5">
        <f>'Sheet2(F_12)'!$I23*('Sheet6(p_6)'!$L23+'Sheet6(p_6)'!$M23)</f>
        <v>197.3782200934246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2601.21</v>
      </c>
      <c r="L24" s="5">
        <f>($K24)*Partcipation!$E81*Title_RESULTS!$C$12/100</f>
        <v>92.35859256214057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114.13907175992998</v>
      </c>
      <c r="N24" s="5">
        <f>'Sheet2(F_12)'!$I24*('Sheet6(p_6)'!$L24+'Sheet6(p_6)'!$M24)</f>
        <v>206.49766432207053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2601.21</v>
      </c>
      <c r="L25" s="5">
        <f>($K25)*Partcipation!$E82*Title_RESULTS!$C$12/100</f>
        <v>97.0640548858652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115.28046247752928</v>
      </c>
      <c r="N25" s="5">
        <f>'Sheet2(F_12)'!$I25*('Sheet6(p_6)'!$L25+'Sheet6(p_6)'!$M25)</f>
        <v>212.3445173633945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2601.21</v>
      </c>
      <c r="L26" s="5">
        <f>($K26)*Partcipation!$E83*Title_RESULTS!$C$12/100</f>
        <v>105.75633388855621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116.43326710230457</v>
      </c>
      <c r="N26" s="5">
        <f>'Sheet2(F_12)'!$I26*('Sheet6(p_6)'!$L26+'Sheet6(p_6)'!$M26)</f>
        <v>222.18960099086078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2601.21</v>
      </c>
      <c r="L27" s="5">
        <f>($K27)*Partcipation!$E84*Title_RESULTS!$C$12/100</f>
        <v>109.40197491283392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117.5975997733276</v>
      </c>
      <c r="N27" s="5">
        <f>'Sheet2(F_12)'!$I27*('Sheet6(p_6)'!$L27+'Sheet6(p_6)'!$M27)</f>
        <v>226.9995746861615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2601.21</v>
      </c>
      <c r="L28" s="5">
        <f>($K28)*Partcipation!$E85*Title_RESULTS!$C$12/100</f>
        <v>117.20792045892026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118.77357577106088</v>
      </c>
      <c r="N28" s="5">
        <f>'Sheet2(F_12)'!$I28*('Sheet6(p_6)'!$L28+'Sheet6(p_6)'!$M28)</f>
        <v>235.98149622998113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2601.21</v>
      </c>
      <c r="L29" s="5">
        <f>($K29)*Partcipation!$E86*Title_RESULTS!$C$12/100</f>
        <v>119.66640157591469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119.96131152877149</v>
      </c>
      <c r="N29" s="5">
        <f>'Sheet2(F_12)'!$I29*('Sheet6(p_6)'!$L29+'Sheet6(p_6)'!$M29)</f>
        <v>239.62771310468617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2601.21</v>
      </c>
      <c r="L30" s="5">
        <f>($K30)*Partcipation!$E87*Title_RESULTS!$C$12/100</f>
        <v>127.56974097257266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121.16092464405922</v>
      </c>
      <c r="N30" s="5">
        <f>'Sheet2(F_12)'!$I30*('Sheet6(p_6)'!$L30+'Sheet6(p_6)'!$M30)</f>
        <v>248.73066561663188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537.7008000000001</v>
      </c>
      <c r="C32" s="5">
        <f t="shared" si="4"/>
        <v>0</v>
      </c>
      <c r="D32" s="5">
        <f t="shared" si="4"/>
        <v>537.7008000000001</v>
      </c>
      <c r="E32" s="5">
        <f t="shared" si="4"/>
        <v>94.74</v>
      </c>
      <c r="F32" s="5">
        <f t="shared" si="4"/>
        <v>0</v>
      </c>
      <c r="G32" s="5">
        <f t="shared" si="4"/>
        <v>94.74</v>
      </c>
      <c r="H32" s="5">
        <f t="shared" si="4"/>
        <v>457.359821</v>
      </c>
      <c r="I32" s="5">
        <f t="shared" si="4"/>
        <v>0</v>
      </c>
      <c r="J32" s="5">
        <f t="shared" si="4"/>
        <v>457.359821</v>
      </c>
      <c r="K32" s="5">
        <f t="shared" si="4"/>
        <v>35116.33499999999</v>
      </c>
      <c r="L32" s="5">
        <f t="shared" si="4"/>
        <v>1250.6686634794787</v>
      </c>
      <c r="M32" s="5">
        <f t="shared" si="4"/>
        <v>1537.7131962763485</v>
      </c>
      <c r="N32" s="5">
        <f t="shared" si="4"/>
        <v>2788.3818597558275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502.3888206918773</v>
      </c>
      <c r="C34" s="5">
        <f>NPV(Title_RESULTS!$C$37,'Sheet6(p_6)'!C17:C31)+'Sheet6(p_6)'!C16</f>
        <v>0</v>
      </c>
      <c r="D34" s="5">
        <f>NPV(Title_RESULTS!$C$37,'Sheet6(p_6)'!D17:D31)+'Sheet6(p_6)'!D16</f>
        <v>502.3888206918773</v>
      </c>
      <c r="E34" s="5">
        <f>NPV(Title_RESULTS!$C$37,'Sheet6(p_6)'!E17:E31)+'Sheet6(p_6)'!E16</f>
        <v>88.61396397234901</v>
      </c>
      <c r="F34" s="5">
        <f>NPV(Title_RESULTS!$C$37,'Sheet6(p_6)'!F17:F31)+'Sheet6(p_6)'!F16</f>
        <v>0</v>
      </c>
      <c r="G34" s="5">
        <f>NPV(Title_RESULTS!$C$37,'Sheet6(p_6)'!G17:G31)+'Sheet6(p_6)'!G16</f>
        <v>88.61396397234901</v>
      </c>
      <c r="H34" s="5">
        <f>NPV(Title_RESULTS!$C$37,'Sheet6(p_6)'!H17:H31)+'Sheet6(p_6)'!H16</f>
        <v>427.34304408156527</v>
      </c>
      <c r="I34" s="5">
        <f>NPV(Title_RESULTS!$C$37,'Sheet6(p_6)'!I17:I31)+'Sheet6(p_6)'!I16</f>
        <v>0</v>
      </c>
      <c r="J34" s="5">
        <f>NPV(Title_RESULTS!$C$37,'Sheet6(p_6)'!J17:J31)+'Sheet6(p_6)'!J16</f>
        <v>427.34304408156527</v>
      </c>
      <c r="K34" s="5"/>
      <c r="L34" s="5">
        <f>NPV(Title_RESULTS!$C$37,'Sheet6(p_6)'!L17:L31)+'Sheet6(p_6)'!L16</f>
        <v>721.698254092481</v>
      </c>
      <c r="M34" s="5">
        <f>NPV(Title_RESULTS!$C$37,'Sheet6(p_6)'!M17:M31)+'Sheet6(p_6)'!M16</f>
        <v>930.7704494934733</v>
      </c>
      <c r="N34" s="5">
        <f>NPV(Title_RESULTS!$C$37,'Sheet6(p_6)'!N17:N31)+'Sheet6(p_6)'!N16</f>
        <v>1652.4687035859542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High Bay LED</v>
      </c>
      <c r="M2" t="s">
        <v>55</v>
      </c>
    </row>
    <row r="3" ht="12.75">
      <c r="M3" s="35">
        <f>+Title_RESULTS!I4</f>
        <v>43599.321942476854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175</v>
      </c>
      <c r="D16" s="5">
        <f>IF(A16&gt;=(Title_RESULTS!$H$7+Title_RESULTS!$C$17),0,(+'Sheet6(p_6)'!$J16))</f>
        <v>149</v>
      </c>
      <c r="E16" s="5">
        <f>IF(A16&gt;=(Title_RESULTS!$H$7+Title_RESULTS!$C$17),0,(+'f-11B'!$N15))</f>
        <v>0</v>
      </c>
      <c r="F16" s="5">
        <f>IF(A16&gt;=(Title_RESULTS!$H$7+Title_RESULTS!$C$17),0,(SUM(B16:E16)))</f>
        <v>324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13.265391842291253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13.265391842291253</v>
      </c>
      <c r="L16" s="23">
        <f>IF(A16&gt;=(Title_RESULTS!$H$7+Title_RESULTS!$C$17),0,(+$K16-$F16))</f>
        <v>-310.73460815770875</v>
      </c>
      <c r="M16" s="23">
        <f>IF(A16&gt;=(Title_RESULTS!$H$7+Title_RESULTS!$C$17),0,(+$L16/(1+Title_RESULTS!$C$37)^('Sheet7(F_23)'!$A16-Title_RESULTS!$H$7)))</f>
        <v>-310.73460815770875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179.20000000000002</v>
      </c>
      <c r="D17" s="5">
        <f>IF(A17&gt;=(Title_RESULTS!$H$7+Title_RESULTS!$C$17),0,(+'Sheet6(p_6)'!$J17))</f>
        <v>152.427</v>
      </c>
      <c r="E17" s="5">
        <f>IF(A17&gt;=(Title_RESULTS!$H$7+Title_RESULTS!$C$17),0,(+'f-11B'!$N16))</f>
        <v>0</v>
      </c>
      <c r="F17" s="5">
        <f>IF(A17&gt;=(Title_RESULTS!$H$7+Title_RESULTS!$C$17),0,(SUM(B17:E17)))</f>
        <v>331.627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12.9817075001451</v>
      </c>
      <c r="I17" s="5">
        <f>IF(A17&gt;=(Title_RESULTS!$H$7+Title_RESULTS!$C$17),0,(+'Sheet4(F_22)'!$H17))</f>
        <v>39.47247927745025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52.454186777595346</v>
      </c>
      <c r="L17" s="23">
        <f>IF(A17&gt;=(Title_RESULTS!$H$7+Title_RESULTS!$C$17),0,(+$K17-$F17))</f>
        <v>-279.17281322240467</v>
      </c>
      <c r="M17" s="23">
        <f>IF(A17&gt;=(Title_RESULTS!$H$7+Title_RESULTS!$C$17),0,(+M16+$L17/(1+Title_RESULTS!$C$37)^('Sheet7(F_23)'!$A17-Title_RESULTS!$H$7)))</f>
        <v>-571.4488528555091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183.5008</v>
      </c>
      <c r="D18" s="5">
        <f>IF(A18&gt;=(Title_RESULTS!$H$7+Title_RESULTS!$C$17),0,(+'Sheet6(p_6)'!$J18))</f>
        <v>155.93282099999996</v>
      </c>
      <c r="E18" s="5">
        <f>IF(A18&gt;=(Title_RESULTS!$H$7+Title_RESULTS!$C$17),0,(+'f-11B'!$N17))</f>
        <v>0</v>
      </c>
      <c r="F18" s="5">
        <f>IF(A18&gt;=(Title_RESULTS!$H$7+Title_RESULTS!$C$17),0,(SUM(B18:E18)))</f>
        <v>339.43362099999996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13.29326848014858</v>
      </c>
      <c r="I18" s="5">
        <f>IF(A18&gt;=(Title_RESULTS!$H$7+Title_RESULTS!$C$17),0,(+'Sheet4(F_22)'!$H18))</f>
        <v>67.89706767110444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81.19033615125302</v>
      </c>
      <c r="L18" s="23">
        <f>IF(A18&gt;=(Title_RESULTS!$H$7+Title_RESULTS!$C$17),0,(+$K18-$F18))</f>
        <v>-258.24328484874695</v>
      </c>
      <c r="M18" s="23">
        <f>IF(A18&gt;=(Title_RESULTS!$H$7+Title_RESULTS!$C$17),0,(+M17+$L18/(1+Title_RESULTS!$C$37)^('Sheet7(F_23)'!$A18-Title_RESULTS!$H$7)))</f>
        <v>-796.6716315340583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41.380804444205616</v>
      </c>
      <c r="H19" s="5">
        <f>IF(A19&gt;=(Title_RESULTS!$H$7+Title_RESULTS!$C$17),0,(+'Sheet4(F_22)'!$D19+'Sheet4(F_22)'!$G19))</f>
        <v>13.612306923672147</v>
      </c>
      <c r="I19" s="5">
        <f>IF(A19&gt;=(Title_RESULTS!$H$7+Title_RESULTS!$C$17),0,(+'Sheet4(F_22)'!$H19))</f>
        <v>84.81895561793155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139.8120669858093</v>
      </c>
      <c r="L19" s="23">
        <f>IF(A19&gt;=(Title_RESULTS!$H$7+Title_RESULTS!$C$17),0,(+$K19-$F19))</f>
        <v>139.8120669858093</v>
      </c>
      <c r="M19" s="23">
        <f>IF(A19&gt;=(Title_RESULTS!$H$7+Title_RESULTS!$C$17),0,(+M18+$L19/(1+Title_RESULTS!$C$37)^('Sheet7(F_23)'!$A19-Title_RESULTS!$H$7)))</f>
        <v>-682.7989444750204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42.48426198864321</v>
      </c>
      <c r="H20" s="5">
        <f>IF(A20&gt;=(Title_RESULTS!$H$7+Title_RESULTS!$C$17),0,(+'Sheet4(F_22)'!$D20+'Sheet4(F_22)'!$G20))</f>
        <v>13.93900228984028</v>
      </c>
      <c r="I20" s="5">
        <f>IF(A20&gt;=(Title_RESULTS!$H$7+Title_RESULTS!$C$17),0,(+'Sheet4(F_22)'!$H20))</f>
        <v>88.15202087200167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144.57528515048517</v>
      </c>
      <c r="L20" s="23">
        <f>IF(A20&gt;=(Title_RESULTS!$H$7+Title_RESULTS!$C$17),0,(+$K20-$F20))</f>
        <v>144.57528515048517</v>
      </c>
      <c r="M20" s="23">
        <f>IF(A20&gt;=(Title_RESULTS!$H$7+Title_RESULTS!$C$17),0,(+M19+$L20/(1+Title_RESULTS!$C$37)^('Sheet7(F_23)'!$A20-Title_RESULTS!$H$7)))</f>
        <v>-572.8323925963693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43.691481646610136</v>
      </c>
      <c r="H21" s="5">
        <f>IF(A21&gt;=(Title_RESULTS!$H$7+Title_RESULTS!$C$17),0,(+'Sheet4(F_22)'!$D21+'Sheet4(F_22)'!$G21))</f>
        <v>14.273538344796446</v>
      </c>
      <c r="I21" s="5">
        <f>IF(A21&gt;=(Title_RESULTS!$H$7+Title_RESULTS!$C$17),0,(+'Sheet4(F_22)'!$H21))</f>
        <v>94.64873089826214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152.61375088966872</v>
      </c>
      <c r="L21" s="23">
        <f>IF(A21&gt;=(Title_RESULTS!$H$7+Title_RESULTS!$C$17),0,(+$K21-$F21))</f>
        <v>152.61375088966872</v>
      </c>
      <c r="M21" s="23">
        <f>IF(A21&gt;=(Title_RESULTS!$H$7+Title_RESULTS!$C$17),0,(+M20+$L21/(1+Title_RESULTS!$C$37)^('Sheet7(F_23)'!$A21-Title_RESULTS!$H$7)))</f>
        <v>-464.4267585611371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45.0435477677139</v>
      </c>
      <c r="H22" s="5">
        <f>IF(A22&gt;=(Title_RESULTS!$H$7+Title_RESULTS!$C$17),0,(+'Sheet4(F_22)'!$D22+'Sheet4(F_22)'!$G22))</f>
        <v>14.616103265071562</v>
      </c>
      <c r="I22" s="5">
        <f>IF(A22&gt;=(Title_RESULTS!$H$7+Title_RESULTS!$C$17),0,(+'Sheet4(F_22)'!$H22))</f>
        <v>97.68455340852167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157.3442044413071</v>
      </c>
      <c r="L22" s="23">
        <f>IF(A22&gt;=(Title_RESULTS!$H$7+Title_RESULTS!$C$17),0,(+$K22-$F22))</f>
        <v>157.3442044413071</v>
      </c>
      <c r="M22" s="23">
        <f>IF(A22&gt;=(Title_RESULTS!$H$7+Title_RESULTS!$C$17),0,(+M21+$L22/(1+Title_RESULTS!$C$37)^('Sheet7(F_23)'!$A22-Title_RESULTS!$H$7)))</f>
        <v>-360.0507762416082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46.25617205481419</v>
      </c>
      <c r="H23" s="5">
        <f>IF(A23&gt;=(Title_RESULTS!$H$7+Title_RESULTS!$C$17),0,(+'Sheet4(F_22)'!$D23+'Sheet4(F_22)'!$G23))</f>
        <v>14.96688974343328</v>
      </c>
      <c r="I23" s="5">
        <f>IF(A23&gt;=(Title_RESULTS!$H$7+Title_RESULTS!$C$17),0,(+'Sheet4(F_22)'!$H23))</f>
        <v>103.7894007800609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165.01246257830837</v>
      </c>
      <c r="L23" s="23">
        <f>IF(A23&gt;=(Title_RESULTS!$H$7+Title_RESULTS!$C$17),0,(+$K23-$F23))</f>
        <v>165.01246257830837</v>
      </c>
      <c r="M23" s="23">
        <f>IF(A23&gt;=(Title_RESULTS!$H$7+Title_RESULTS!$C$17),0,(+M22+$L23/(1+Title_RESULTS!$C$37)^('Sheet7(F_23)'!$A23-Title_RESULTS!$H$7)))</f>
        <v>-257.8255199706976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47.00533933512645</v>
      </c>
      <c r="H24" s="5">
        <f>IF(A24&gt;=(Title_RESULTS!$H$7+Title_RESULTS!$C$17),0,(+'Sheet4(F_22)'!$D24+'Sheet4(F_22)'!$G24))</f>
        <v>15.326095097275676</v>
      </c>
      <c r="I24" s="5">
        <f>IF(A24&gt;=(Title_RESULTS!$H$7+Title_RESULTS!$C$17),0,(+'Sheet4(F_22)'!$H24))</f>
        <v>115.01065832680055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177.34209275920267</v>
      </c>
      <c r="L24" s="23">
        <f>IF(A24&gt;=(Title_RESULTS!$H$7+Title_RESULTS!$C$17),0,(+$K24-$F24))</f>
        <v>177.34209275920267</v>
      </c>
      <c r="M24" s="23">
        <f>IF(A24&gt;=(Title_RESULTS!$H$7+Title_RESULTS!$C$17),0,(+M23+$L24/(1+Title_RESULTS!$C$37)^('Sheet7(F_23)'!$A24-Title_RESULTS!$H$7)))</f>
        <v>-155.22609446105116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48.282223926465136</v>
      </c>
      <c r="H25" s="5">
        <f>IF(A25&gt;=(Title_RESULTS!$H$7+Title_RESULTS!$C$17),0,(+'Sheet4(F_22)'!$D25+'Sheet4(F_22)'!$G25))</f>
        <v>15.693921379610293</v>
      </c>
      <c r="I25" s="5">
        <f>IF(A25&gt;=(Title_RESULTS!$H$7+Title_RESULTS!$C$17),0,(+'Sheet4(F_22)'!$H25))</f>
        <v>123.21830985203167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187.1944551581071</v>
      </c>
      <c r="L25" s="23">
        <f>IF(A25&gt;=(Title_RESULTS!$H$7+Title_RESULTS!$C$17),0,(+$K25-$F25))</f>
        <v>187.1944551581071</v>
      </c>
      <c r="M25" s="23">
        <f>IF(A25&gt;=(Title_RESULTS!$H$7+Title_RESULTS!$C$17),0,(+M24+$L25/(1+Title_RESULTS!$C$37)^('Sheet7(F_23)'!$A25-Title_RESULTS!$H$7)))</f>
        <v>-54.08731277659275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49.05514488583633</v>
      </c>
      <c r="H26" s="5">
        <f>IF(A26&gt;=(Title_RESULTS!$H$7+Title_RESULTS!$C$17),0,(+'Sheet4(F_22)'!$D26+'Sheet4(F_22)'!$G26))</f>
        <v>16.07057549272094</v>
      </c>
      <c r="I26" s="5">
        <f>IF(A26&gt;=(Title_RESULTS!$H$7+Title_RESULTS!$C$17),0,(+'Sheet4(F_22)'!$H26))</f>
        <v>137.62802578487762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202.7537461634349</v>
      </c>
      <c r="L26" s="23">
        <f>IF(A26&gt;=(Title_RESULTS!$H$7+Title_RESULTS!$C$17),0,(+$K26-$F26))</f>
        <v>202.7537461634349</v>
      </c>
      <c r="M26" s="23">
        <f>IF(A26&gt;=(Title_RESULTS!$H$7+Title_RESULTS!$C$17),0,(+M25+$L26/(1+Title_RESULTS!$C$37)^('Sheet7(F_23)'!$A26-Title_RESULTS!$H$7)))</f>
        <v>48.21495523835587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50.748740526720795</v>
      </c>
      <c r="H27" s="5">
        <f>IF(A27&gt;=(Title_RESULTS!$H$7+Title_RESULTS!$C$17),0,(+'Sheet4(F_22)'!$D27+'Sheet4(F_22)'!$G27))</f>
        <v>16.456269304546247</v>
      </c>
      <c r="I27" s="5">
        <f>IF(A27&gt;=(Title_RESULTS!$H$7+Title_RESULTS!$C$17),0,(+'Sheet4(F_22)'!$H27))</f>
        <v>137.11620841160436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204.3212182428714</v>
      </c>
      <c r="L27" s="23">
        <f>IF(A27&gt;=(Title_RESULTS!$H$7+Title_RESULTS!$C$17),0,(+$K27-$F27))</f>
        <v>204.3212182428714</v>
      </c>
      <c r="M27" s="23">
        <f>IF(A27&gt;=(Title_RESULTS!$H$7+Title_RESULTS!$C$17),0,(+M26+$L27/(1+Title_RESULTS!$C$37)^('Sheet7(F_23)'!$A27-Title_RESULTS!$H$7)))</f>
        <v>144.49171859724856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51.81855654859848</v>
      </c>
      <c r="H28" s="5">
        <f>IF(A28&gt;=(Title_RESULTS!$H$7+Title_RESULTS!$C$17),0,(+'Sheet4(F_22)'!$D28+'Sheet4(F_22)'!$G28))</f>
        <v>16.851219767855355</v>
      </c>
      <c r="I28" s="5">
        <f>IF(A28&gt;=(Title_RESULTS!$H$7+Title_RESULTS!$C$17),0,(+'Sheet4(F_22)'!$H28))</f>
        <v>149.8553429807167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218.52511929717053</v>
      </c>
      <c r="L28" s="23">
        <f>IF(A28&gt;=(Title_RESULTS!$H$7+Title_RESULTS!$C$17),0,(+$K28-$F28))</f>
        <v>218.52511929717053</v>
      </c>
      <c r="M28" s="23">
        <f>IF(A28&gt;=(Title_RESULTS!$H$7+Title_RESULTS!$C$17),0,(+M27+$L28/(1+Title_RESULTS!$C$37)^('Sheet7(F_23)'!$A28-Title_RESULTS!$H$7)))</f>
        <v>240.65317135799944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53.66927689246759</v>
      </c>
      <c r="H29" s="5">
        <f>IF(A29&gt;=(Title_RESULTS!$H$7+Title_RESULTS!$C$17),0,(+'Sheet4(F_22)'!$D29+'Sheet4(F_22)'!$G29))</f>
        <v>17.255649042283885</v>
      </c>
      <c r="I29" s="5">
        <f>IF(A29&gt;=(Title_RESULTS!$H$7+Title_RESULTS!$C$17),0,(+'Sheet4(F_22)'!$H29))</f>
        <v>159.80709185644375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230.73201779119523</v>
      </c>
      <c r="L29" s="23">
        <f>IF(A29&gt;=(Title_RESULTS!$H$7+Title_RESULTS!$C$17),0,(+$K29-$F29))</f>
        <v>230.73201779119523</v>
      </c>
      <c r="M29" s="23">
        <f>IF(A29&gt;=(Title_RESULTS!$H$7+Title_RESULTS!$C$17),0,(+M28+$L29/(1+Title_RESULTS!$C$37)^('Sheet7(F_23)'!$A29-Title_RESULTS!$H$7)))</f>
        <v>335.4729967794272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54.70563812312682</v>
      </c>
      <c r="H30" s="5">
        <f>IF(A30&gt;=(Title_RESULTS!$H$7+Title_RESULTS!$C$17),0,(+'Sheet4(F_22)'!$D30+'Sheet4(F_22)'!$G30))</f>
        <v>17.669784619298696</v>
      </c>
      <c r="I30" s="5">
        <f>IF(A30&gt;=(Title_RESULTS!$H$7+Title_RESULTS!$C$17),0,(+'Sheet4(F_22)'!$H30))</f>
        <v>167.24807283177273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239.62349557419824</v>
      </c>
      <c r="L30" s="23">
        <f>IF(A30&gt;=(Title_RESULTS!$H$7+Title_RESULTS!$C$17),0,(+$K30-$F30))</f>
        <v>239.62349557419824</v>
      </c>
      <c r="M30" s="23">
        <f>IF(A30&gt;=(Title_RESULTS!$H$7+Title_RESULTS!$C$17),0,(+M29+$L30/(1+Title_RESULTS!$C$37)^('Sheet7(F_23)'!$A30-Title_RESULTS!$H$7)))</f>
        <v>427.4358260554509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537.7008000000001</v>
      </c>
      <c r="D32" s="5">
        <f t="shared" si="1"/>
        <v>457.359821</v>
      </c>
      <c r="E32" s="5">
        <f t="shared" si="1"/>
        <v>0</v>
      </c>
      <c r="F32" s="5">
        <f t="shared" si="1"/>
        <v>995.0606209999999</v>
      </c>
      <c r="G32" s="5">
        <f t="shared" si="1"/>
        <v>574.1411881403286</v>
      </c>
      <c r="H32" s="5">
        <f t="shared" si="1"/>
        <v>213.00633125069848</v>
      </c>
      <c r="I32" s="5">
        <f t="shared" si="1"/>
        <v>1579.6123104118712</v>
      </c>
      <c r="J32" s="5">
        <f t="shared" si="1"/>
        <v>0</v>
      </c>
      <c r="K32" s="5">
        <f t="shared" si="1"/>
        <v>2366.7598298028984</v>
      </c>
      <c r="L32" s="5">
        <f t="shared" si="1"/>
        <v>1371.6992088028983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502.3888206918773</v>
      </c>
      <c r="D34" s="5">
        <f>NPV(Title_RESULTS!$C$37,'Sheet7(F_23)'!D17:D31)+'Sheet7(F_23)'!D16</f>
        <v>427.34304408156527</v>
      </c>
      <c r="E34" s="5">
        <f>NPV(Title_RESULTS!$C$37,'Sheet7(F_23)'!E17:E31)+'Sheet7(F_23)'!E16</f>
        <v>0</v>
      </c>
      <c r="F34" s="5">
        <f>NPV(Title_RESULTS!$C$37,'Sheet7(F_23)'!F17:F31)+'Sheet7(F_23)'!F16</f>
        <v>929.7318647734426</v>
      </c>
      <c r="G34" s="5">
        <f>NPV(Title_RESULTS!$C$37,'Sheet7(F_23)'!G17:G31)+'Sheet7(F_23)'!G16</f>
        <v>323.38700477803667</v>
      </c>
      <c r="H34" s="5">
        <f>NPV(Title_RESULTS!$C$37,'Sheet7(F_23)'!H17:H31)+'Sheet7(F_23)'!H16</f>
        <v>129.0093321851234</v>
      </c>
      <c r="I34" s="5">
        <f>NPV(Title_RESULTS!$C$37,'Sheet7(F_23)'!I17:I31)+'Sheet7(F_23)'!I16</f>
        <v>904.7713538657331</v>
      </c>
      <c r="J34" s="5">
        <f>NPV(Title_RESULTS!$C$37,'Sheet7(F_23)'!J17:J31)+'Sheet7(F_23)'!J16</f>
        <v>0</v>
      </c>
      <c r="K34" s="5">
        <f>NPV(Title_RESULTS!$C$37,'Sheet7(F_23)'!K17:K31)+'Sheet7(F_23)'!K16</f>
        <v>1357.167690828893</v>
      </c>
      <c r="L34" s="5">
        <f>NPV(Title_RESULTS!$C$37,'Sheet7(F_23)'!L17:L31)+'Sheet7(F_23)'!L16</f>
        <v>427.4358260554508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1.4597409664555363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High Bay LED</v>
      </c>
      <c r="L2" t="s">
        <v>55</v>
      </c>
    </row>
    <row r="3" ht="12.75">
      <c r="L3" s="35">
        <f>+Title_RESULTS!I4</f>
        <v>43599.321942476854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28.122483782059433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31.58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59.70248378205943</v>
      </c>
      <c r="G16" s="5">
        <f>IF(A16&gt;=(Title_RESULTS!$H$7+Title_RESULTS!$C$17),0,(+'Sheet6(p_6)'!$H16))</f>
        <v>149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149</v>
      </c>
      <c r="K16" s="23">
        <f>IF(A16&gt;=(Title_RESULTS!$H$7+Title_RESULTS!$C$17),0,(+F16-J16))</f>
        <v>-89.29751621794057</v>
      </c>
      <c r="L16" s="23">
        <f>IF(A16&gt;=(Title_RESULTS!$H$7+Title_RESULTS!$C$17),0,(+$K16/((1+Title_RESULTS!$C$37)^('Sheet8(F_24)'!$A16-Title_RESULTS!$H$7))))</f>
        <v>-89.29751621794057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86.40151196213736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31.58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117.98151196213736</v>
      </c>
      <c r="G17" s="5">
        <f>IF(A17&gt;=(Title_RESULTS!$H$7+Title_RESULTS!$C$17),0,(+'Sheet6(p_6)'!$H17))</f>
        <v>152.427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152.427</v>
      </c>
      <c r="K17" s="23">
        <f>IF(A17&gt;=(Title_RESULTS!$H$7+Title_RESULTS!$C$17),0,(+F17-J17))</f>
        <v>-34.44548803786263</v>
      </c>
      <c r="L17" s="23">
        <f>IF(A16&gt;=(Title_RESULTS!$H$7+Title_RESULTS!$C$17),0,(+$K17/((1+Title_RESULTS!$C$37)^('Sheet8(F_24)'!$A17-Title_RESULTS!$H$7))+L16))</f>
        <v>-121.46551027646002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146.92617201351158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31.58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178.50617201351156</v>
      </c>
      <c r="G18" s="5">
        <f>IF(A18&gt;=(Title_RESULTS!$H$7+Title_RESULTS!$C$17),0,(+'Sheet6(p_6)'!$H18))</f>
        <v>155.93282099999996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155.93282099999996</v>
      </c>
      <c r="K18" s="23">
        <f>IF(A18&gt;=(Title_RESULTS!$H$7+Title_RESULTS!$C$17),0,(+F18-J18))</f>
        <v>22.573351013511598</v>
      </c>
      <c r="L18" s="23">
        <f>IF(A17&gt;=(Title_RESULTS!$H$7+Title_RESULTS!$C$17),0,(+$K18/((1+Title_RESULTS!$C$37)^('Sheet8(F_24)'!$A18-Title_RESULTS!$H$7))+L17))</f>
        <v>-101.77852076838029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176.8227723934704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176.8227723934704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176.8227723934704</v>
      </c>
      <c r="L19" s="23">
        <f>IF(A18&gt;=(Title_RESULTS!$H$7+Title_RESULTS!$C$17),0,(+$K19/((1+Title_RESULTS!$C$37)^('Sheet8(F_24)'!$A19-Title_RESULTS!$H$7))+L18))</f>
        <v>42.23826304554346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181.77837741154025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181.77837741154025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181.77837741154025</v>
      </c>
      <c r="L20" s="23">
        <f>IF(A19&gt;=(Title_RESULTS!$H$7+Title_RESULTS!$C$17),0,(+$K20/((1+Title_RESULTS!$C$37)^('Sheet8(F_24)'!$A20-Title_RESULTS!$H$7))+L19))</f>
        <v>180.50215337255537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187.01327271801932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187.01327271801932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187.01327271801932</v>
      </c>
      <c r="L21" s="23">
        <f>IF(A20&gt;=(Title_RESULTS!$H$7+Title_RESULTS!$C$17),0,(+$K21/((1+Title_RESULTS!$C$37)^('Sheet8(F_24)'!$A21-Title_RESULTS!$H$7))+L20))</f>
        <v>313.3426889325335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191.5678170678779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191.5678170678779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191.5678170678779</v>
      </c>
      <c r="L22" s="23">
        <f>IF(A21&gt;=(Title_RESULTS!$H$7+Title_RESULTS!$C$17),0,(+$K22/((1+Title_RESULTS!$C$37)^('Sheet8(F_24)'!$A22-Title_RESULTS!$H$7))+L21))</f>
        <v>440.42127538740465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197.3782200934246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197.3782200934246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197.3782200934246</v>
      </c>
      <c r="L23" s="23">
        <f>IF(A22&gt;=(Title_RESULTS!$H$7+Title_RESULTS!$C$17),0,(+$K23/((1+Title_RESULTS!$C$37)^('Sheet8(F_24)'!$A23-Title_RESULTS!$H$7))+L22))</f>
        <v>562.6971254418895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206.49766432207053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206.49766432207053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206.49766432207053</v>
      </c>
      <c r="L24" s="23">
        <f>IF(A23&gt;=(Title_RESULTS!$H$7+Title_RESULTS!$C$17),0,(+$K24/((1+Title_RESULTS!$C$37)^('Sheet8(F_24)'!$A24-Title_RESULTS!$H$7))+L23))</f>
        <v>682.1642040067941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212.3445173633945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212.3445173633945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212.3445173633945</v>
      </c>
      <c r="L25" s="23">
        <f>IF(A24&gt;=(Title_RESULTS!$H$7+Title_RESULTS!$C$17),0,(+$K25/((1+Title_RESULTS!$C$37)^('Sheet8(F_24)'!$A25-Title_RESULTS!$H$7))+L24))</f>
        <v>796.8912442140955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222.18960099086078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222.18960099086078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222.18960099086078</v>
      </c>
      <c r="L26" s="23">
        <f>IF(A25&gt;=(Title_RESULTS!$H$7+Title_RESULTS!$C$17),0,(+$K26/((1+Title_RESULTS!$C$37)^('Sheet8(F_24)'!$A26-Title_RESULTS!$H$7))+L25))</f>
        <v>909.0001474566478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226.9995746861615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226.9995746861615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226.9995746861615</v>
      </c>
      <c r="L27" s="23">
        <f>IF(A26&gt;=(Title_RESULTS!$H$7+Title_RESULTS!$C$17),0,(+$K27/((1+Title_RESULTS!$C$37)^('Sheet8(F_24)'!$A27-Title_RESULTS!$H$7))+L26))</f>
        <v>1015.9630195586076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235.98149622998113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235.98149622998113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235.98149622998113</v>
      </c>
      <c r="L28" s="23">
        <f>IF(A27&gt;=(Title_RESULTS!$H$7+Title_RESULTS!$C$17),0,(+$K28/((1+Title_RESULTS!$C$37)^('Sheet8(F_24)'!$A28-Title_RESULTS!$H$7))+L27))</f>
        <v>1119.8061089714615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239.62771310468617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239.62771310468617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239.62771310468617</v>
      </c>
      <c r="L29" s="23">
        <f>IF(A28&gt;=(Title_RESULTS!$H$7+Title_RESULTS!$C$17),0,(+$K29/((1+Title_RESULTS!$C$37)^('Sheet8(F_24)'!$A29-Title_RESULTS!$H$7))+L28))</f>
        <v>1218.2816397635706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248.73066561663188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248.73066561663188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248.73066561663188</v>
      </c>
      <c r="L30" s="23">
        <f>IF(A29&gt;=(Title_RESULTS!$H$7+Title_RESULTS!$C$17),0,(+$K30/((1+Title_RESULTS!$C$37)^('Sheet8(F_24)'!$A30-Title_RESULTS!$H$7))+L29))</f>
        <v>1313.739623476738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2788.3818597558275</v>
      </c>
      <c r="C32" s="5">
        <f t="shared" si="1"/>
        <v>0</v>
      </c>
      <c r="D32" s="5">
        <f t="shared" si="1"/>
        <v>94.74</v>
      </c>
      <c r="E32" s="5">
        <f t="shared" si="1"/>
        <v>0</v>
      </c>
      <c r="F32" s="5">
        <f t="shared" si="1"/>
        <v>2883.1218597558277</v>
      </c>
      <c r="G32" s="5">
        <f t="shared" si="1"/>
        <v>457.359821</v>
      </c>
      <c r="H32" s="5">
        <f t="shared" si="1"/>
        <v>0</v>
      </c>
      <c r="I32" s="5">
        <f t="shared" si="1"/>
        <v>0</v>
      </c>
      <c r="J32" s="5">
        <f t="shared" si="1"/>
        <v>457.359821</v>
      </c>
      <c r="K32" s="5">
        <f t="shared" si="1"/>
        <v>2425.7620387558277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1652.4687035859542</v>
      </c>
      <c r="C34" s="5">
        <f>NPV(Title_RESULTS!$C$37,'Sheet8(F_24)'!C17:C31)+'Sheet8(F_24)'!C16</f>
        <v>0</v>
      </c>
      <c r="D34" s="5">
        <f>NPV(Title_RESULTS!$C$37,'Sheet8(F_24)'!D17:D31)+'Sheet8(F_24)'!D16</f>
        <v>88.61396397234901</v>
      </c>
      <c r="E34" s="5">
        <f>NPV(Title_RESULTS!$C$37,'Sheet8(F_24)'!E17:E31)+'Sheet8(F_24)'!E16</f>
        <v>0</v>
      </c>
      <c r="F34" s="5">
        <f>NPV(Title_RESULTS!$C$37,'Sheet8(F_24)'!F17:F31)+'Sheet8(F_24)'!F16</f>
        <v>1741.0826675583035</v>
      </c>
      <c r="G34" s="5">
        <f>NPV(Title_RESULTS!$C$37,'Sheet8(F_24)'!G17:G31)+'Sheet8(F_24)'!G16</f>
        <v>427.34304408156527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427.34304408156527</v>
      </c>
      <c r="K34" s="5">
        <f>NPV(Title_RESULTS!$C$37,'Sheet8(F_24)'!K17:K31)+'Sheet8(F_24)'!K16</f>
        <v>1313.739623476738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4.074203831491381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High Bay LED</v>
      </c>
      <c r="N2" t="s">
        <v>55</v>
      </c>
    </row>
    <row r="3" ht="12.75">
      <c r="N3" s="35">
        <f>+Title_RESULTS!I4</f>
        <v>43599.321942476854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175</v>
      </c>
      <c r="D16" s="5">
        <f>IF(A16&gt;=(Title_RESULTS!$H$7+Title_RESULTS!$C$17),0,(+'Sheet6(p_6)'!$G16))</f>
        <v>31.58</v>
      </c>
      <c r="E16" s="5">
        <f>+'Sheet6(p_6)'!M16</f>
        <v>17.567586300000002</v>
      </c>
      <c r="F16">
        <f>IF(A16&gt;=(Title_RESULTS!$H$7+Title_RESULTS!$C$17),0,(+'f-11B'!$R15))</f>
        <v>0</v>
      </c>
      <c r="G16" s="5">
        <f>IF(A16&gt;=(Title_RESULTS!$H$7+Title_RESULTS!$C$17),0,(SUM(B16:F16)))</f>
        <v>224.1475863</v>
      </c>
      <c r="H16" s="5">
        <f>IF(A16&gt;=(Title_RESULTS!$H$7+Title_RESULTS!$C$17),0,(+'Sheet3(F_21)'!$J16+'Sheet4(F_22)'!$H16))</f>
        <v>13.265391842291253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13.265391842291253</v>
      </c>
      <c r="M16" s="23">
        <f>IF(A16&gt;=(Title_RESULTS!$H$7+Title_RESULTS!$C$17),0,(+L16-G16))</f>
        <v>-210.88219445770875</v>
      </c>
      <c r="N16" s="24">
        <f>IF(A16&gt;=(Title_RESULTS!$H$7+Title_RESULTS!$C$17),0,(+$M16/((1+Title_RESULTS!$C$37)^('Sheet9(F_25)'!$A16-Title_RESULTS!$H$7))))</f>
        <v>-210.88219445770875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179.20000000000002</v>
      </c>
      <c r="D17" s="5">
        <f>IF(A17&gt;=(Title_RESULTS!$H$7+Title_RESULTS!$C$17),0,(+'Sheet6(p_6)'!$G17))</f>
        <v>31.58</v>
      </c>
      <c r="E17" s="5">
        <f>+'Sheet6(p_6)'!M17</f>
        <v>53.229786489</v>
      </c>
      <c r="F17">
        <f>IF(A17&gt;=(Title_RESULTS!$H$7+Title_RESULTS!$C$17),0,(+'f-11B'!$R16))</f>
        <v>0</v>
      </c>
      <c r="G17" s="5">
        <f>IF(A17&gt;=(Title_RESULTS!$H$7+Title_RESULTS!$C$17),0,(SUM(B17:F17)))</f>
        <v>264.009786489</v>
      </c>
      <c r="H17" s="5">
        <f>IF(A17&gt;=(Title_RESULTS!$H$7+Title_RESULTS!$C$17),0,(+'Sheet3(F_21)'!$J17+'Sheet4(F_22)'!$H17))</f>
        <v>39.47247927745025</v>
      </c>
      <c r="I17" s="5">
        <f>IF(A17&gt;=(Title_RESULTS!$H$7+Title_RESULTS!$C$17),0,(+'Sheet4(F_22)'!$D17+'Sheet4(F_22)'!$G17))</f>
        <v>12.9817075001451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52.454186777595346</v>
      </c>
      <c r="M17" s="23">
        <f>IF(A17&gt;=(Title_RESULTS!$H$7+Title_RESULTS!$C$17),0,(+L17-G17))</f>
        <v>-211.55559971140468</v>
      </c>
      <c r="N17" s="24">
        <f>(IF(A16&gt;=(Title_RESULTS!$H$7+Title_RESULTS!$C$17),0,(+$M17/((1+Title_RESULTS!$C$37)^('Sheet9(F_25)'!$A17-Title_RESULTS!$H$7))+N16)))</f>
        <v>-408.44999396406354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183.5008</v>
      </c>
      <c r="D18" s="5">
        <f>IF(A18&gt;=(Title_RESULTS!$H$7+Title_RESULTS!$C$17),0,(+'Sheet6(p_6)'!$G18))</f>
        <v>31.58</v>
      </c>
      <c r="E18" s="5">
        <f>+'Sheet6(p_6)'!M18</f>
        <v>89.60347392315</v>
      </c>
      <c r="F18">
        <f>IF(A18&gt;=(Title_RESULTS!$H$7+Title_RESULTS!$C$17),0,(+'f-11B'!$R17))</f>
        <v>0</v>
      </c>
      <c r="G18" s="5">
        <f>IF(A18&gt;=(Title_RESULTS!$H$7+Title_RESULTS!$C$17),0,(SUM(B18:F18)))</f>
        <v>304.68427392315004</v>
      </c>
      <c r="H18" s="5">
        <f>IF(A18&gt;=(Title_RESULTS!$H$7+Title_RESULTS!$C$17),0,(+'Sheet3(F_21)'!$J18+'Sheet4(F_22)'!$H18))</f>
        <v>67.89706767110444</v>
      </c>
      <c r="I18" s="5">
        <f>IF(A18&gt;=(Title_RESULTS!$H$7+Title_RESULTS!$C$17),0,(+'Sheet4(F_22)'!$D18+'Sheet4(F_22)'!$G18))</f>
        <v>13.29326848014858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81.19033615125302</v>
      </c>
      <c r="M18" s="23">
        <f>IF(A18&gt;=(Title_RESULTS!$H$7+Title_RESULTS!$C$17),0,(+L18-G18))</f>
        <v>-223.49393777189704</v>
      </c>
      <c r="N18" s="24">
        <f>(IF(A17&gt;=(Title_RESULTS!$H$7+Title_RESULTS!$C$17),0,(+$M18/((1+Title_RESULTS!$C$37)^('Sheet9(F_25)'!$A18-Title_RESULTS!$H$7))+N17)))</f>
        <v>-603.3666815839533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108.59941039485778</v>
      </c>
      <c r="F19">
        <f>IF(A19&gt;=(Title_RESULTS!$H$7+Title_RESULTS!$C$17),0,(+'f-11B'!$R18))</f>
        <v>0</v>
      </c>
      <c r="G19" s="5">
        <f>IF(A19&gt;=(Title_RESULTS!$H$7+Title_RESULTS!$C$17),0,(SUM(B19:F19)))</f>
        <v>108.59941039485778</v>
      </c>
      <c r="H19" s="5">
        <f>IF(A19&gt;=(Title_RESULTS!$H$7+Title_RESULTS!$C$17),0,(+'Sheet3(F_21)'!$J19+'Sheet4(F_22)'!$H19))</f>
        <v>126.19976006213716</v>
      </c>
      <c r="I19" s="5">
        <f>IF(A19&gt;=(Title_RESULTS!$H$7+Title_RESULTS!$C$17),0,(+'Sheet4(F_22)'!$D19+'Sheet4(F_22)'!$G19))</f>
        <v>13.612306923672147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139.8120669858093</v>
      </c>
      <c r="M19" s="23">
        <f>IF(A19&gt;=(Title_RESULTS!$H$7+Title_RESULTS!$C$17),0,(+L19-G19))</f>
        <v>31.212656590951525</v>
      </c>
      <c r="N19" s="24">
        <f>(IF(A18&gt;=(Title_RESULTS!$H$7+Title_RESULTS!$C$17),0,(+$M19/((1+Title_RESULTS!$C$37)^('Sheet9(F_25)'!$A19-Title_RESULTS!$H$7))+N18)))</f>
        <v>-577.9449196939486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109.68540449880638</v>
      </c>
      <c r="F20">
        <f>IF(A20&gt;=(Title_RESULTS!$H$7+Title_RESULTS!$C$17),0,(+'f-11B'!$R19))</f>
        <v>0</v>
      </c>
      <c r="G20" s="5">
        <f>IF(A20&gt;=(Title_RESULTS!$H$7+Title_RESULTS!$C$17),0,(SUM(B20:F20)))</f>
        <v>109.68540449880638</v>
      </c>
      <c r="H20" s="5">
        <f>IF(A20&gt;=(Title_RESULTS!$H$7+Title_RESULTS!$C$17),0,(+'Sheet3(F_21)'!$J20+'Sheet4(F_22)'!$H20))</f>
        <v>130.63628286064488</v>
      </c>
      <c r="I20" s="5">
        <f>IF(A20&gt;=(Title_RESULTS!$H$7+Title_RESULTS!$C$17),0,(+'Sheet4(F_22)'!$D20+'Sheet4(F_22)'!$G20))</f>
        <v>13.93900228984028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144.57528515048517</v>
      </c>
      <c r="M20" s="23">
        <f>IF(A20&gt;=(Title_RESULTS!$H$7+Title_RESULTS!$C$17),0,(+L20-G20))</f>
        <v>34.889880651678794</v>
      </c>
      <c r="N20" s="24">
        <f>(IF(A19&gt;=(Title_RESULTS!$H$7+Title_RESULTS!$C$17),0,(+$M20/((1+Title_RESULTS!$C$37)^('Sheet9(F_25)'!$A20-Title_RESULTS!$H$7))+N19)))</f>
        <v>-551.4070514356966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110.78225854379443</v>
      </c>
      <c r="F21">
        <f>IF(A21&gt;=(Title_RESULTS!$H$7+Title_RESULTS!$C$17),0,(+'f-11B'!$R20))</f>
        <v>0</v>
      </c>
      <c r="G21" s="5">
        <f>IF(A21&gt;=(Title_RESULTS!$H$7+Title_RESULTS!$C$17),0,(SUM(B21:F21)))</f>
        <v>110.78225854379443</v>
      </c>
      <c r="H21" s="5">
        <f>IF(A21&gt;=(Title_RESULTS!$H$7+Title_RESULTS!$C$17),0,(+'Sheet3(F_21)'!$J21+'Sheet4(F_22)'!$H21))</f>
        <v>138.3402125448723</v>
      </c>
      <c r="I21" s="5">
        <f>IF(A21&gt;=(Title_RESULTS!$H$7+Title_RESULTS!$C$17),0,(+'Sheet4(F_22)'!$D21+'Sheet4(F_22)'!$G21))</f>
        <v>14.273538344796446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152.61375088966872</v>
      </c>
      <c r="M21" s="23">
        <f>IF(A21&gt;=(Title_RESULTS!$H$7+Title_RESULTS!$C$17),0,(+L21-G21))</f>
        <v>41.831492345874295</v>
      </c>
      <c r="N21" s="24">
        <f>(IF(A20&gt;=(Title_RESULTS!$H$7+Title_RESULTS!$C$17),0,(+$M21/((1+Title_RESULTS!$C$37)^('Sheet9(F_25)'!$A21-Title_RESULTS!$H$7))+N20)))</f>
        <v>-521.6930222347968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111.8900811292324</v>
      </c>
      <c r="F22">
        <f>IF(A22&gt;=(Title_RESULTS!$H$7+Title_RESULTS!$C$17),0,(+'f-11B'!$R21))</f>
        <v>0</v>
      </c>
      <c r="G22" s="5">
        <f>IF(A22&gt;=(Title_RESULTS!$H$7+Title_RESULTS!$C$17),0,(SUM(B22:F22)))</f>
        <v>111.8900811292324</v>
      </c>
      <c r="H22" s="5">
        <f>IF(A22&gt;=(Title_RESULTS!$H$7+Title_RESULTS!$C$17),0,(+'Sheet3(F_21)'!$J22+'Sheet4(F_22)'!$H22))</f>
        <v>142.72810117623555</v>
      </c>
      <c r="I22" s="5">
        <f>IF(A22&gt;=(Title_RESULTS!$H$7+Title_RESULTS!$C$17),0,(+'Sheet4(F_22)'!$D22+'Sheet4(F_22)'!$G22))</f>
        <v>14.616103265071562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157.3442044413071</v>
      </c>
      <c r="M22" s="23">
        <f>IF(A22&gt;=(Title_RESULTS!$H$7+Title_RESULTS!$C$17),0,(+L22-G22))</f>
        <v>45.454123312074714</v>
      </c>
      <c r="N22" s="24">
        <f>(IF(A21&gt;=(Title_RESULTS!$H$7+Title_RESULTS!$C$17),0,(+$M22/((1+Title_RESULTS!$C$37)^('Sheet9(F_25)'!$A22-Title_RESULTS!$H$7))+N21)))</f>
        <v>-491.5405371908336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113.00898194052469</v>
      </c>
      <c r="F23">
        <f>IF(A23&gt;=(Title_RESULTS!$H$7+Title_RESULTS!$C$17),0,(+'f-11B'!$R22))</f>
        <v>0</v>
      </c>
      <c r="G23" s="5">
        <f>IF(A23&gt;=(Title_RESULTS!$H$7+Title_RESULTS!$C$17),0,(SUM(B23:F23)))</f>
        <v>113.00898194052469</v>
      </c>
      <c r="H23" s="5">
        <f>IF(A23&gt;=(Title_RESULTS!$H$7+Title_RESULTS!$C$17),0,(+'Sheet3(F_21)'!$J23+'Sheet4(F_22)'!$H23))</f>
        <v>150.0455728348751</v>
      </c>
      <c r="I23" s="5">
        <f>IF(A23&gt;=(Title_RESULTS!$H$7+Title_RESULTS!$C$17),0,(+'Sheet4(F_22)'!$D23+'Sheet4(F_22)'!$G23))</f>
        <v>14.96688974343328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165.01246257830837</v>
      </c>
      <c r="M23" s="23">
        <f>IF(A23&gt;=(Title_RESULTS!$H$7+Title_RESULTS!$C$17),0,(+L23-G23))</f>
        <v>52.00348063778368</v>
      </c>
      <c r="N23" s="24">
        <f>(IF(A22&gt;=(Title_RESULTS!$H$7+Title_RESULTS!$C$17),0,(+$M23/((1+Title_RESULTS!$C$37)^('Sheet9(F_25)'!$A23-Title_RESULTS!$H$7))+N22)))</f>
        <v>-459.3243696837644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114.13907175992998</v>
      </c>
      <c r="F24">
        <f>IF(A24&gt;=(Title_RESULTS!$H$7+Title_RESULTS!$C$17),0,(+'f-11B'!$R23))</f>
        <v>0</v>
      </c>
      <c r="G24" s="5">
        <f>IF(A24&gt;=(Title_RESULTS!$H$7+Title_RESULTS!$C$17),0,(SUM(B24:F24)))</f>
        <v>114.13907175992998</v>
      </c>
      <c r="H24" s="5">
        <f>IF(A24&gt;=(Title_RESULTS!$H$7+Title_RESULTS!$C$17),0,(+'Sheet3(F_21)'!$J24+'Sheet4(F_22)'!$H24))</f>
        <v>162.015997661927</v>
      </c>
      <c r="I24" s="5">
        <f>IF(A24&gt;=(Title_RESULTS!$H$7+Title_RESULTS!$C$17),0,(+'Sheet4(F_22)'!$D24+'Sheet4(F_22)'!$G24))</f>
        <v>15.326095097275676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177.34209275920267</v>
      </c>
      <c r="M24" s="23">
        <f>IF(A24&gt;=(Title_RESULTS!$H$7+Title_RESULTS!$C$17),0,(+L24-G24))</f>
        <v>63.203020999272695</v>
      </c>
      <c r="N24" s="24">
        <f>(IF(A23&gt;=(Title_RESULTS!$H$7+Title_RESULTS!$C$17),0,(+$M24/((1+Title_RESULTS!$C$37)^('Sheet9(F_25)'!$A24-Title_RESULTS!$H$7))+N23)))</f>
        <v>-422.75891844707263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115.28046247752928</v>
      </c>
      <c r="F25">
        <f>IF(A25&gt;=(Title_RESULTS!$H$7+Title_RESULTS!$C$17),0,(+'f-11B'!$R24))</f>
        <v>0</v>
      </c>
      <c r="G25" s="5">
        <f>IF(A25&gt;=(Title_RESULTS!$H$7+Title_RESULTS!$C$17),0,(SUM(B25:F25)))</f>
        <v>115.28046247752928</v>
      </c>
      <c r="H25" s="5">
        <f>IF(A25&gt;=(Title_RESULTS!$H$7+Title_RESULTS!$C$17),0,(+'Sheet3(F_21)'!$J25+'Sheet4(F_22)'!$H25))</f>
        <v>171.5005337784968</v>
      </c>
      <c r="I25" s="5">
        <f>IF(A25&gt;=(Title_RESULTS!$H$7+Title_RESULTS!$C$17),0,(+'Sheet4(F_22)'!$D25+'Sheet4(F_22)'!$G25))</f>
        <v>15.693921379610293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187.19445515810708</v>
      </c>
      <c r="M25" s="23">
        <f>IF(A25&gt;=(Title_RESULTS!$H$7+Title_RESULTS!$C$17),0,(+L25-G25))</f>
        <v>71.91399268057779</v>
      </c>
      <c r="N25" s="24">
        <f>(IF(A24&gt;=(Title_RESULTS!$H$7+Title_RESULTS!$C$17),0,(+$M25/((1+Title_RESULTS!$C$37)^('Sheet9(F_25)'!$A25-Title_RESULTS!$H$7))+N24)))</f>
        <v>-383.9047034563798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116.43326710230457</v>
      </c>
      <c r="F26">
        <f>IF(A26&gt;=(Title_RESULTS!$H$7+Title_RESULTS!$C$17),0,(+'f-11B'!$R25))</f>
        <v>0</v>
      </c>
      <c r="G26" s="5">
        <f>IF(A26&gt;=(Title_RESULTS!$H$7+Title_RESULTS!$C$17),0,(SUM(B26:F26)))</f>
        <v>116.43326710230457</v>
      </c>
      <c r="H26" s="5">
        <f>IF(A26&gt;=(Title_RESULTS!$H$7+Title_RESULTS!$C$17),0,(+'Sheet3(F_21)'!$J26+'Sheet4(F_22)'!$H26))</f>
        <v>186.68317067071393</v>
      </c>
      <c r="I26" s="5">
        <f>IF(A26&gt;=(Title_RESULTS!$H$7+Title_RESULTS!$C$17),0,(+'Sheet4(F_22)'!$D26+'Sheet4(F_22)'!$G26))</f>
        <v>16.07057549272094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202.75374616343487</v>
      </c>
      <c r="M26" s="23">
        <f>IF(A26&gt;=(Title_RESULTS!$H$7+Title_RESULTS!$C$17),0,(+L26-G26))</f>
        <v>86.3204790611303</v>
      </c>
      <c r="N26" s="24">
        <f>(IF(A25&gt;=(Title_RESULTS!$H$7+Title_RESULTS!$C$17),0,(+$M26/((1+Title_RESULTS!$C$37)^('Sheet9(F_25)'!$A26-Title_RESULTS!$H$7))+N25)))</f>
        <v>-340.3504858343181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117.5975997733276</v>
      </c>
      <c r="F27">
        <f>IF(A27&gt;=(Title_RESULTS!$H$7+Title_RESULTS!$C$17),0,(+'f-11B'!$R26))</f>
        <v>0</v>
      </c>
      <c r="G27" s="5">
        <f>IF(A27&gt;=(Title_RESULTS!$H$7+Title_RESULTS!$C$17),0,(SUM(B27:F27)))</f>
        <v>117.5975997733276</v>
      </c>
      <c r="H27" s="5">
        <f>IF(A27&gt;=(Title_RESULTS!$H$7+Title_RESULTS!$C$17),0,(+'Sheet3(F_21)'!$J27+'Sheet4(F_22)'!$H27))</f>
        <v>187.86494893832514</v>
      </c>
      <c r="I27" s="5">
        <f>IF(A27&gt;=(Title_RESULTS!$H$7+Title_RESULTS!$C$17),0,(+'Sheet4(F_22)'!$D27+'Sheet4(F_22)'!$G27))</f>
        <v>16.456269304546247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204.3212182428714</v>
      </c>
      <c r="M27" s="23">
        <f>IF(A27&gt;=(Title_RESULTS!$H$7+Title_RESULTS!$C$17),0,(+L27-G27))</f>
        <v>86.7236184695438</v>
      </c>
      <c r="N27" s="24">
        <f>(IF(A26&gt;=(Title_RESULTS!$H$7+Title_RESULTS!$C$17),0,(+$M27/((1+Title_RESULTS!$C$37)^('Sheet9(F_25)'!$A27-Title_RESULTS!$H$7))+N26)))</f>
        <v>-299.48605988373293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118.77357577106088</v>
      </c>
      <c r="F28">
        <f>IF(A28&gt;=(Title_RESULTS!$H$7+Title_RESULTS!$C$17),0,(+'f-11B'!$R27))</f>
        <v>0</v>
      </c>
      <c r="G28" s="5">
        <f>IF(A28&gt;=(Title_RESULTS!$H$7+Title_RESULTS!$C$17),0,(SUM(B28:F28)))</f>
        <v>118.77357577106088</v>
      </c>
      <c r="H28" s="5">
        <f>IF(A28&gt;=(Title_RESULTS!$H$7+Title_RESULTS!$C$17),0,(+'Sheet3(F_21)'!$J28+'Sheet4(F_22)'!$H28))</f>
        <v>201.67389952931518</v>
      </c>
      <c r="I28" s="5">
        <f>IF(A28&gt;=(Title_RESULTS!$H$7+Title_RESULTS!$C$17),0,(+'Sheet4(F_22)'!$D28+'Sheet4(F_22)'!$G28))</f>
        <v>16.851219767855355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218.52511929717053</v>
      </c>
      <c r="M28" s="23">
        <f>IF(A28&gt;=(Title_RESULTS!$H$7+Title_RESULTS!$C$17),0,(+L28-G28))</f>
        <v>99.75154352610966</v>
      </c>
      <c r="N28" s="24">
        <f>(IF(A27&gt;=(Title_RESULTS!$H$7+Title_RESULTS!$C$17),0,(+$M28/((1+Title_RESULTS!$C$37)^('Sheet9(F_25)'!$A28-Title_RESULTS!$H$7))+N27)))</f>
        <v>-255.5906332552109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119.96131152877149</v>
      </c>
      <c r="F29">
        <f>IF(A29&gt;=(Title_RESULTS!$H$7+Title_RESULTS!$C$17),0,(+'f-11B'!$R28))</f>
        <v>0</v>
      </c>
      <c r="G29" s="5">
        <f>IF(A29&gt;=(Title_RESULTS!$H$7+Title_RESULTS!$C$17),0,(SUM(B29:F29)))</f>
        <v>119.96131152877149</v>
      </c>
      <c r="H29" s="5">
        <f>IF(A29&gt;=(Title_RESULTS!$H$7+Title_RESULTS!$C$17),0,(+'Sheet3(F_21)'!$J29+'Sheet4(F_22)'!$H29))</f>
        <v>213.47636874891134</v>
      </c>
      <c r="I29" s="5">
        <f>IF(A29&gt;=(Title_RESULTS!$H$7+Title_RESULTS!$C$17),0,(+'Sheet4(F_22)'!$D29+'Sheet4(F_22)'!$G29))</f>
        <v>17.255649042283885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230.73201779119523</v>
      </c>
      <c r="M29" s="23">
        <f>IF(A29&gt;=(Title_RESULTS!$H$7+Title_RESULTS!$C$17),0,(+L29-G29))</f>
        <v>110.77070626242374</v>
      </c>
      <c r="N29" s="24">
        <f>(IF(A28&gt;=(Title_RESULTS!$H$7+Title_RESULTS!$C$17),0,(+$M29/((1+Title_RESULTS!$C$37)^('Sheet9(F_25)'!$A29-Title_RESULTS!$H$7))+N28)))</f>
        <v>-210.06917017367024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121.16092464405922</v>
      </c>
      <c r="F30">
        <f>IF(A30&gt;=(Title_RESULTS!$H$7+Title_RESULTS!$C$17),0,(+'f-11B'!$R29))</f>
        <v>0</v>
      </c>
      <c r="G30" s="5">
        <f>IF(A30&gt;=(Title_RESULTS!$H$7+Title_RESULTS!$C$17),0,(SUM(B30:F30)))</f>
        <v>121.16092464405922</v>
      </c>
      <c r="H30" s="5">
        <f>IF(A30&gt;=(Title_RESULTS!$H$7+Title_RESULTS!$C$17),0,(+'Sheet3(F_21)'!$J30+'Sheet4(F_22)'!$H30))</f>
        <v>221.95371095489955</v>
      </c>
      <c r="I30" s="5">
        <f>IF(A30&gt;=(Title_RESULTS!$H$7+Title_RESULTS!$C$17),0,(+'Sheet4(F_22)'!$D30+'Sheet4(F_22)'!$G30))</f>
        <v>17.669784619298696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239.62349557419824</v>
      </c>
      <c r="M30" s="23">
        <f>IF(A30&gt;=(Title_RESULTS!$H$7+Title_RESULTS!$C$17),0,(+L30-G30))</f>
        <v>118.46257093013902</v>
      </c>
      <c r="N30" s="24">
        <f>(IF(A29&gt;=(Title_RESULTS!$H$7+Title_RESULTS!$C$17),0,(+$M30/((1+Title_RESULTS!$C$37)^('Sheet9(F_25)'!$A30-Title_RESULTS!$H$7))+N29)))</f>
        <v>-164.60554332880645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537.7008000000001</v>
      </c>
      <c r="D32" s="5">
        <f t="shared" si="1"/>
        <v>94.74</v>
      </c>
      <c r="E32" s="5">
        <f t="shared" si="1"/>
        <v>1537.7131962763485</v>
      </c>
      <c r="F32" s="5">
        <f t="shared" si="1"/>
        <v>0</v>
      </c>
      <c r="G32" s="5">
        <f t="shared" si="1"/>
        <v>2170.153996276349</v>
      </c>
      <c r="H32" s="5">
        <f t="shared" si="1"/>
        <v>2153.7534985521997</v>
      </c>
      <c r="I32" s="5">
        <f t="shared" si="1"/>
        <v>213.00633125069848</v>
      </c>
      <c r="J32" s="5">
        <f t="shared" si="1"/>
        <v>0</v>
      </c>
      <c r="K32" s="9">
        <f t="shared" si="1"/>
        <v>0</v>
      </c>
      <c r="L32" s="5">
        <f t="shared" si="1"/>
        <v>2366.7598298028984</v>
      </c>
      <c r="M32" s="5">
        <f t="shared" si="1"/>
        <v>196.60583352654965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502.3888206918773</v>
      </c>
      <c r="D34" s="5">
        <f>NPV(Title_RESULTS!$C$37,'Sheet9(F_25)'!D17:D31)+'Sheet9(F_25)'!D16</f>
        <v>88.61396397234901</v>
      </c>
      <c r="E34" s="5">
        <f>NPV(Title_RESULTS!$C$37,'Sheet9(F_25)'!E17:E31)+'Sheet9(F_25)'!E16</f>
        <v>930.7704494934733</v>
      </c>
      <c r="F34" s="5">
        <f>NPV(Title_RESULTS!$C$37,'Sheet9(F_25)'!F17:F31)+'Sheet9(F_25)'!F16</f>
        <v>0</v>
      </c>
      <c r="G34" s="5">
        <f>NPV(Title_RESULTS!$C$37,'Sheet9(F_25)'!G17:G31)+'Sheet9(F_25)'!G16</f>
        <v>1521.7732341576998</v>
      </c>
      <c r="H34" s="5">
        <f>NPV(Title_RESULTS!$C$37,'Sheet9(F_25)'!H17:H31)+'Sheet9(F_25)'!H16</f>
        <v>1228.15835864377</v>
      </c>
      <c r="I34" s="5">
        <f>NPV(Title_RESULTS!$C$37,'Sheet9(F_25)'!I17:I31)+'Sheet9(F_25)'!I16</f>
        <v>129.0093321851234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1357.167690828893</v>
      </c>
      <c r="M34" s="5">
        <f>NPV(Title_RESULTS!$C$37,'Sheet9(F_25)'!M17:M31)+'Sheet9(F_25)'!M16</f>
        <v>-164.6055433288064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0.8918330670864271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327.1546845827439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19.0838784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40.486502400000006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1.885912824242321</v>
      </c>
      <c r="P24" s="48">
        <f aca="true" t="shared" si="4" ref="P24:P61">N24*$L$5</f>
        <v>4.000969430033548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1.9311747320241368</v>
      </c>
      <c r="P25" s="48">
        <f t="shared" si="4"/>
        <v>4.096992696354352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45.01342971395741</v>
      </c>
      <c r="E26" s="11">
        <f>IF(B26=Title_RESULTS!$H$8,$F$16,+E25*(1+$F$7))</f>
        <v>0.09882230355451863</v>
      </c>
      <c r="F26" s="9">
        <f t="shared" si="1"/>
        <v>32.33017954911872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2.6257634675894237</v>
      </c>
      <c r="L26" s="5">
        <f t="shared" si="3"/>
        <v>5.57056467790067</v>
      </c>
      <c r="N26" s="11">
        <f>IF(+B26=Title_RESULTS!$H$9,'Value of Defferal'!$O$16,+'Value of Defferal'!N25*(1+'Value of Defferal'!$F$7))</f>
        <v>0.10362269577198292</v>
      </c>
      <c r="O26" s="5">
        <f t="shared" si="7"/>
        <v>1.9775229255927163</v>
      </c>
      <c r="P26" s="48">
        <f t="shared" si="4"/>
        <v>4.195320521066857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43.684188350764224</v>
      </c>
      <c r="E27" s="11">
        <f>IF(B27=Title_RESULTS!$H$8,$F$16,+E26*(1+$F$7))</f>
        <v>0.10119403883982707</v>
      </c>
      <c r="F27" s="9">
        <f t="shared" si="1"/>
        <v>33.106103858297566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2.5482249766710305</v>
      </c>
      <c r="L27" s="5">
        <f t="shared" si="3"/>
        <v>5.406066548492137</v>
      </c>
      <c r="N27" s="11">
        <f>IF(+B27=Title_RESULTS!$H$9,'Value of Defferal'!$O$16,+'Value of Defferal'!N26*(1+'Value of Defferal'!$F$7))</f>
        <v>0.10610964047051051</v>
      </c>
      <c r="O27" s="5">
        <f t="shared" si="7"/>
        <v>2.024983475806941</v>
      </c>
      <c r="P27" s="48">
        <f t="shared" si="4"/>
        <v>4.2960082135724615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42.216715580076304</v>
      </c>
      <c r="E28" s="11">
        <f>IF(B28=Title_RESULTS!$H$8,$F$16,+E27*(1+$F$7))</f>
        <v>0.10362269577198292</v>
      </c>
      <c r="F28" s="9">
        <f t="shared" si="1"/>
        <v>33.900650350896704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2.462623048192344</v>
      </c>
      <c r="L28" s="5">
        <f t="shared" si="3"/>
        <v>5.224461813324836</v>
      </c>
      <c r="N28" s="11">
        <f>IF(+B28=Title_RESULTS!$H$9,'Value of Defferal'!$O$16,+'Value of Defferal'!N27*(1+'Value of Defferal'!$F$7))</f>
        <v>0.10865627184180277</v>
      </c>
      <c r="O28" s="5">
        <f t="shared" si="7"/>
        <v>2.073583079226308</v>
      </c>
      <c r="P28" s="48">
        <f t="shared" si="4"/>
        <v>4.3991124106982005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40.81952666587515</v>
      </c>
      <c r="E29" s="11">
        <f>IF(B29=Title_RESULTS!$H$8,$F$16,+E28*(1+$F$7))</f>
        <v>0.10610964047051051</v>
      </c>
      <c r="F29" s="9">
        <f t="shared" si="1"/>
        <v>34.714265959318226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2.381120980219666</v>
      </c>
      <c r="L29" s="5">
        <f t="shared" si="3"/>
        <v>5.051554943902486</v>
      </c>
      <c r="N29" s="11">
        <f>IF(+B29=Title_RESULTS!$H$9,'Value of Defferal'!$O$16,+'Value of Defferal'!N28*(1+'Value of Defferal'!$F$7))</f>
        <v>0.11126402236600604</v>
      </c>
      <c r="O29" s="5">
        <f t="shared" si="7"/>
        <v>2.1233490731277396</v>
      </c>
      <c r="P29" s="48">
        <f t="shared" si="4"/>
        <v>4.504691108554958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39.48557375329976</v>
      </c>
      <c r="E30" s="11">
        <f>IF(B30=Title_RESULTS!$H$8,$F$16,+E29*(1+$F$7))</f>
        <v>0.10865627184180277</v>
      </c>
      <c r="F30" s="9">
        <f t="shared" si="1"/>
        <v>35.54740834234186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2.303307651006964</v>
      </c>
      <c r="L30" s="5">
        <f t="shared" si="3"/>
        <v>4.8864737442695</v>
      </c>
      <c r="N30" s="11">
        <f>IF(+B30=Title_RESULTS!$H$9,'Value of Defferal'!$O$16,+'Value of Defferal'!N29*(1+'Value of Defferal'!$F$7))</f>
        <v>0.11393435890279018</v>
      </c>
      <c r="O30" s="5">
        <f t="shared" si="7"/>
        <v>2.174309450882805</v>
      </c>
      <c r="P30" s="48">
        <f t="shared" si="4"/>
        <v>4.612803695160276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38.208587755982045</v>
      </c>
      <c r="E31" s="11">
        <f>IF(B31=Title_RESULTS!$H$8,$F$16,+E30*(1+$F$7))</f>
        <v>0.11126402236600604</v>
      </c>
      <c r="F31" s="9">
        <f t="shared" si="1"/>
        <v>36.40054614255807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2.2288173666254476</v>
      </c>
      <c r="L31" s="5">
        <f t="shared" si="3"/>
        <v>4.7284423937139985</v>
      </c>
      <c r="N31" s="11">
        <f>IF(+B31=Title_RESULTS!$H$9,'Value of Defferal'!$O$16,+'Value of Defferal'!N30*(1+'Value of Defferal'!$F$7))</f>
        <v>0.11666878351645714</v>
      </c>
      <c r="O31" s="5">
        <f t="shared" si="7"/>
        <v>2.2264928777039925</v>
      </c>
      <c r="P31" s="48">
        <f t="shared" si="4"/>
        <v>4.723510983844123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36.97135789022832</v>
      </c>
      <c r="E32" s="11">
        <f>IF(B32=Title_RESULTS!$H$8,$F$16,+E31*(1+$F$7))</f>
        <v>0.11393435890279018</v>
      </c>
      <c r="F32" s="9">
        <f t="shared" si="1"/>
        <v>37.27415924997946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2.156646172314089</v>
      </c>
      <c r="L32" s="5">
        <f t="shared" si="3"/>
        <v>4.575330999349964</v>
      </c>
      <c r="N32" s="11">
        <f>IF(+B32=Title_RESULTS!$H$9,'Value of Defferal'!$O$16,+'Value of Defferal'!N31*(1+'Value of Defferal'!$F$7))</f>
        <v>0.11946883432085212</v>
      </c>
      <c r="O32" s="5">
        <f t="shared" si="7"/>
        <v>2.2799287067688883</v>
      </c>
      <c r="P32" s="48">
        <f t="shared" si="4"/>
        <v>4.8368752474563825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35.74686088933397</v>
      </c>
      <c r="E33" s="11">
        <f>IF(B33=Title_RESULTS!$H$8,$F$16,+E32*(1+$F$7))</f>
        <v>0.11666878351645714</v>
      </c>
      <c r="F33" s="9">
        <f t="shared" si="1"/>
        <v>38.16873907197897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2.0852177228146225</v>
      </c>
      <c r="L33" s="5">
        <f t="shared" si="3"/>
        <v>4.423795340220611</v>
      </c>
      <c r="N33" s="11">
        <f>IF(+B33=Title_RESULTS!$H$9,'Value of Defferal'!$O$16,+'Value of Defferal'!N32*(1+'Value of Defferal'!$F$7))</f>
        <v>0.12233608634455258</v>
      </c>
      <c r="O33" s="5">
        <f t="shared" si="7"/>
        <v>2.334646995731342</v>
      </c>
      <c r="P33" s="48">
        <f t="shared" si="4"/>
        <v>4.952960253395336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34.52236388843962</v>
      </c>
      <c r="E34" s="11">
        <f>IF(B34=Title_RESULTS!$H$8,$F$16,+E33*(1+$F$7))</f>
        <v>0.11946883432085212</v>
      </c>
      <c r="F34" s="9">
        <f t="shared" si="1"/>
        <v>39.08478880970647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2.013789273315156</v>
      </c>
      <c r="L34" s="5">
        <f t="shared" si="3"/>
        <v>4.272259681091257</v>
      </c>
      <c r="N34" s="11">
        <f>IF(+B34=Title_RESULTS!$H$9,'Value of Defferal'!$O$16,+'Value of Defferal'!N33*(1+'Value of Defferal'!$F$7))</f>
        <v>0.12527215241682185</v>
      </c>
      <c r="O34" s="5">
        <f t="shared" si="7"/>
        <v>2.3906785236288943</v>
      </c>
      <c r="P34" s="48">
        <f t="shared" si="4"/>
        <v>5.071831299476824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33.29786688754527</v>
      </c>
      <c r="E35" s="11">
        <f>IF(B35=Title_RESULTS!$H$8,$F$16,+E34*(1+$F$7))</f>
        <v>0.12233608634455258</v>
      </c>
      <c r="F35" s="9">
        <f t="shared" si="1"/>
        <v>40.022823741139426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1.942360823815689</v>
      </c>
      <c r="L35" s="5">
        <f t="shared" si="3"/>
        <v>4.1207240219619035</v>
      </c>
      <c r="N35" s="11">
        <f>IF(+B35=Title_RESULTS!$H$9,'Value of Defferal'!$O$16,+'Value of Defferal'!N34*(1+'Value of Defferal'!$F$7))</f>
        <v>0.12827868407482557</v>
      </c>
      <c r="O35" s="5">
        <f t="shared" si="7"/>
        <v>2.4480548081959874</v>
      </c>
      <c r="P35" s="48">
        <f t="shared" si="4"/>
        <v>5.193555250664268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32.07336988665092</v>
      </c>
      <c r="E36" s="11">
        <f>IF(B36=Title_RESULTS!$H$8,$F$16,+E35*(1+$F$7))</f>
        <v>0.12527215241682185</v>
      </c>
      <c r="F36" s="9">
        <f t="shared" si="1"/>
        <v>40.98337151092677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1.8709323743162227</v>
      </c>
      <c r="L36" s="5">
        <f t="shared" si="3"/>
        <v>3.96918836283255</v>
      </c>
      <c r="N36" s="11">
        <f>IF(+B36=Title_RESULTS!$H$9,'Value of Defferal'!$O$16,+'Value of Defferal'!N35*(1+'Value of Defferal'!$F$7))</f>
        <v>0.1313573724926214</v>
      </c>
      <c r="O36" s="5">
        <f t="shared" si="7"/>
        <v>2.5068081235926916</v>
      </c>
      <c r="P36" s="48">
        <f t="shared" si="4"/>
        <v>5.31820057668021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30.84887288575657</v>
      </c>
      <c r="E37" s="11">
        <f>IF(B37&gt;Title_RESULTS!$H$8-1+Title_RESULTS!$C$18,0,+E36*(1+$F$7))</f>
        <v>0.12827868407482557</v>
      </c>
      <c r="F37" s="9">
        <f t="shared" si="1"/>
        <v>41.96697242718901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1.799503924816756</v>
      </c>
      <c r="L37" s="5">
        <f t="shared" si="3"/>
        <v>3.817652703703196</v>
      </c>
      <c r="N37" s="11">
        <f>IF(+B37=Title_RESULTS!$H$9,'Value of Defferal'!$O$16,+'Value of Defferal'!N36*(1+'Value of Defferal'!$F$7))</f>
        <v>0.1345099494324443</v>
      </c>
      <c r="O37" s="5">
        <f t="shared" si="7"/>
        <v>2.566971518558916</v>
      </c>
      <c r="P37" s="48">
        <f t="shared" si="4"/>
        <v>5.445837390520535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29.624375884862218</v>
      </c>
      <c r="E38" s="11">
        <f>IF(B38&gt;Title_RESULTS!$H$8-1+Title_RESULTS!$C$18,0,+E37*(1+$F$7))</f>
        <v>0.1313573724926214</v>
      </c>
      <c r="F38" s="9">
        <f t="shared" si="1"/>
        <v>42.974179765441555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1.728075475317289</v>
      </c>
      <c r="L38" s="5">
        <f t="shared" si="3"/>
        <v>3.6661170445738414</v>
      </c>
      <c r="N38" s="11">
        <f>IF(+B38=Title_RESULTS!$H$9,'Value of Defferal'!$O$16,+'Value of Defferal'!N37*(1+'Value of Defferal'!$F$7))</f>
        <v>0.13773818821882297</v>
      </c>
      <c r="O38" s="5">
        <f t="shared" si="7"/>
        <v>2.62857883500433</v>
      </c>
      <c r="P38" s="48">
        <f t="shared" si="4"/>
        <v>5.576537487893029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28.399878883967865</v>
      </c>
      <c r="E39" s="11">
        <f>IF(B39&gt;Title_RESULTS!$H$8-1+Title_RESULTS!$C$18,0,+E38*(1+$F$7))</f>
        <v>0.1345099494324443</v>
      </c>
      <c r="F39" s="9">
        <f t="shared" si="1"/>
        <v>44.00556007981215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1.656647025817822</v>
      </c>
      <c r="L39" s="5">
        <f t="shared" si="3"/>
        <v>3.514581385444487</v>
      </c>
      <c r="N39" s="11">
        <f>IF(+B39&gt;Title_RESULTS!$H$9+Title_RESULTS!$C$19-1,0,+'Value of Defferal'!N38*(1+'Value of Defferal'!$F$7))</f>
        <v>0.14104390473607473</v>
      </c>
      <c r="O39" s="5">
        <f t="shared" si="7"/>
        <v>2.6916647270444343</v>
      </c>
      <c r="P39" s="48">
        <f t="shared" si="4"/>
        <v>5.710374387602462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27.175381883073523</v>
      </c>
      <c r="E40" s="11">
        <f>IF(B40&gt;Title_RESULTS!$H$8-1+Title_RESULTS!$C$18,0,+E39*(1+$F$7))</f>
        <v>0.13773818821882297</v>
      </c>
      <c r="F40" s="9">
        <f t="shared" si="1"/>
        <v>45.06169352172765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1.585218576318356</v>
      </c>
      <c r="L40" s="5">
        <f t="shared" si="3"/>
        <v>3.3630457263151348</v>
      </c>
      <c r="N40" s="11">
        <f>IF(+B40&gt;Title_RESULTS!$H$9+Title_RESULTS!$C$19-1,0,+'Value of Defferal'!N39*(1+'Value of Defferal'!$F$7))</f>
        <v>0.14442895844974052</v>
      </c>
      <c r="O40" s="5">
        <f t="shared" si="7"/>
        <v>2.7562646804935005</v>
      </c>
      <c r="P40" s="48">
        <f t="shared" si="4"/>
        <v>5.84742337290492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26.06587005016</v>
      </c>
      <c r="E41" s="11">
        <f>IF(B41&gt;Title_RESULTS!$H$8-1+Title_RESULTS!$C$18,0,+E40*(1+$F$7))</f>
        <v>0.14104390473607473</v>
      </c>
      <c r="F41" s="9">
        <f t="shared" si="1"/>
        <v>46.14317416624911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1.5204975440345359</v>
      </c>
      <c r="L41" s="5">
        <f t="shared" si="3"/>
        <v>3.225739871919764</v>
      </c>
      <c r="N41" s="11">
        <f>IF(+B41&gt;Title_RESULTS!$H$9+Title_RESULTS!$C$19-1,0,+'Value of Defferal'!N40*(1+'Value of Defferal'!$F$7))</f>
        <v>0.1478952534525343</v>
      </c>
      <c r="O41" s="5">
        <f t="shared" si="7"/>
        <v>2.8224150328253446</v>
      </c>
      <c r="P41" s="48">
        <f t="shared" si="4"/>
        <v>5.987761533854639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25.186289614783504</v>
      </c>
      <c r="E42" s="11">
        <f>IF(B42&gt;Title_RESULTS!$H$8-1+Title_RESULTS!$C$18,0,+E41*(1+$F$7))</f>
        <v>0.14442895844974052</v>
      </c>
      <c r="F42" s="9">
        <f t="shared" si="1"/>
        <v>47.250610346239085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1.4691890747911476</v>
      </c>
      <c r="L42" s="5">
        <f t="shared" si="3"/>
        <v>3.116888808230175</v>
      </c>
      <c r="N42" s="11">
        <f>IF(+B42&gt;Title_RESULTS!$H$9+Title_RESULTS!$C$19-1,0,+'Value of Defferal'!N41*(1+'Value of Defferal'!$F$7))</f>
        <v>0.1514447395353951</v>
      </c>
      <c r="O42" s="5">
        <f t="shared" si="7"/>
        <v>2.8901529936131527</v>
      </c>
      <c r="P42" s="48">
        <f t="shared" si="4"/>
        <v>6.13146781066715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24.421655408963197</v>
      </c>
      <c r="E43" s="11">
        <f>IF(B43&gt;Title_RESULTS!$H$8-1+Title_RESULTS!$C$18,0,+E42*(1+$F$7))</f>
        <v>0.1478952534525343</v>
      </c>
      <c r="F43" s="9">
        <f t="shared" si="1"/>
        <v>48.38462499454882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1.424585751372544</v>
      </c>
      <c r="L43" s="5">
        <f t="shared" si="3"/>
        <v>3.022262730512385</v>
      </c>
      <c r="N43" s="11">
        <f>IF(+B43&gt;Title_RESULTS!$H$9+Title_RESULTS!$C$19-1,0,+'Value of Defferal'!N42*(1+'Value of Defferal'!$F$7))</f>
        <v>0.1550794132842446</v>
      </c>
      <c r="O43" s="5">
        <f t="shared" si="7"/>
        <v>2.9595166654598684</v>
      </c>
      <c r="P43" s="48">
        <f t="shared" si="4"/>
        <v>6.278623038123162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23.657021203142893</v>
      </c>
      <c r="E44" s="11">
        <f>IF(B44&gt;Title_RESULTS!$H$8-1+Title_RESULTS!$C$18,0,+E43*(1+$F$7))</f>
        <v>0.1514447395353951</v>
      </c>
      <c r="F44" s="9">
        <f t="shared" si="1"/>
        <v>49.545855994418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1.379982427953941</v>
      </c>
      <c r="L44" s="5">
        <f t="shared" si="3"/>
        <v>2.9276366527945945</v>
      </c>
      <c r="N44" s="11">
        <f>IF(+B44&gt;Title_RESULTS!$H$9+Title_RESULTS!$C$19-1,0,+'Value of Defferal'!N43*(1+'Value of Defferal'!$F$7))</f>
        <v>0.15880131920306648</v>
      </c>
      <c r="O44" s="5">
        <f t="shared" si="7"/>
        <v>3.0305450654309056</v>
      </c>
      <c r="P44" s="48">
        <f t="shared" si="4"/>
        <v>6.429309991038118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22.89238699732258</v>
      </c>
      <c r="E45" s="11">
        <f>IF(B45&gt;Title_RESULTS!$H$8-1+Title_RESULTS!$C$18,0,+E44*(1+$F$7))</f>
        <v>0.1550794132842446</v>
      </c>
      <c r="F45" s="9">
        <f t="shared" si="1"/>
        <v>50.73495653828403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1.335379104535337</v>
      </c>
      <c r="L45" s="5">
        <f t="shared" si="3"/>
        <v>2.833010575076803</v>
      </c>
      <c r="N45" s="11">
        <f>IF(+B45&gt;Title_RESULTS!$H$9+Title_RESULTS!$C$19-1,0,+'Value of Defferal'!N44*(1+'Value of Defferal'!$F$7))</f>
        <v>0.16261255086394008</v>
      </c>
      <c r="O45" s="5">
        <f t="shared" si="7"/>
        <v>3.1032781470012476</v>
      </c>
      <c r="P45" s="48">
        <f t="shared" si="4"/>
        <v>6.583613430823033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22.12775279150227</v>
      </c>
      <c r="E46" s="11">
        <f>IF(B46&gt;Title_RESULTS!$H$8-1+Title_RESULTS!$C$18,0,+E45*(1+$F$7))</f>
        <v>0.15880131920306648</v>
      </c>
      <c r="F46" s="9">
        <f t="shared" si="1"/>
        <v>51.95259549520285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1.2907757811167335</v>
      </c>
      <c r="L46" s="5">
        <f t="shared" si="3"/>
        <v>2.7383844973590126</v>
      </c>
      <c r="N46" s="11">
        <f>IF(+B46&gt;Title_RESULTS!$H$9+Title_RESULTS!$C$19-1,0,+'Value of Defferal'!N45*(1+'Value of Defferal'!$F$7))</f>
        <v>0.16651525208467466</v>
      </c>
      <c r="O46" s="5">
        <f t="shared" si="7"/>
        <v>3.1777568225292776</v>
      </c>
      <c r="P46" s="48">
        <f t="shared" si="4"/>
        <v>6.741620153162787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21.363118585681967</v>
      </c>
      <c r="E47" s="11">
        <f>IF(B47&gt;Title_RESULTS!$H$8-1+Title_RESULTS!$C$18,0,+E46*(1+$F$7))</f>
        <v>0.16261255086394008</v>
      </c>
      <c r="F47" s="9">
        <f t="shared" si="1"/>
        <v>53.199457787087724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1.2461724576981303</v>
      </c>
      <c r="L47" s="5">
        <f t="shared" si="3"/>
        <v>2.6437584196412223</v>
      </c>
      <c r="N47" s="11">
        <f>IF(+B47&gt;Title_RESULTS!$H$9+Title_RESULTS!$C$19-1,0,+'Value of Defferal'!N46*(1+'Value of Defferal'!$F$7))</f>
        <v>0.17051161813470686</v>
      </c>
      <c r="O47" s="5">
        <f t="shared" si="7"/>
        <v>3.2540229862699803</v>
      </c>
      <c r="P47" s="48">
        <f t="shared" si="4"/>
        <v>6.903419036838694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20.59848437986166</v>
      </c>
      <c r="E48" s="11">
        <f>IF(B48&gt;Title_RESULTS!$H$8-1+Title_RESULTS!$C$18,0,+E47*(1+$F$7))</f>
        <v>0.16651525208467466</v>
      </c>
      <c r="F48" s="9">
        <f t="shared" si="1"/>
        <v>54.47624477397783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1.201569134279527</v>
      </c>
      <c r="L48" s="5">
        <f t="shared" si="3"/>
        <v>2.549132341923432</v>
      </c>
      <c r="N48" s="11">
        <f>IF(+B48&gt;Title_RESULTS!$H$9+Title_RESULTS!$C$19-1,0,+'Value of Defferal'!N47*(1+'Value of Defferal'!$F$7))</f>
        <v>0.17460389696993983</v>
      </c>
      <c r="O48" s="5">
        <f t="shared" si="7"/>
        <v>3.3321195379404602</v>
      </c>
      <c r="P48" s="48">
        <f t="shared" si="4"/>
        <v>7.069101093722823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19.833850174041345</v>
      </c>
      <c r="E49" s="11">
        <f>IF(B49&gt;Title_RESULTS!$H$8-1+Title_RESULTS!$C$18,0,+E48*(1+$F$7))</f>
        <v>0.17051161813470686</v>
      </c>
      <c r="F49" s="9">
        <f t="shared" si="1"/>
        <v>55.7836746485533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1.156965810860923</v>
      </c>
      <c r="L49" s="5">
        <f t="shared" si="3"/>
        <v>2.4545062642056403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19.069215968221037</v>
      </c>
      <c r="E50" s="11">
        <f>IF(B50&gt;Title_RESULTS!$H$8-1+Title_RESULTS!$C$18,0,+E49*(1+$F$7))</f>
        <v>0.17460389696993983</v>
      </c>
      <c r="F50" s="9">
        <f t="shared" si="1"/>
        <v>57.122482840118586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1.1123624874423197</v>
      </c>
      <c r="L50" s="5">
        <f t="shared" si="3"/>
        <v>2.35988018648785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18.304581762400733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1.0677591640237163</v>
      </c>
      <c r="L51" s="5">
        <f t="shared" si="3"/>
        <v>2.2652541087700597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781.6085777358943</v>
      </c>
      <c r="F63" s="9">
        <f>SUM(F23:F61)</f>
        <v>1090.1351199651122</v>
      </c>
      <c r="J63" t="s">
        <v>87</v>
      </c>
      <c r="K63" s="9">
        <f>SUM(K23:K61)</f>
        <v>45.59348759725973</v>
      </c>
      <c r="O63" s="9">
        <f>SUM(O23:O61)</f>
        <v>63.59073260869617</v>
      </c>
    </row>
    <row r="64" spans="3:15" ht="12.75">
      <c r="C64" t="s">
        <v>89</v>
      </c>
      <c r="D64" s="9">
        <f>NPV(+Title_RESULTS!$C$37,'Value of Defferal'!D24:D61)+'Value of Defferal'!D23</f>
        <v>348.9929570470154</v>
      </c>
      <c r="F64" s="9">
        <f>NPV(+Title_RESULTS!$C$37,'Value of Defferal'!F24:F61)+'Value of Defferal'!F23</f>
        <v>405.3618946217734</v>
      </c>
      <c r="J64" t="s">
        <v>89</v>
      </c>
      <c r="K64" s="9">
        <f>NPV(+Title_RESULTS!$C$37,'Value of Defferal'!K24:K61)+'Value of Defferal'!K23</f>
        <v>20.357767956879687</v>
      </c>
      <c r="O64" s="9">
        <f>NPV(+Title_RESULTS!$C$37,'Value of Defferal'!O24:O61)+'Value of Defferal'!O23</f>
        <v>27.112723393649617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0.17867472489675953</v>
      </c>
      <c r="C25" t="s">
        <v>372</v>
      </c>
    </row>
    <row r="26" spans="2:3" ht="18">
      <c r="B26" s="15">
        <f>+((Input!$C$6*'EUE_Line Losses'!C4)+(Input!$C$7*'EUE_Line Losses'!C3))/'EUE_Line Losses'!C22</f>
        <v>0.17809835481644742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0.16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0.16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867.07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175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149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31.58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High Bay LED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43599.321942476854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0.16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0.17809835481644742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914.6308016877638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867.07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175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149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31.58</v>
      </c>
      <c r="D39" s="13" t="s">
        <v>189</v>
      </c>
      <c r="G39" s="20" t="s">
        <v>346</v>
      </c>
      <c r="H39" s="79">
        <f>+'Sheet7(F_23)'!H36</f>
        <v>1.4597409664555363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1313.739623476738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0.8918330670864271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2019-05-14T11:43:37Z</dcterms:created>
  <dcterms:modified xsi:type="dcterms:W3CDTF">2019-05-14T11:43:43Z</dcterms:modified>
  <cp:category/>
  <cp:version/>
  <cp:contentType/>
  <cp:contentStatus/>
</cp:coreProperties>
</file>