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'Sheet2(F_12)'!$A$1:$K$45</definedName>
    <definedName name="_xlnm.Print_Area" localSheetId="11">'Sheet3(F_21)'!$A$1:$J$34</definedName>
    <definedName name="_xlnm.Print_Area" localSheetId="14">'Sheet4(F_22)'!$A$1:$J$34</definedName>
    <definedName name="_xlnm.Print_Area" localSheetId="12">'Sheet5(p_5)'!$A$1:$H$34</definedName>
    <definedName name="_xlnm.Print_Area" localSheetId="15">'Sheet6(p_6)'!$A$1:$R$34</definedName>
    <definedName name="_xlnm.Print_Area" localSheetId="16">'Sheet7(F_23)'!$A$1:$M$34</definedName>
    <definedName name="_xlnm.Print_Area" localSheetId="17">'Sheet8(F_24)'!$A$1:$M$34</definedName>
    <definedName name="_xlnm.Print_Area" localSheetId="18">'Sheet9(F_25)'!$A$1:$N$34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<sst xmlns="http://schemas.openxmlformats.org/spreadsheetml/2006/main" count="1258" uniqueCount="468">
  <si>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</si>
  <si>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</si>
  <si>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</si>
  <si>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</si>
  <si>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</si>
  <si>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</si>
  <si>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</si>
  <si>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</si>
  <si>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</si>
  <si>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</si>
  <si>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</si>
  <si>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</si>
  <si>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</si>
  <si>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</si>
  <si>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</si>
  <si>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</si>
  <si>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</si>
  <si>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</si>
  <si>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</si>
  <si>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</si>
  <si>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</si>
  <si>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</si>
  <si>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</si>
  <si>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</si>
  <si>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</si>
  <si>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</si>
  <si>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</si>
  <si>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</si>
  <si>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</si>
  <si>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</si>
  <si>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</si>
  <si>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</si>
  <si>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</si>
  <si>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</si>
  <si>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</si>
  <si>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</si>
  <si>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</si>
  <si>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</si>
  <si>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</si>
  <si>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</si>
  <si>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</si>
  <si>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</si>
  <si>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</si>
  <si>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</si>
  <si>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</si>
  <si>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</si>
  <si>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</si>
  <si>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</si>
  <si>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</si>
  <si>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</si>
  <si>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</si>
  <si>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</si>
  <si>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</si>
  <si>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</si>
  <si>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</si>
  <si>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</si>
  <si>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</si>
  <si>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</si>
  <si>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</si>
  <si>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</si>
  <si>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</si>
  <si>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</si>
  <si>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</si>
  <si>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</si>
  <si>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</si>
  <si>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</si>
  <si>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</si>
  <si>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</si>
  <si>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</si>
  <si>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</si>
  <si>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</si>
  <si>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</si>
  <si>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</si>
  <si>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</si>
  <si>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</si>
  <si>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</si>
  <si>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</si>
  <si>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</si>
  <si>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</si>
  <si>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</si>
  <si>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</si>
  <si>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</si>
  <si>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</si>
  <si>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</si>
  <si>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</si>
  <si>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</si>
  <si>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</si>
  <si>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</si>
  <si>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</si>
  <si>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</si>
  <si>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</si>
  <si>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</si>
  <si>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</si>
  <si>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</si>
  <si>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</si>
  <si>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</si>
  <si>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</si>
  <si>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</si>
  <si>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</si>
  <si>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</si>
  <si>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</si>
  <si>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</si>
  <si>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</si>
  <si>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</si>
  <si>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</si>
  <si>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</si>
  <si>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</si>
  <si>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</si>
  <si>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</si>
  <si>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</si>
  <si>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</si>
  <si>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</si>
  <si>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</si>
  <si>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</si>
  <si>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</si>
  <si>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</si>
  <si>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</si>
  <si>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</si>
  <si>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</si>
  <si>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</si>
  <si>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</si>
  <si>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</si>
  <si>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</si>
  <si>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</si>
  <si>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</si>
  <si>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</si>
  <si>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</si>
  <si>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</si>
  <si>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</si>
  <si>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</si>
  <si>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</si>
  <si>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</si>
  <si>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</si>
  <si>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</si>
  <si>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</si>
  <si>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</si>
  <si>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</si>
  <si>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</si>
  <si>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</si>
  <si>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</si>
  <si>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</si>
  <si>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</si>
  <si>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</si>
  <si>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</si>
  <si>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</si>
  <si>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</si>
  <si>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</si>
  <si>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</si>
  <si>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</si>
  <si>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</si>
  <si>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</si>
  <si>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</si>
  <si>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</si>
  <si>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</si>
  <si>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</si>
  <si>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</si>
  <si>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</si>
  <si>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</si>
  <si>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</si>
  <si>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</si>
  <si>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</si>
  <si>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</si>
  <si>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</si>
  <si>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</si>
  <si>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</si>
  <si>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</si>
  <si>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</si>
  <si>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</si>
  <si>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</si>
  <si>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</si>
  <si>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</si>
  <si>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</si>
  <si>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</si>
  <si>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</si>
  <si>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</si>
  <si>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</si>
  <si>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</si>
  <si>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</si>
  <si>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</si>
  <si>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</si>
  <si>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</si>
  <si>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</si>
  <si>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</si>
  <si>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</si>
  <si>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</si>
  <si>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</si>
  <si>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</si>
  <si>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</si>
  <si>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</si>
  <si>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</si>
  <si>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</si>
  <si>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</si>
  <si>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</si>
  <si>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</si>
  <si>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</si>
  <si>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</si>
  <si>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</si>
  <si>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</si>
  <si>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</si>
  <si>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</si>
  <si>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</si>
  <si>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</si>
  <si>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</si>
  <si>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</si>
  <si>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</si>
  <si>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</si>
  <si>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</si>
  <si>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</si>
  <si>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</si>
  <si>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</si>
  <si>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</si>
  <si>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</si>
  <si>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</si>
  <si>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</si>
  <si>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</si>
  <si>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</si>
  <si>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</si>
  <si>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</si>
  <si>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</si>
  <si>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</si>
  <si>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</si>
  <si>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</si>
  <si>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</si>
  <si>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</si>
  <si>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</si>
  <si>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</si>
  <si>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</si>
  <si>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</si>
  <si>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</si>
  <si>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</si>
  <si>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</si>
  <si>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</si>
  <si>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</si>
  <si>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</si>
  <si>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</si>
  <si>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</si>
  <si>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</si>
  <si>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</si>
  <si>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</si>
  <si>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</si>
  <si>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</si>
  <si>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</si>
  <si>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</si>
  <si>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</si>
  <si>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</si>
  <si>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</si>
  <si>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</si>
  <si>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</si>
  <si>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</si>
  <si>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</si>
  <si>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</si>
  <si>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</si>
  <si>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</si>
  <si>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</si>
  <si>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</si>
  <si>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</si>
  <si>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</si>
  <si>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</si>
  <si>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</si>
  <si>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</si>
  <si>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</si>
  <si>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</si>
  <si>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</si>
  <si>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</si>
  <si>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</si>
  <si>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</si>
  <si>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</si>
  <si>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</si>
  <si>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</si>
  <si>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</si>
  <si>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</si>
  <si>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</si>
  <si>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</si>
  <si>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</si>
  <si>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</si>
  <si>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</si>
  <si>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</si>
  <si>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</si>
  <si>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</si>
  <si>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</si>
  <si>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</si>
  <si>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</si>
  <si>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</si>
  <si>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</si>
  <si>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</si>
  <si>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</si>
  <si>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</si>
  <si>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</si>
  <si>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</si>
  <si>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</si>
  <si>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</si>
  <si>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</si>
  <si>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</si>
  <si>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</si>
  <si>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</si>
  <si>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</si>
  <si>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</si>
  <si>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</si>
  <si>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</si>
  <si>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</si>
  <si>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</si>
  <si>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</si>
  <si>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</si>
  <si>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</si>
  <si>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</si>
  <si>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</si>
  <si>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</si>
  <si>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</si>
  <si>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</si>
  <si>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</si>
  <si>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</si>
  <si>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</si>
  <si>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</si>
  <si>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</si>
  <si>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</si>
  <si>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</si>
  <si>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</si>
  <si>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</si>
  <si>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</si>
  <si>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</si>
  <si>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</si>
  <si>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</si>
  <si>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</si>
  <si>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</si>
  <si>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</si>
  <si>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</si>
  <si>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</si>
  <si>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</si>
  <si>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</si>
  <si>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</si>
  <si>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</si>
  <si>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</si>
  <si>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</si>
  <si>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</si>
  <si>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</si>
  <si>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</si>
  <si>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</si>
  <si>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</si>
  <si>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</si>
  <si>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</si>
  <si>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</si>
  <si>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</si>
  <si>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</si>
  <si>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</si>
  <si>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</si>
  <si>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</si>
  <si>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</si>
  <si>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</si>
  <si>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</si>
  <si>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</si>
  <si>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</si>
  <si>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</si>
  <si>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</si>
  <si>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</si>
  <si>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</si>
  <si>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</si>
  <si>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</si>
  <si>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</si>
  <si>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</si>
  <si>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</si>
  <si>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</si>
  <si>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</si>
  <si>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</si>
  <si>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</si>
  <si>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</si>
  <si>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</si>
  <si>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</si>
  <si>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</si>
  <si>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</si>
  <si>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</si>
  <si>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</si>
  <si>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</si>
  <si>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</si>
  <si>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</si>
  <si>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</si>
  <si>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</si>
  <si>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</si>
  <si>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</si>
  <si>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</si>
  <si>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</si>
  <si>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</si>
  <si>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</si>
  <si>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</si>
  <si>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</si>
  <si>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</si>
  <si>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</si>
  <si>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</si>
  <si>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</si>
  <si>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</si>
  <si>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</si>
  <si>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</si>
  <si>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</si>
  <si>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</si>
  <si>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</si>
  <si>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</si>
  <si>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</si>
  <si>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</si>
  <si>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</si>
  <si>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</si>
  <si>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</si>
  <si>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</si>
  <si>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</si>
  <si>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</si>
  <si>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</si>
  <si>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</si>
  <si>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</si>
  <si>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</si>
  <si>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</si>
  <si>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</si>
  <si>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</si>
  <si>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</si>
  <si>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</si>
  <si>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</si>
  <si>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</si>
  <si>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</si>
  <si>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</si>
  <si>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</si>
  <si>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</si>
  <si>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</si>
  <si>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</si>
  <si>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</si>
  <si>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</si>
  <si>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</si>
  <si>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</si>
  <si>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</si>
  <si>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</si>
  <si>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</si>
  <si>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</si>
  <si>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</si>
  <si>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</si>
  <si>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</si>
  <si>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</si>
  <si>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</si>
  <si>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</si>
  <si>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</si>
  <si>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</si>
  <si>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</si>
  <si>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</si>
  <si>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</si>
  <si>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</si>
  <si>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</si>
  <si>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</si>
  <si>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</si>
  <si>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</si>
  <si>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</si>
  <si>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</si>
  <si>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</si>
  <si>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</si>
  <si>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</si>
  <si>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</si>
  <si>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</si>
  <si>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</si>
  <si>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</si>
  <si>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</si>
  <si>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</si>
  <si>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</si>
  <si>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</si>
  <si>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</si>
  <si>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</si>
  <si>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</si>
  <si>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</si>
  <si>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</si>
  <si>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</si>
  <si>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</si>
  <si>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</si>
  <si>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</si>
  <si>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</si>
  <si>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Hot Water Pipe Insulation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</si>
</sst>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43599.322200347226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2098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43599.322200347226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Hot Water Pipe Insulation</v>
      </c>
      <c r="J2" t="s">
        <v>55</v>
      </c>
    </row>
    <row r="3" ht="12.75">
      <c r="J3" s="35">
        <f>+Title_RESULTS!I4</f>
        <v>43599.322200347226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2098</v>
      </c>
      <c r="H5" t="s">
        <v>59</v>
      </c>
    </row>
    <row r="6" spans="3:7" ht="12.75">
      <c r="C6" t="s">
        <v>61</v>
      </c>
      <c r="G6" s="36">
        <f>+'Value of Defferal'!E3</f>
        <v>1285.3380678925032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8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127.02006871545142</v>
      </c>
      <c r="D19" s="5">
        <f>IF((Title_RESULTS!$H$8-Title_RESULTS!$H$7)&lt;=('Sheet3(F_21)'!A19-Title_RESULTS!$H$7),((Title_RESULTS!$C$8*Partcipation!$C$26*8760*Title_RESULTS!$H$21/100000)),0)</f>
        <v>1672.7129901823282</v>
      </c>
      <c r="E19" s="5">
        <f>IF($G19=0,0,((Title_RESULTS!$H$14*((1+Title_RESULTS!$H$15/100)^($A19-Title_RESULTS!$H$7))*'EUE_Line Losses'!$B$25*Partcipation!$C$26))/1000)</f>
        <v>13.17794134647757</v>
      </c>
      <c r="F19" s="5">
        <f>IF($G19=0,0,(Title_RESULTS!$H$19/100*((1+Title_RESULTS!$H$20/100)^($A19-Title_RESULTS!$H$7))*$D19*1000)/1000)</f>
        <v>3.771729983924421</v>
      </c>
      <c r="G19" s="5">
        <f>(+Title_RESULTS!$H$22/100*((1+Title_RESULTS!$H$23/100)^(+'Sheet4(F_22)'!A19-Title_RESULTS!$H$7)))*'Sheet3(F_21)'!D19</f>
        <v>71.66385801251793</v>
      </c>
      <c r="H19" s="5">
        <f>IF($G19=0,0,(($D19))*(Partcipation!$G19/100))</f>
        <v>53.068953626039566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162.5646444323318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130.06855036462224</v>
      </c>
      <c r="D20" s="5">
        <f>IF((Title_RESULTS!$H$8-Title_RESULTS!$H$7)&lt;=('Sheet3(F_21)'!A20-Title_RESULTS!$H$7),((Title_RESULTS!$C$8*Partcipation!$C$26*8760*Title_RESULTS!$H$21/100000)),0)</f>
        <v>1672.7129901823282</v>
      </c>
      <c r="E20" s="5">
        <f>IF($G20=0,0,((Title_RESULTS!$H$14*((1+Title_RESULTS!$H$15/100)^($A20-Title_RESULTS!$H$7))*'EUE_Line Losses'!$B$25*Partcipation!$C$26))/1000)</f>
        <v>13.494211938793034</v>
      </c>
      <c r="F20" s="5">
        <f>IF($G20=0,0,(Title_RESULTS!$H$19/100*((1+Title_RESULTS!$H$20/100)^($A20-Title_RESULTS!$H$7))*$D20*1000)/1000)</f>
        <v>3.862251503538607</v>
      </c>
      <c r="G20" s="5">
        <f>(+Title_RESULTS!$H$22/100*((1+Title_RESULTS!$H$23/100)^(+'Sheet4(F_22)'!A20-Title_RESULTS!$H$7)))*'Sheet3(F_21)'!D20</f>
        <v>74.91739716628626</v>
      </c>
      <c r="H20" s="5">
        <f>IF($G20=0,0,(($D20))*(Partcipation!$G20/100))</f>
        <v>55.44296156982314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166.899449403417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133.1901955733732</v>
      </c>
      <c r="D21" s="5">
        <f>IF((Title_RESULTS!$H$8-Title_RESULTS!$H$7)&lt;=('Sheet3(F_21)'!A21-Title_RESULTS!$H$7),((Title_RESULTS!$C$8*Partcipation!$C$26*8760*Title_RESULTS!$H$21/100000)),0)</f>
        <v>1672.7129901823282</v>
      </c>
      <c r="E21" s="5">
        <f>IF($G21=0,0,((Title_RESULTS!$H$14*((1+Title_RESULTS!$H$15/100)^($A21-Title_RESULTS!$H$7))*'EUE_Line Losses'!$B$25*Partcipation!$C$26))/1000)</f>
        <v>13.818073025324066</v>
      </c>
      <c r="F21" s="5">
        <f>IF($G21=0,0,(Title_RESULTS!$H$19/100*((1+Title_RESULTS!$H$20/100)^($A21-Title_RESULTS!$H$7))*$D21*1000)/1000)</f>
        <v>3.954945539623534</v>
      </c>
      <c r="G21" s="5">
        <f>(+Title_RESULTS!$H$22/100*((1+Title_RESULTS!$H$23/100)^(+'Sheet4(F_22)'!A21-Title_RESULTS!$H$7)))*'Sheet3(F_21)'!D21</f>
        <v>78.31864699763567</v>
      </c>
      <c r="H21" s="5">
        <f>IF($G21=0,0,(($D21))*(Partcipation!$G21/100))</f>
        <v>57.64007262223234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171.64178851372412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136.38676026713415</v>
      </c>
      <c r="D22" s="5">
        <f>IF((Title_RESULTS!$H$8-Title_RESULTS!$H$7)&lt;=('Sheet3(F_21)'!A22-Title_RESULTS!$H$7),((Title_RESULTS!$C$8*Partcipation!$C$26*8760*Title_RESULTS!$H$21/100000)),0)</f>
        <v>1672.7129901823282</v>
      </c>
      <c r="E22" s="5">
        <f>IF($G22=0,0,((Title_RESULTS!$H$14*((1+Title_RESULTS!$H$15/100)^($A22-Title_RESULTS!$H$7))*'EUE_Line Losses'!$B$25*Partcipation!$C$26))/1000)</f>
        <v>14.14970677793184</v>
      </c>
      <c r="F22" s="5">
        <f>IF($G22=0,0,(Title_RESULTS!$H$19/100*((1+Title_RESULTS!$H$20/100)^($A22-Title_RESULTS!$H$7))*$D22*1000)/1000)</f>
        <v>4.049864232574498</v>
      </c>
      <c r="G22" s="5">
        <f>(+Title_RESULTS!$H$22/100*((1+Title_RESULTS!$H$23/100)^(+'Sheet4(F_22)'!A22-Title_RESULTS!$H$7)))*'Sheet3(F_21)'!D22</f>
        <v>81.87431357132833</v>
      </c>
      <c r="H22" s="5">
        <f>IF($G22=0,0,(($D22))*(Partcipation!$G22/100))</f>
        <v>59.507631577711074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176.95301327125776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139.66004251354536</v>
      </c>
      <c r="D23" s="5">
        <f>IF((Title_RESULTS!$H$8-Title_RESULTS!$H$7)&lt;=('Sheet3(F_21)'!A23-Title_RESULTS!$H$7),((Title_RESULTS!$C$8*Partcipation!$C$26*8760*Title_RESULTS!$H$21/100000)),0)</f>
        <v>1672.7129901823282</v>
      </c>
      <c r="E23" s="5">
        <f>IF($G23=0,0,((Title_RESULTS!$H$14*((1+Title_RESULTS!$H$15/100)^($A23-Title_RESULTS!$H$7))*'EUE_Line Losses'!$B$25*Partcipation!$C$26))/1000)</f>
        <v>14.489299740602208</v>
      </c>
      <c r="F23" s="5">
        <f>IF($G23=0,0,(Title_RESULTS!$H$19/100*((1+Title_RESULTS!$H$20/100)^($A23-Title_RESULTS!$H$7))*$D23*1000)/1000)</f>
        <v>4.147060974156286</v>
      </c>
      <c r="G23" s="5">
        <f>(+Title_RESULTS!$H$22/100*((1+Title_RESULTS!$H$23/100)^(+'Sheet4(F_22)'!A23-Title_RESULTS!$H$7)))*'Sheet3(F_21)'!D23</f>
        <v>85.59140740746666</v>
      </c>
      <c r="H23" s="5">
        <f>IF($G23=0,0,(($D23))*(Partcipation!$G23/100))</f>
        <v>62.17117346445938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181.71663717131113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143.01188353387047</v>
      </c>
      <c r="D24" s="5">
        <f>IF((Title_RESULTS!$H$8-Title_RESULTS!$H$7)&lt;=('Sheet3(F_21)'!A24-Title_RESULTS!$H$7),((Title_RESULTS!$C$8*Partcipation!$C$26*8760*Title_RESULTS!$H$21/100000)),0)</f>
        <v>1672.7129901823282</v>
      </c>
      <c r="E24" s="5">
        <f>IF($G24=0,0,((Title_RESULTS!$H$14*((1+Title_RESULTS!$H$15/100)^($A24-Title_RESULTS!$H$7))*'EUE_Line Losses'!$B$25*Partcipation!$C$26))/1000)</f>
        <v>14.837042934376658</v>
      </c>
      <c r="F24" s="5">
        <f>IF($G24=0,0,(Title_RESULTS!$H$19/100*((1+Title_RESULTS!$H$20/100)^($A24-Title_RESULTS!$H$7))*$D24*1000)/1000)</f>
        <v>4.246590437536037</v>
      </c>
      <c r="G24" s="5">
        <f>(+Title_RESULTS!$H$22/100*((1+Title_RESULTS!$H$23/100)^(+'Sheet4(F_22)'!A24-Title_RESULTS!$H$7)))*'Sheet3(F_21)'!D24</f>
        <v>89.47725730376565</v>
      </c>
      <c r="H24" s="5">
        <f>IF($G24=0,0,(($D24))*(Partcipation!$G24/100))</f>
        <v>66.91262009054712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184.66015411900167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146.44416873868335</v>
      </c>
      <c r="D25" s="5">
        <f>IF((Title_RESULTS!$H$8-Title_RESULTS!$H$7)&lt;=('Sheet3(F_21)'!A25-Title_RESULTS!$H$7),((Title_RESULTS!$C$8*Partcipation!$C$26*8760*Title_RESULTS!$H$21/100000)),0)</f>
        <v>1672.7129901823282</v>
      </c>
      <c r="E25" s="5">
        <f>IF($G25=0,0,((Title_RESULTS!$H$14*((1+Title_RESULTS!$H$15/100)^($A25-Title_RESULTS!$H$7))*'EUE_Line Losses'!$B$25*Partcipation!$C$26))/1000)</f>
        <v>15.193131964801697</v>
      </c>
      <c r="F25" s="5">
        <f>IF($G25=0,0,(Title_RESULTS!$H$19/100*((1+Title_RESULTS!$H$20/100)^($A25-Title_RESULTS!$H$7))*$D25*1000)/1000)</f>
        <v>4.3485086080369015</v>
      </c>
      <c r="G25" s="5">
        <f>(+Title_RESULTS!$H$22/100*((1+Title_RESULTS!$H$23/100)^(+'Sheet4(F_22)'!A25-Title_RESULTS!$H$7)))*'Sheet3(F_21)'!D25</f>
        <v>93.53952478535662</v>
      </c>
      <c r="H25" s="5">
        <f>IF($G25=0,0,(($D25))*(Partcipation!$G25/100))</f>
        <v>69.84912415382883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189.67620994304974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149.95882878841175</v>
      </c>
      <c r="D26" s="5">
        <f>IF((Title_RESULTS!$H$8-Title_RESULTS!$H$7)&lt;=('Sheet3(F_21)'!A26-Title_RESULTS!$H$7),((Title_RESULTS!$C$8*Partcipation!$C$26*8760*Title_RESULTS!$H$21/100000)),0)</f>
        <v>1672.7129901823282</v>
      </c>
      <c r="E26" s="5">
        <f>IF($G26=0,0,((Title_RESULTS!$H$14*((1+Title_RESULTS!$H$15/100)^($A26-Title_RESULTS!$H$7))*'EUE_Line Losses'!$B$25*Partcipation!$C$26))/1000)</f>
        <v>15.557767131956938</v>
      </c>
      <c r="F26" s="5">
        <f>IF($G26=0,0,(Title_RESULTS!$H$19/100*((1+Title_RESULTS!$H$20/100)^($A26-Title_RESULTS!$H$7))*$D26*1000)/1000)</f>
        <v>4.452872814629787</v>
      </c>
      <c r="G26" s="5">
        <f>(+Title_RESULTS!$H$22/100*((1+Title_RESULTS!$H$23/100)^(+'Sheet4(F_22)'!A26-Title_RESULTS!$H$7)))*'Sheet3(F_21)'!D26</f>
        <v>97.78621921061182</v>
      </c>
      <c r="H26" s="5">
        <f>IF($G26=0,0,(($D26))*(Partcipation!$G26/100))</f>
        <v>75.04260956440025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192.71307838121004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153.55784067933365</v>
      </c>
      <c r="D27" s="5">
        <f>IF((Title_RESULTS!$H$8-Title_RESULTS!$H$7)&lt;=('Sheet3(F_21)'!A27-Title_RESULTS!$H$7),((Title_RESULTS!$C$8*Partcipation!$C$26*8760*Title_RESULTS!$H$21/100000)),0)</f>
        <v>1672.7129901823282</v>
      </c>
      <c r="E27" s="5">
        <f>IF($G27=0,0,((Title_RESULTS!$H$14*((1+Title_RESULTS!$H$15/100)^($A27-Title_RESULTS!$H$7))*'EUE_Line Losses'!$B$25*Partcipation!$C$26))/1000)</f>
        <v>15.931153543123909</v>
      </c>
      <c r="F27" s="5">
        <f>IF($G27=0,0,(Title_RESULTS!$H$19/100*((1+Title_RESULTS!$H$20/100)^($A27-Title_RESULTS!$H$7))*$D27*1000)/1000)</f>
        <v>4.559741762180903</v>
      </c>
      <c r="G27" s="5">
        <f>(+Title_RESULTS!$H$22/100*((1+Title_RESULTS!$H$23/100)^(+'Sheet4(F_22)'!A27-Title_RESULTS!$H$7)))*'Sheet3(F_21)'!D27</f>
        <v>102.2257135627736</v>
      </c>
      <c r="H27" s="5">
        <f>IF($G27=0,0,(($D27))*(Partcipation!$G27/100))</f>
        <v>76.90869839014981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199.36575115726225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157.24322885563765</v>
      </c>
      <c r="D28" s="5">
        <f>IF((Title_RESULTS!$H$8-Title_RESULTS!$H$7)&lt;=('Sheet3(F_21)'!A28-Title_RESULTS!$H$7),((Title_RESULTS!$C$8*Partcipation!$C$26*8760*Title_RESULTS!$H$21/100000)),0)</f>
        <v>1672.7129901823282</v>
      </c>
      <c r="E28" s="5">
        <f>IF($G28=0,0,((Title_RESULTS!$H$14*((1+Title_RESULTS!$H$15/100)^($A28-Title_RESULTS!$H$7))*'EUE_Line Losses'!$B$25*Partcipation!$C$26))/1000)</f>
        <v>16.31350122815888</v>
      </c>
      <c r="F28" s="5">
        <f>IF($G28=0,0,(Title_RESULTS!$H$19/100*((1+Title_RESULTS!$H$20/100)^($A28-Title_RESULTS!$H$7))*$D28*1000)/1000)</f>
        <v>4.669175564473243</v>
      </c>
      <c r="G28" s="5">
        <f>(+Title_RESULTS!$H$22/100*((1+Title_RESULTS!$H$23/100)^(+'Sheet4(F_22)'!A28-Title_RESULTS!$H$7)))*'Sheet3(F_21)'!D28</f>
        <v>106.86676095852353</v>
      </c>
      <c r="H28" s="5">
        <f>IF($G28=0,0,(($D28))*(Partcipation!$G28/100))</f>
        <v>81.52398257309167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203.5686840337016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87</v>
      </c>
      <c r="B30" s="9"/>
      <c r="C30" s="9">
        <f aca="true" t="shared" si="1" ref="C30:J30">SUM(C16:C29)</f>
        <v>1416.541568030063</v>
      </c>
      <c r="D30" s="9">
        <f t="shared" si="1"/>
        <v>16727.129901823282</v>
      </c>
      <c r="E30" s="9">
        <f t="shared" si="1"/>
        <v>146.9618296315468</v>
      </c>
      <c r="F30" s="9">
        <f t="shared" si="1"/>
        <v>42.062741420674215</v>
      </c>
      <c r="G30" s="9">
        <f t="shared" si="1"/>
        <v>882.2610989762661</v>
      </c>
      <c r="H30" s="9">
        <f t="shared" si="1"/>
        <v>658.0678276322832</v>
      </c>
      <c r="I30" s="9">
        <f t="shared" si="1"/>
        <v>0</v>
      </c>
      <c r="J30" s="9">
        <f t="shared" si="1"/>
        <v>1829.7594104262676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89</v>
      </c>
      <c r="C32" s="5">
        <f>NPV(Title_RESULTS!$C$37,C17:C29)+'Sheet3(F_21)'!C16</f>
        <v>853.0633062226976</v>
      </c>
      <c r="D32" s="5"/>
      <c r="E32" s="5">
        <f>NPV(Title_RESULTS!$C$37,E17:E29)+'Sheet3(F_21)'!E16</f>
        <v>88.50269353434423</v>
      </c>
      <c r="F32" s="5">
        <f>NPV(Title_RESULTS!$C$37,F17:F29)+'Sheet3(F_21)'!F16</f>
        <v>25.33083537746859</v>
      </c>
      <c r="G32" s="5">
        <f>NPV(Title_RESULTS!$C$37,G17:G29)+'Sheet3(F_21)'!G16</f>
        <v>525.1587843802479</v>
      </c>
      <c r="H32" s="5">
        <f>NPV(Title_RESULTS!$C$37,H17:H29)+'Sheet3(F_21)'!H16</f>
        <v>390.7553791416705</v>
      </c>
      <c r="I32" s="5">
        <f>NPV(Title_RESULTS!$C$37,I17:I29)+'Sheet3(F_21)'!I16</f>
        <v>0</v>
      </c>
      <c r="J32" s="5">
        <f>NPV(Title_RESULTS!$C$37,J17:J29)+'Sheet3(F_21)'!J16</f>
        <v>1101.300240373088</v>
      </c>
    </row>
    <row r="34" ht="12.75">
      <c r="A34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Hot Water Pipe Insulation</v>
      </c>
      <c r="F2" t="s">
        <v>55</v>
      </c>
    </row>
    <row r="3" spans="6:7" ht="12.75">
      <c r="F3" s="35">
        <f>+Title_RESULTS!I4</f>
        <v>43599.322200347226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3070.184599156118</v>
      </c>
      <c r="C16" s="5">
        <f>$B16*'Sheet2(F_12)'!$E16/100</f>
        <v>89.05714012871664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89.05714012871664</v>
      </c>
      <c r="G16" s="5">
        <f>+$F16*'Sheet2(F_12)'!$I16</f>
        <v>89.05714012871664</v>
      </c>
    </row>
    <row r="17" spans="1:7" ht="12.75">
      <c r="A17">
        <f>+A16+1</f>
        <v>2021</v>
      </c>
      <c r="B17" s="5">
        <f>(+Partcipation!$C16+(Partcipation!$C17-Partcipation!$C16)/2)*Title_RESULTS!$C$10/1000</f>
        <v>9210.553797468356</v>
      </c>
      <c r="C17" s="5">
        <f>$B17*'Sheet2(F_12)'!$E17/100</f>
        <v>264.9982872750612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264.9982872750612</v>
      </c>
      <c r="G17" s="5">
        <f>+$F17*'Sheet2(F_12)'!$I17</f>
        <v>264.9982872750612</v>
      </c>
    </row>
    <row r="18" spans="1:7" ht="12.75">
      <c r="A18">
        <f>+A17+1</f>
        <v>2022</v>
      </c>
      <c r="B18" s="5">
        <f>(+Partcipation!$C17+(Partcipation!$C18-Partcipation!$C17)/2)*Title_RESULTS!$C$10/1000</f>
        <v>15350.922995780591</v>
      </c>
      <c r="C18" s="5">
        <f>$B18*'Sheet2(F_12)'!$E18/100</f>
        <v>455.8266157383324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455.8266157383324</v>
      </c>
      <c r="G18" s="5">
        <f>+$F18*'Sheet2(F_12)'!$I18</f>
        <v>455.8266157383324</v>
      </c>
    </row>
    <row r="19" spans="1:7" ht="12.75">
      <c r="A19">
        <f aca="true" t="shared" si="0" ref="A19:A28">+A18+1</f>
        <v>2023</v>
      </c>
      <c r="B19" s="5">
        <f>(+Partcipation!$C18+(Partcipation!$C19-Partcipation!$C18)/2)*Title_RESULTS!$C$10/1000</f>
        <v>18421.10759493671</v>
      </c>
      <c r="C19" s="5">
        <f>$B19*'Sheet2(F_12)'!$E19/100</f>
        <v>569.4316237199682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8">+C19-E19</f>
        <v>569.4316237199682</v>
      </c>
      <c r="G19" s="5">
        <f>+$F19*'Sheet2(F_12)'!$I19</f>
        <v>569.4316237199682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18421.10759493671</v>
      </c>
      <c r="C20" s="5">
        <f>$B20*'Sheet2(F_12)'!$E20/100</f>
        <v>591.8081402163409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591.8081402163409</v>
      </c>
      <c r="G20" s="5">
        <f>+$F20*'Sheet2(F_12)'!$I20</f>
        <v>591.8081402163409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18421.10759493671</v>
      </c>
      <c r="C21" s="5">
        <f>$B21*'Sheet2(F_12)'!$E21/100</f>
        <v>635.4237696725141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635.4237696725141</v>
      </c>
      <c r="G21" s="5">
        <f>+$F21*'Sheet2(F_12)'!$I21</f>
        <v>635.4237696725141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18421.10759493671</v>
      </c>
      <c r="C22" s="5">
        <f>$B22*'Sheet2(F_12)'!$E22/100</f>
        <v>655.8047485321176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655.8047485321176</v>
      </c>
      <c r="G22" s="5">
        <f>+$F22*'Sheet2(F_12)'!$I22</f>
        <v>655.8047485321176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18421.10759493671</v>
      </c>
      <c r="C23" s="5">
        <f>$B23*'Sheet2(F_12)'!$E23/100</f>
        <v>696.7896100646881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696.7896100646881</v>
      </c>
      <c r="G23" s="5">
        <f>+$F23*'Sheet2(F_12)'!$I23</f>
        <v>696.7896100646881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18421.10759493671</v>
      </c>
      <c r="C24" s="5">
        <f>$B24*'Sheet2(F_12)'!$E24/100</f>
        <v>772.1234650793926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772.1234650793926</v>
      </c>
      <c r="G24" s="5">
        <f>+$F24*'Sheet2(F_12)'!$I24</f>
        <v>772.1234650793926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18421.10759493671</v>
      </c>
      <c r="C25" s="5">
        <f>$B25*'Sheet2(F_12)'!$E25/100</f>
        <v>827.2254915178314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827.2254915178314</v>
      </c>
      <c r="G25" s="5">
        <f>+$F25*'Sheet2(F_12)'!$I25</f>
        <v>827.2254915178314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18421.10759493671</v>
      </c>
      <c r="C26" s="5">
        <f>$B26*'Sheet2(F_12)'!$E26/100</f>
        <v>923.965045562155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923.965045562155</v>
      </c>
      <c r="G26" s="5">
        <f>+$F26*'Sheet2(F_12)'!$I26</f>
        <v>923.965045562155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18421.10759493671</v>
      </c>
      <c r="C27" s="5">
        <f>$B27*'Sheet2(F_12)'!$E27/100</f>
        <v>920.5289622504964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920.5289622504964</v>
      </c>
      <c r="G27" s="5">
        <f>+$F27*'Sheet2(F_12)'!$I27</f>
        <v>920.5289622504964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18421.10759493671</v>
      </c>
      <c r="C28" s="5">
        <f>$B28*'Sheet2(F_12)'!$E28/100</f>
        <v>1006.0530768735632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1006.0530768735632</v>
      </c>
      <c r="G28" s="5">
        <f>+$F28*'Sheet2(F_12)'!$I28</f>
        <v>1006.0530768735632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87</v>
      </c>
      <c r="B30" s="5">
        <f aca="true" t="shared" si="2" ref="B30:G30">SUM(B16:B29)</f>
        <v>211842.73734177215</v>
      </c>
      <c r="C30" s="5">
        <f t="shared" si="2"/>
        <v>8409.035976631176</v>
      </c>
      <c r="D30" s="5">
        <f t="shared" si="2"/>
        <v>0</v>
      </c>
      <c r="E30" s="5">
        <f t="shared" si="2"/>
        <v>0</v>
      </c>
      <c r="F30" s="5">
        <f t="shared" si="2"/>
        <v>8409.035976631176</v>
      </c>
      <c r="G30" s="5">
        <f t="shared" si="2"/>
        <v>8409.035976631176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118</v>
      </c>
      <c r="B32" s="5"/>
      <c r="C32" s="5">
        <f>NPV(+Title_RESULTS!$C$37,C17:C29)+C16</f>
        <v>5202.365921739883</v>
      </c>
      <c r="D32" s="5"/>
      <c r="E32" s="5">
        <f>NPV(+Title_RESULTS!$C$37,E17:E29)+E16</f>
        <v>0</v>
      </c>
      <c r="F32" s="5">
        <f>NPV(+Title_RESULTS!$C$37,F17:F29)+F16</f>
        <v>5202.365921739883</v>
      </c>
      <c r="G32" s="5">
        <f>NPV(+Title_RESULTS!$C$37,G17:G29)+G16</f>
        <v>5202.365921739883</v>
      </c>
    </row>
    <row r="33" spans="6:7" ht="12.75">
      <c r="F33" s="9"/>
      <c r="G33" s="9"/>
    </row>
    <row r="34" ht="12.75">
      <c r="A34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Hot Water Pipe Insulation</v>
      </c>
      <c r="J2" t="s">
        <v>42</v>
      </c>
    </row>
    <row r="3" spans="9:10" ht="12.75">
      <c r="I3" s="4"/>
      <c r="J3" s="35">
        <f>+Title_RESULTS!I4</f>
        <v>43599.322200347226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8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Hot Water Pipe Insulation</v>
      </c>
      <c r="H2" t="s">
        <v>108</v>
      </c>
    </row>
    <row r="3" ht="12.75">
      <c r="H3" s="35">
        <f>+Title_RESULTS!I4</f>
        <v>43599.322200347226</v>
      </c>
    </row>
    <row r="5" spans="3:6" ht="12.75">
      <c r="C5" t="s">
        <v>60</v>
      </c>
      <c r="F5" s="38">
        <f>+'Value of Defferal'!L4</f>
        <v>74.9774848</v>
      </c>
    </row>
    <row r="6" spans="3:6" ht="12.75">
      <c r="C6" t="s">
        <v>62</v>
      </c>
      <c r="F6" s="38">
        <f>+'Value of Defferal'!L5</f>
        <v>177.12844800000002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89.05714012871664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7.409447762659906</v>
      </c>
      <c r="C17" s="5">
        <f>IF(+Title_RESULTS!$H$9&lt;='Sheet4(F_22)'!$A17,(+Title_RESULTS!$H$16*((1+Title_RESULTS!$H$18/100)^('Sheet4(F_22)'!$A17-Title_RESULTS!$H$7))*Title_RESULTS!$C$8*Partcipation!$C$26/1000),0)</f>
        <v>5.9733874296400185</v>
      </c>
      <c r="D17" s="5">
        <f>(+B17+C17)*+Partcipation!$H17</f>
        <v>13.382835192299925</v>
      </c>
      <c r="E17" s="5">
        <f>VLOOKUP(A17,'Value of Defferal'!$I24:$P$58,'Value of Defferal'!$K$13)</f>
        <v>17.50424125639677</v>
      </c>
      <c r="F17" s="5">
        <f>IF(+'Value of Defferal'!P24=0,0,Title_RESULTS!$H$17*Title_RESULTS!$C$7*Partcipation!$C$26*(1+Title_RESULTS!$H$18/100)^('Sheet4(F_22)'!A17-Title_RESULTS!$H$7))/1000</f>
        <v>24.385536</v>
      </c>
      <c r="G17" s="5">
        <f>(+E17+F17)*Partcipation!$H17</f>
        <v>41.88977725639677</v>
      </c>
      <c r="H17" s="5">
        <f>+'Sheet5(p_5)'!$F17*'Sheet2(F_12)'!$I17</f>
        <v>264.9982872750612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7.587274508963744</v>
      </c>
      <c r="C18" s="5">
        <f>IF(+Title_RESULTS!$H$9&lt;='Sheet4(F_22)'!$A18,(+Title_RESULTS!$H$16*((1+Title_RESULTS!$H$18/100)^('Sheet4(F_22)'!$A18-Title_RESULTS!$H$7))*Title_RESULTS!$C$8*Partcipation!$C$26/1000),0)</f>
        <v>6.116748727951378</v>
      </c>
      <c r="D18" s="5">
        <f>(+B18+C18)*+Partcipation!$H18</f>
        <v>13.704023236915122</v>
      </c>
      <c r="E18" s="5">
        <f>VLOOKUP(A18,'Value of Defferal'!$I25:$P$58,'Value of Defferal'!$K$13)</f>
        <v>17.92434304655029</v>
      </c>
      <c r="F18" s="5">
        <f>IF(+'Value of Defferal'!P25=0,0,Title_RESULTS!$H$17*Title_RESULTS!$C$7*Partcipation!$C$26*(1+Title_RESULTS!$H$18/100)^('Sheet4(F_22)'!A18-Title_RESULTS!$H$7))/1000</f>
        <v>24.970788864</v>
      </c>
      <c r="G18" s="5">
        <f>(+E18+F18)*Partcipation!$H18</f>
        <v>42.89513191055029</v>
      </c>
      <c r="H18" s="5">
        <f>+'Sheet5(p_5)'!$F18*'Sheet2(F_12)'!$I18</f>
        <v>455.8266157383324</v>
      </c>
      <c r="I18" s="5"/>
      <c r="J18" s="5"/>
    </row>
    <row r="19" spans="1:10" ht="12.75">
      <c r="A19">
        <f aca="true" t="shared" si="0" ref="A19:A28">+A18+1</f>
        <v>2023</v>
      </c>
      <c r="B19" s="5">
        <f>VLOOKUP(A19,'Value of Defferal'!$I26:$P$58,'Value of Defferal'!$K$9)</f>
        <v>7.769369097178874</v>
      </c>
      <c r="C19" s="5">
        <f>IF(+Title_RESULTS!$H$9&lt;='Sheet4(F_22)'!$A19,(+Title_RESULTS!$H$16*((1+Title_RESULTS!$H$18/100)^('Sheet4(F_22)'!$A19-Title_RESULTS!$H$7))*Title_RESULTS!$C$8*Partcipation!$C$26/1000),0)</f>
        <v>6.263550697422212</v>
      </c>
      <c r="D19" s="5">
        <f>(+B19+C19)*+Partcipation!$H19</f>
        <v>14.032919794601085</v>
      </c>
      <c r="E19" s="5">
        <f>VLOOKUP(A19,'Value of Defferal'!$I26:$P$58,'Value of Defferal'!$K$13)</f>
        <v>18.3545272796675</v>
      </c>
      <c r="F19" s="5">
        <f>IF(+'Value of Defferal'!P26=0,0,Title_RESULTS!$H$17*Title_RESULTS!$C$7*Partcipation!$C$26*(1+Title_RESULTS!$H$18/100)^('Sheet4(F_22)'!A19-Title_RESULTS!$H$7))/1000</f>
        <v>25.570087796736004</v>
      </c>
      <c r="G19" s="5">
        <f>(+E19+F19)*Partcipation!$H19</f>
        <v>43.924615076403505</v>
      </c>
      <c r="H19" s="5">
        <f>+'Sheet5(p_5)'!$F19*'Sheet2(F_12)'!$I19</f>
        <v>569.4316237199682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7.955833955511166</v>
      </c>
      <c r="C20" s="5">
        <f>IF(+Title_RESULTS!$H$9&lt;='Sheet4(F_22)'!$A20,(+Title_RESULTS!$H$16*((1+Title_RESULTS!$H$18/100)^('Sheet4(F_22)'!$A20-Title_RESULTS!$H$7))*Title_RESULTS!$C$8*Partcipation!$C$26/1000),0)</f>
        <v>6.413875914160344</v>
      </c>
      <c r="D20" s="5">
        <f>(+B20+C20)*+Partcipation!$H20</f>
        <v>14.36970986967151</v>
      </c>
      <c r="E20" s="5">
        <f>VLOOKUP(A20,'Value of Defferal'!$I27:$P$58,'Value of Defferal'!$K$13)</f>
        <v>18.79503593437952</v>
      </c>
      <c r="F20" s="5">
        <f>IF(+'Value of Defferal'!P27=0,0,Title_RESULTS!$H$17*Title_RESULTS!$C$7*Partcipation!$C$26*(1+Title_RESULTS!$H$18/100)^('Sheet4(F_22)'!A20-Title_RESULTS!$H$7))/1000</f>
        <v>26.183769903857666</v>
      </c>
      <c r="G20" s="5">
        <f>(+E20+F20)*Partcipation!$H20</f>
        <v>44.978805838237186</v>
      </c>
      <c r="H20" s="5">
        <f>+'Sheet5(p_5)'!$F20*'Sheet2(F_12)'!$I20</f>
        <v>591.8081402163409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8.146773970443435</v>
      </c>
      <c r="C21" s="5">
        <f>IF(+Title_RESULTS!$H$9&lt;='Sheet4(F_22)'!$A21,(+Title_RESULTS!$H$16*((1+Title_RESULTS!$H$18/100)^('Sheet4(F_22)'!$A21-Title_RESULTS!$H$7))*Title_RESULTS!$C$8*Partcipation!$C$26/1000),0)</f>
        <v>6.567808936100193</v>
      </c>
      <c r="D21" s="5">
        <f>(+B21+C21)*+Partcipation!$H21</f>
        <v>14.71458290654363</v>
      </c>
      <c r="E21" s="5">
        <f>VLOOKUP(A21,'Value of Defferal'!$I28:$P$58,'Value of Defferal'!$K$13)</f>
        <v>19.24611679680463</v>
      </c>
      <c r="F21" s="5">
        <f>IF(+'Value of Defferal'!P28=0,0,Title_RESULTS!$H$17*Title_RESULTS!$C$7*Partcipation!$C$26*(1+Title_RESULTS!$H$18/100)^('Sheet4(F_22)'!A21-Title_RESULTS!$H$7))/1000</f>
        <v>26.81218038155025</v>
      </c>
      <c r="G21" s="5">
        <f>(+E21+F21)*Partcipation!$H21</f>
        <v>46.05829717835488</v>
      </c>
      <c r="H21" s="5">
        <f>+'Sheet5(p_5)'!$F21*'Sheet2(F_12)'!$I21</f>
        <v>635.4237696725141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8.342296545734078</v>
      </c>
      <c r="C22" s="5">
        <f>IF(+Title_RESULTS!$H$9&lt;='Sheet4(F_22)'!$A22,(+Title_RESULTS!$H$16*((1+Title_RESULTS!$H$18/100)^('Sheet4(F_22)'!$A22-Title_RESULTS!$H$7))*Title_RESULTS!$C$8*Partcipation!$C$26/1000),0)</f>
        <v>6.725436350566597</v>
      </c>
      <c r="D22" s="5">
        <f>(+B22+C22)*+Partcipation!$H22</f>
        <v>15.067732896300676</v>
      </c>
      <c r="E22" s="5">
        <f>VLOOKUP(A22,'Value of Defferal'!$I29:$P$58,'Value of Defferal'!$K$13)</f>
        <v>19.70802359992794</v>
      </c>
      <c r="F22" s="5">
        <f>IF(+'Value of Defferal'!P29=0,0,Title_RESULTS!$H$17*Title_RESULTS!$C$7*Partcipation!$C$26*(1+Title_RESULTS!$H$18/100)^('Sheet4(F_22)'!A22-Title_RESULTS!$H$7))/1000</f>
        <v>27.45567271070745</v>
      </c>
      <c r="G22" s="5">
        <f>(+E22+F22)*Partcipation!$H22</f>
        <v>47.16369631063539</v>
      </c>
      <c r="H22" s="5">
        <f>+'Sheet5(p_5)'!$F22*'Sheet2(F_12)'!$I22</f>
        <v>655.8047485321176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8.542511662831695</v>
      </c>
      <c r="C23" s="5">
        <f>IF(+Title_RESULTS!$H$9&lt;='Sheet4(F_22)'!$A23,(+Title_RESULTS!$H$16*((1+Title_RESULTS!$H$18/100)^('Sheet4(F_22)'!$A23-Title_RESULTS!$H$7))*Title_RESULTS!$C$8*Partcipation!$C$26/1000),0)</f>
        <v>6.886846822980196</v>
      </c>
      <c r="D23" s="5">
        <f>(+B23+C23)*+Partcipation!$H23</f>
        <v>15.42935848581189</v>
      </c>
      <c r="E23" s="5">
        <f>VLOOKUP(A23,'Value of Defferal'!$I30:$P$58,'Value of Defferal'!$K$13)</f>
        <v>20.18101616632621</v>
      </c>
      <c r="F23" s="5">
        <f>IF(+'Value of Defferal'!P30=0,0,Title_RESULTS!$H$17*Title_RESULTS!$C$7*Partcipation!$C$26*(1+Title_RESULTS!$H$18/100)^('Sheet4(F_22)'!A23-Title_RESULTS!$H$7))/1000</f>
        <v>28.114608855764438</v>
      </c>
      <c r="G23" s="5">
        <f>(+E23+F23)*Partcipation!$H23</f>
        <v>48.29562502209065</v>
      </c>
      <c r="H23" s="5">
        <f>+'Sheet5(p_5)'!$F23*'Sheet2(F_12)'!$I23</f>
        <v>696.7896100646881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8.747531942739656</v>
      </c>
      <c r="C24" s="5">
        <f>IF(+Title_RESULTS!$H$9&lt;='Sheet4(F_22)'!$A24,(+Title_RESULTS!$H$16*((1+Title_RESULTS!$H$18/100)^('Sheet4(F_22)'!$A24-Title_RESULTS!$H$7))*Title_RESULTS!$C$8*Partcipation!$C$26/1000),0)</f>
        <v>7.05213114673172</v>
      </c>
      <c r="D24" s="5">
        <f>(+B24+C24)*+Partcipation!$H24</f>
        <v>15.799663089471377</v>
      </c>
      <c r="E24" s="5">
        <f>VLOOKUP(A24,'Value of Defferal'!$I31:$P$58,'Value of Defferal'!$K$13)</f>
        <v>20.66536055431804</v>
      </c>
      <c r="F24" s="5">
        <f>IF(+'Value of Defferal'!P31=0,0,Title_RESULTS!$H$17*Title_RESULTS!$C$7*Partcipation!$C$26*(1+Title_RESULTS!$H$18/100)^('Sheet4(F_22)'!A24-Title_RESULTS!$H$7))/1000</f>
        <v>28.789359468302777</v>
      </c>
      <c r="G24" s="5">
        <f>(+E24+F24)*Partcipation!$H24</f>
        <v>49.45472002262082</v>
      </c>
      <c r="H24" s="5">
        <f>+'Sheet5(p_5)'!$F24*'Sheet2(F_12)'!$I24</f>
        <v>772.1234650793926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8.957472709365408</v>
      </c>
      <c r="C25" s="5">
        <f>IF(+Title_RESULTS!$H$9&lt;='Sheet4(F_22)'!$A25,(+Title_RESULTS!$H$16*((1+Title_RESULTS!$H$18/100)^('Sheet4(F_22)'!$A25-Title_RESULTS!$H$7))*Title_RESULTS!$C$8*Partcipation!$C$26/1000),0)</f>
        <v>7.221382294253281</v>
      </c>
      <c r="D25" s="5">
        <f>(+B25+C25)*+Partcipation!$H25</f>
        <v>16.17885500361869</v>
      </c>
      <c r="E25" s="5">
        <f>VLOOKUP(A25,'Value of Defferal'!$I32:$P$58,'Value of Defferal'!$K$13)</f>
        <v>21.161329207621673</v>
      </c>
      <c r="F25" s="5">
        <f>IF(+'Value of Defferal'!P32=0,0,Title_RESULTS!$H$17*Title_RESULTS!$C$7*Partcipation!$C$26*(1+Title_RESULTS!$H$18/100)^('Sheet4(F_22)'!A25-Title_RESULTS!$H$7))/1000</f>
        <v>29.48030409554204</v>
      </c>
      <c r="G25" s="5">
        <f>(+E25+F25)*Partcipation!$H25</f>
        <v>50.641633303163715</v>
      </c>
      <c r="H25" s="5">
        <f>+'Sheet5(p_5)'!$F25*'Sheet2(F_12)'!$I25</f>
        <v>827.2254915178314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9.172452054390178</v>
      </c>
      <c r="C26" s="5">
        <f>IF(+Title_RESULTS!$H$9&lt;='Sheet4(F_22)'!$A26,(+Title_RESULTS!$H$16*((1+Title_RESULTS!$H$18/100)^('Sheet4(F_22)'!$A26-Title_RESULTS!$H$7))*Title_RESULTS!$C$8*Partcipation!$C$26/1000),0)</f>
        <v>7.394695469315361</v>
      </c>
      <c r="D26" s="5">
        <f>(+B26+C26)*+Partcipation!$H26</f>
        <v>16.56714752370554</v>
      </c>
      <c r="E26" s="5">
        <f>VLOOKUP(A26,'Value of Defferal'!$I33:$P$58,'Value of Defferal'!$K$13)</f>
        <v>21.669201108604593</v>
      </c>
      <c r="F26" s="5">
        <f>IF(+'Value of Defferal'!P33=0,0,Title_RESULTS!$H$17*Title_RESULTS!$C$7*Partcipation!$C$26*(1+Title_RESULTS!$H$18/100)^('Sheet4(F_22)'!A26-Title_RESULTS!$H$7))/1000</f>
        <v>30.18783139383505</v>
      </c>
      <c r="G26" s="5">
        <f>(+E26+F26)*Partcipation!$H26</f>
        <v>51.857032502439644</v>
      </c>
      <c r="H26" s="5">
        <f>+'Sheet5(p_5)'!$F26*'Sheet2(F_12)'!$I26</f>
        <v>923.965045562155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9.392590903695544</v>
      </c>
      <c r="C27" s="5">
        <f>IF(+Title_RESULTS!$H$9&lt;='Sheet4(F_22)'!$A27,(+Title_RESULTS!$H$16*((1+Title_RESULTS!$H$18/100)^('Sheet4(F_22)'!$A27-Title_RESULTS!$H$7))*Title_RESULTS!$C$8*Partcipation!$C$26/1000),0)</f>
        <v>7.57216816057893</v>
      </c>
      <c r="D27" s="5">
        <f>(+B27+C27)*+Partcipation!$H27</f>
        <v>16.964759064274475</v>
      </c>
      <c r="E27" s="5">
        <f>VLOOKUP(A27,'Value of Defferal'!$I34:$P$58,'Value of Defferal'!$K$13)</f>
        <v>22.189261935211107</v>
      </c>
      <c r="F27" s="5">
        <f>IF(+'Value of Defferal'!P34=0,0,Title_RESULTS!$H$17*Title_RESULTS!$C$7*Partcipation!$C$26*(1+Title_RESULTS!$H$18/100)^('Sheet4(F_22)'!A27-Title_RESULTS!$H$7))/1000</f>
        <v>30.912339347287098</v>
      </c>
      <c r="G27" s="5">
        <f>(+E27+F27)*Partcipation!$H27</f>
        <v>53.10160128249821</v>
      </c>
      <c r="H27" s="5">
        <f>+'Sheet5(p_5)'!$F27*'Sheet2(F_12)'!$I27</f>
        <v>920.5289622504964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9.618013085384236</v>
      </c>
      <c r="C28" s="5">
        <f>IF(+Title_RESULTS!$H$9&lt;='Sheet4(F_22)'!$A28,(+Title_RESULTS!$H$16*((1+Title_RESULTS!$H$18/100)^('Sheet4(F_22)'!$A28-Title_RESULTS!$H$7))*Title_RESULTS!$C$8*Partcipation!$C$26/1000),0)</f>
        <v>7.753900196432823</v>
      </c>
      <c r="D28" s="5">
        <f>(+B28+C28)*+Partcipation!$H28</f>
        <v>17.371913281817058</v>
      </c>
      <c r="E28" s="5">
        <f>VLOOKUP(A28,'Value of Defferal'!$I35:$P$58,'Value of Defferal'!$K$13)</f>
        <v>22.72180422165617</v>
      </c>
      <c r="F28" s="5">
        <f>IF(+'Value of Defferal'!P35=0,0,Title_RESULTS!$H$17*Title_RESULTS!$C$7*Partcipation!$C$26*(1+Title_RESULTS!$H$18/100)^('Sheet4(F_22)'!A28-Title_RESULTS!$H$7))/1000</f>
        <v>31.654235491621986</v>
      </c>
      <c r="G28" s="5">
        <f>(+E28+F28)*Partcipation!$H28</f>
        <v>54.37603971327816</v>
      </c>
      <c r="H28" s="5">
        <f>+'Sheet5(p_5)'!$F28*'Sheet2(F_12)'!$I28</f>
        <v>1006.0530768735632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88</v>
      </c>
      <c r="B30" s="5">
        <f aca="true" t="shared" si="1" ref="B30:H30">SUM(B16:B29)</f>
        <v>101.64156819889791</v>
      </c>
      <c r="C30" s="5">
        <f t="shared" si="1"/>
        <v>81.94193214613304</v>
      </c>
      <c r="D30" s="5">
        <f t="shared" si="1"/>
        <v>183.58350034503098</v>
      </c>
      <c r="E30" s="5">
        <f t="shared" si="1"/>
        <v>240.12026110746444</v>
      </c>
      <c r="F30" s="5">
        <f t="shared" si="1"/>
        <v>334.5167143092048</v>
      </c>
      <c r="G30" s="5">
        <f t="shared" si="1"/>
        <v>574.6369754166691</v>
      </c>
      <c r="H30" s="5">
        <f t="shared" si="1"/>
        <v>8409.035976631176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90</v>
      </c>
      <c r="B32" s="5">
        <f>NPV(Title_RESULTS!$C$37,'Sheet4(F_22)'!B17:B29)+'Sheet4(F_22)'!B16</f>
        <v>65.71553526987445</v>
      </c>
      <c r="C32" s="5">
        <f>NPV(Title_RESULTS!$C$37,'Sheet4(F_22)'!C17:C29)+'Sheet4(F_22)'!C16</f>
        <v>52.978894633871384</v>
      </c>
      <c r="D32" s="5">
        <f>NPV(Title_RESULTS!$C$37,'Sheet4(F_22)'!D17:D29)+'Sheet4(F_22)'!D16</f>
        <v>118.69442990374584</v>
      </c>
      <c r="E32" s="5">
        <f>NPV(Title_RESULTS!$C$37,'Sheet4(F_22)'!E17:E29)+'Sheet4(F_22)'!E16</f>
        <v>155.2478160996156</v>
      </c>
      <c r="F32" s="5">
        <f>NPV(Title_RESULTS!$C$37,'Sheet4(F_22)'!F17:F29)+'Sheet4(F_22)'!F16</f>
        <v>216.27908076478715</v>
      </c>
      <c r="G32" s="5">
        <f>NPV(Title_RESULTS!$C$37,'Sheet4(F_22)'!G17:G29)+'Sheet4(F_22)'!G16</f>
        <v>371.5268968644027</v>
      </c>
      <c r="H32" s="5">
        <f>NPV(Title_RESULTS!$C$37,'Sheet4(F_22)'!H17:H29)+'Sheet4(F_22)'!H16</f>
        <v>5202.365921739883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ht="12.75">
      <c r="A34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Hot Water Pipe Insulation</v>
      </c>
      <c r="P2" t="s">
        <v>121</v>
      </c>
    </row>
    <row r="3" ht="12.75">
      <c r="P3" s="35">
        <f>+Title_RESULTS!I4</f>
        <v>43599.322200347226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87.95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87.95</v>
      </c>
      <c r="H16" s="5">
        <f>IF(Partcipation!$B17&lt;Partcipation!$B16,0,IF(Partcipation!$B16=0,0,(Partcipation!$B16-Partcipation!$B15)*(+Title_RESULTS!$C$29*(1+Title_RESULTS!$C$30/100)^(+'Sheet8(F_24)'!$A16-Title_RESULTS!$H$7))/1000))</f>
        <v>772.94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772.94</v>
      </c>
      <c r="K16" s="5">
        <f>(+Partcipation!$B15+(Partcipation!$B16-Partcipation!$B15)/2)*(+Title_RESULTS!$C$14)/1000</f>
        <v>2910.535</v>
      </c>
      <c r="L16" s="5">
        <f>($K16)*Partcipation!$E73*Title_RESULTS!$C$12/100</f>
        <v>70.86025013654225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95.2894263</v>
      </c>
      <c r="N16" s="5">
        <f>'Sheet2(F_12)'!$I16*('Sheet6(p_6)'!$L16+'Sheet6(p_6)'!$M16)</f>
        <v>166.14967643654225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87.95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87.95</v>
      </c>
      <c r="H17" s="5">
        <f>IF(Partcipation!$B18&lt;Partcipation!$B17,0,IF(Partcipation!$B17=0,0,(Partcipation!$B17-Partcipation!$B16)*(+Title_RESULTS!$C$29*(1+Title_RESULTS!$C$30/100)^(+'Sheet8(F_24)'!$A17-Title_RESULTS!$H$7))/1000))</f>
        <v>790.71762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790.71762</v>
      </c>
      <c r="K17" s="5">
        <f>(+Partcipation!$B16+(Partcipation!$B17-Partcipation!$B16)/2)*(+Title_RESULTS!$C$14)/1000</f>
        <v>8731.605</v>
      </c>
      <c r="L17" s="5">
        <f>($K17)*Partcipation!$E74*Title_RESULTS!$C$12/100</f>
        <v>222.69820891037142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288.72696168899995</v>
      </c>
      <c r="N17" s="5">
        <f>'Sheet2(F_12)'!$I17*('Sheet6(p_6)'!$L17+'Sheet6(p_6)'!$M17)</f>
        <v>511.42517059937137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87.95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87.95</v>
      </c>
      <c r="H18" s="5">
        <f>IF(Partcipation!$B19&lt;Partcipation!$B18,0,IF(Partcipation!$B18=0,0,(Partcipation!$B18-Partcipation!$B17)*(+Title_RESULTS!$C$29*(1+Title_RESULTS!$C$30/100)^(+'Sheet8(F_24)'!$A18-Title_RESULTS!$H$7))/1000))</f>
        <v>808.9041252599999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808.9041252599999</v>
      </c>
      <c r="K18" s="5">
        <f>(+Partcipation!$B17+(Partcipation!$B18-Partcipation!$B17)/2)*(+Title_RESULTS!$C$14)/1000</f>
        <v>14552.675</v>
      </c>
      <c r="L18" s="5">
        <f>($K18)*Partcipation!$E75*Title_RESULTS!$C$12/100</f>
        <v>384.8356397671019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486.02371884315</v>
      </c>
      <c r="N18" s="5">
        <f>'Sheet2(F_12)'!$I18*('Sheet6(p_6)'!$L18+'Sheet6(p_6)'!$M18)</f>
        <v>870.8593586102519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8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8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8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8">SUM(H19:I19)</f>
        <v>0</v>
      </c>
      <c r="K19" s="5">
        <f>(+Partcipation!$B18+(Partcipation!$B19-Partcipation!$B18)/2)*(+Title_RESULTS!$C$14)/1000</f>
        <v>17463.21</v>
      </c>
      <c r="L19" s="5">
        <f>($K19)*Partcipation!$E76*Title_RESULTS!$C$12/100</f>
        <v>458.0171910333236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589.0607472378977</v>
      </c>
      <c r="N19" s="5">
        <f>'Sheet2(F_12)'!$I19*('Sheet6(p_6)'!$L19+'Sheet6(p_6)'!$M19)</f>
        <v>1047.0779382712212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17463.21</v>
      </c>
      <c r="L20" s="5">
        <f>($K20)*Partcipation!$E77*Title_RESULTS!$C$12/100</f>
        <v>483.9958040678695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594.9513547102767</v>
      </c>
      <c r="N20" s="5">
        <f>'Sheet2(F_12)'!$I20*('Sheet6(p_6)'!$L20+'Sheet6(p_6)'!$M20)</f>
        <v>1078.9471587781463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17463.21</v>
      </c>
      <c r="L21" s="5">
        <f>($K21)*Partcipation!$E78*Title_RESULTS!$C$12/100</f>
        <v>511.7765228633852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600.9008682573794</v>
      </c>
      <c r="N21" s="5">
        <f>'Sheet2(F_12)'!$I21*('Sheet6(p_6)'!$L21+'Sheet6(p_6)'!$M21)</f>
        <v>1112.6773911207647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17463.21</v>
      </c>
      <c r="L22" s="5">
        <f>($K22)*Partcipation!$E79*Title_RESULTS!$C$12/100</f>
        <v>534.9160717593402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606.9098769399534</v>
      </c>
      <c r="N22" s="5">
        <f>'Sheet2(F_12)'!$I22*('Sheet6(p_6)'!$L22+'Sheet6(p_6)'!$M22)</f>
        <v>1141.8259486992936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17463.21</v>
      </c>
      <c r="L23" s="5">
        <f>($K23)*Partcipation!$E80*Title_RESULTS!$C$12/100</f>
        <v>566.412447823937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612.9789757093528</v>
      </c>
      <c r="N23" s="5">
        <f>'Sheet2(F_12)'!$I23*('Sheet6(p_6)'!$L23+'Sheet6(p_6)'!$M23)</f>
        <v>1179.3914235332898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17463.21</v>
      </c>
      <c r="L24" s="5">
        <f>($K24)*Partcipation!$E81*Title_RESULTS!$C$12/100</f>
        <v>620.0489376932654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619.1087654664464</v>
      </c>
      <c r="N24" s="5">
        <f>'Sheet2(F_12)'!$I24*('Sheet6(p_6)'!$L24+'Sheet6(p_6)'!$M24)</f>
        <v>1239.1577031597117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17463.21</v>
      </c>
      <c r="L25" s="5">
        <f>($K25)*Partcipation!$E82*Title_RESULTS!$C$12/100</f>
        <v>651.6390348812245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625.2998531211109</v>
      </c>
      <c r="N25" s="5">
        <f>'Sheet2(F_12)'!$I25*('Sheet6(p_6)'!$L25+'Sheet6(p_6)'!$M25)</f>
        <v>1276.9388880023353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17463.21</v>
      </c>
      <c r="L26" s="5">
        <f>($K26)*Partcipation!$E83*Title_RESULTS!$C$12/100</f>
        <v>709.9946054051668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631.552851652322</v>
      </c>
      <c r="N26" s="5">
        <f>'Sheet2(F_12)'!$I26*('Sheet6(p_6)'!$L26+'Sheet6(p_6)'!$M26)</f>
        <v>1341.5474570574888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17463.21</v>
      </c>
      <c r="L27" s="5">
        <f>($K27)*Partcipation!$E84*Title_RESULTS!$C$12/100</f>
        <v>734.4695977324208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637.8683801688451</v>
      </c>
      <c r="N27" s="5">
        <f>'Sheet2(F_12)'!$I27*('Sheet6(p_6)'!$L27+'Sheet6(p_6)'!$M27)</f>
        <v>1372.3379779012657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17463.21</v>
      </c>
      <c r="L28" s="5">
        <f>($K28)*Partcipation!$E85*Title_RESULTS!$C$12/100</f>
        <v>786.8747731392009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644.2470639705336</v>
      </c>
      <c r="N28" s="5">
        <f>'Sheet2(F_12)'!$I28*('Sheet6(p_6)'!$L28+'Sheet6(p_6)'!$M28)</f>
        <v>1431.1218371097345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87</v>
      </c>
      <c r="B30" s="5">
        <f aca="true" t="shared" si="4" ref="B30:R30">SUM(B16:B29)</f>
        <v>122.90304</v>
      </c>
      <c r="C30" s="5">
        <f t="shared" si="4"/>
        <v>0</v>
      </c>
      <c r="D30" s="5">
        <f t="shared" si="4"/>
        <v>122.90304</v>
      </c>
      <c r="E30" s="5">
        <f t="shared" si="4"/>
        <v>263.85</v>
      </c>
      <c r="F30" s="5">
        <f t="shared" si="4"/>
        <v>0</v>
      </c>
      <c r="G30" s="5">
        <f t="shared" si="4"/>
        <v>263.85</v>
      </c>
      <c r="H30" s="5">
        <f t="shared" si="4"/>
        <v>2372.56174526</v>
      </c>
      <c r="I30" s="5">
        <f t="shared" si="4"/>
        <v>0</v>
      </c>
      <c r="J30" s="5">
        <f t="shared" si="4"/>
        <v>2372.56174526</v>
      </c>
      <c r="K30" s="5">
        <f t="shared" si="4"/>
        <v>200826.91499999995</v>
      </c>
      <c r="L30" s="5">
        <f t="shared" si="4"/>
        <v>6736.5390852131495</v>
      </c>
      <c r="M30" s="5">
        <f t="shared" si="4"/>
        <v>7032.918844066267</v>
      </c>
      <c r="N30" s="5">
        <f t="shared" si="4"/>
        <v>13769.457929279415</v>
      </c>
      <c r="O30" s="5">
        <f t="shared" si="4"/>
        <v>0</v>
      </c>
      <c r="P30" s="5">
        <f t="shared" si="4"/>
        <v>0</v>
      </c>
      <c r="Q30" s="5">
        <f t="shared" si="4"/>
        <v>0</v>
      </c>
      <c r="R30" s="5">
        <f t="shared" si="4"/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89</v>
      </c>
      <c r="B32" s="5">
        <f>NPV(Title_RESULTS!$C$37,'Sheet6(p_6)'!B17:B29)+'Sheet6(p_6)'!B16</f>
        <v>114.83173044385765</v>
      </c>
      <c r="C32" s="5">
        <f>NPV(Title_RESULTS!$C$37,'Sheet6(p_6)'!C17:C29)+'Sheet6(p_6)'!C16</f>
        <v>0</v>
      </c>
      <c r="D32" s="5">
        <f>NPV(Title_RESULTS!$C$37,'Sheet6(p_6)'!D17:D29)+'Sheet6(p_6)'!D16</f>
        <v>114.83173044385765</v>
      </c>
      <c r="E32" s="5">
        <f>NPV(Title_RESULTS!$C$37,'Sheet6(p_6)'!E17:E29)+'Sheet6(p_6)'!E16</f>
        <v>246.78904785839444</v>
      </c>
      <c r="F32" s="5">
        <f>NPV(Title_RESULTS!$C$37,'Sheet6(p_6)'!F17:F29)+'Sheet6(p_6)'!F16</f>
        <v>0</v>
      </c>
      <c r="G32" s="5">
        <f>NPV(Title_RESULTS!$C$37,'Sheet6(p_6)'!G17:G29)+'Sheet6(p_6)'!G16</f>
        <v>246.78904785839444</v>
      </c>
      <c r="H32" s="5">
        <f>NPV(Title_RESULTS!$C$37,'Sheet6(p_6)'!H17:H29)+'Sheet6(p_6)'!H16</f>
        <v>2216.8492113584234</v>
      </c>
      <c r="I32" s="5">
        <f>NPV(Title_RESULTS!$C$37,'Sheet6(p_6)'!I17:I29)+'Sheet6(p_6)'!I16</f>
        <v>0</v>
      </c>
      <c r="J32" s="5">
        <f>NPV(Title_RESULTS!$C$37,'Sheet6(p_6)'!J17:J29)+'Sheet6(p_6)'!J16</f>
        <v>2216.8492113584234</v>
      </c>
      <c r="K32" s="5"/>
      <c r="L32" s="5">
        <f>NPV(Title_RESULTS!$C$37,'Sheet6(p_6)'!L17:L29)+'Sheet6(p_6)'!L16</f>
        <v>4186.282333641673</v>
      </c>
      <c r="M32" s="5">
        <f>NPV(Title_RESULTS!$C$37,'Sheet6(p_6)'!M17:M29)+'Sheet6(p_6)'!M16</f>
        <v>4529.0278244573665</v>
      </c>
      <c r="N32" s="5">
        <f>NPV(Title_RESULTS!$C$37,'Sheet6(p_6)'!N17:N29)+'Sheet6(p_6)'!N16</f>
        <v>8715.31015809904</v>
      </c>
      <c r="O32" s="5"/>
      <c r="P32" s="5">
        <f>NPV(Title_RESULTS!$C$37,'Sheet6(p_6)'!P17:P29)+'Sheet6(p_6)'!P16</f>
        <v>0</v>
      </c>
      <c r="Q32" s="5">
        <f>NPV(Title_RESULTS!$C$37,'Sheet6(p_6)'!Q17:Q29)+'Sheet6(p_6)'!Q16</f>
        <v>0</v>
      </c>
      <c r="R32" s="5">
        <f>NPV(Title_RESULTS!$C$37,'Sheet6(p_6)'!R17:R29)+'Sheet6(p_6)'!R16</f>
        <v>0</v>
      </c>
    </row>
    <row r="34" ht="12.75">
      <c r="A34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Hot Water Pipe Insulation</v>
      </c>
      <c r="M2" t="s">
        <v>55</v>
      </c>
    </row>
    <row r="3" ht="12.75">
      <c r="M3" s="35">
        <f>+Title_RESULTS!I4</f>
        <v>43599.322200347226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772.94</v>
      </c>
      <c r="E16" s="5">
        <f>IF(A16&gt;=(Title_RESULTS!$H$7+Title_RESULTS!$C$17),0,(+'f-11B'!$N15))</f>
        <v>0</v>
      </c>
      <c r="F16" s="5">
        <f>IF(A16&gt;=(Title_RESULTS!$H$7+Title_RESULTS!$C$17),0,(SUM(B16:E16)))</f>
        <v>812.94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89.05714012871664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89.05714012871664</v>
      </c>
      <c r="L16" s="23">
        <f>IF(A16&gt;=(Title_RESULTS!$H$7+Title_RESULTS!$C$17),0,(+$K16-$F16))</f>
        <v>-723.8828598712835</v>
      </c>
      <c r="M16" s="23">
        <f>IF(A16&gt;=(Title_RESULTS!$H$7+Title_RESULTS!$C$17),0,(+$L16/(1+Title_RESULTS!$C$37)^('Sheet7(F_23)'!$A16-Title_RESULTS!$H$7)))</f>
        <v>-723.8828598712835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790.71762</v>
      </c>
      <c r="E17" s="5">
        <f>IF(A17&gt;=(Title_RESULTS!$H$7+Title_RESULTS!$C$17),0,(+'f-11B'!$N16))</f>
        <v>0</v>
      </c>
      <c r="F17" s="5">
        <f>IF(A17&gt;=(Title_RESULTS!$H$7+Title_RESULTS!$C$17),0,(SUM(B17:E17)))</f>
        <v>831.67762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55.27261244869669</v>
      </c>
      <c r="I17" s="5">
        <f>IF(A17&gt;=(Title_RESULTS!$H$7+Title_RESULTS!$C$17),0,(+'Sheet4(F_22)'!$H17))</f>
        <v>264.9982872750612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320.2708997237579</v>
      </c>
      <c r="L17" s="23">
        <f>IF(A17&gt;=(Title_RESULTS!$H$7+Title_RESULTS!$C$17),0,(+$K17-$F17))</f>
        <v>-511.40672027624214</v>
      </c>
      <c r="M17" s="23">
        <f>IF(A17&gt;=(Title_RESULTS!$H$7+Title_RESULTS!$C$17),0,(+M16+$L17/(1+Title_RESULTS!$C$37)^('Sheet7(F_23)'!$A17-Title_RESULTS!$H$7)))</f>
        <v>-1201.475986763553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808.9041252599999</v>
      </c>
      <c r="E18" s="5">
        <f>IF(A18&gt;=(Title_RESULTS!$H$7+Title_RESULTS!$C$17),0,(+'f-11B'!$N17))</f>
        <v>0</v>
      </c>
      <c r="F18" s="5">
        <f>IF(A18&gt;=(Title_RESULTS!$H$7+Title_RESULTS!$C$17),0,(SUM(B18:E18)))</f>
        <v>850.8471652599999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56.59915514746541</v>
      </c>
      <c r="I18" s="5">
        <f>IF(A18&gt;=(Title_RESULTS!$H$7+Title_RESULTS!$C$17),0,(+'Sheet4(F_22)'!$H18))</f>
        <v>455.8266157383324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512.4257708857979</v>
      </c>
      <c r="L18" s="23">
        <f>IF(A18&gt;=(Title_RESULTS!$H$7+Title_RESULTS!$C$17),0,(+$K18-$F18))</f>
        <v>-338.421394374202</v>
      </c>
      <c r="M18" s="23">
        <f>IF(A18&gt;=(Title_RESULTS!$H$7+Title_RESULTS!$C$17),0,(+M17+$L18/(1+Title_RESULTS!$C$37)^('Sheet7(F_23)'!$A18-Title_RESULTS!$H$7)))</f>
        <v>-1496.6248300330656</v>
      </c>
    </row>
    <row r="19" spans="1:13" ht="12.75">
      <c r="A19">
        <f aca="true" t="shared" si="0" ref="A19:A28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162.5646444323318</v>
      </c>
      <c r="H19" s="5">
        <f>IF(A19&gt;=(Title_RESULTS!$H$7+Title_RESULTS!$C$17),0,(+'Sheet4(F_22)'!$D19+'Sheet4(F_22)'!$G19))</f>
        <v>57.95753487100459</v>
      </c>
      <c r="I19" s="5">
        <f>IF(A19&gt;=(Title_RESULTS!$H$7+Title_RESULTS!$C$17),0,(+'Sheet4(F_22)'!$H19))</f>
        <v>569.4316237199682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789.9538030233045</v>
      </c>
      <c r="L19" s="23">
        <f>IF(A19&gt;=(Title_RESULTS!$H$7+Title_RESULTS!$C$17),0,(+$K19-$F19))</f>
        <v>789.9538030233045</v>
      </c>
      <c r="M19" s="23">
        <f>IF(A19&gt;=(Title_RESULTS!$H$7+Title_RESULTS!$C$17),0,(+M18+$L19/(1+Title_RESULTS!$C$37)^('Sheet7(F_23)'!$A19-Title_RESULTS!$H$7)))</f>
        <v>-853.2314224246953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166.899449403417</v>
      </c>
      <c r="H20" s="5">
        <f>IF(A20&gt;=(Title_RESULTS!$H$7+Title_RESULTS!$C$17),0,(+'Sheet4(F_22)'!$D20+'Sheet4(F_22)'!$G20))</f>
        <v>59.348515707908696</v>
      </c>
      <c r="I20" s="5">
        <f>IF(A20&gt;=(Title_RESULTS!$H$7+Title_RESULTS!$C$17),0,(+'Sheet4(F_22)'!$H20))</f>
        <v>591.8081402163409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818.0561053276666</v>
      </c>
      <c r="L20" s="23">
        <f>IF(A20&gt;=(Title_RESULTS!$H$7+Title_RESULTS!$C$17),0,(+$K20-$F20))</f>
        <v>818.0561053276666</v>
      </c>
      <c r="M20" s="23">
        <f>IF(A20&gt;=(Title_RESULTS!$H$7+Title_RESULTS!$C$17),0,(+M19+$L20/(1+Title_RESULTS!$C$37)^('Sheet7(F_23)'!$A20-Title_RESULTS!$H$7)))</f>
        <v>-231.00329365063817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171.64178851372412</v>
      </c>
      <c r="H21" s="5">
        <f>IF(A21&gt;=(Title_RESULTS!$H$7+Title_RESULTS!$C$17),0,(+'Sheet4(F_22)'!$D21+'Sheet4(F_22)'!$G21))</f>
        <v>60.7728800848985</v>
      </c>
      <c r="I21" s="5">
        <f>IF(A21&gt;=(Title_RESULTS!$H$7+Title_RESULTS!$C$17),0,(+'Sheet4(F_22)'!$H21))</f>
        <v>635.4237696725141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867.8384382711367</v>
      </c>
      <c r="L21" s="23">
        <f>IF(A21&gt;=(Title_RESULTS!$H$7+Title_RESULTS!$C$17),0,(+$K21-$F21))</f>
        <v>867.8384382711367</v>
      </c>
      <c r="M21" s="23">
        <f>IF(A21&gt;=(Title_RESULTS!$H$7+Title_RESULTS!$C$17),0,(+M20+$L21/(1+Title_RESULTS!$C$37)^('Sheet7(F_23)'!$A21-Title_RESULTS!$H$7)))</f>
        <v>385.44558852736384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176.95301327125776</v>
      </c>
      <c r="H22" s="5">
        <f>IF(A22&gt;=(Title_RESULTS!$H$7+Title_RESULTS!$C$17),0,(+'Sheet4(F_22)'!$D22+'Sheet4(F_22)'!$G22))</f>
        <v>62.23142920693606</v>
      </c>
      <c r="I22" s="5">
        <f>IF(A22&gt;=(Title_RESULTS!$H$7+Title_RESULTS!$C$17),0,(+'Sheet4(F_22)'!$H22))</f>
        <v>655.8047485321176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894.9891910103115</v>
      </c>
      <c r="L22" s="23">
        <f>IF(A22&gt;=(Title_RESULTS!$H$7+Title_RESULTS!$C$17),0,(+$K22-$F22))</f>
        <v>894.9891910103115</v>
      </c>
      <c r="M22" s="23">
        <f>IF(A22&gt;=(Title_RESULTS!$H$7+Title_RESULTS!$C$17),0,(+M21+$L22/(1+Title_RESULTS!$C$37)^('Sheet7(F_23)'!$A22-Title_RESULTS!$H$7)))</f>
        <v>979.1463626280569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181.71663717131113</v>
      </c>
      <c r="H23" s="5">
        <f>IF(A23&gt;=(Title_RESULTS!$H$7+Title_RESULTS!$C$17),0,(+'Sheet4(F_22)'!$D23+'Sheet4(F_22)'!$G23))</f>
        <v>63.724983507902536</v>
      </c>
      <c r="I23" s="5">
        <f>IF(A23&gt;=(Title_RESULTS!$H$7+Title_RESULTS!$C$17),0,(+'Sheet4(F_22)'!$H23))</f>
        <v>696.7896100646881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942.2312307439017</v>
      </c>
      <c r="L23" s="23">
        <f>IF(A23&gt;=(Title_RESULTS!$H$7+Title_RESULTS!$C$17),0,(+$K23-$F23))</f>
        <v>942.2312307439017</v>
      </c>
      <c r="M23" s="23">
        <f>IF(A23&gt;=(Title_RESULTS!$H$7+Title_RESULTS!$C$17),0,(+M22+$L23/(1+Title_RESULTS!$C$37)^('Sheet7(F_23)'!$A23-Title_RESULTS!$H$7)))</f>
        <v>1562.8588139439162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184.66015411900167</v>
      </c>
      <c r="H24" s="5">
        <f>IF(A24&gt;=(Title_RESULTS!$H$7+Title_RESULTS!$C$17),0,(+'Sheet4(F_22)'!$D24+'Sheet4(F_22)'!$G24))</f>
        <v>65.2543831120922</v>
      </c>
      <c r="I24" s="5">
        <f>IF(A24&gt;=(Title_RESULTS!$H$7+Title_RESULTS!$C$17),0,(+'Sheet4(F_22)'!$H24))</f>
        <v>772.1234650793926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1022.0380023104865</v>
      </c>
      <c r="L24" s="23">
        <f>IF(A24&gt;=(Title_RESULTS!$H$7+Title_RESULTS!$C$17),0,(+$K24-$F24))</f>
        <v>1022.0380023104865</v>
      </c>
      <c r="M24" s="23">
        <f>IF(A24&gt;=(Title_RESULTS!$H$7+Title_RESULTS!$C$17),0,(+M23+$L24/(1+Title_RESULTS!$C$37)^('Sheet7(F_23)'!$A24-Title_RESULTS!$H$7)))</f>
        <v>2154.1482830969817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189.67620994304974</v>
      </c>
      <c r="H25" s="5">
        <f>IF(A25&gt;=(Title_RESULTS!$H$7+Title_RESULTS!$C$17),0,(+'Sheet4(F_22)'!$D25+'Sheet4(F_22)'!$G25))</f>
        <v>66.82048830678241</v>
      </c>
      <c r="I25" s="5">
        <f>IF(A25&gt;=(Title_RESULTS!$H$7+Title_RESULTS!$C$17),0,(+'Sheet4(F_22)'!$H25))</f>
        <v>827.2254915178314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1083.7221897676636</v>
      </c>
      <c r="L25" s="23">
        <f>IF(A25&gt;=(Title_RESULTS!$H$7+Title_RESULTS!$C$17),0,(+$K25-$F25))</f>
        <v>1083.7221897676636</v>
      </c>
      <c r="M25" s="23">
        <f>IF(A25&gt;=(Title_RESULTS!$H$7+Title_RESULTS!$C$17),0,(+M24+$L25/(1+Title_RESULTS!$C$37)^('Sheet7(F_23)'!$A25-Title_RESULTS!$H$7)))</f>
        <v>2739.669589617198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192.71307838121004</v>
      </c>
      <c r="H26" s="5">
        <f>IF(A26&gt;=(Title_RESULTS!$H$7+Title_RESULTS!$C$17),0,(+'Sheet4(F_22)'!$D26+'Sheet4(F_22)'!$G26))</f>
        <v>68.42418002614518</v>
      </c>
      <c r="I26" s="5">
        <f>IF(A26&gt;=(Title_RESULTS!$H$7+Title_RESULTS!$C$17),0,(+'Sheet4(F_22)'!$H26))</f>
        <v>923.965045562155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1185.10230396951</v>
      </c>
      <c r="L26" s="23">
        <f>IF(A26&gt;=(Title_RESULTS!$H$7+Title_RESULTS!$C$17),0,(+$K26-$F26))</f>
        <v>1185.10230396951</v>
      </c>
      <c r="M26" s="23">
        <f>IF(A26&gt;=(Title_RESULTS!$H$7+Title_RESULTS!$C$17),0,(+M25+$L26/(1+Title_RESULTS!$C$37)^('Sheet7(F_23)'!$A26-Title_RESULTS!$H$7)))</f>
        <v>3337.629705373059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199.36575115726225</v>
      </c>
      <c r="H27" s="5">
        <f>IF(A27&gt;=(Title_RESULTS!$H$7+Title_RESULTS!$C$17),0,(+'Sheet4(F_22)'!$D27+'Sheet4(F_22)'!$G27))</f>
        <v>70.06636034677268</v>
      </c>
      <c r="I27" s="5">
        <f>IF(A27&gt;=(Title_RESULTS!$H$7+Title_RESULTS!$C$17),0,(+'Sheet4(F_22)'!$H27))</f>
        <v>920.5289622504964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1189.9610737545313</v>
      </c>
      <c r="L27" s="23">
        <f>IF(A27&gt;=(Title_RESULTS!$H$7+Title_RESULTS!$C$17),0,(+$K27-$F27))</f>
        <v>1189.9610737545313</v>
      </c>
      <c r="M27" s="23">
        <f>IF(A27&gt;=(Title_RESULTS!$H$7+Title_RESULTS!$C$17),0,(+M26+$L27/(1+Title_RESULTS!$C$37)^('Sheet7(F_23)'!$A27-Title_RESULTS!$H$7)))</f>
        <v>3898.3428887095915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203.5686840337016</v>
      </c>
      <c r="H28" s="5">
        <f>IF(A28&gt;=(Title_RESULTS!$H$7+Title_RESULTS!$C$17),0,(+'Sheet4(F_22)'!$D28+'Sheet4(F_22)'!$G28))</f>
        <v>71.74795299509522</v>
      </c>
      <c r="I28" s="5">
        <f>IF(A28&gt;=(Title_RESULTS!$H$7+Title_RESULTS!$C$17),0,(+'Sheet4(F_22)'!$H28))</f>
        <v>1006.0530768735632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1281.36971390236</v>
      </c>
      <c r="L28" s="23">
        <f>IF(A28&gt;=(Title_RESULTS!$H$7+Title_RESULTS!$C$17),0,(+$K28-$F28))</f>
        <v>1281.36971390236</v>
      </c>
      <c r="M28" s="23">
        <f>IF(A28&gt;=(Title_RESULTS!$H$7+Title_RESULTS!$C$17),0,(+M27+$L28/(1+Title_RESULTS!$C$37)^('Sheet7(F_23)'!$A28-Title_RESULTS!$H$7)))</f>
        <v>4462.206547078838</v>
      </c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L30">SUM(B16:B29)</f>
        <v>0</v>
      </c>
      <c r="C30" s="5">
        <f t="shared" si="1"/>
        <v>122.90304</v>
      </c>
      <c r="D30" s="5">
        <f t="shared" si="1"/>
        <v>2372.56174526</v>
      </c>
      <c r="E30" s="5">
        <f t="shared" si="1"/>
        <v>0</v>
      </c>
      <c r="F30" s="5">
        <f t="shared" si="1"/>
        <v>2495.46478526</v>
      </c>
      <c r="G30" s="5">
        <f t="shared" si="1"/>
        <v>1829.7594104262676</v>
      </c>
      <c r="H30" s="5">
        <f t="shared" si="1"/>
        <v>758.2204757617002</v>
      </c>
      <c r="I30" s="5">
        <f t="shared" si="1"/>
        <v>8409.035976631176</v>
      </c>
      <c r="J30" s="5">
        <f t="shared" si="1"/>
        <v>0</v>
      </c>
      <c r="K30" s="5">
        <f t="shared" si="1"/>
        <v>10997.015862819146</v>
      </c>
      <c r="L30" s="5">
        <f t="shared" si="1"/>
        <v>8501.551077559145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118</v>
      </c>
      <c r="B32" s="5">
        <f>NPV(Title_RESULTS!$C$37,'Sheet7(F_23)'!B17:B29)+'Sheet7(F_23)'!B16</f>
        <v>0</v>
      </c>
      <c r="C32" s="5">
        <f>NPV(Title_RESULTS!$C$37,'Sheet7(F_23)'!C17:C29)+'Sheet7(F_23)'!C16</f>
        <v>114.83173044385765</v>
      </c>
      <c r="D32" s="5">
        <f>NPV(Title_RESULTS!$C$37,'Sheet7(F_23)'!D17:D29)+'Sheet7(F_23)'!D16</f>
        <v>2216.8492113584234</v>
      </c>
      <c r="E32" s="5">
        <f>NPV(Title_RESULTS!$C$37,'Sheet7(F_23)'!E17:E29)+'Sheet7(F_23)'!E16</f>
        <v>0</v>
      </c>
      <c r="F32" s="5">
        <f>NPV(Title_RESULTS!$C$37,'Sheet7(F_23)'!F17:F29)+'Sheet7(F_23)'!F16</f>
        <v>2331.6809418022813</v>
      </c>
      <c r="G32" s="5">
        <f>NPV(Title_RESULTS!$C$37,'Sheet7(F_23)'!G17:G29)+'Sheet7(F_23)'!G16</f>
        <v>1101.300240373088</v>
      </c>
      <c r="H32" s="5">
        <f>NPV(Title_RESULTS!$C$37,'Sheet7(F_23)'!H17:H29)+'Sheet7(F_23)'!H16</f>
        <v>490.2213267681486</v>
      </c>
      <c r="I32" s="5">
        <f>NPV(Title_RESULTS!$C$37,'Sheet7(F_23)'!I17:I29)+'Sheet7(F_23)'!I16</f>
        <v>5202.365921739883</v>
      </c>
      <c r="J32" s="5">
        <f>NPV(Title_RESULTS!$C$37,'Sheet7(F_23)'!J17:J29)+'Sheet7(F_23)'!J16</f>
        <v>0</v>
      </c>
      <c r="K32" s="5">
        <f>NPV(Title_RESULTS!$C$37,'Sheet7(F_23)'!K17:K29)+'Sheet7(F_23)'!K16</f>
        <v>6793.887488881119</v>
      </c>
      <c r="L32" s="5">
        <f>NPV(Title_RESULTS!$C$37,'Sheet7(F_23)'!L17:L29)+'Sheet7(F_23)'!L16</f>
        <v>4462.2065470788375</v>
      </c>
      <c r="M32" s="5"/>
    </row>
    <row r="34" spans="1:8" ht="12.75">
      <c r="A34" t="s">
        <v>162</v>
      </c>
      <c r="C34">
        <f>+Title_RESULTS!C37</f>
        <v>0.0708</v>
      </c>
      <c r="D34" t="s">
        <v>163</v>
      </c>
      <c r="H34" s="10">
        <f>+K32/F32</f>
        <v>2.91372947605334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Hot Water Pipe Insulation</v>
      </c>
      <c r="L2" t="s">
        <v>55</v>
      </c>
    </row>
    <row r="3" ht="12.75">
      <c r="L3" s="35">
        <f>+Title_RESULTS!I4</f>
        <v>43599.322200347226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166.14967643654225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87.95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254.09967643654227</v>
      </c>
      <c r="G16" s="5">
        <f>IF(A16&gt;=(Title_RESULTS!$H$7+Title_RESULTS!$C$17),0,(+'Sheet6(p_6)'!$H16))</f>
        <v>772.94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772.94</v>
      </c>
      <c r="K16" s="23">
        <f>IF(A16&gt;=(Title_RESULTS!$H$7+Title_RESULTS!$C$17),0,(+F16-J16))</f>
        <v>-518.8403235634578</v>
      </c>
      <c r="L16" s="23">
        <f>IF(A16&gt;=(Title_RESULTS!$H$7+Title_RESULTS!$C$17),0,(+$K16/((1+Title_RESULTS!$C$37)^('Sheet8(F_24)'!$A16-Title_RESULTS!$H$7))))</f>
        <v>-518.8403235634578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511.42517059937137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87.95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599.3751705993714</v>
      </c>
      <c r="G17" s="5">
        <f>IF(A17&gt;=(Title_RESULTS!$H$7+Title_RESULTS!$C$17),0,(+'Sheet6(p_6)'!$H17))</f>
        <v>790.71762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790.71762</v>
      </c>
      <c r="K17" s="23">
        <f>IF(A17&gt;=(Title_RESULTS!$H$7+Title_RESULTS!$C$17),0,(+F17-J17))</f>
        <v>-191.34244940062865</v>
      </c>
      <c r="L17" s="23">
        <f>IF(A16&gt;=(Title_RESULTS!$H$7+Title_RESULTS!$C$17),0,(+$K17/((1+Title_RESULTS!$C$37)^('Sheet8(F_24)'!$A17-Title_RESULTS!$H$7))+L16))</f>
        <v>-697.5314417934061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870.8593586102519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87.95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958.8093586102519</v>
      </c>
      <c r="G18" s="5">
        <f>IF(A18&gt;=(Title_RESULTS!$H$7+Title_RESULTS!$C$17),0,(+'Sheet6(p_6)'!$H18))</f>
        <v>808.9041252599999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808.9041252599999</v>
      </c>
      <c r="K18" s="23">
        <f>IF(A18&gt;=(Title_RESULTS!$H$7+Title_RESULTS!$C$17),0,(+F18-J18))</f>
        <v>149.90523335025205</v>
      </c>
      <c r="L18" s="23">
        <f>IF(A17&gt;=(Title_RESULTS!$H$7+Title_RESULTS!$C$17),0,(+$K18/((1+Title_RESULTS!$C$37)^('Sheet8(F_24)'!$A18-Title_RESULTS!$H$7))+L17))</f>
        <v>-566.7939737760885</v>
      </c>
      <c r="M18" s="5"/>
    </row>
    <row r="19" spans="1:13" ht="12.75">
      <c r="A19">
        <f aca="true" t="shared" si="0" ref="A19:A28">+A18+1</f>
        <v>2023</v>
      </c>
      <c r="B19" s="5">
        <f>IF(A19&gt;=(Title_RESULTS!$H$7+Title_RESULTS!$C$17),0,(+'Sheet6(p_6)'!N19-'Sheet6(p_6)'!R19))</f>
        <v>1047.0779382712212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1047.0779382712212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1047.0779382712212</v>
      </c>
      <c r="L19" s="23">
        <f>IF(A18&gt;=(Title_RESULTS!$H$7+Title_RESULTS!$C$17),0,(+$K19/((1+Title_RESULTS!$C$37)^('Sheet8(F_24)'!$A19-Title_RESULTS!$H$7))+L18))</f>
        <v>286.01924157594055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1078.9471587781463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1078.9471587781463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1078.9471587781463</v>
      </c>
      <c r="L20" s="23">
        <f>IF(A19&gt;=(Title_RESULTS!$H$7+Title_RESULTS!$C$17),0,(+$K20/((1+Title_RESULTS!$C$37)^('Sheet8(F_24)'!$A20-Title_RESULTS!$H$7))+L19))</f>
        <v>1106.6857793358495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1112.6773911207647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1112.6773911207647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1112.6773911207647</v>
      </c>
      <c r="L21" s="23">
        <f>IF(A20&gt;=(Title_RESULTS!$H$7+Title_RESULTS!$C$17),0,(+$K21/((1+Title_RESULTS!$C$37)^('Sheet8(F_24)'!$A21-Title_RESULTS!$H$7))+L20))</f>
        <v>1897.050326160444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1141.8259486992936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1141.8259486992936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1141.8259486992936</v>
      </c>
      <c r="L22" s="23">
        <f>IF(A21&gt;=(Title_RESULTS!$H$7+Title_RESULTS!$C$17),0,(+$K22/((1+Title_RESULTS!$C$37)^('Sheet8(F_24)'!$A22-Title_RESULTS!$H$7))+L21))</f>
        <v>2654.4929371329586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1179.3914235332898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1179.3914235332898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1179.3914235332898</v>
      </c>
      <c r="L23" s="23">
        <f>IF(A22&gt;=(Title_RESULTS!$H$7+Title_RESULTS!$C$17),0,(+$K23/((1+Title_RESULTS!$C$37)^('Sheet8(F_24)'!$A23-Title_RESULTS!$H$7))+L22))</f>
        <v>3385.1261791960537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1239.1577031597117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1239.1577031597117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1239.1577031597117</v>
      </c>
      <c r="L24" s="23">
        <f>IF(A23&gt;=(Title_RESULTS!$H$7+Title_RESULTS!$C$17),0,(+$K24/((1+Title_RESULTS!$C$37)^('Sheet8(F_24)'!$A24-Title_RESULTS!$H$7))+L23))</f>
        <v>4102.027995803504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1276.9388880023353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1276.9388880023353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1276.9388880023353</v>
      </c>
      <c r="L25" s="23">
        <f>IF(A24&gt;=(Title_RESULTS!$H$7+Title_RESULTS!$C$17),0,(+$K25/((1+Title_RESULTS!$C$37)^('Sheet8(F_24)'!$A25-Title_RESULTS!$H$7))+L24))</f>
        <v>4791.941825296921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1341.5474570574888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1341.5474570574888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1341.5474570574888</v>
      </c>
      <c r="L26" s="23">
        <f>IF(A25&gt;=(Title_RESULTS!$H$7+Title_RESULTS!$C$17),0,(+$K26/((1+Title_RESULTS!$C$37)^('Sheet8(F_24)'!$A26-Title_RESULTS!$H$7))+L25))</f>
        <v>5468.83855398197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1372.3379779012657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1372.3379779012657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1372.3379779012657</v>
      </c>
      <c r="L27" s="23">
        <f>IF(A26&gt;=(Title_RESULTS!$H$7+Title_RESULTS!$C$17),0,(+$K27/((1+Title_RESULTS!$C$37)^('Sheet8(F_24)'!$A27-Title_RESULTS!$H$7))+L26))</f>
        <v>6115.488274862983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1431.1218371097345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1431.1218371097345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1431.1218371097345</v>
      </c>
      <c r="L28" s="23">
        <f>IF(A27&gt;=(Title_RESULTS!$H$7+Title_RESULTS!$C$17),0,(+$K28/((1+Title_RESULTS!$C$37)^('Sheet8(F_24)'!$A28-Title_RESULTS!$H$7))+L27))</f>
        <v>6745.249994599011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K30">SUM(B16:B29)</f>
        <v>13769.457929279415</v>
      </c>
      <c r="C30" s="5">
        <f t="shared" si="1"/>
        <v>0</v>
      </c>
      <c r="D30" s="5">
        <f t="shared" si="1"/>
        <v>263.85</v>
      </c>
      <c r="E30" s="5">
        <f t="shared" si="1"/>
        <v>0</v>
      </c>
      <c r="F30" s="5">
        <f t="shared" si="1"/>
        <v>14033.307929279417</v>
      </c>
      <c r="G30" s="5">
        <f t="shared" si="1"/>
        <v>2372.56174526</v>
      </c>
      <c r="H30" s="5">
        <f t="shared" si="1"/>
        <v>0</v>
      </c>
      <c r="I30" s="5">
        <f t="shared" si="1"/>
        <v>0</v>
      </c>
      <c r="J30" s="5">
        <f t="shared" si="1"/>
        <v>2372.56174526</v>
      </c>
      <c r="K30" s="5">
        <f t="shared" si="1"/>
        <v>11660.746184019416</v>
      </c>
      <c r="L30" s="5"/>
      <c r="M30" s="5"/>
    </row>
    <row r="31" ht="12.75">
      <c r="M31" s="5"/>
    </row>
    <row r="32" spans="1:13" ht="12.75">
      <c r="A32" t="s">
        <v>118</v>
      </c>
      <c r="B32" s="5">
        <f>NPV(Title_RESULTS!$C$37,'Sheet8(F_24)'!B17:B29)+'Sheet8(F_24)'!B16</f>
        <v>8715.31015809904</v>
      </c>
      <c r="C32" s="5">
        <f>NPV(Title_RESULTS!$C$37,'Sheet8(F_24)'!C17:C29)+'Sheet8(F_24)'!C16</f>
        <v>0</v>
      </c>
      <c r="D32" s="5">
        <f>NPV(Title_RESULTS!$C$37,'Sheet8(F_24)'!D17:D29)+'Sheet8(F_24)'!D16</f>
        <v>246.78904785839444</v>
      </c>
      <c r="E32" s="5">
        <f>NPV(Title_RESULTS!$C$37,'Sheet8(F_24)'!E17:E29)+'Sheet8(F_24)'!E16</f>
        <v>0</v>
      </c>
      <c r="F32" s="5">
        <f>NPV(Title_RESULTS!$C$37,'Sheet8(F_24)'!F17:F29)+'Sheet8(F_24)'!F16</f>
        <v>8962.099205957435</v>
      </c>
      <c r="G32" s="5">
        <f>NPV(Title_RESULTS!$C$37,'Sheet8(F_24)'!G17:G29)+'Sheet8(F_24)'!G16</f>
        <v>2216.8492113584234</v>
      </c>
      <c r="H32" s="5">
        <f>NPV(Title_RESULTS!$C$37,'Sheet8(F_24)'!H17:H29)+'Sheet8(F_24)'!H16</f>
        <v>0</v>
      </c>
      <c r="I32" s="5">
        <f>NPV(Title_RESULTS!$C$37,'Sheet8(F_24)'!I17:I29)+'Sheet8(F_24)'!I16</f>
        <v>0</v>
      </c>
      <c r="J32" s="5">
        <f>NPV(Title_RESULTS!$C$37,'Sheet8(F_24)'!J17:J29)+'Sheet8(F_24)'!J16</f>
        <v>2216.8492113584234</v>
      </c>
      <c r="K32" s="5">
        <f>NPV(Title_RESULTS!$C$37,'Sheet8(F_24)'!K17:K29)+'Sheet8(F_24)'!K16</f>
        <v>6745.24999459901</v>
      </c>
      <c r="L32" s="5"/>
      <c r="M32" s="5"/>
    </row>
    <row r="33" spans="2:1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1" ht="12.75">
      <c r="A34" t="s">
        <v>174</v>
      </c>
      <c r="D34">
        <f>+Title_RESULTS!H8</f>
        <v>2023</v>
      </c>
      <c r="F34">
        <f>+F32/J32</f>
        <v>4.042719351428377</v>
      </c>
      <c r="K34" s="10"/>
    </row>
    <row r="35" spans="1:10" ht="12.75">
      <c r="A35" t="s">
        <v>175</v>
      </c>
      <c r="D35">
        <f>+Title_RESULTS!C37</f>
        <v>0.0708</v>
      </c>
      <c r="J35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Hot Water Pipe Insulation</v>
      </c>
      <c r="N2" t="s">
        <v>55</v>
      </c>
    </row>
    <row r="3" ht="12.75">
      <c r="N3" s="35">
        <f>+Title_RESULTS!I4</f>
        <v>43599.322200347226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87.95</v>
      </c>
      <c r="E16" s="5">
        <f>+'Sheet6(p_6)'!M16</f>
        <v>95.2894263</v>
      </c>
      <c r="F16">
        <f>IF(A16&gt;=(Title_RESULTS!$H$7+Title_RESULTS!$C$17),0,(+'f-11B'!$R15))</f>
        <v>0</v>
      </c>
      <c r="G16" s="5">
        <f>IF(A16&gt;=(Title_RESULTS!$H$7+Title_RESULTS!$C$17),0,(SUM(B16:F16)))</f>
        <v>223.2394263</v>
      </c>
      <c r="H16" s="5">
        <f>IF(A16&gt;=(Title_RESULTS!$H$7+Title_RESULTS!$C$17),0,(+'Sheet3(F_21)'!$J16+'Sheet4(F_22)'!$H16))</f>
        <v>89.05714012871664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89.05714012871664</v>
      </c>
      <c r="M16" s="23">
        <f>IF(A16&gt;=(Title_RESULTS!$H$7+Title_RESULTS!$C$17),0,(+L16-G16))</f>
        <v>-134.18228617128335</v>
      </c>
      <c r="N16" s="24">
        <f>IF(A16&gt;=(Title_RESULTS!$H$7+Title_RESULTS!$C$17),0,(+$M16/((1+Title_RESULTS!$C$37)^('Sheet9(F_25)'!$A16-Title_RESULTS!$H$7))))</f>
        <v>-134.18228617128335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87.95</v>
      </c>
      <c r="E17" s="5">
        <f>+'Sheet6(p_6)'!M17</f>
        <v>288.72696168899995</v>
      </c>
      <c r="F17">
        <f>IF(A17&gt;=(Title_RESULTS!$H$7+Title_RESULTS!$C$17),0,(+'f-11B'!$R16))</f>
        <v>0</v>
      </c>
      <c r="G17" s="5">
        <f>IF(A17&gt;=(Title_RESULTS!$H$7+Title_RESULTS!$C$17),0,(SUM(B17:F17)))</f>
        <v>417.6369616889999</v>
      </c>
      <c r="H17" s="5">
        <f>IF(A17&gt;=(Title_RESULTS!$H$7+Title_RESULTS!$C$17),0,(+'Sheet3(F_21)'!$J17+'Sheet4(F_22)'!$H17))</f>
        <v>264.9982872750612</v>
      </c>
      <c r="I17" s="5">
        <f>IF(A17&gt;=(Title_RESULTS!$H$7+Title_RESULTS!$C$17),0,(+'Sheet4(F_22)'!$D17+'Sheet4(F_22)'!$G17))</f>
        <v>55.27261244869669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320.2708997237579</v>
      </c>
      <c r="M17" s="23">
        <f>IF(A17&gt;=(Title_RESULTS!$H$7+Title_RESULTS!$C$17),0,(+L17-G17))</f>
        <v>-97.36606196524201</v>
      </c>
      <c r="N17" s="24">
        <f>(IF(A16&gt;=(Title_RESULTS!$H$7+Title_RESULTS!$C$17),0,(+$M17/((1+Title_RESULTS!$C$37)^('Sheet9(F_25)'!$A17-Title_RESULTS!$H$7))+N16)))</f>
        <v>-225.11062196250674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87.95</v>
      </c>
      <c r="E18" s="5">
        <f>+'Sheet6(p_6)'!M18</f>
        <v>486.02371884315</v>
      </c>
      <c r="F18">
        <f>IF(A18&gt;=(Title_RESULTS!$H$7+Title_RESULTS!$C$17),0,(+'f-11B'!$R17))</f>
        <v>0</v>
      </c>
      <c r="G18" s="5">
        <f>IF(A18&gt;=(Title_RESULTS!$H$7+Title_RESULTS!$C$17),0,(SUM(B18:F18)))</f>
        <v>615.91675884315</v>
      </c>
      <c r="H18" s="5">
        <f>IF(A18&gt;=(Title_RESULTS!$H$7+Title_RESULTS!$C$17),0,(+'Sheet3(F_21)'!$J18+'Sheet4(F_22)'!$H18))</f>
        <v>455.8266157383324</v>
      </c>
      <c r="I18" s="5">
        <f>IF(A18&gt;=(Title_RESULTS!$H$7+Title_RESULTS!$C$17),0,(+'Sheet4(F_22)'!$D18+'Sheet4(F_22)'!$G18))</f>
        <v>56.59915514746541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512.4257708857979</v>
      </c>
      <c r="M18" s="23">
        <f>IF(A18&gt;=(Title_RESULTS!$H$7+Title_RESULTS!$C$17),0,(+L18-G18))</f>
        <v>-103.4909879573521</v>
      </c>
      <c r="N18" s="24">
        <f>(IF(A17&gt;=(Title_RESULTS!$H$7+Title_RESULTS!$C$17),0,(+$M18/((1+Title_RESULTS!$C$37)^('Sheet9(F_25)'!$A18-Title_RESULTS!$H$7))+N17)))</f>
        <v>-315.36864315207964</v>
      </c>
    </row>
    <row r="19" spans="1:14" ht="12.75">
      <c r="A19">
        <f aca="true" t="shared" si="0" ref="A19:A28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589.0607472378977</v>
      </c>
      <c r="F19">
        <f>IF(A19&gt;=(Title_RESULTS!$H$7+Title_RESULTS!$C$17),0,(+'f-11B'!$R18))</f>
        <v>0</v>
      </c>
      <c r="G19" s="5">
        <f>IF(A19&gt;=(Title_RESULTS!$H$7+Title_RESULTS!$C$17),0,(SUM(B19:F19)))</f>
        <v>589.0607472378977</v>
      </c>
      <c r="H19" s="5">
        <f>IF(A19&gt;=(Title_RESULTS!$H$7+Title_RESULTS!$C$17),0,(+'Sheet3(F_21)'!$J19+'Sheet4(F_22)'!$H19))</f>
        <v>731.9962681523</v>
      </c>
      <c r="I19" s="5">
        <f>IF(A19&gt;=(Title_RESULTS!$H$7+Title_RESULTS!$C$17),0,(+'Sheet4(F_22)'!$D19+'Sheet4(F_22)'!$G19))</f>
        <v>57.95753487100459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789.9538030233045</v>
      </c>
      <c r="M19" s="23">
        <f>IF(A19&gt;=(Title_RESULTS!$H$7+Title_RESULTS!$C$17),0,(+L19-G19))</f>
        <v>200.8930557854069</v>
      </c>
      <c r="N19" s="24">
        <f>(IF(A18&gt;=(Title_RESULTS!$H$7+Title_RESULTS!$C$17),0,(+$M19/((1+Title_RESULTS!$C$37)^('Sheet9(F_25)'!$A19-Title_RESULTS!$H$7))+N18)))</f>
        <v>-151.74734373943764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594.9513547102767</v>
      </c>
      <c r="F20">
        <f>IF(A20&gt;=(Title_RESULTS!$H$7+Title_RESULTS!$C$17),0,(+'f-11B'!$R19))</f>
        <v>0</v>
      </c>
      <c r="G20" s="5">
        <f>IF(A20&gt;=(Title_RESULTS!$H$7+Title_RESULTS!$C$17),0,(SUM(B20:F20)))</f>
        <v>594.9513547102767</v>
      </c>
      <c r="H20" s="5">
        <f>IF(A20&gt;=(Title_RESULTS!$H$7+Title_RESULTS!$C$17),0,(+'Sheet3(F_21)'!$J20+'Sheet4(F_22)'!$H20))</f>
        <v>758.707589619758</v>
      </c>
      <c r="I20" s="5">
        <f>IF(A20&gt;=(Title_RESULTS!$H$7+Title_RESULTS!$C$17),0,(+'Sheet4(F_22)'!$D20+'Sheet4(F_22)'!$G20))</f>
        <v>59.348515707908696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818.0561053276667</v>
      </c>
      <c r="M20" s="23">
        <f>IF(A20&gt;=(Title_RESULTS!$H$7+Title_RESULTS!$C$17),0,(+L20-G20))</f>
        <v>223.10475061738998</v>
      </c>
      <c r="N20" s="24">
        <f>(IF(A19&gt;=(Title_RESULTS!$H$7+Title_RESULTS!$C$17),0,(+$M20/((1+Title_RESULTS!$C$37)^('Sheet9(F_25)'!$A20-Title_RESULTS!$H$7))+N19)))</f>
        <v>17.950126389040946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600.9008682573794</v>
      </c>
      <c r="F21">
        <f>IF(A21&gt;=(Title_RESULTS!$H$7+Title_RESULTS!$C$17),0,(+'f-11B'!$R20))</f>
        <v>0</v>
      </c>
      <c r="G21" s="5">
        <f>IF(A21&gt;=(Title_RESULTS!$H$7+Title_RESULTS!$C$17),0,(SUM(B21:F21)))</f>
        <v>600.9008682573794</v>
      </c>
      <c r="H21" s="5">
        <f>IF(A21&gt;=(Title_RESULTS!$H$7+Title_RESULTS!$C$17),0,(+'Sheet3(F_21)'!$J21+'Sheet4(F_22)'!$H21))</f>
        <v>807.0655581862383</v>
      </c>
      <c r="I21" s="5">
        <f>IF(A21&gt;=(Title_RESULTS!$H$7+Title_RESULTS!$C$17),0,(+'Sheet4(F_22)'!$D21+'Sheet4(F_22)'!$G21))</f>
        <v>60.7728800848985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867.8384382711367</v>
      </c>
      <c r="M21" s="23">
        <f>IF(A21&gt;=(Title_RESULTS!$H$7+Title_RESULTS!$C$17),0,(+L21-G21))</f>
        <v>266.9375700137573</v>
      </c>
      <c r="N21" s="24">
        <f>(IF(A20&gt;=(Title_RESULTS!$H$7+Title_RESULTS!$C$17),0,(+$M21/((1+Title_RESULTS!$C$37)^('Sheet9(F_25)'!$A21-Title_RESULTS!$H$7))+N20)))</f>
        <v>207.56303057672315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606.9098769399534</v>
      </c>
      <c r="F22">
        <f>IF(A22&gt;=(Title_RESULTS!$H$7+Title_RESULTS!$C$17),0,(+'f-11B'!$R21))</f>
        <v>0</v>
      </c>
      <c r="G22" s="5">
        <f>IF(A22&gt;=(Title_RESULTS!$H$7+Title_RESULTS!$C$17),0,(SUM(B22:F22)))</f>
        <v>606.9098769399534</v>
      </c>
      <c r="H22" s="5">
        <f>IF(A22&gt;=(Title_RESULTS!$H$7+Title_RESULTS!$C$17),0,(+'Sheet3(F_21)'!$J22+'Sheet4(F_22)'!$H22))</f>
        <v>832.7577618033754</v>
      </c>
      <c r="I22" s="5">
        <f>IF(A22&gt;=(Title_RESULTS!$H$7+Title_RESULTS!$C$17),0,(+'Sheet4(F_22)'!$D22+'Sheet4(F_22)'!$G22))</f>
        <v>62.23142920693606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894.9891910103114</v>
      </c>
      <c r="M22" s="23">
        <f>IF(A22&gt;=(Title_RESULTS!$H$7+Title_RESULTS!$C$17),0,(+L22-G22))</f>
        <v>288.079314070358</v>
      </c>
      <c r="N22" s="24">
        <f>(IF(A21&gt;=(Title_RESULTS!$H$7+Title_RESULTS!$C$17),0,(+$M22/((1+Title_RESULTS!$C$37)^('Sheet9(F_25)'!$A22-Title_RESULTS!$H$7))+N21)))</f>
        <v>398.66356395064815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612.9789757093528</v>
      </c>
      <c r="F23">
        <f>IF(A23&gt;=(Title_RESULTS!$H$7+Title_RESULTS!$C$17),0,(+'f-11B'!$R22))</f>
        <v>0</v>
      </c>
      <c r="G23" s="5">
        <f>IF(A23&gt;=(Title_RESULTS!$H$7+Title_RESULTS!$C$17),0,(SUM(B23:F23)))</f>
        <v>612.9789757093528</v>
      </c>
      <c r="H23" s="5">
        <f>IF(A23&gt;=(Title_RESULTS!$H$7+Title_RESULTS!$C$17),0,(+'Sheet3(F_21)'!$J23+'Sheet4(F_22)'!$H23))</f>
        <v>878.5062472359992</v>
      </c>
      <c r="I23" s="5">
        <f>IF(A23&gt;=(Title_RESULTS!$H$7+Title_RESULTS!$C$17),0,(+'Sheet4(F_22)'!$D23+'Sheet4(F_22)'!$G23))</f>
        <v>63.724983507902536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942.2312307439017</v>
      </c>
      <c r="M23" s="23">
        <f>IF(A23&gt;=(Title_RESULTS!$H$7+Title_RESULTS!$C$17),0,(+L23-G23))</f>
        <v>329.25225503454897</v>
      </c>
      <c r="N23" s="24">
        <f>(IF(A22&gt;=(Title_RESULTS!$H$7+Title_RESULTS!$C$17),0,(+$M23/((1+Title_RESULTS!$C$37)^('Sheet9(F_25)'!$A23-Title_RESULTS!$H$7))+N22)))</f>
        <v>602.6354071846662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619.1087654664464</v>
      </c>
      <c r="F24">
        <f>IF(A24&gt;=(Title_RESULTS!$H$7+Title_RESULTS!$C$17),0,(+'f-11B'!$R23))</f>
        <v>0</v>
      </c>
      <c r="G24" s="5">
        <f>IF(A24&gt;=(Title_RESULTS!$H$7+Title_RESULTS!$C$17),0,(SUM(B24:F24)))</f>
        <v>619.1087654664464</v>
      </c>
      <c r="H24" s="5">
        <f>IF(A24&gt;=(Title_RESULTS!$H$7+Title_RESULTS!$C$17),0,(+'Sheet3(F_21)'!$J24+'Sheet4(F_22)'!$H24))</f>
        <v>956.7836191983943</v>
      </c>
      <c r="I24" s="5">
        <f>IF(A24&gt;=(Title_RESULTS!$H$7+Title_RESULTS!$C$17),0,(+'Sheet4(F_22)'!$D24+'Sheet4(F_22)'!$G24))</f>
        <v>65.2543831120922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1022.0380023104865</v>
      </c>
      <c r="M24" s="23">
        <f>IF(A24&gt;=(Title_RESULTS!$H$7+Title_RESULTS!$C$17),0,(+L24-G24))</f>
        <v>402.92923684404013</v>
      </c>
      <c r="N24" s="24">
        <f>(IF(A23&gt;=(Title_RESULTS!$H$7+Title_RESULTS!$C$17),0,(+$M24/((1+Title_RESULTS!$C$37)^('Sheet9(F_25)'!$A24-Title_RESULTS!$H$7))+N23)))</f>
        <v>835.7459314715943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625.2998531211109</v>
      </c>
      <c r="F25">
        <f>IF(A25&gt;=(Title_RESULTS!$H$7+Title_RESULTS!$C$17),0,(+'f-11B'!$R24))</f>
        <v>0</v>
      </c>
      <c r="G25" s="5">
        <f>IF(A25&gt;=(Title_RESULTS!$H$7+Title_RESULTS!$C$17),0,(SUM(B25:F25)))</f>
        <v>625.2998531211109</v>
      </c>
      <c r="H25" s="5">
        <f>IF(A25&gt;=(Title_RESULTS!$H$7+Title_RESULTS!$C$17),0,(+'Sheet3(F_21)'!$J25+'Sheet4(F_22)'!$H25))</f>
        <v>1016.9017014608812</v>
      </c>
      <c r="I25" s="5">
        <f>IF(A25&gt;=(Title_RESULTS!$H$7+Title_RESULTS!$C$17),0,(+'Sheet4(F_22)'!$D25+'Sheet4(F_22)'!$G25))</f>
        <v>66.82048830678241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1083.7221897676636</v>
      </c>
      <c r="M25" s="23">
        <f>IF(A25&gt;=(Title_RESULTS!$H$7+Title_RESULTS!$C$17),0,(+L25-G25))</f>
        <v>458.4223366465527</v>
      </c>
      <c r="N25" s="24">
        <f>(IF(A24&gt;=(Title_RESULTS!$H$7+Title_RESULTS!$C$17),0,(+$M25/((1+Title_RESULTS!$C$37)^('Sheet9(F_25)'!$A25-Title_RESULTS!$H$7))+N24)))</f>
        <v>1083.4256855872547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631.552851652322</v>
      </c>
      <c r="F26">
        <f>IF(A26&gt;=(Title_RESULTS!$H$7+Title_RESULTS!$C$17),0,(+'f-11B'!$R25))</f>
        <v>0</v>
      </c>
      <c r="G26" s="5">
        <f>IF(A26&gt;=(Title_RESULTS!$H$7+Title_RESULTS!$C$17),0,(SUM(B26:F26)))</f>
        <v>631.552851652322</v>
      </c>
      <c r="H26" s="5">
        <f>IF(A26&gt;=(Title_RESULTS!$H$7+Title_RESULTS!$C$17),0,(+'Sheet3(F_21)'!$J26+'Sheet4(F_22)'!$H26))</f>
        <v>1116.6781239433649</v>
      </c>
      <c r="I26" s="5">
        <f>IF(A26&gt;=(Title_RESULTS!$H$7+Title_RESULTS!$C$17),0,(+'Sheet4(F_22)'!$D26+'Sheet4(F_22)'!$G26))</f>
        <v>68.42418002614518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1185.10230396951</v>
      </c>
      <c r="M26" s="23">
        <f>IF(A26&gt;=(Title_RESULTS!$H$7+Title_RESULTS!$C$17),0,(+L26-G26))</f>
        <v>553.5494523171881</v>
      </c>
      <c r="N26" s="24">
        <f>(IF(A25&gt;=(Title_RESULTS!$H$7+Title_RESULTS!$C$17),0,(+$M26/((1+Title_RESULTS!$C$37)^('Sheet9(F_25)'!$A26-Title_RESULTS!$H$7))+N25)))</f>
        <v>1362.7268847119972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637.8683801688451</v>
      </c>
      <c r="F27">
        <f>IF(A27&gt;=(Title_RESULTS!$H$7+Title_RESULTS!$C$17),0,(+'f-11B'!$R26))</f>
        <v>0</v>
      </c>
      <c r="G27" s="5">
        <f>IF(A27&gt;=(Title_RESULTS!$H$7+Title_RESULTS!$C$17),0,(SUM(B27:F27)))</f>
        <v>637.8683801688451</v>
      </c>
      <c r="H27" s="5">
        <f>IF(A27&gt;=(Title_RESULTS!$H$7+Title_RESULTS!$C$17),0,(+'Sheet3(F_21)'!$J27+'Sheet4(F_22)'!$H27))</f>
        <v>1119.8947134077587</v>
      </c>
      <c r="I27" s="5">
        <f>IF(A27&gt;=(Title_RESULTS!$H$7+Title_RESULTS!$C$17),0,(+'Sheet4(F_22)'!$D27+'Sheet4(F_22)'!$G27))</f>
        <v>70.06636034677268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1189.9610737545313</v>
      </c>
      <c r="M27" s="23">
        <f>IF(A27&gt;=(Title_RESULTS!$H$7+Title_RESULTS!$C$17),0,(+L27-G27))</f>
        <v>552.0926935856862</v>
      </c>
      <c r="N27" s="24">
        <f>(IF(A26&gt;=(Title_RESULTS!$H$7+Title_RESULTS!$C$17),0,(+$M27/((1+Title_RESULTS!$C$37)^('Sheet9(F_25)'!$A27-Title_RESULTS!$H$7))+N26)))</f>
        <v>1622.8745975615766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644.2470639705336</v>
      </c>
      <c r="F28">
        <f>IF(A28&gt;=(Title_RESULTS!$H$7+Title_RESULTS!$C$17),0,(+'f-11B'!$R27))</f>
        <v>0</v>
      </c>
      <c r="G28" s="5">
        <f>IF(A28&gt;=(Title_RESULTS!$H$7+Title_RESULTS!$C$17),0,(SUM(B28:F28)))</f>
        <v>644.2470639705336</v>
      </c>
      <c r="H28" s="5">
        <f>IF(A28&gt;=(Title_RESULTS!$H$7+Title_RESULTS!$C$17),0,(+'Sheet3(F_21)'!$J28+'Sheet4(F_22)'!$H28))</f>
        <v>1209.6217609072648</v>
      </c>
      <c r="I28" s="5">
        <f>IF(A28&gt;=(Title_RESULTS!$H$7+Title_RESULTS!$C$17),0,(+'Sheet4(F_22)'!$D28+'Sheet4(F_22)'!$G28))</f>
        <v>71.74795299509522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1281.36971390236</v>
      </c>
      <c r="M28" s="23">
        <f>IF(A28&gt;=(Title_RESULTS!$H$7+Title_RESULTS!$C$17),0,(+L28-G28))</f>
        <v>637.1226499318263</v>
      </c>
      <c r="N28" s="24">
        <f>(IF(A27&gt;=(Title_RESULTS!$H$7+Title_RESULTS!$C$17),0,(+$M28/((1+Title_RESULTS!$C$37)^('Sheet9(F_25)'!$A28-Title_RESULTS!$H$7))+N27)))</f>
        <v>1903.2388861215006</v>
      </c>
    </row>
    <row r="29" ht="12.75">
      <c r="E29" s="5"/>
    </row>
    <row r="30" spans="1:13" ht="12.75">
      <c r="A30" t="s">
        <v>87</v>
      </c>
      <c r="B30" s="5">
        <f aca="true" t="shared" si="1" ref="B30:M30">SUM(B16:B29)</f>
        <v>0</v>
      </c>
      <c r="C30" s="5">
        <f t="shared" si="1"/>
        <v>122.90304</v>
      </c>
      <c r="D30" s="5">
        <f t="shared" si="1"/>
        <v>263.85</v>
      </c>
      <c r="E30" s="5">
        <f t="shared" si="1"/>
        <v>7032.918844066267</v>
      </c>
      <c r="F30" s="5">
        <f t="shared" si="1"/>
        <v>0</v>
      </c>
      <c r="G30" s="5">
        <f t="shared" si="1"/>
        <v>7419.671884066267</v>
      </c>
      <c r="H30" s="5">
        <f t="shared" si="1"/>
        <v>10238.795387057444</v>
      </c>
      <c r="I30" s="5">
        <f t="shared" si="1"/>
        <v>758.2204757617002</v>
      </c>
      <c r="J30" s="5">
        <f t="shared" si="1"/>
        <v>0</v>
      </c>
      <c r="K30" s="9">
        <f t="shared" si="1"/>
        <v>0</v>
      </c>
      <c r="L30" s="5">
        <f t="shared" si="1"/>
        <v>10997.015862819146</v>
      </c>
      <c r="M30" s="5">
        <f t="shared" si="1"/>
        <v>3577.343978752877</v>
      </c>
    </row>
    <row r="32" spans="1:13" ht="12.75">
      <c r="A32" t="s">
        <v>118</v>
      </c>
      <c r="B32" s="5">
        <f>NPV(Title_RESULTS!$C$37,'Sheet9(F_25)'!B17:B29)+'Sheet9(F_25)'!B16</f>
        <v>0</v>
      </c>
      <c r="C32" s="5">
        <f>NPV(Title_RESULTS!$C$37,'Sheet9(F_25)'!C17:C29)+'Sheet9(F_25)'!C16</f>
        <v>114.83173044385765</v>
      </c>
      <c r="D32" s="5">
        <f>NPV(Title_RESULTS!$C$37,'Sheet9(F_25)'!D17:D29)+'Sheet9(F_25)'!D16</f>
        <v>246.78904785839444</v>
      </c>
      <c r="E32" s="5">
        <f>NPV(Title_RESULTS!$C$37,'Sheet9(F_25)'!E17:E29)+'Sheet9(F_25)'!E16</f>
        <v>4529.0278244573665</v>
      </c>
      <c r="F32" s="5">
        <f>NPV(Title_RESULTS!$C$37,'Sheet9(F_25)'!F17:F29)+'Sheet9(F_25)'!F16</f>
        <v>0</v>
      </c>
      <c r="G32" s="5">
        <f>NPV(Title_RESULTS!$C$37,'Sheet9(F_25)'!G17:G29)+'Sheet9(F_25)'!G16</f>
        <v>4890.648602759618</v>
      </c>
      <c r="H32" s="5">
        <f>NPV(Title_RESULTS!$C$37,'Sheet9(F_25)'!H17:H29)+'Sheet9(F_25)'!H16</f>
        <v>6303.666162112971</v>
      </c>
      <c r="I32" s="5">
        <f>NPV(Title_RESULTS!$C$37,'Sheet9(F_25)'!I17:I29)+'Sheet9(F_25)'!I16</f>
        <v>490.2213267681486</v>
      </c>
      <c r="J32" s="5">
        <f>NPV(Title_RESULTS!$C$37,'Sheet9(F_25)'!J17:J29)+'Sheet9(F_25)'!J16</f>
        <v>0</v>
      </c>
      <c r="K32" s="9">
        <f>NPV(Title_RESULTS!$C$37,'Sheet9(F_25)'!K17:K29)+'Sheet9(F_25)'!K16</f>
        <v>0</v>
      </c>
      <c r="L32" s="5">
        <f>NPV(Title_RESULTS!$C$37,'Sheet9(F_25)'!L17:L29)+'Sheet9(F_25)'!L16</f>
        <v>6793.887488881119</v>
      </c>
      <c r="M32" s="5">
        <f>NPV(Title_RESULTS!$C$37,'Sheet9(F_25)'!M17:M29)+'Sheet9(F_25)'!M16</f>
        <v>1903.2388861215006</v>
      </c>
    </row>
    <row r="34" spans="1:10" ht="12.75">
      <c r="A34" t="s">
        <v>175</v>
      </c>
      <c r="D34">
        <f>+Title_RESULTS!C37</f>
        <v>0.0708</v>
      </c>
      <c r="F34" t="s">
        <v>183</v>
      </c>
      <c r="J34" s="10">
        <f>+L32/G32</f>
        <v>1.3891587886824603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1285.3380678925032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74.9774848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177.12844800000002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7.409447762659906</v>
      </c>
      <c r="P24" s="48">
        <f aca="true" t="shared" si="4" ref="P24:P61">N24*$L$5</f>
        <v>17.50424125639677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7.587274508963744</v>
      </c>
      <c r="P25" s="48">
        <f t="shared" si="4"/>
        <v>17.92434304655029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176.85051599228956</v>
      </c>
      <c r="E26" s="11">
        <f>IF(B26=Title_RESULTS!$H$8,$F$16,+E25*(1+$F$7))</f>
        <v>0.09882230355451863</v>
      </c>
      <c r="F26" s="9">
        <f t="shared" si="1"/>
        <v>127.02006871545142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10.316201788394403</v>
      </c>
      <c r="L26" s="5">
        <f t="shared" si="3"/>
        <v>24.37122046581543</v>
      </c>
      <c r="N26" s="11">
        <f>IF(+B26=Title_RESULTS!$H$9,'Value of Defferal'!$O$16,+'Value of Defferal'!N25*(1+'Value of Defferal'!$F$7))</f>
        <v>0.10362269577198292</v>
      </c>
      <c r="O26" s="5">
        <f t="shared" si="7"/>
        <v>7.769369097178874</v>
      </c>
      <c r="P26" s="48">
        <f t="shared" si="4"/>
        <v>18.3545272796675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171.62814074888266</v>
      </c>
      <c r="E27" s="11">
        <f>IF(B27=Title_RESULTS!$H$8,$F$16,+E26*(1+$F$7))</f>
        <v>0.10119403883982707</v>
      </c>
      <c r="F27" s="9">
        <f t="shared" si="1"/>
        <v>130.06855036462224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10.011565545048356</v>
      </c>
      <c r="L27" s="5">
        <f t="shared" si="3"/>
        <v>23.6515411496531</v>
      </c>
      <c r="N27" s="11">
        <f>IF(+B27=Title_RESULTS!$H$9,'Value of Defferal'!$O$16,+'Value of Defferal'!N26*(1+'Value of Defferal'!$F$7))</f>
        <v>0.10610964047051051</v>
      </c>
      <c r="O27" s="5">
        <f t="shared" si="7"/>
        <v>7.955833955511166</v>
      </c>
      <c r="P27" s="48">
        <f t="shared" si="4"/>
        <v>18.79503593437952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165.8626765674159</v>
      </c>
      <c r="E28" s="11">
        <f>IF(B28=Title_RESULTS!$H$8,$F$16,+E27*(1+$F$7))</f>
        <v>0.10362269577198292</v>
      </c>
      <c r="F28" s="9">
        <f t="shared" si="1"/>
        <v>133.1901955733732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9.675249354133966</v>
      </c>
      <c r="L28" s="5">
        <f t="shared" si="3"/>
        <v>22.857020433296157</v>
      </c>
      <c r="N28" s="11">
        <f>IF(+B28=Title_RESULTS!$H$9,'Value of Defferal'!$O$16,+'Value of Defferal'!N27*(1+'Value of Defferal'!$F$7))</f>
        <v>0.10865627184180277</v>
      </c>
      <c r="O28" s="5">
        <f t="shared" si="7"/>
        <v>8.146773970443435</v>
      </c>
      <c r="P28" s="48">
        <f t="shared" si="4"/>
        <v>19.24611679680463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160.37334633896268</v>
      </c>
      <c r="E29" s="11">
        <f>IF(B29=Title_RESULTS!$H$8,$F$16,+E28*(1+$F$7))</f>
        <v>0.10610964047051051</v>
      </c>
      <c r="F29" s="9">
        <f t="shared" si="1"/>
        <v>136.38676026713415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9.355040854870524</v>
      </c>
      <c r="L29" s="5">
        <f t="shared" si="3"/>
        <v>22.100552879573378</v>
      </c>
      <c r="N29" s="11">
        <f>IF(+B29=Title_RESULTS!$H$9,'Value of Defferal'!$O$16,+'Value of Defferal'!N28*(1+'Value of Defferal'!$F$7))</f>
        <v>0.11126402236600604</v>
      </c>
      <c r="O29" s="5">
        <f t="shared" si="7"/>
        <v>8.342296545734078</v>
      </c>
      <c r="P29" s="48">
        <f t="shared" si="4"/>
        <v>19.70802359992794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155.1324601768219</v>
      </c>
      <c r="E30" s="11">
        <f>IF(B30=Title_RESULTS!$H$8,$F$16,+E29*(1+$F$7))</f>
        <v>0.10865627184180277</v>
      </c>
      <c r="F30" s="9">
        <f t="shared" si="1"/>
        <v>139.66004251354536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9.049324816128484</v>
      </c>
      <c r="L30" s="5">
        <f t="shared" si="3"/>
        <v>21.37832263117906</v>
      </c>
      <c r="N30" s="11">
        <f>IF(+B30=Title_RESULTS!$H$9,'Value of Defferal'!$O$16,+'Value of Defferal'!N29*(1+'Value of Defferal'!$F$7))</f>
        <v>0.11393435890279018</v>
      </c>
      <c r="O30" s="5">
        <f t="shared" si="7"/>
        <v>8.542511662831695</v>
      </c>
      <c r="P30" s="48">
        <f t="shared" si="4"/>
        <v>20.18101616632621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150.1153878502815</v>
      </c>
      <c r="E31" s="11">
        <f>IF(B31=Title_RESULTS!$H$8,$F$16,+E30*(1+$F$7))</f>
        <v>0.11126402236600604</v>
      </c>
      <c r="F31" s="9">
        <f t="shared" si="1"/>
        <v>143.01188353387047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8.75666448535616</v>
      </c>
      <c r="L31" s="5">
        <f t="shared" si="3"/>
        <v>20.686935472498746</v>
      </c>
      <c r="N31" s="11">
        <f>IF(+B31=Title_RESULTS!$H$9,'Value of Defferal'!$O$16,+'Value of Defferal'!N30*(1+'Value of Defferal'!$F$7))</f>
        <v>0.11666878351645714</v>
      </c>
      <c r="O31" s="5">
        <f t="shared" si="7"/>
        <v>8.747531942739656</v>
      </c>
      <c r="P31" s="48">
        <f t="shared" si="4"/>
        <v>20.66536055431804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145.25451096198316</v>
      </c>
      <c r="E32" s="11">
        <f>IF(B32=Title_RESULTS!$H$8,$F$16,+E31*(1+$F$7))</f>
        <v>0.11393435890279018</v>
      </c>
      <c r="F32" s="9">
        <f t="shared" si="1"/>
        <v>146.44416873868335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8.473115485983069</v>
      </c>
      <c r="L32" s="5">
        <f t="shared" si="3"/>
        <v>20.01707312215609</v>
      </c>
      <c r="N32" s="11">
        <f>IF(+B32=Title_RESULTS!$H$9,'Value of Defferal'!$O$16,+'Value of Defferal'!N31*(1+'Value of Defferal'!$F$7))</f>
        <v>0.11946883432085212</v>
      </c>
      <c r="O32" s="5">
        <f t="shared" si="7"/>
        <v>8.957472709365408</v>
      </c>
      <c r="P32" s="48">
        <f t="shared" si="4"/>
        <v>21.161329207621673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140.44365944910612</v>
      </c>
      <c r="E33" s="11">
        <f>IF(B33=Title_RESULTS!$H$8,$F$16,+E32*(1+$F$7))</f>
        <v>0.11666878351645714</v>
      </c>
      <c r="F33" s="9">
        <f t="shared" si="1"/>
        <v>149.95882878841175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8.192484611357825</v>
      </c>
      <c r="L33" s="5">
        <f t="shared" si="3"/>
        <v>19.35410461346517</v>
      </c>
      <c r="N33" s="11">
        <f>IF(+B33=Title_RESULTS!$H$9,'Value of Defferal'!$O$16,+'Value of Defferal'!N32*(1+'Value of Defferal'!$F$7))</f>
        <v>0.12233608634455258</v>
      </c>
      <c r="O33" s="5">
        <f t="shared" si="7"/>
        <v>9.172452054390178</v>
      </c>
      <c r="P33" s="48">
        <f t="shared" si="4"/>
        <v>21.669201108604593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135.63280793622906</v>
      </c>
      <c r="E34" s="11">
        <f>IF(B34=Title_RESULTS!$H$8,$F$16,+E33*(1+$F$7))</f>
        <v>0.11946883432085212</v>
      </c>
      <c r="F34" s="9">
        <f t="shared" si="1"/>
        <v>153.55784067933365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7.911853736732579</v>
      </c>
      <c r="L34" s="5">
        <f t="shared" si="3"/>
        <v>18.691136104774248</v>
      </c>
      <c r="N34" s="11">
        <f>IF(+B34=Title_RESULTS!$H$9,'Value of Defferal'!$O$16,+'Value of Defferal'!N33*(1+'Value of Defferal'!$F$7))</f>
        <v>0.12527215241682185</v>
      </c>
      <c r="O34" s="5">
        <f t="shared" si="7"/>
        <v>9.392590903695544</v>
      </c>
      <c r="P34" s="48">
        <f t="shared" si="4"/>
        <v>22.189261935211107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130.82195642335202</v>
      </c>
      <c r="E35" s="11">
        <f>IF(B35=Title_RESULTS!$H$8,$F$16,+E34*(1+$F$7))</f>
        <v>0.12233608634455258</v>
      </c>
      <c r="F35" s="9">
        <f t="shared" si="1"/>
        <v>157.24322885563765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7.631222862107333</v>
      </c>
      <c r="L35" s="5">
        <f t="shared" si="3"/>
        <v>18.028167596083325</v>
      </c>
      <c r="N35" s="11">
        <f>IF(+B35=Title_RESULTS!$H$9,'Value of Defferal'!$O$16,+'Value of Defferal'!N34*(1+'Value of Defferal'!$F$7))</f>
        <v>0.12827868407482557</v>
      </c>
      <c r="O35" s="5">
        <f t="shared" si="7"/>
        <v>9.618013085384236</v>
      </c>
      <c r="P35" s="48">
        <f t="shared" si="4"/>
        <v>22.72180422165617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126.01110491047498</v>
      </c>
      <c r="E36" s="11">
        <f>IF(B36=Title_RESULTS!$H$8,$F$16,+E35*(1+$F$7))</f>
        <v>0.12527215241682185</v>
      </c>
      <c r="F36" s="9">
        <f t="shared" si="1"/>
        <v>161.017066348173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7.350591987482089</v>
      </c>
      <c r="L36" s="5">
        <f t="shared" si="3"/>
        <v>17.365199087392405</v>
      </c>
      <c r="N36" s="11">
        <f>IF(+B36=Title_RESULTS!$H$9,'Value of Defferal'!$O$16,+'Value of Defferal'!N35*(1+'Value of Defferal'!$F$7))</f>
        <v>0.1313573724926214</v>
      </c>
      <c r="O36" s="5">
        <f t="shared" si="7"/>
        <v>9.848845399433458</v>
      </c>
      <c r="P36" s="48">
        <f t="shared" si="4"/>
        <v>23.26712752297592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121.2002533975979</v>
      </c>
      <c r="E37" s="11">
        <f>IF(B37&gt;Title_RESULTS!$H$8-1+Title_RESULTS!$C$18,0,+E36*(1+$F$7))</f>
        <v>0.12827868407482557</v>
      </c>
      <c r="F37" s="9">
        <f t="shared" si="1"/>
        <v>164.8814759405291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7.069961112856842</v>
      </c>
      <c r="L37" s="5">
        <f t="shared" si="3"/>
        <v>16.70223057870148</v>
      </c>
      <c r="N37" s="11">
        <f>IF(+B37=Title_RESULTS!$H$9,'Value of Defferal'!$O$16,+'Value of Defferal'!N36*(1+'Value of Defferal'!$F$7))</f>
        <v>0.1345099494324443</v>
      </c>
      <c r="O37" s="5">
        <f t="shared" si="7"/>
        <v>10.08521768901986</v>
      </c>
      <c r="P37" s="48">
        <f t="shared" si="4"/>
        <v>23.82553858352734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116.38940188472084</v>
      </c>
      <c r="E38" s="11">
        <f>IF(B38&gt;Title_RESULTS!$H$8-1+Title_RESULTS!$C$18,0,+E37*(1+$F$7))</f>
        <v>0.1313573724926214</v>
      </c>
      <c r="F38" s="9">
        <f t="shared" si="1"/>
        <v>168.83863136310183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6.789330238231596</v>
      </c>
      <c r="L38" s="5">
        <f t="shared" si="3"/>
        <v>16.039262070010555</v>
      </c>
      <c r="N38" s="11">
        <f>IF(+B38=Title_RESULTS!$H$9,'Value of Defferal'!$O$16,+'Value of Defferal'!N37*(1+'Value of Defferal'!$F$7))</f>
        <v>0.13773818821882297</v>
      </c>
      <c r="O38" s="5">
        <f t="shared" si="7"/>
        <v>10.327262913556337</v>
      </c>
      <c r="P38" s="48">
        <f t="shared" si="4"/>
        <v>24.397351509532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111.57855037184378</v>
      </c>
      <c r="E39" s="11">
        <f>IF(B39&gt;Title_RESULTS!$H$8-1+Title_RESULTS!$C$18,0,+E38*(1+$F$7))</f>
        <v>0.1345099494324443</v>
      </c>
      <c r="F39" s="9">
        <f t="shared" si="1"/>
        <v>172.89075851581626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6.5086993636063495</v>
      </c>
      <c r="L39" s="5">
        <f t="shared" si="3"/>
        <v>15.376293561319631</v>
      </c>
      <c r="N39" s="11">
        <f>IF(+B39&gt;Title_RESULTS!$H$9+Title_RESULTS!$C$19-1,0,+'Value of Defferal'!N38*(1+'Value of Defferal'!$F$7))</f>
        <v>0.14104390473607473</v>
      </c>
      <c r="O39" s="5">
        <f t="shared" si="7"/>
        <v>10.57511722348169</v>
      </c>
      <c r="P39" s="48">
        <f t="shared" si="4"/>
        <v>24.98288794576077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106.76769885896675</v>
      </c>
      <c r="E40" s="11">
        <f>IF(B40&gt;Title_RESULTS!$H$8-1+Title_RESULTS!$C$18,0,+E39*(1+$F$7))</f>
        <v>0.13773818821882297</v>
      </c>
      <c r="F40" s="9">
        <f t="shared" si="1"/>
        <v>177.04013672019587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6.228068488981107</v>
      </c>
      <c r="L40" s="5">
        <f t="shared" si="3"/>
        <v>14.713325052628715</v>
      </c>
      <c r="N40" s="11">
        <f>IF(+B40&gt;Title_RESULTS!$H$9+Title_RESULTS!$C$19-1,0,+'Value of Defferal'!N39*(1+'Value of Defferal'!$F$7))</f>
        <v>0.14442895844974052</v>
      </c>
      <c r="O40" s="5">
        <f t="shared" si="7"/>
        <v>10.82892003684525</v>
      </c>
      <c r="P40" s="48">
        <f t="shared" si="4"/>
        <v>25.582477256459025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102.4086055528758</v>
      </c>
      <c r="E41" s="11">
        <f>IF(B41&gt;Title_RESULTS!$H$8-1+Title_RESULTS!$C$18,0,+E40*(1+$F$7))</f>
        <v>0.14104390473607473</v>
      </c>
      <c r="F41" s="9">
        <f t="shared" si="1"/>
        <v>181.28910000148056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5.973789976375386</v>
      </c>
      <c r="L41" s="5">
        <f t="shared" si="3"/>
        <v>14.112611939648966</v>
      </c>
      <c r="N41" s="11">
        <f>IF(+B41&gt;Title_RESULTS!$H$9+Title_RESULTS!$C$19-1,0,+'Value of Defferal'!N40*(1+'Value of Defferal'!$F$7))</f>
        <v>0.1478952534525343</v>
      </c>
      <c r="O41" s="5">
        <f t="shared" si="7"/>
        <v>11.088814117729537</v>
      </c>
      <c r="P41" s="48">
        <f t="shared" si="4"/>
        <v>26.196456710614044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98.95287567755766</v>
      </c>
      <c r="E42" s="11">
        <f>IF(B42&gt;Title_RESULTS!$H$8-1+Title_RESULTS!$C$18,0,+E41*(1+$F$7))</f>
        <v>0.14442895844974052</v>
      </c>
      <c r="F42" s="9">
        <f t="shared" si="1"/>
        <v>185.6400384015161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5.772207263879826</v>
      </c>
      <c r="L42" s="5">
        <f t="shared" si="3"/>
        <v>13.636388536007017</v>
      </c>
      <c r="N42" s="11">
        <f>IF(+B42&gt;Title_RESULTS!$H$9+Title_RESULTS!$C$19-1,0,+'Value of Defferal'!N41*(1+'Value of Defferal'!$F$7))</f>
        <v>0.1514447395353951</v>
      </c>
      <c r="O42" s="5">
        <f t="shared" si="7"/>
        <v>11.354945656555046</v>
      </c>
      <c r="P42" s="48">
        <f t="shared" si="4"/>
        <v>26.82517167166878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95.94875102622619</v>
      </c>
      <c r="E43" s="11">
        <f>IF(B43&gt;Title_RESULTS!$H$8-1+Title_RESULTS!$C$18,0,+E42*(1+$F$7))</f>
        <v>0.1478952534525343</v>
      </c>
      <c r="F43" s="9">
        <f t="shared" si="1"/>
        <v>190.0953993231525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5.596967989474901</v>
      </c>
      <c r="L43" s="5">
        <f t="shared" si="3"/>
        <v>13.222399445991682</v>
      </c>
      <c r="N43" s="11">
        <f>IF(+B43&gt;Title_RESULTS!$H$9+Title_RESULTS!$C$19-1,0,+'Value of Defferal'!N42*(1+'Value of Defferal'!$F$7))</f>
        <v>0.1550794132842446</v>
      </c>
      <c r="O43" s="5">
        <f t="shared" si="7"/>
        <v>11.627464352312368</v>
      </c>
      <c r="P43" s="48">
        <f t="shared" si="4"/>
        <v>27.468975791788832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92.94462637489474</v>
      </c>
      <c r="E44" s="11">
        <f>IF(B44&gt;Title_RESULTS!$H$8-1+Title_RESULTS!$C$18,0,+E43*(1+$F$7))</f>
        <v>0.1514447395353951</v>
      </c>
      <c r="F44" s="9">
        <f t="shared" si="1"/>
        <v>194.65768890690813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5.421728715069977</v>
      </c>
      <c r="L44" s="5">
        <f t="shared" si="3"/>
        <v>12.808410355976351</v>
      </c>
      <c r="N44" s="11">
        <f>IF(+B44&gt;Title_RESULTS!$H$9+Title_RESULTS!$C$19-1,0,+'Value of Defferal'!N43*(1+'Value of Defferal'!$F$7))</f>
        <v>0.15880131920306648</v>
      </c>
      <c r="O44" s="5">
        <f t="shared" si="7"/>
        <v>11.906523496767864</v>
      </c>
      <c r="P44" s="48">
        <f t="shared" si="4"/>
        <v>28.128231210791764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89.94050172356323</v>
      </c>
      <c r="E45" s="11">
        <f>IF(B45&gt;Title_RESULTS!$H$8-1+Title_RESULTS!$C$18,0,+E44*(1+$F$7))</f>
        <v>0.1550794132842446</v>
      </c>
      <c r="F45" s="9">
        <f t="shared" si="1"/>
        <v>199.32947344067395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5.246489440665051</v>
      </c>
      <c r="L45" s="5">
        <f t="shared" si="3"/>
        <v>12.394421265961013</v>
      </c>
      <c r="N45" s="11">
        <f>IF(+B45&gt;Title_RESULTS!$H$9+Title_RESULTS!$C$19-1,0,+'Value of Defferal'!N44*(1+'Value of Defferal'!$F$7))</f>
        <v>0.16261255086394008</v>
      </c>
      <c r="O45" s="5">
        <f t="shared" si="7"/>
        <v>12.192280060690294</v>
      </c>
      <c r="P45" s="48">
        <f t="shared" si="4"/>
        <v>28.80330875985077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86.93637707223176</v>
      </c>
      <c r="E46" s="11">
        <f>IF(B46&gt;Title_RESULTS!$H$8-1+Title_RESULTS!$C$18,0,+E45*(1+$F$7))</f>
        <v>0.15880131920306648</v>
      </c>
      <c r="F46" s="9">
        <f t="shared" si="1"/>
        <v>204.11338080325012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5.071250166260126</v>
      </c>
      <c r="L46" s="5">
        <f t="shared" si="3"/>
        <v>11.980432175945678</v>
      </c>
      <c r="N46" s="11">
        <f>IF(+B46&gt;Title_RESULTS!$H$9+Title_RESULTS!$C$19-1,0,+'Value of Defferal'!N45*(1+'Value of Defferal'!$F$7))</f>
        <v>0.16651525208467466</v>
      </c>
      <c r="O46" s="5">
        <f t="shared" si="7"/>
        <v>12.484894782146862</v>
      </c>
      <c r="P46" s="48">
        <f t="shared" si="4"/>
        <v>29.49458817008719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83.93225242090031</v>
      </c>
      <c r="E47" s="11">
        <f>IF(B47&gt;Title_RESULTS!$H$8-1+Title_RESULTS!$C$18,0,+E46*(1+$F$7))</f>
        <v>0.16261255086394008</v>
      </c>
      <c r="F47" s="9">
        <f t="shared" si="1"/>
        <v>209.01210194252815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4.896010891855201</v>
      </c>
      <c r="L47" s="5">
        <f t="shared" si="3"/>
        <v>11.566443085930347</v>
      </c>
      <c r="N47" s="11">
        <f>IF(+B47&gt;Title_RESULTS!$H$9+Title_RESULTS!$C$19-1,0,+'Value of Defferal'!N46*(1+'Value of Defferal'!$F$7))</f>
        <v>0.17051161813470686</v>
      </c>
      <c r="O47" s="5">
        <f t="shared" si="7"/>
        <v>12.784532256918387</v>
      </c>
      <c r="P47" s="48">
        <f t="shared" si="4"/>
        <v>30.202458286169286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80.92812776956883</v>
      </c>
      <c r="E48" s="11">
        <f>IF(B48&gt;Title_RESULTS!$H$8-1+Title_RESULTS!$C$18,0,+E47*(1+$F$7))</f>
        <v>0.16651525208467466</v>
      </c>
      <c r="F48" s="9">
        <f t="shared" si="1"/>
        <v>214.02839238914885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4.720771617450276</v>
      </c>
      <c r="L48" s="5">
        <f t="shared" si="3"/>
        <v>11.152453995915014</v>
      </c>
      <c r="N48" s="11">
        <f>IF(+B48&gt;Title_RESULTS!$H$9+Title_RESULTS!$C$19-1,0,+'Value of Defferal'!N47*(1+'Value of Defferal'!$F$7))</f>
        <v>0.17460389696993983</v>
      </c>
      <c r="O48" s="5">
        <f t="shared" si="7"/>
        <v>13.09136103108443</v>
      </c>
      <c r="P48" s="48">
        <f t="shared" si="4"/>
        <v>30.927317285037347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77.92400311823734</v>
      </c>
      <c r="E49" s="11">
        <f>IF(B49&gt;Title_RESULTS!$H$8-1+Title_RESULTS!$C$18,0,+E48*(1+$F$7))</f>
        <v>0.17051161813470686</v>
      </c>
      <c r="F49" s="9">
        <f t="shared" si="1"/>
        <v>219.16507380648844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4.545532343045349</v>
      </c>
      <c r="L49" s="5">
        <f t="shared" si="3"/>
        <v>10.738464905899678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74.91987846690587</v>
      </c>
      <c r="E50" s="11">
        <f>IF(B50&gt;Title_RESULTS!$H$8-1+Title_RESULTS!$C$18,0,+E49*(1+$F$7))</f>
        <v>0.17460389696993983</v>
      </c>
      <c r="F50" s="9">
        <f t="shared" si="1"/>
        <v>224.42503557784417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4.370293068640424</v>
      </c>
      <c r="L50" s="5">
        <f t="shared" si="3"/>
        <v>10.324475815884343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71.9157538155744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4.1950537942355</v>
      </c>
      <c r="L51" s="5">
        <f t="shared" si="3"/>
        <v>9.91048672586901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3070.8142248874647</v>
      </c>
      <c r="F63" s="9">
        <f>SUM(F23:F61)</f>
        <v>4282.96532151087</v>
      </c>
      <c r="J63" t="s">
        <v>87</v>
      </c>
      <c r="K63" s="9">
        <f>SUM(K23:K61)</f>
        <v>179.12946999822273</v>
      </c>
      <c r="O63" s="9">
        <f>SUM(O23:O61)</f>
        <v>249.83774721543926</v>
      </c>
    </row>
    <row r="64" spans="3:15" ht="12.75">
      <c r="C64" t="s">
        <v>89</v>
      </c>
      <c r="D64" s="9">
        <f>NPV(+Title_RESULTS!$C$37,'Value of Defferal'!D24:D61)+'Value of Defferal'!D23</f>
        <v>1371.137123379472</v>
      </c>
      <c r="F64" s="9">
        <f>NPV(+Title_RESULTS!$C$37,'Value of Defferal'!F24:F61)+'Value of Defferal'!F23</f>
        <v>1592.6016009671919</v>
      </c>
      <c r="J64" t="s">
        <v>89</v>
      </c>
      <c r="K64" s="9">
        <f>NPV(+Title_RESULTS!$C$37,'Value of Defferal'!K24:K61)+'Value of Defferal'!K23</f>
        <v>79.98239171073703</v>
      </c>
      <c r="O64" s="9">
        <f>NPV(+Title_RESULTS!$C$37,'Value of Defferal'!O24:O61)+'Value of Defferal'!O23</f>
        <v>106.52152374508785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0.7017103638040741</v>
      </c>
      <c r="C25" t="s">
        <v>372</v>
      </c>
    </row>
    <row r="26" spans="2:3" ht="18">
      <c r="B26" s="15">
        <f>+((Input!$C$6*'EUE_Line Losses'!C4)+(Input!$C$7*'EUE_Line Losses'!C3))/'EUE_Line Losses'!C22</f>
        <v>0.6994467819853514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0.7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0.61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5821.07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13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772.94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87.95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4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Hot Water Pipe Insulation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43599.322200347226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0.7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0.6994467819853514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6140.369198312236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5821.07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13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772.94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87.95</v>
      </c>
      <c r="D39" s="13" t="s">
        <v>189</v>
      </c>
      <c r="G39" s="20" t="s">
        <v>346</v>
      </c>
      <c r="H39" s="79">
        <f>+'Sheet7(F_23)'!H34</f>
        <v>2.91372947605334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+'Sheet8(F_24)'!K32</f>
        <v>6745.24999459901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+'Sheet9(F_25)'!J34</f>
        <v>1.3891587886824603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2019-05-14T11:44:00Z</dcterms:created>
  <dcterms:modified xsi:type="dcterms:W3CDTF">2019-05-14T11:44:03Z</dcterms:modified>
  <cp:category/>
  <cp:version/>
  <cp:contentType/>
  <cp:contentStatus/>
</cp:coreProperties>
</file>