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<sst xmlns="http://schemas.openxmlformats.org/spreadsheetml/2006/main" count="1258" uniqueCount="468">
  <si>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</si>
  <si>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</si>
  <si>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</si>
  <si>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</si>
  <si>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</si>
  <si>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</si>
  <si>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</si>
  <si>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</si>
  <si>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</si>
  <si>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</si>
  <si>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</si>
  <si>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</si>
  <si>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</si>
  <si>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</si>
  <si>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</si>
  <si>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</si>
  <si>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</si>
  <si>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</si>
  <si>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</si>
  <si>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</si>
  <si>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</si>
  <si>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</si>
  <si>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</si>
  <si>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</si>
  <si>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</si>
  <si>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</si>
  <si>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</si>
  <si>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</si>
  <si>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</si>
  <si>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</si>
  <si>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</si>
  <si>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</si>
  <si>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</si>
  <si>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</si>
  <si>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</si>
  <si>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</si>
  <si>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</si>
  <si>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</si>
  <si>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</si>
  <si>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</si>
  <si>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</si>
  <si>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</si>
  <si>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</si>
  <si>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</si>
  <si>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</si>
  <si>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</si>
  <si>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</si>
  <si>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</si>
  <si>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</si>
  <si>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</si>
  <si>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</si>
  <si>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</si>
  <si>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</si>
  <si>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</si>
  <si>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</si>
  <si>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</si>
  <si>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</si>
  <si>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</si>
  <si>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</si>
  <si>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</si>
  <si>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</si>
  <si>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</si>
  <si>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</si>
  <si>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</si>
  <si>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</si>
  <si>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</si>
  <si>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</si>
  <si>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</si>
  <si>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</si>
  <si>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</si>
  <si>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</si>
  <si>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</si>
  <si>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</si>
  <si>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</si>
  <si>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</si>
  <si>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</si>
  <si>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</si>
  <si>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</si>
  <si>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</si>
  <si>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</si>
  <si>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</si>
  <si>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</si>
  <si>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</si>
  <si>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</si>
  <si>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</si>
  <si>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</si>
  <si>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</si>
  <si>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</si>
  <si>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</si>
  <si>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</si>
  <si>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</si>
  <si>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</si>
  <si>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</si>
  <si>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</si>
  <si>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</si>
  <si>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</si>
  <si>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</si>
  <si>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</si>
  <si>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</si>
  <si>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</si>
  <si>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</si>
  <si>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</si>
  <si>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</si>
  <si>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</si>
  <si>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</si>
  <si>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</si>
  <si>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</si>
  <si>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</si>
  <si>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</si>
  <si>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</si>
  <si>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</si>
  <si>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</si>
  <si>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</si>
  <si>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</si>
  <si>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</si>
  <si>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</si>
  <si>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</si>
  <si>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</si>
  <si>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</si>
  <si>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</si>
  <si>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</si>
  <si>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</si>
  <si>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</si>
  <si>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</si>
  <si>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</si>
  <si>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</si>
  <si>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</si>
  <si>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</si>
  <si>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</si>
  <si>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</si>
  <si>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</si>
  <si>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</si>
  <si>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</si>
  <si>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</si>
  <si>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</si>
  <si>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</si>
  <si>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</si>
  <si>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</si>
  <si>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</si>
  <si>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</si>
  <si>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</si>
  <si>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</si>
  <si>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</si>
  <si>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</si>
  <si>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</si>
  <si>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</si>
  <si>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</si>
  <si>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</si>
  <si>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</si>
  <si>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</si>
  <si>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</si>
  <si>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</si>
  <si>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</si>
  <si>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</si>
  <si>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</si>
  <si>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</si>
  <si>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</si>
  <si>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</si>
  <si>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</si>
  <si>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</si>
  <si>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</si>
  <si>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</si>
  <si>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</si>
  <si>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</si>
  <si>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</si>
  <si>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</si>
  <si>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</si>
  <si>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</si>
  <si>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</si>
  <si>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</si>
  <si>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</si>
  <si>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</si>
  <si>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</si>
  <si>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</si>
  <si>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</si>
  <si>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</si>
  <si>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</si>
  <si>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</si>
  <si>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</si>
  <si>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</si>
  <si>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</si>
  <si>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</si>
  <si>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</si>
  <si>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</si>
  <si>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</si>
  <si>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</si>
  <si>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</si>
  <si>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</si>
  <si>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</si>
  <si>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</si>
  <si>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</si>
  <si>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</si>
  <si>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</si>
  <si>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</si>
  <si>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</si>
  <si>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</si>
  <si>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</si>
  <si>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</si>
  <si>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</si>
  <si>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</si>
  <si>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</si>
  <si>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</si>
  <si>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</si>
  <si>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</si>
  <si>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</si>
  <si>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</si>
  <si>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</si>
  <si>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</si>
  <si>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</si>
  <si>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</si>
  <si>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</si>
  <si>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</si>
  <si>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</si>
  <si>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</si>
  <si>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</si>
  <si>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</si>
  <si>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</si>
  <si>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</si>
  <si>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</si>
  <si>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</si>
  <si>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</si>
  <si>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</si>
  <si>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</si>
  <si>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</si>
  <si>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</si>
  <si>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</si>
  <si>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</si>
  <si>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</si>
  <si>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</si>
  <si>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</si>
  <si>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</si>
  <si>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</si>
  <si>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</si>
  <si>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</si>
  <si>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</si>
  <si>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</si>
  <si>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</si>
  <si>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</si>
  <si>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</si>
  <si>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</si>
  <si>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</si>
  <si>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</si>
  <si>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</si>
  <si>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</si>
  <si>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</si>
  <si>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</si>
  <si>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</si>
  <si>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</si>
  <si>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</si>
  <si>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</si>
  <si>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</si>
  <si>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</si>
  <si>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</si>
  <si>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</si>
  <si>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</si>
  <si>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</si>
  <si>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</si>
  <si>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</si>
  <si>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</si>
  <si>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</si>
  <si>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</si>
  <si>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</si>
  <si>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</si>
  <si>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</si>
  <si>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</si>
  <si>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</si>
  <si>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</si>
  <si>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</si>
  <si>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</si>
  <si>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</si>
  <si>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</si>
  <si>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</si>
  <si>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</si>
  <si>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</si>
  <si>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</si>
  <si>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</si>
  <si>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</si>
  <si>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</si>
  <si>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</si>
  <si>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</si>
  <si>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</si>
  <si>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</si>
  <si>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</si>
  <si>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</si>
  <si>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</si>
  <si>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</si>
  <si>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</si>
  <si>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</si>
  <si>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</si>
  <si>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</si>
  <si>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</si>
  <si>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</si>
  <si>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</si>
  <si>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</si>
  <si>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</si>
  <si>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</si>
  <si>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</si>
  <si>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</si>
  <si>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</si>
  <si>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</si>
  <si>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</si>
  <si>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</si>
  <si>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</si>
  <si>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</si>
  <si>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</si>
  <si>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</si>
  <si>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</si>
  <si>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</si>
  <si>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</si>
  <si>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</si>
  <si>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</si>
  <si>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</si>
  <si>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</si>
  <si>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</si>
  <si>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</si>
  <si>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</si>
  <si>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</si>
  <si>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</si>
  <si>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</si>
  <si>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</si>
  <si>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</si>
  <si>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</si>
  <si>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</si>
  <si>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</si>
  <si>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</si>
  <si>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</si>
  <si>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</si>
  <si>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</si>
  <si>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</si>
  <si>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</si>
  <si>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</si>
  <si>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</si>
  <si>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</si>
  <si>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</si>
  <si>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</si>
  <si>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</si>
  <si>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</si>
  <si>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</si>
  <si>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</si>
  <si>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</si>
  <si>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</si>
  <si>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</si>
  <si>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</si>
  <si>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</si>
  <si>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</si>
  <si>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</si>
  <si>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</si>
  <si>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</si>
  <si>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</si>
  <si>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</si>
  <si>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</si>
  <si>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</si>
  <si>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</si>
  <si>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</si>
  <si>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</si>
  <si>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</si>
  <si>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</si>
  <si>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</si>
  <si>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</si>
  <si>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</si>
  <si>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</si>
  <si>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</si>
  <si>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</si>
  <si>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</si>
  <si>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</si>
  <si>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</si>
  <si>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</si>
  <si>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</si>
  <si>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</si>
  <si>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</si>
  <si>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</si>
  <si>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</si>
  <si>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</si>
  <si>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</si>
  <si>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</si>
  <si>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</si>
  <si>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</si>
  <si>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</si>
  <si>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</si>
  <si>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</si>
  <si>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</si>
  <si>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</si>
  <si>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</si>
  <si>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</si>
  <si>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</si>
  <si>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</si>
  <si>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</si>
  <si>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</si>
  <si>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</si>
  <si>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</si>
  <si>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</si>
  <si>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</si>
  <si>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</si>
  <si>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</si>
  <si>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</si>
  <si>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</si>
  <si>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</si>
  <si>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</si>
  <si>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</si>
  <si>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</si>
  <si>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</si>
  <si>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</si>
  <si>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</si>
  <si>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</si>
  <si>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</si>
  <si>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</si>
  <si>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</si>
  <si>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</si>
  <si>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</si>
  <si>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</si>
  <si>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</si>
  <si>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</si>
  <si>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</si>
  <si>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</si>
  <si>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</si>
  <si>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</si>
  <si>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</si>
  <si>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</si>
  <si>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</si>
  <si>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</si>
  <si>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</si>
  <si>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</si>
  <si>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</si>
  <si>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</si>
  <si>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</si>
  <si>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</si>
  <si>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</si>
  <si>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</si>
  <si>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</si>
  <si>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</si>
  <si>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</si>
  <si>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</si>
  <si>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</si>
  <si>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</si>
  <si>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</si>
  <si>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</si>
  <si>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</si>
  <si>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</si>
  <si>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</si>
  <si>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</si>
  <si>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</si>
  <si>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</si>
  <si>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</si>
  <si>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</si>
  <si>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</si>
  <si>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</si>
  <si>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</si>
  <si>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</si>
  <si>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</si>
  <si>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</si>
  <si>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</si>
  <si>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</si>
  <si>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</si>
  <si>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</si>
  <si>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</si>
  <si>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</si>
  <si>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</si>
  <si>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</si>
  <si>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</si>
  <si>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</si>
  <si>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</si>
  <si>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</si>
  <si>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</si>
  <si>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</si>
  <si>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</si>
  <si>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</si>
  <si>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</si>
  <si>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Programmable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</si>
</sst>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43599.3223994213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8854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43599.3223994213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Programmable Thermostat</v>
      </c>
      <c r="J2" t="s">
        <v>55</v>
      </c>
    </row>
    <row r="3" ht="12.75">
      <c r="J3" s="35">
        <f>+Title_RESULTS!I4</f>
        <v>43599.3223994213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8854</v>
      </c>
      <c r="H5" t="s">
        <v>59</v>
      </c>
    </row>
    <row r="6" spans="3:7" ht="12.75">
      <c r="C6" t="s">
        <v>61</v>
      </c>
      <c r="G6" s="36">
        <f>+'Value of Defferal'!E3</f>
        <v>5424.3962121640725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536.0513290784589</v>
      </c>
      <c r="D19" s="5">
        <f>IF((Title_RESULTS!$H$8-Title_RESULTS!$H$7)&lt;=('Sheet3(F_21)'!A19-Title_RESULTS!$H$7),((Title_RESULTS!$C$8*Partcipation!$C$26*8760*Title_RESULTS!$H$21/100000)),0)</f>
        <v>7058.007150070125</v>
      </c>
      <c r="E19" s="5">
        <f>IF($G19=0,0,((Title_RESULTS!$H$14*((1+Title_RESULTS!$H$15/100)^($A19-Title_RESULTS!$H$7))*'EUE_Line Losses'!$B$25*Partcipation!$C$26))/1000)</f>
        <v>55.60428166251356</v>
      </c>
      <c r="F19" s="5">
        <f>IF($G19=0,0,(Title_RESULTS!$H$19/100*((1+Title_RESULTS!$H$20/100)^($A19-Title_RESULTS!$H$7))*$D19*1000)/1000)</f>
        <v>15.91480268935481</v>
      </c>
      <c r="G19" s="5">
        <f>(+Title_RESULTS!$H$22/100*((1+Title_RESULTS!$H$23/100)^(+'Sheet4(F_22)'!A19-Title_RESULTS!$H$7)))*'Sheet3(F_21)'!D19</f>
        <v>302.38542130220947</v>
      </c>
      <c r="H19" s="5">
        <f>IF($G19=0,0,(($D19))*(Partcipation!$G19/100))</f>
        <v>223.92428129496346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686.0315534375734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548.916560976342</v>
      </c>
      <c r="D20" s="5">
        <f>IF((Title_RESULTS!$H$8-Title_RESULTS!$H$7)&lt;=('Sheet3(F_21)'!A20-Title_RESULTS!$H$7),((Title_RESULTS!$C$8*Partcipation!$C$26*8760*Title_RESULTS!$H$21/100000)),0)</f>
        <v>7058.007150070125</v>
      </c>
      <c r="E20" s="5">
        <f>IF($G20=0,0,((Title_RESULTS!$H$14*((1+Title_RESULTS!$H$15/100)^($A20-Title_RESULTS!$H$7))*'EUE_Line Losses'!$B$25*Partcipation!$C$26))/1000)</f>
        <v>56.93878442241388</v>
      </c>
      <c r="F20" s="5">
        <f>IF($G20=0,0,(Title_RESULTS!$H$19/100*((1+Title_RESULTS!$H$20/100)^($A20-Title_RESULTS!$H$7))*$D20*1000)/1000)</f>
        <v>16.296757953899323</v>
      </c>
      <c r="G20" s="5">
        <f>(+Title_RESULTS!$H$22/100*((1+Title_RESULTS!$H$23/100)^(+'Sheet4(F_22)'!A20-Title_RESULTS!$H$7)))*'Sheet3(F_21)'!D20</f>
        <v>316.1137194293298</v>
      </c>
      <c r="H20" s="5">
        <f>IF($G20=0,0,(($D20))*(Partcipation!$G20/100))</f>
        <v>233.94140027466446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704.3244225073206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562.0905584397742</v>
      </c>
      <c r="D21" s="5">
        <f>IF((Title_RESULTS!$H$8-Title_RESULTS!$H$7)&lt;=('Sheet3(F_21)'!A21-Title_RESULTS!$H$7),((Title_RESULTS!$C$8*Partcipation!$C$26*8760*Title_RESULTS!$H$21/100000)),0)</f>
        <v>7058.007150070125</v>
      </c>
      <c r="E21" s="5">
        <f>IF($G21=0,0,((Title_RESULTS!$H$14*((1+Title_RESULTS!$H$15/100)^($A21-Title_RESULTS!$H$7))*'EUE_Line Losses'!$B$25*Partcipation!$C$26))/1000)</f>
        <v>58.305315248551814</v>
      </c>
      <c r="F21" s="5">
        <f>IF($G21=0,0,(Title_RESULTS!$H$19/100*((1+Title_RESULTS!$H$20/100)^($A21-Title_RESULTS!$H$7))*$D21*1000)/1000)</f>
        <v>16.68788014479291</v>
      </c>
      <c r="G21" s="5">
        <f>(+Title_RESULTS!$H$22/100*((1+Title_RESULTS!$H$23/100)^(+'Sheet4(F_22)'!A21-Title_RESULTS!$H$7)))*'Sheet3(F_21)'!D21</f>
        <v>330.46528229142143</v>
      </c>
      <c r="H21" s="5">
        <f>IF($G21=0,0,(($D21))*(Partcipation!$G21/100))</f>
        <v>243.21210338297948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724.3369327415608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575.5807318423288</v>
      </c>
      <c r="D22" s="5">
        <f>IF((Title_RESULTS!$H$8-Title_RESULTS!$H$7)&lt;=('Sheet3(F_21)'!A22-Title_RESULTS!$H$7),((Title_RESULTS!$C$8*Partcipation!$C$26*8760*Title_RESULTS!$H$21/100000)),0)</f>
        <v>7058.007150070125</v>
      </c>
      <c r="E22" s="5">
        <f>IF($G22=0,0,((Title_RESULTS!$H$14*((1+Title_RESULTS!$H$15/100)^($A22-Title_RESULTS!$H$7))*'EUE_Line Losses'!$B$25*Partcipation!$C$26))/1000)</f>
        <v>59.704642814517044</v>
      </c>
      <c r="F22" s="5">
        <f>IF($G22=0,0,(Title_RESULTS!$H$19/100*((1+Title_RESULTS!$H$20/100)^($A22-Title_RESULTS!$H$7))*$D22*1000)/1000)</f>
        <v>17.088389268267935</v>
      </c>
      <c r="G22" s="5">
        <f>(+Title_RESULTS!$H$22/100*((1+Title_RESULTS!$H$23/100)^(+'Sheet4(F_22)'!A22-Title_RESULTS!$H$7)))*'Sheet3(F_21)'!D22</f>
        <v>345.468406107452</v>
      </c>
      <c r="H22" s="5">
        <f>IF($G22=0,0,(($D22))*(Partcipation!$G22/100))</f>
        <v>251.09226246484897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746.7499075677167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589.3946694065447</v>
      </c>
      <c r="D23" s="5">
        <f>IF((Title_RESULTS!$H$8-Title_RESULTS!$H$7)&lt;=('Sheet3(F_21)'!A23-Title_RESULTS!$H$7),((Title_RESULTS!$C$8*Partcipation!$C$26*8760*Title_RESULTS!$H$21/100000)),0)</f>
        <v>7058.007150070125</v>
      </c>
      <c r="E23" s="5">
        <f>IF($G23=0,0,((Title_RESULTS!$H$14*((1+Title_RESULTS!$H$15/100)^($A23-Title_RESULTS!$H$7))*'EUE_Line Losses'!$B$25*Partcipation!$C$26))/1000)</f>
        <v>61.13755424206546</v>
      </c>
      <c r="F23" s="5">
        <f>IF($G23=0,0,(Title_RESULTS!$H$19/100*((1+Title_RESULTS!$H$20/100)^($A23-Title_RESULTS!$H$7))*$D23*1000)/1000)</f>
        <v>17.49851061070637</v>
      </c>
      <c r="G23" s="5">
        <f>(+Title_RESULTS!$H$22/100*((1+Title_RESULTS!$H$23/100)^(+'Sheet4(F_22)'!A23-Title_RESULTS!$H$7)))*'Sheet3(F_21)'!D23</f>
        <v>361.15267174473036</v>
      </c>
      <c r="H23" s="5">
        <f>IF($G23=0,0,(($D23))*(Partcipation!$G23/100))</f>
        <v>262.33106899742194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766.852337006625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603.5401414723018</v>
      </c>
      <c r="D24" s="5">
        <f>IF((Title_RESULTS!$H$8-Title_RESULTS!$H$7)&lt;=('Sheet3(F_21)'!A24-Title_RESULTS!$H$7),((Title_RESULTS!$C$8*Partcipation!$C$26*8760*Title_RESULTS!$H$21/100000)),0)</f>
        <v>7058.007150070125</v>
      </c>
      <c r="E24" s="5">
        <f>IF($G24=0,0,((Title_RESULTS!$H$14*((1+Title_RESULTS!$H$15/100)^($A24-Title_RESULTS!$H$7))*'EUE_Line Losses'!$B$25*Partcipation!$C$26))/1000)</f>
        <v>62.604855543875026</v>
      </c>
      <c r="F24" s="5">
        <f>IF($G24=0,0,(Title_RESULTS!$H$19/100*((1+Title_RESULTS!$H$20/100)^($A24-Title_RESULTS!$H$7))*$D24*1000)/1000)</f>
        <v>17.91847486536332</v>
      </c>
      <c r="G24" s="5">
        <f>(+Title_RESULTS!$H$22/100*((1+Title_RESULTS!$H$23/100)^(+'Sheet4(F_22)'!A24-Title_RESULTS!$H$7)))*'Sheet3(F_21)'!D24</f>
        <v>377.54900304194115</v>
      </c>
      <c r="H24" s="5">
        <f>IF($G24=0,0,(($D24))*(Partcipation!$G24/100))</f>
        <v>282.3375879788734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779.2748869446077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618.025104867637</v>
      </c>
      <c r="D25" s="5">
        <f>IF((Title_RESULTS!$H$8-Title_RESULTS!$H$7)&lt;=('Sheet3(F_21)'!A25-Title_RESULTS!$H$7),((Title_RESULTS!$C$8*Partcipation!$C$26*8760*Title_RESULTS!$H$21/100000)),0)</f>
        <v>7058.007150070125</v>
      </c>
      <c r="E25" s="5">
        <f>IF($G25=0,0,((Title_RESULTS!$H$14*((1+Title_RESULTS!$H$15/100)^($A25-Title_RESULTS!$H$7))*'EUE_Line Losses'!$B$25*Partcipation!$C$26))/1000)</f>
        <v>64.10737207692803</v>
      </c>
      <c r="F25" s="5">
        <f>IF($G25=0,0,(Title_RESULTS!$H$19/100*((1+Title_RESULTS!$H$20/100)^($A25-Title_RESULTS!$H$7))*$D25*1000)/1000)</f>
        <v>18.348518262132036</v>
      </c>
      <c r="G25" s="5">
        <f>(+Title_RESULTS!$H$22/100*((1+Title_RESULTS!$H$23/100)^(+'Sheet4(F_22)'!A25-Title_RESULTS!$H$7)))*'Sheet3(F_21)'!D25</f>
        <v>394.6897277800453</v>
      </c>
      <c r="H25" s="5">
        <f>IF($G25=0,0,(($D25))*(Partcipation!$G25/100))</f>
        <v>294.72815754848807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800.4425654382542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632.8577073844602</v>
      </c>
      <c r="D26" s="5">
        <f>IF((Title_RESULTS!$H$8-Title_RESULTS!$H$7)&lt;=('Sheet3(F_21)'!A26-Title_RESULTS!$H$7),((Title_RESULTS!$C$8*Partcipation!$C$26*8760*Title_RESULTS!$H$21/100000)),0)</f>
        <v>7058.007150070125</v>
      </c>
      <c r="E26" s="5">
        <f>IF($G26=0,0,((Title_RESULTS!$H$14*((1+Title_RESULTS!$H$15/100)^($A26-Title_RESULTS!$H$7))*'EUE_Line Losses'!$B$25*Partcipation!$C$26))/1000)</f>
        <v>65.6459490067743</v>
      </c>
      <c r="F26" s="5">
        <f>IF($G26=0,0,(Title_RESULTS!$H$19/100*((1+Title_RESULTS!$H$20/100)^($A26-Title_RESULTS!$H$7))*$D26*1000)/1000)</f>
        <v>18.78888270042321</v>
      </c>
      <c r="G26" s="5">
        <f>(+Title_RESULTS!$H$22/100*((1+Title_RESULTS!$H$23/100)^(+'Sheet4(F_22)'!A26-Title_RESULTS!$H$7)))*'Sheet3(F_21)'!D26</f>
        <v>412.6086414212594</v>
      </c>
      <c r="H26" s="5">
        <f>IF($G26=0,0,(($D26))*(Partcipation!$G26/100))</f>
        <v>316.64205274553706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813.2591277673803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4666.456803467848</v>
      </c>
      <c r="D28" s="9">
        <f t="shared" si="1"/>
        <v>56464.057200560994</v>
      </c>
      <c r="E28" s="9">
        <f t="shared" si="1"/>
        <v>484.04875501763905</v>
      </c>
      <c r="F28" s="9">
        <f t="shared" si="1"/>
        <v>138.5422164949399</v>
      </c>
      <c r="G28" s="9">
        <f t="shared" si="1"/>
        <v>2840.432873118389</v>
      </c>
      <c r="H28" s="9">
        <f t="shared" si="1"/>
        <v>2108.208914687777</v>
      </c>
      <c r="I28" s="9">
        <f t="shared" si="1"/>
        <v>0</v>
      </c>
      <c r="J28" s="9">
        <f t="shared" si="1"/>
        <v>6021.271733411038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3002.729406671171</v>
      </c>
      <c r="D30" s="5"/>
      <c r="E30" s="5">
        <f>NPV(Title_RESULTS!$C$37,E17:E27)+'Sheet3(F_21)'!E16</f>
        <v>311.4713137114866</v>
      </c>
      <c r="F30" s="5">
        <f>NPV(Title_RESULTS!$C$37,F17:F27)+'Sheet3(F_21)'!F16</f>
        <v>89.1478920849773</v>
      </c>
      <c r="G30" s="5">
        <f>NPV(Title_RESULTS!$C$37,G17:G27)+'Sheet3(F_21)'!G16</f>
        <v>1814.2286285477078</v>
      </c>
      <c r="H30" s="5">
        <f>NPV(Title_RESULTS!$C$37,H17:H27)+'Sheet3(F_21)'!H16</f>
        <v>1344.506123516244</v>
      </c>
      <c r="I30" s="5">
        <f>NPV(Title_RESULTS!$C$37,I17:I27)+'Sheet3(F_21)'!I16</f>
        <v>0</v>
      </c>
      <c r="J30" s="5">
        <f>NPV(Title_RESULTS!$C$37,J17:J27)+'Sheet3(F_21)'!J16</f>
        <v>3873.0711174990984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Programmable Thermostat</v>
      </c>
      <c r="F2" t="s">
        <v>55</v>
      </c>
    </row>
    <row r="3" spans="6:7" ht="12.75">
      <c r="F3" s="35">
        <f>+Title_RESULTS!I4</f>
        <v>43599.3223994213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2964.0928270042195</v>
      </c>
      <c r="C16" s="5">
        <f>$B16*'Sheet2(F_12)'!$E16/100</f>
        <v>85.97972588410332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85.97972588410332</v>
      </c>
      <c r="G16" s="5">
        <f>+$F16*'Sheet2(F_12)'!$I16</f>
        <v>85.97972588410332</v>
      </c>
    </row>
    <row r="17" spans="1:7" ht="12.75">
      <c r="A17">
        <f>+A16+1</f>
        <v>2021</v>
      </c>
      <c r="B17" s="5">
        <f>(+Partcipation!$C16+(Partcipation!$C17-Partcipation!$C16)/2)*Title_RESULTS!$C$10/1000</f>
        <v>8892.27848101266</v>
      </c>
      <c r="C17" s="5">
        <f>$B17*'Sheet2(F_12)'!$E17/100</f>
        <v>255.84113824827082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255.84113824827082</v>
      </c>
      <c r="G17" s="5">
        <f>+$F17*'Sheet2(F_12)'!$I17</f>
        <v>255.84113824827082</v>
      </c>
    </row>
    <row r="18" spans="1:7" ht="12.75">
      <c r="A18">
        <f>+A17+1</f>
        <v>2022</v>
      </c>
      <c r="B18" s="5">
        <f>(+Partcipation!$C17+(Partcipation!$C18-Partcipation!$C17)/2)*Title_RESULTS!$C$10/1000</f>
        <v>14820.464135021099</v>
      </c>
      <c r="C18" s="5">
        <f>$B18*'Sheet2(F_12)'!$E18/100</f>
        <v>440.07529789543315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440.07529789543315</v>
      </c>
      <c r="G18" s="5">
        <f>+$F18*'Sheet2(F_12)'!$I18</f>
        <v>440.07529789543315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17784.55696202532</v>
      </c>
      <c r="C19" s="5">
        <f>$B19*'Sheet2(F_12)'!$E19/100</f>
        <v>549.7546277190145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549.7546277190145</v>
      </c>
      <c r="G19" s="5">
        <f>+$F19*'Sheet2(F_12)'!$I19</f>
        <v>549.7546277190145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17784.55696202532</v>
      </c>
      <c r="C20" s="5">
        <f>$B20*'Sheet2(F_12)'!$E20/100</f>
        <v>571.3579124395719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571.3579124395719</v>
      </c>
      <c r="G20" s="5">
        <f>+$F20*'Sheet2(F_12)'!$I20</f>
        <v>571.3579124395719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17784.55696202532</v>
      </c>
      <c r="C21" s="5">
        <f>$B21*'Sheet2(F_12)'!$E21/100</f>
        <v>613.4663818950736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613.4663818950736</v>
      </c>
      <c r="G21" s="5">
        <f>+$F21*'Sheet2(F_12)'!$I21</f>
        <v>613.4663818950736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17784.55696202532</v>
      </c>
      <c r="C22" s="5">
        <f>$B22*'Sheet2(F_12)'!$E22/100</f>
        <v>633.1430857850221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633.1430857850221</v>
      </c>
      <c r="G22" s="5">
        <f>+$F22*'Sheet2(F_12)'!$I22</f>
        <v>633.1430857850221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17784.55696202532</v>
      </c>
      <c r="C23" s="5">
        <f>$B23*'Sheet2(F_12)'!$E23/100</f>
        <v>672.711694824962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672.711694824962</v>
      </c>
      <c r="G23" s="5">
        <f>+$F23*'Sheet2(F_12)'!$I23</f>
        <v>672.711694824962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17784.55696202532</v>
      </c>
      <c r="C24" s="5">
        <f>$B24*'Sheet2(F_12)'!$E24/100</f>
        <v>745.4423506106231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745.4423506106231</v>
      </c>
      <c r="G24" s="5">
        <f>+$F24*'Sheet2(F_12)'!$I24</f>
        <v>745.4423506106231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17784.55696202532</v>
      </c>
      <c r="C25" s="5">
        <f>$B25*'Sheet2(F_12)'!$E25/100</f>
        <v>798.6402988266574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798.6402988266574</v>
      </c>
      <c r="G25" s="5">
        <f>+$F25*'Sheet2(F_12)'!$I25</f>
        <v>798.6402988266574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17784.55696202532</v>
      </c>
      <c r="C26" s="5">
        <f>$B26*'Sheet2(F_12)'!$E26/100</f>
        <v>892.0369689516988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892.0369689516988</v>
      </c>
      <c r="G26" s="5">
        <f>+$F26*'Sheet2(F_12)'!$I26</f>
        <v>892.0369689516988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168953.29113924055</v>
      </c>
      <c r="C28" s="5">
        <f t="shared" si="2"/>
        <v>6258.449483080431</v>
      </c>
      <c r="D28" s="5">
        <f t="shared" si="2"/>
        <v>0</v>
      </c>
      <c r="E28" s="5">
        <f t="shared" si="2"/>
        <v>0</v>
      </c>
      <c r="F28" s="5">
        <f t="shared" si="2"/>
        <v>6258.449483080431</v>
      </c>
      <c r="G28" s="5">
        <f t="shared" si="2"/>
        <v>6258.449483080431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4176.415108069089</v>
      </c>
      <c r="D30" s="5"/>
      <c r="E30" s="5">
        <f>NPV(+Title_RESULTS!$C$37,E17:E27)+E16</f>
        <v>0</v>
      </c>
      <c r="F30" s="5">
        <f>NPV(+Title_RESULTS!$C$37,F17:F27)+F16</f>
        <v>4176.415108069089</v>
      </c>
      <c r="G30" s="5">
        <f>NPV(+Title_RESULTS!$C$37,G17:G27)+G16</f>
        <v>4176.415108069089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Programmable Thermostat</v>
      </c>
      <c r="J2" t="s">
        <v>42</v>
      </c>
    </row>
    <row r="3" spans="9:10" ht="12.75">
      <c r="I3" s="4"/>
      <c r="J3" s="35">
        <f>+Title_RESULTS!I4</f>
        <v>43599.3223994213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Programmable Thermostat</v>
      </c>
      <c r="H2" t="s">
        <v>108</v>
      </c>
    </row>
    <row r="3" ht="12.75">
      <c r="H3" s="35">
        <f>+Title_RESULTS!I4</f>
        <v>43599.3223994213</v>
      </c>
    </row>
    <row r="5" spans="3:6" ht="12.75">
      <c r="C5" t="s">
        <v>60</v>
      </c>
      <c r="F5" s="38">
        <f>+'Value of Defferal'!L4</f>
        <v>316.42071039999996</v>
      </c>
    </row>
    <row r="6" spans="3:6" ht="12.75">
      <c r="C6" t="s">
        <v>62</v>
      </c>
      <c r="F6" s="38">
        <f>+'Value of Defferal'!L5</f>
        <v>2606.318592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85.97972588410332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31.269423494085224</v>
      </c>
      <c r="C17" s="5">
        <f>IF(+Title_RESULTS!$H$9&lt;='Sheet4(F_22)'!$A17,(+Title_RESULTS!$H$16*((1+Title_RESULTS!$H$18/100)^('Sheet4(F_22)'!$A17-Title_RESULTS!$H$7))*Title_RESULTS!$C$8*Partcipation!$C$26/1000),0)</f>
        <v>25.204689289788284</v>
      </c>
      <c r="D17" s="5">
        <f>(+B17+C17)*+Partcipation!$H17</f>
        <v>56.47411278387351</v>
      </c>
      <c r="E17" s="5">
        <f>VLOOKUP(A17,'Value of Defferal'!$I24:$P$58,'Value of Defferal'!$K$13)</f>
        <v>257.5624070584096</v>
      </c>
      <c r="F17" s="5">
        <f>IF(+'Value of Defferal'!P24=0,0,Title_RESULTS!$H$17*Title_RESULTS!$C$7*Partcipation!$C$26*(1+Title_RESULTS!$H$18/100)^('Sheet4(F_22)'!A17-Title_RESULTS!$H$7))/1000</f>
        <v>358.815744</v>
      </c>
      <c r="G17" s="5">
        <f>(+E17+F17)*Partcipation!$H17</f>
        <v>616.3781510584096</v>
      </c>
      <c r="H17" s="5">
        <f>+'Sheet5(p_5)'!$F17*'Sheet2(F_12)'!$I17</f>
        <v>255.84113824827082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32.01988965794327</v>
      </c>
      <c r="C18" s="5">
        <f>IF(+Title_RESULTS!$H$9&lt;='Sheet4(F_22)'!$A18,(+Title_RESULTS!$H$16*((1+Title_RESULTS!$H$18/100)^('Sheet4(F_22)'!$A18-Title_RESULTS!$H$7))*Title_RESULTS!$C$8*Partcipation!$C$26/1000),0)</f>
        <v>25.809601832743198</v>
      </c>
      <c r="D18" s="5">
        <f>(+B18+C18)*+Partcipation!$H18</f>
        <v>57.829491490686465</v>
      </c>
      <c r="E18" s="5">
        <f>VLOOKUP(A18,'Value of Defferal'!$I25:$P$58,'Value of Defferal'!$K$13)</f>
        <v>263.74390482781143</v>
      </c>
      <c r="F18" s="5">
        <f>IF(+'Value of Defferal'!P25=0,0,Title_RESULTS!$H$17*Title_RESULTS!$C$7*Partcipation!$C$26*(1+Title_RESULTS!$H$18/100)^('Sheet4(F_22)'!A18-Title_RESULTS!$H$7))/1000</f>
        <v>367.427321856</v>
      </c>
      <c r="G18" s="5">
        <f>(+E18+F18)*Partcipation!$H18</f>
        <v>631.1712266838115</v>
      </c>
      <c r="H18" s="5">
        <f>+'Sheet5(p_5)'!$F18*'Sheet2(F_12)'!$I18</f>
        <v>440.07529789543315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32.78836700973391</v>
      </c>
      <c r="C19" s="5">
        <f>IF(+Title_RESULTS!$H$9&lt;='Sheet4(F_22)'!$A19,(+Title_RESULTS!$H$16*((1+Title_RESULTS!$H$18/100)^('Sheet4(F_22)'!$A19-Title_RESULTS!$H$7))*Title_RESULTS!$C$8*Partcipation!$C$26/1000),0)</f>
        <v>26.42903227672904</v>
      </c>
      <c r="D19" s="5">
        <f>(+B19+C19)*+Partcipation!$H19</f>
        <v>59.21739928646295</v>
      </c>
      <c r="E19" s="5">
        <f>VLOOKUP(A19,'Value of Defferal'!$I26:$P$58,'Value of Defferal'!$K$13)</f>
        <v>270.0737585436789</v>
      </c>
      <c r="F19" s="5">
        <f>IF(+'Value of Defferal'!P26=0,0,Title_RESULTS!$H$17*Title_RESULTS!$C$7*Partcipation!$C$26*(1+Title_RESULTS!$H$18/100)^('Sheet4(F_22)'!A19-Title_RESULTS!$H$7))/1000</f>
        <v>376.245577580544</v>
      </c>
      <c r="G19" s="5">
        <f>(+E19+F19)*Partcipation!$H19</f>
        <v>646.3193361242229</v>
      </c>
      <c r="H19" s="5">
        <f>+'Sheet5(p_5)'!$F19*'Sheet2(F_12)'!$I19</f>
        <v>549.7546277190145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33.57528781796752</v>
      </c>
      <c r="C20" s="5">
        <f>IF(+Title_RESULTS!$H$9&lt;='Sheet4(F_22)'!$A20,(+Title_RESULTS!$H$16*((1+Title_RESULTS!$H$18/100)^('Sheet4(F_22)'!$A20-Title_RESULTS!$H$7))*Title_RESULTS!$C$8*Partcipation!$C$26/1000),0)</f>
        <v>27.063329051370538</v>
      </c>
      <c r="D20" s="5">
        <f>(+B20+C20)*+Partcipation!$H20</f>
        <v>60.63861686933806</v>
      </c>
      <c r="E20" s="5">
        <f>VLOOKUP(A20,'Value of Defferal'!$I27:$P$58,'Value of Defferal'!$K$13)</f>
        <v>276.55552874872717</v>
      </c>
      <c r="F20" s="5">
        <f>IF(+'Value of Defferal'!P27=0,0,Title_RESULTS!$H$17*Title_RESULTS!$C$7*Partcipation!$C$26*(1+Title_RESULTS!$H$18/100)^('Sheet4(F_22)'!A20-Title_RESULTS!$H$7))/1000</f>
        <v>385.275471442477</v>
      </c>
      <c r="G20" s="5">
        <f>(+E20+F20)*Partcipation!$H20</f>
        <v>661.8310001912041</v>
      </c>
      <c r="H20" s="5">
        <f>+'Sheet5(p_5)'!$F20*'Sheet2(F_12)'!$I20</f>
        <v>571.3579124395719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34.38109472559874</v>
      </c>
      <c r="C21" s="5">
        <f>IF(+Title_RESULTS!$H$9&lt;='Sheet4(F_22)'!$A21,(+Title_RESULTS!$H$16*((1+Title_RESULTS!$H$18/100)^('Sheet4(F_22)'!$A21-Title_RESULTS!$H$7))*Title_RESULTS!$C$8*Partcipation!$C$26/1000),0)</f>
        <v>27.712848948603433</v>
      </c>
      <c r="D21" s="5">
        <f>(+B21+C21)*+Partcipation!$H21</f>
        <v>62.09394367420218</v>
      </c>
      <c r="E21" s="5">
        <f>VLOOKUP(A21,'Value of Defferal'!$I28:$P$58,'Value of Defferal'!$K$13)</f>
        <v>283.19286143869664</v>
      </c>
      <c r="F21" s="5">
        <f>IF(+'Value of Defferal'!P28=0,0,Title_RESULTS!$H$17*Title_RESULTS!$C$7*Partcipation!$C$26*(1+Title_RESULTS!$H$18/100)^('Sheet4(F_22)'!A21-Title_RESULTS!$H$7))/1000</f>
        <v>394.52208275709654</v>
      </c>
      <c r="G21" s="5">
        <f>(+E21+F21)*Partcipation!$H21</f>
        <v>677.7149441957931</v>
      </c>
      <c r="H21" s="5">
        <f>+'Sheet5(p_5)'!$F21*'Sheet2(F_12)'!$I21</f>
        <v>613.4663818950736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35.20624099901311</v>
      </c>
      <c r="C22" s="5">
        <f>IF(+Title_RESULTS!$H$9&lt;='Sheet4(F_22)'!$A22,(+Title_RESULTS!$H$16*((1+Title_RESULTS!$H$18/100)^('Sheet4(F_22)'!$A22-Title_RESULTS!$H$7))*Title_RESULTS!$C$8*Partcipation!$C$26/1000),0)</f>
        <v>28.37795732336991</v>
      </c>
      <c r="D22" s="5">
        <f>(+B22+C22)*+Partcipation!$H22</f>
        <v>63.58419832238302</v>
      </c>
      <c r="E22" s="5">
        <f>VLOOKUP(A22,'Value of Defferal'!$I29:$P$58,'Value of Defferal'!$K$13)</f>
        <v>289.9894901132254</v>
      </c>
      <c r="F22" s="5">
        <f>IF(+'Value of Defferal'!P29=0,0,Title_RESULTS!$H$17*Title_RESULTS!$C$7*Partcipation!$C$26*(1+Title_RESULTS!$H$18/100)^('Sheet4(F_22)'!A22-Title_RESULTS!$H$7))/1000</f>
        <v>403.9906127432668</v>
      </c>
      <c r="G22" s="5">
        <f>(+E22+F22)*Partcipation!$H22</f>
        <v>693.9801028564922</v>
      </c>
      <c r="H22" s="5">
        <f>+'Sheet5(p_5)'!$F22*'Sheet2(F_12)'!$I22</f>
        <v>633.1430857850221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36.05119078298943</v>
      </c>
      <c r="C23" s="5">
        <f>IF(+Title_RESULTS!$H$9&lt;='Sheet4(F_22)'!$A23,(+Title_RESULTS!$H$16*((1+Title_RESULTS!$H$18/100)^('Sheet4(F_22)'!$A23-Title_RESULTS!$H$7))*Title_RESULTS!$C$8*Partcipation!$C$26/1000),0)</f>
        <v>29.05902829913079</v>
      </c>
      <c r="D23" s="5">
        <f>(+B23+C23)*+Partcipation!$H23</f>
        <v>65.11021908212022</v>
      </c>
      <c r="E23" s="5">
        <f>VLOOKUP(A23,'Value of Defferal'!$I30:$P$58,'Value of Defferal'!$K$13)</f>
        <v>296.94923787594274</v>
      </c>
      <c r="F23" s="5">
        <f>IF(+'Value of Defferal'!P30=0,0,Title_RESULTS!$H$17*Title_RESULTS!$C$7*Partcipation!$C$26*(1+Title_RESULTS!$H$18/100)^('Sheet4(F_22)'!A23-Title_RESULTS!$H$7))/1000</f>
        <v>413.68638744910527</v>
      </c>
      <c r="G23" s="5">
        <f>(+E23+F23)*Partcipation!$H23</f>
        <v>710.6356253250481</v>
      </c>
      <c r="H23" s="5">
        <f>+'Sheet5(p_5)'!$F23*'Sheet2(F_12)'!$I23</f>
        <v>672.711694824962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36.91641936178117</v>
      </c>
      <c r="C24" s="5">
        <f>IF(+Title_RESULTS!$H$9&lt;='Sheet4(F_22)'!$A24,(+Title_RESULTS!$H$16*((1+Title_RESULTS!$H$18/100)^('Sheet4(F_22)'!$A24-Title_RESULTS!$H$7))*Title_RESULTS!$C$8*Partcipation!$C$26/1000),0)</f>
        <v>29.756444978309922</v>
      </c>
      <c r="D24" s="5">
        <f>(+B24+C24)*+Partcipation!$H24</f>
        <v>66.6728643400911</v>
      </c>
      <c r="E24" s="5">
        <f>VLOOKUP(A24,'Value of Defferal'!$I31:$P$58,'Value of Defferal'!$K$13)</f>
        <v>304.07601958496537</v>
      </c>
      <c r="F24" s="5">
        <f>IF(+'Value of Defferal'!P31=0,0,Title_RESULTS!$H$17*Title_RESULTS!$C$7*Partcipation!$C$26*(1+Title_RESULTS!$H$18/100)^('Sheet4(F_22)'!A24-Title_RESULTS!$H$7))/1000</f>
        <v>423.6148607478837</v>
      </c>
      <c r="G24" s="5">
        <f>(+E24+F24)*Partcipation!$H24</f>
        <v>727.690880332849</v>
      </c>
      <c r="H24" s="5">
        <f>+'Sheet5(p_5)'!$F24*'Sheet2(F_12)'!$I24</f>
        <v>745.4423506106231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37.80241342646392</v>
      </c>
      <c r="C25" s="5">
        <f>IF(+Title_RESULTS!$H$9&lt;='Sheet4(F_22)'!$A25,(+Title_RESULTS!$H$16*((1+Title_RESULTS!$H$18/100)^('Sheet4(F_22)'!$A25-Title_RESULTS!$H$7))*Title_RESULTS!$C$8*Partcipation!$C$26/1000),0)</f>
        <v>30.47059965778936</v>
      </c>
      <c r="D25" s="5">
        <f>(+B25+C25)*+Partcipation!$H25</f>
        <v>68.27301308425328</v>
      </c>
      <c r="E25" s="5">
        <f>VLOOKUP(A25,'Value of Defferal'!$I32:$P$58,'Value of Defferal'!$K$13)</f>
        <v>311.37384405500455</v>
      </c>
      <c r="F25" s="5">
        <f>IF(+'Value of Defferal'!P32=0,0,Title_RESULTS!$H$17*Title_RESULTS!$C$7*Partcipation!$C$26*(1+Title_RESULTS!$H$18/100)^('Sheet4(F_22)'!A25-Title_RESULTS!$H$7))/1000</f>
        <v>433.78161740583295</v>
      </c>
      <c r="G25" s="5">
        <f>(+E25+F25)*Partcipation!$H25</f>
        <v>745.1554614608375</v>
      </c>
      <c r="H25" s="5">
        <f>+'Sheet5(p_5)'!$F25*'Sheet2(F_12)'!$I25</f>
        <v>798.6402988266574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38.70967134869906</v>
      </c>
      <c r="C26" s="5">
        <f>IF(+Title_RESULTS!$H$9&lt;='Sheet4(F_22)'!$A26,(+Title_RESULTS!$H$16*((1+Title_RESULTS!$H$18/100)^('Sheet4(F_22)'!$A26-Title_RESULTS!$H$7))*Title_RESULTS!$C$8*Partcipation!$C$26/1000),0)</f>
        <v>31.20189404957631</v>
      </c>
      <c r="D26" s="5">
        <f>(+B26+C26)*+Partcipation!$H26</f>
        <v>69.91156539827537</v>
      </c>
      <c r="E26" s="5">
        <f>VLOOKUP(A26,'Value of Defferal'!$I33:$P$58,'Value of Defferal'!$K$13)</f>
        <v>318.84681631232473</v>
      </c>
      <c r="F26" s="5">
        <f>IF(+'Value of Defferal'!P33=0,0,Title_RESULTS!$H$17*Title_RESULTS!$C$7*Partcipation!$C$26*(1+Title_RESULTS!$H$18/100)^('Sheet4(F_22)'!A26-Title_RESULTS!$H$7))/1000</f>
        <v>444.1923762235729</v>
      </c>
      <c r="G26" s="5">
        <f>(+E26+F26)*Partcipation!$H26</f>
        <v>763.0391925358977</v>
      </c>
      <c r="H26" s="5">
        <f>+'Sheet5(p_5)'!$F26*'Sheet2(F_12)'!$I26</f>
        <v>892.0369689516988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348.7199986242754</v>
      </c>
      <c r="C28" s="5">
        <f t="shared" si="1"/>
        <v>281.0854257074108</v>
      </c>
      <c r="D28" s="5">
        <f t="shared" si="1"/>
        <v>629.8054243316861</v>
      </c>
      <c r="E28" s="5">
        <f t="shared" si="1"/>
        <v>2872.3638685587866</v>
      </c>
      <c r="F28" s="5">
        <f t="shared" si="1"/>
        <v>4001.552052205779</v>
      </c>
      <c r="G28" s="5">
        <f t="shared" si="1"/>
        <v>6873.915920764566</v>
      </c>
      <c r="H28" s="5">
        <f t="shared" si="1"/>
        <v>6258.449483080431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240.7939203957646</v>
      </c>
      <c r="C30" s="5">
        <f>NPV(Title_RESULTS!$C$37,'Sheet4(F_22)'!C17:C27)+'Sheet4(F_22)'!C16</f>
        <v>194.09171223106395</v>
      </c>
      <c r="D30" s="5">
        <f>NPV(Title_RESULTS!$C$37,'Sheet4(F_22)'!D17:D27)+'Sheet4(F_22)'!D16</f>
        <v>434.88563262682857</v>
      </c>
      <c r="E30" s="5">
        <f>NPV(Title_RESULTS!$C$37,'Sheet4(F_22)'!E17:E27)+'Sheet4(F_22)'!E16</f>
        <v>1983.3899961057969</v>
      </c>
      <c r="F30" s="5">
        <f>NPV(Title_RESULTS!$C$37,'Sheet4(F_22)'!F17:F27)+'Sheet4(F_22)'!F16</f>
        <v>2763.1033784113797</v>
      </c>
      <c r="G30" s="5">
        <f>NPV(Title_RESULTS!$C$37,'Sheet4(F_22)'!G17:G27)+'Sheet4(F_22)'!G16</f>
        <v>4746.493374517177</v>
      </c>
      <c r="H30" s="5">
        <f>NPV(Title_RESULTS!$C$37,'Sheet4(F_22)'!H17:H27)+'Sheet4(F_22)'!H16</f>
        <v>4176.415108069089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Programmable Thermostat</v>
      </c>
      <c r="P2" t="s">
        <v>121</v>
      </c>
    </row>
    <row r="3" ht="12.75">
      <c r="P3" s="35">
        <f>+Title_RESULTS!I4</f>
        <v>43599.3223994213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1153.21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1153.21</v>
      </c>
      <c r="H16" s="5">
        <f>IF(Partcipation!$B17&lt;Partcipation!$B16,0,IF(Partcipation!$B16=0,0,(Partcipation!$B16-Partcipation!$B15)*(+Title_RESULTS!$C$29*(1+Title_RESULTS!$C$30/100)^(+'Sheet8(F_24)'!$A16-Title_RESULTS!$H$7))/1000))</f>
        <v>2799.84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2799.84</v>
      </c>
      <c r="K16" s="5">
        <f>(+Partcipation!$B15+(Partcipation!$B16-Partcipation!$B15)/2)*(+Title_RESULTS!$C$14)/1000</f>
        <v>2809.96</v>
      </c>
      <c r="L16" s="5">
        <f>($K16)*Partcipation!$E73*Title_RESULTS!$C$12/100</f>
        <v>68.4116385728666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674.6161728</v>
      </c>
      <c r="N16" s="5">
        <f>'Sheet2(F_12)'!$I16*('Sheet6(p_6)'!$L16+'Sheet6(p_6)'!$M16)</f>
        <v>743.0278113728666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1153.21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1153.21</v>
      </c>
      <c r="H17" s="5">
        <f>IF(Partcipation!$B18&lt;Partcipation!$B17,0,IF(Partcipation!$B17=0,0,(Partcipation!$B17-Partcipation!$B16)*(+Title_RESULTS!$C$29*(1+Title_RESULTS!$C$30/100)^(+'Sheet8(F_24)'!$A17-Title_RESULTS!$H$7))/1000))</f>
        <v>2864.23632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2864.23632</v>
      </c>
      <c r="K17" s="5">
        <f>(+Partcipation!$B16+(Partcipation!$B17-Partcipation!$B16)/2)*(+Title_RESULTS!$C$14)/1000</f>
        <v>8429.88</v>
      </c>
      <c r="L17" s="5">
        <f>($K17)*Partcipation!$E74*Title_RESULTS!$C$12/100</f>
        <v>215.00276035498192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2044.0870035839998</v>
      </c>
      <c r="N17" s="5">
        <f>'Sheet2(F_12)'!$I17*('Sheet6(p_6)'!$L17+'Sheet6(p_6)'!$M17)</f>
        <v>2259.089763938982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1153.21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1153.21</v>
      </c>
      <c r="H18" s="5">
        <f>IF(Partcipation!$B19&lt;Partcipation!$B18,0,IF(Partcipation!$B18=0,0,(Partcipation!$B18-Partcipation!$B17)*(+Title_RESULTS!$C$29*(1+Title_RESULTS!$C$30/100)^(+'Sheet8(F_24)'!$A18-Title_RESULTS!$H$7))/1000))</f>
        <v>2930.1137553599997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2930.1137553599997</v>
      </c>
      <c r="K18" s="5">
        <f>(+Partcipation!$B17+(Partcipation!$B18-Partcipation!$B17)/2)*(+Title_RESULTS!$C$14)/1000</f>
        <v>14049.8</v>
      </c>
      <c r="L18" s="5">
        <f>($K18)*Partcipation!$E75*Title_RESULTS!$C$12/100</f>
        <v>371.53745078480955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3440.8797893663996</v>
      </c>
      <c r="N18" s="5">
        <f>'Sheet2(F_12)'!$I18*('Sheet6(p_6)'!$L18+'Sheet6(p_6)'!$M18)</f>
        <v>3812.417240151209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16859.76</v>
      </c>
      <c r="L19" s="5">
        <f>($K19)*Partcipation!$E76*Title_RESULTS!$C$12/100</f>
        <v>442.19017675994206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4170.346304712076</v>
      </c>
      <c r="N19" s="5">
        <f>'Sheet2(F_12)'!$I19*('Sheet6(p_6)'!$L19+'Sheet6(p_6)'!$M19)</f>
        <v>4612.536481472018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16859.76</v>
      </c>
      <c r="L20" s="5">
        <f>($K20)*Partcipation!$E77*Title_RESULTS!$C$12/100</f>
        <v>467.2710857620852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4212.0497677591975</v>
      </c>
      <c r="N20" s="5">
        <f>'Sheet2(F_12)'!$I20*('Sheet6(p_6)'!$L20+'Sheet6(p_6)'!$M20)</f>
        <v>4679.3208535212825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16859.76</v>
      </c>
      <c r="L21" s="5">
        <f>($K21)*Partcipation!$E78*Title_RESULTS!$C$12/100</f>
        <v>494.0918278547407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4254.170265436789</v>
      </c>
      <c r="N21" s="5">
        <f>'Sheet2(F_12)'!$I21*('Sheet6(p_6)'!$L21+'Sheet6(p_6)'!$M21)</f>
        <v>4748.26209329153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16859.76</v>
      </c>
      <c r="L22" s="5">
        <f>($K22)*Partcipation!$E79*Title_RESULTS!$C$12/100</f>
        <v>516.4317780067498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4296.711968091157</v>
      </c>
      <c r="N22" s="5">
        <f>'Sheet2(F_12)'!$I22*('Sheet6(p_6)'!$L22+'Sheet6(p_6)'!$M22)</f>
        <v>4813.143746097907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16859.76</v>
      </c>
      <c r="L23" s="5">
        <f>($K23)*Partcipation!$E80*Title_RESULTS!$C$12/100</f>
        <v>546.8397809637574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4339.679087772068</v>
      </c>
      <c r="N23" s="5">
        <f>'Sheet2(F_12)'!$I23*('Sheet6(p_6)'!$L23+'Sheet6(p_6)'!$M23)</f>
        <v>4886.518868735825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16859.76</v>
      </c>
      <c r="L24" s="5">
        <f>($K24)*Partcipation!$E81*Title_RESULTS!$C$12/100</f>
        <v>598.6228349635267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4383.07587864979</v>
      </c>
      <c r="N24" s="5">
        <f>'Sheet2(F_12)'!$I24*('Sheet6(p_6)'!$L24+'Sheet6(p_6)'!$M24)</f>
        <v>4981.698713613317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16859.76</v>
      </c>
      <c r="L25" s="5">
        <f>($K25)*Partcipation!$E82*Title_RESULTS!$C$12/100</f>
        <v>629.1213204633668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4426.906637436288</v>
      </c>
      <c r="N25" s="5">
        <f>'Sheet2(F_12)'!$I25*('Sheet6(p_6)'!$L25+'Sheet6(p_6)'!$M25)</f>
        <v>5056.027957899655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16859.76</v>
      </c>
      <c r="L26" s="5">
        <f>($K26)*Partcipation!$E83*Title_RESULTS!$C$12/100</f>
        <v>685.4603849135304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4471.175703810651</v>
      </c>
      <c r="N26" s="5">
        <f>'Sheet2(F_12)'!$I26*('Sheet6(p_6)'!$L26+'Sheet6(p_6)'!$M26)</f>
        <v>5156.636088724181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384.072</v>
      </c>
      <c r="C28" s="5">
        <f t="shared" si="4"/>
        <v>0</v>
      </c>
      <c r="D28" s="5">
        <f t="shared" si="4"/>
        <v>384.072</v>
      </c>
      <c r="E28" s="5">
        <f t="shared" si="4"/>
        <v>3459.63</v>
      </c>
      <c r="F28" s="5">
        <f t="shared" si="4"/>
        <v>0</v>
      </c>
      <c r="G28" s="5">
        <f t="shared" si="4"/>
        <v>3459.63</v>
      </c>
      <c r="H28" s="5">
        <f t="shared" si="4"/>
        <v>8594.19007536</v>
      </c>
      <c r="I28" s="5">
        <f t="shared" si="4"/>
        <v>0</v>
      </c>
      <c r="J28" s="5">
        <f t="shared" si="4"/>
        <v>8594.19007536</v>
      </c>
      <c r="K28" s="5">
        <f t="shared" si="4"/>
        <v>160167.71999999997</v>
      </c>
      <c r="L28" s="5">
        <f t="shared" si="4"/>
        <v>5034.981039400357</v>
      </c>
      <c r="M28" s="5">
        <f t="shared" si="4"/>
        <v>40713.698579418415</v>
      </c>
      <c r="N28" s="5">
        <f t="shared" si="4"/>
        <v>45748.67961881877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358.8491576370552</v>
      </c>
      <c r="C30" s="5">
        <f>NPV(Title_RESULTS!$C$37,'Sheet6(p_6)'!C17:C27)+'Sheet6(p_6)'!C16</f>
        <v>0</v>
      </c>
      <c r="D30" s="5">
        <f>NPV(Title_RESULTS!$C$37,'Sheet6(p_6)'!D17:D27)+'Sheet6(p_6)'!D16</f>
        <v>358.8491576370552</v>
      </c>
      <c r="E30" s="5">
        <f>NPV(Title_RESULTS!$C$37,'Sheet6(p_6)'!E17:E27)+'Sheet6(p_6)'!E16</f>
        <v>3235.9249332663912</v>
      </c>
      <c r="F30" s="5">
        <f>NPV(Title_RESULTS!$C$37,'Sheet6(p_6)'!F17:F27)+'Sheet6(p_6)'!F16</f>
        <v>0</v>
      </c>
      <c r="G30" s="5">
        <f>NPV(Title_RESULTS!$C$37,'Sheet6(p_6)'!G17:G27)+'Sheet6(p_6)'!G16</f>
        <v>3235.9249332663912</v>
      </c>
      <c r="H30" s="5">
        <f>NPV(Title_RESULTS!$C$37,'Sheet6(p_6)'!H17:H27)+'Sheet6(p_6)'!H16</f>
        <v>8030.1486479283885</v>
      </c>
      <c r="I30" s="5">
        <f>NPV(Title_RESULTS!$C$37,'Sheet6(p_6)'!I17:I27)+'Sheet6(p_6)'!I16</f>
        <v>0</v>
      </c>
      <c r="J30" s="5">
        <f>NPV(Title_RESULTS!$C$37,'Sheet6(p_6)'!J17:J27)+'Sheet6(p_6)'!J16</f>
        <v>8030.1486479283885</v>
      </c>
      <c r="K30" s="5"/>
      <c r="L30" s="5">
        <f>NPV(Title_RESULTS!$C$37,'Sheet6(p_6)'!L17:L27)+'Sheet6(p_6)'!L16</f>
        <v>3373.2010277156674</v>
      </c>
      <c r="M30" s="5">
        <f>NPV(Title_RESULTS!$C$37,'Sheet6(p_6)'!M17:M27)+'Sheet6(p_6)'!M16</f>
        <v>27928.973166799533</v>
      </c>
      <c r="N30" s="5">
        <f>NPV(Title_RESULTS!$C$37,'Sheet6(p_6)'!N17:N27)+'Sheet6(p_6)'!N16</f>
        <v>31302.174194515203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Programmable Thermostat</v>
      </c>
      <c r="M2" t="s">
        <v>55</v>
      </c>
    </row>
    <row r="3" ht="12.75">
      <c r="M3" s="35">
        <f>+Title_RESULTS!I4</f>
        <v>43599.3223994213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2799.84</v>
      </c>
      <c r="E16" s="5">
        <f>IF(A16&gt;=(Title_RESULTS!$H$7+Title_RESULTS!$C$17),0,(+'f-11B'!$N15))</f>
        <v>0</v>
      </c>
      <c r="F16" s="5">
        <f>IF(A16&gt;=(Title_RESULTS!$H$7+Title_RESULTS!$C$17),0,(SUM(B16:E16)))</f>
        <v>2924.84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85.97972588410332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85.97972588410332</v>
      </c>
      <c r="L16" s="23">
        <f>IF(A16&gt;=(Title_RESULTS!$H$7+Title_RESULTS!$C$17),0,(+$K16-$F16))</f>
        <v>-2838.860274115897</v>
      </c>
      <c r="M16" s="23">
        <f>IF(A16&gt;=(Title_RESULTS!$H$7+Title_RESULTS!$C$17),0,(+$L16/(1+Title_RESULTS!$C$37)^('Sheet7(F_23)'!$A16-Title_RESULTS!$H$7)))</f>
        <v>-2838.860274115897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2864.23632</v>
      </c>
      <c r="E17" s="5">
        <f>IF(A17&gt;=(Title_RESULTS!$H$7+Title_RESULTS!$C$17),0,(+'f-11B'!$N16))</f>
        <v>0</v>
      </c>
      <c r="F17" s="5">
        <f>IF(A17&gt;=(Title_RESULTS!$H$7+Title_RESULTS!$C$17),0,(SUM(B17:E17)))</f>
        <v>2992.23632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672.852263842283</v>
      </c>
      <c r="I17" s="5">
        <f>IF(A17&gt;=(Title_RESULTS!$H$7+Title_RESULTS!$C$17),0,(+'Sheet4(F_22)'!$H17))</f>
        <v>255.84113824827082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928.6934020905538</v>
      </c>
      <c r="L17" s="23">
        <f>IF(A17&gt;=(Title_RESULTS!$H$7+Title_RESULTS!$C$17),0,(+$K17-$F17))</f>
        <v>-2063.5429179094463</v>
      </c>
      <c r="M17" s="23">
        <f>IF(A17&gt;=(Title_RESULTS!$H$7+Title_RESULTS!$C$17),0,(+M16+$L17/(1+Title_RESULTS!$C$37)^('Sheet7(F_23)'!$A17-Title_RESULTS!$H$7)))</f>
        <v>-4765.9642318199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2930.1137553599997</v>
      </c>
      <c r="E18" s="5">
        <f>IF(A18&gt;=(Title_RESULTS!$H$7+Title_RESULTS!$C$17),0,(+'f-11B'!$N17))</f>
        <v>0</v>
      </c>
      <c r="F18" s="5">
        <f>IF(A18&gt;=(Title_RESULTS!$H$7+Title_RESULTS!$C$17),0,(SUM(B18:E18)))</f>
        <v>3061.18575536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689.0007181744979</v>
      </c>
      <c r="I18" s="5">
        <f>IF(A18&gt;=(Title_RESULTS!$H$7+Title_RESULTS!$C$17),0,(+'Sheet4(F_22)'!$H18))</f>
        <v>440.07529789543315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1129.076016069931</v>
      </c>
      <c r="L18" s="23">
        <f>IF(A18&gt;=(Title_RESULTS!$H$7+Title_RESULTS!$C$17),0,(+$K18-$F18))</f>
        <v>-1932.1097392900688</v>
      </c>
      <c r="M18" s="23">
        <f>IF(A18&gt;=(Title_RESULTS!$H$7+Title_RESULTS!$C$17),0,(+M17+$L18/(1+Title_RESULTS!$C$37)^('Sheet7(F_23)'!$A18-Title_RESULTS!$H$7)))</f>
        <v>-6451.023049320874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686.0315534375734</v>
      </c>
      <c r="H19" s="5">
        <f>IF(A19&gt;=(Title_RESULTS!$H$7+Title_RESULTS!$C$17),0,(+'Sheet4(F_22)'!$D19+'Sheet4(F_22)'!$G19))</f>
        <v>705.5367354106859</v>
      </c>
      <c r="I19" s="5">
        <f>IF(A19&gt;=(Title_RESULTS!$H$7+Title_RESULTS!$C$17),0,(+'Sheet4(F_22)'!$H19))</f>
        <v>549.7546277190145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1941.3229165672738</v>
      </c>
      <c r="L19" s="23">
        <f>IF(A19&gt;=(Title_RESULTS!$H$7+Title_RESULTS!$C$17),0,(+$K19-$F19))</f>
        <v>1941.3229165672738</v>
      </c>
      <c r="M19" s="23">
        <f>IF(A19&gt;=(Title_RESULTS!$H$7+Title_RESULTS!$C$17),0,(+M18+$L19/(1+Title_RESULTS!$C$37)^('Sheet7(F_23)'!$A19-Title_RESULTS!$H$7)))</f>
        <v>-4869.874427998786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704.3244225073206</v>
      </c>
      <c r="H20" s="5">
        <f>IF(A20&gt;=(Title_RESULTS!$H$7+Title_RESULTS!$C$17),0,(+'Sheet4(F_22)'!$D20+'Sheet4(F_22)'!$G20))</f>
        <v>722.4696170605422</v>
      </c>
      <c r="I20" s="5">
        <f>IF(A20&gt;=(Title_RESULTS!$H$7+Title_RESULTS!$C$17),0,(+'Sheet4(F_22)'!$H20))</f>
        <v>571.3579124395719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1998.1519520074348</v>
      </c>
      <c r="L20" s="23">
        <f>IF(A20&gt;=(Title_RESULTS!$H$7+Title_RESULTS!$C$17),0,(+$K20-$F20))</f>
        <v>1998.1519520074348</v>
      </c>
      <c r="M20" s="23">
        <f>IF(A20&gt;=(Title_RESULTS!$H$7+Title_RESULTS!$C$17),0,(+M19+$L20/(1+Title_RESULTS!$C$37)^('Sheet7(F_23)'!$A20-Title_RESULTS!$H$7)))</f>
        <v>-3350.0442574192043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724.3369327415608</v>
      </c>
      <c r="H21" s="5">
        <f>IF(A21&gt;=(Title_RESULTS!$H$7+Title_RESULTS!$C$17),0,(+'Sheet4(F_22)'!$D21+'Sheet4(F_22)'!$G21))</f>
        <v>739.8088878699953</v>
      </c>
      <c r="I21" s="5">
        <f>IF(A21&gt;=(Title_RESULTS!$H$7+Title_RESULTS!$C$17),0,(+'Sheet4(F_22)'!$H21))</f>
        <v>613.4663818950736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2077.6122025066297</v>
      </c>
      <c r="L21" s="23">
        <f>IF(A21&gt;=(Title_RESULTS!$H$7+Title_RESULTS!$C$17),0,(+$K21-$F21))</f>
        <v>2077.6122025066297</v>
      </c>
      <c r="M21" s="23">
        <f>IF(A21&gt;=(Title_RESULTS!$H$7+Title_RESULTS!$C$17),0,(+M20+$L21/(1+Title_RESULTS!$C$37)^('Sheet7(F_23)'!$A21-Title_RESULTS!$H$7)))</f>
        <v>-1874.2606744910079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746.7499075677167</v>
      </c>
      <c r="H22" s="5">
        <f>IF(A22&gt;=(Title_RESULTS!$H$7+Title_RESULTS!$C$17),0,(+'Sheet4(F_22)'!$D22+'Sheet4(F_22)'!$G22))</f>
        <v>757.5643011788752</v>
      </c>
      <c r="I22" s="5">
        <f>IF(A22&gt;=(Title_RESULTS!$H$7+Title_RESULTS!$C$17),0,(+'Sheet4(F_22)'!$H22))</f>
        <v>633.1430857850221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2137.457294531614</v>
      </c>
      <c r="L22" s="23">
        <f>IF(A22&gt;=(Title_RESULTS!$H$7+Title_RESULTS!$C$17),0,(+$K22-$F22))</f>
        <v>2137.457294531614</v>
      </c>
      <c r="M22" s="23">
        <f>IF(A22&gt;=(Title_RESULTS!$H$7+Title_RESULTS!$C$17),0,(+M21+$L22/(1+Title_RESULTS!$C$37)^('Sheet7(F_23)'!$A22-Title_RESULTS!$H$7)))</f>
        <v>-456.35522589216384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766.852337006625</v>
      </c>
      <c r="H23" s="5">
        <f>IF(A23&gt;=(Title_RESULTS!$H$7+Title_RESULTS!$C$17),0,(+'Sheet4(F_22)'!$D23+'Sheet4(F_22)'!$G23))</f>
        <v>775.7458444071683</v>
      </c>
      <c r="I23" s="5">
        <f>IF(A23&gt;=(Title_RESULTS!$H$7+Title_RESULTS!$C$17),0,(+'Sheet4(F_22)'!$H23))</f>
        <v>672.711694824962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2215.3098762387554</v>
      </c>
      <c r="L23" s="23">
        <f>IF(A23&gt;=(Title_RESULTS!$H$7+Title_RESULTS!$C$17),0,(+$K23-$F23))</f>
        <v>2215.3098762387554</v>
      </c>
      <c r="M23" s="23">
        <f>IF(A23&gt;=(Title_RESULTS!$H$7+Title_RESULTS!$C$17),0,(+M22+$L23/(1+Title_RESULTS!$C$37)^('Sheet7(F_23)'!$A23-Title_RESULTS!$H$7)))</f>
        <v>916.029721763028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779.2748869446077</v>
      </c>
      <c r="H24" s="5">
        <f>IF(A24&gt;=(Title_RESULTS!$H$7+Title_RESULTS!$C$17),0,(+'Sheet4(F_22)'!$D24+'Sheet4(F_22)'!$G24))</f>
        <v>794.3637446729401</v>
      </c>
      <c r="I24" s="5">
        <f>IF(A24&gt;=(Title_RESULTS!$H$7+Title_RESULTS!$C$17),0,(+'Sheet4(F_22)'!$H24))</f>
        <v>745.4423506106231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2319.080982228171</v>
      </c>
      <c r="L24" s="23">
        <f>IF(A24&gt;=(Title_RESULTS!$H$7+Title_RESULTS!$C$17),0,(+$K24-$F24))</f>
        <v>2319.080982228171</v>
      </c>
      <c r="M24" s="23">
        <f>IF(A24&gt;=(Title_RESULTS!$H$7+Title_RESULTS!$C$17),0,(+M23+$L24/(1+Title_RESULTS!$C$37)^('Sheet7(F_23)'!$A24-Title_RESULTS!$H$7)))</f>
        <v>2257.7099330709543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800.4425654382542</v>
      </c>
      <c r="H25" s="5">
        <f>IF(A25&gt;=(Title_RESULTS!$H$7+Title_RESULTS!$C$17),0,(+'Sheet4(F_22)'!$D25+'Sheet4(F_22)'!$G25))</f>
        <v>813.4284745450908</v>
      </c>
      <c r="I25" s="5">
        <f>IF(A25&gt;=(Title_RESULTS!$H$7+Title_RESULTS!$C$17),0,(+'Sheet4(F_22)'!$H25))</f>
        <v>798.6402988266574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2412.511338810002</v>
      </c>
      <c r="L25" s="23">
        <f>IF(A25&gt;=(Title_RESULTS!$H$7+Title_RESULTS!$C$17),0,(+$K25-$F25))</f>
        <v>2412.511338810002</v>
      </c>
      <c r="M25" s="23">
        <f>IF(A25&gt;=(Title_RESULTS!$H$7+Title_RESULTS!$C$17),0,(+M24+$L25/(1+Title_RESULTS!$C$37)^('Sheet7(F_23)'!$A25-Title_RESULTS!$H$7)))</f>
        <v>3561.159105222451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813.2591277673803</v>
      </c>
      <c r="H26" s="5">
        <f>IF(A26&gt;=(Title_RESULTS!$H$7+Title_RESULTS!$C$17),0,(+'Sheet4(F_22)'!$D26+'Sheet4(F_22)'!$G26))</f>
        <v>832.950757934173</v>
      </c>
      <c r="I26" s="5">
        <f>IF(A26&gt;=(Title_RESULTS!$H$7+Title_RESULTS!$C$17),0,(+'Sheet4(F_22)'!$H26))</f>
        <v>892.0369689516988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2538.246854653252</v>
      </c>
      <c r="L26" s="23">
        <f>IF(A26&gt;=(Title_RESULTS!$H$7+Title_RESULTS!$C$17),0,(+$K26-$F26))</f>
        <v>2538.246854653252</v>
      </c>
      <c r="M26" s="23">
        <f>IF(A26&gt;=(Title_RESULTS!$H$7+Title_RESULTS!$C$17),0,(+M25+$L26/(1+Title_RESULTS!$C$37)^('Sheet7(F_23)'!$A26-Title_RESULTS!$H$7)))</f>
        <v>4841.867427146747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384.072</v>
      </c>
      <c r="D28" s="5">
        <f t="shared" si="1"/>
        <v>8594.19007536</v>
      </c>
      <c r="E28" s="5">
        <f t="shared" si="1"/>
        <v>0</v>
      </c>
      <c r="F28" s="5">
        <f t="shared" si="1"/>
        <v>8978.26207536</v>
      </c>
      <c r="G28" s="5">
        <f t="shared" si="1"/>
        <v>6021.271733411038</v>
      </c>
      <c r="H28" s="5">
        <f t="shared" si="1"/>
        <v>7503.721345096252</v>
      </c>
      <c r="I28" s="5">
        <f t="shared" si="1"/>
        <v>6258.449483080431</v>
      </c>
      <c r="J28" s="5">
        <f t="shared" si="1"/>
        <v>0</v>
      </c>
      <c r="K28" s="5">
        <f t="shared" si="1"/>
        <v>19783.442561587723</v>
      </c>
      <c r="L28" s="5">
        <f t="shared" si="1"/>
        <v>10805.18048622772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358.8491576370552</v>
      </c>
      <c r="D30" s="5">
        <f>NPV(Title_RESULTS!$C$37,'Sheet7(F_23)'!D17:D27)+'Sheet7(F_23)'!D16</f>
        <v>8030.1486479283885</v>
      </c>
      <c r="E30" s="5">
        <f>NPV(Title_RESULTS!$C$37,'Sheet7(F_23)'!E17:E27)+'Sheet7(F_23)'!E16</f>
        <v>0</v>
      </c>
      <c r="F30" s="5">
        <f>NPV(Title_RESULTS!$C$37,'Sheet7(F_23)'!F17:F27)+'Sheet7(F_23)'!F16</f>
        <v>8388.997805565443</v>
      </c>
      <c r="G30" s="5">
        <f>NPV(Title_RESULTS!$C$37,'Sheet7(F_23)'!G17:G27)+'Sheet7(F_23)'!G16</f>
        <v>3873.0711174990984</v>
      </c>
      <c r="H30" s="5">
        <f>NPV(Title_RESULTS!$C$37,'Sheet7(F_23)'!H17:H27)+'Sheet7(F_23)'!H16</f>
        <v>5181.379007144004</v>
      </c>
      <c r="I30" s="5">
        <f>NPV(Title_RESULTS!$C$37,'Sheet7(F_23)'!I17:I27)+'Sheet7(F_23)'!I16</f>
        <v>4176.415108069089</v>
      </c>
      <c r="J30" s="5">
        <f>NPV(Title_RESULTS!$C$37,'Sheet7(F_23)'!J17:J27)+'Sheet7(F_23)'!J16</f>
        <v>0</v>
      </c>
      <c r="K30" s="5">
        <f>NPV(Title_RESULTS!$C$37,'Sheet7(F_23)'!K17:K27)+'Sheet7(F_23)'!K16</f>
        <v>13230.86523271219</v>
      </c>
      <c r="L30" s="5">
        <f>NPV(Title_RESULTS!$C$37,'Sheet7(F_23)'!L17:L27)+'Sheet7(F_23)'!L16</f>
        <v>4841.867427146748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1.5771687559549186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Programmable Thermostat</v>
      </c>
      <c r="L2" t="s">
        <v>55</v>
      </c>
    </row>
    <row r="3" ht="12.75">
      <c r="L3" s="35">
        <f>+Title_RESULTS!I4</f>
        <v>43599.3223994213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743.0278113728666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1153.21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1896.2378113728666</v>
      </c>
      <c r="G16" s="5">
        <f>IF(A16&gt;=(Title_RESULTS!$H$7+Title_RESULTS!$C$17),0,(+'Sheet6(p_6)'!$H16))</f>
        <v>2799.84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2799.84</v>
      </c>
      <c r="K16" s="23">
        <f>IF(A16&gt;=(Title_RESULTS!$H$7+Title_RESULTS!$C$17),0,(+F16-J16))</f>
        <v>-903.6021886271335</v>
      </c>
      <c r="L16" s="23">
        <f>IF(A16&gt;=(Title_RESULTS!$H$7+Title_RESULTS!$C$17),0,(+$K16/((1+Title_RESULTS!$C$37)^('Sheet8(F_24)'!$A16-Title_RESULTS!$H$7))))</f>
        <v>-903.6021886271335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2259.089763938982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1153.21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3412.299763938982</v>
      </c>
      <c r="G17" s="5">
        <f>IF(A17&gt;=(Title_RESULTS!$H$7+Title_RESULTS!$C$17),0,(+'Sheet6(p_6)'!$H17))</f>
        <v>2864.23632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2864.23632</v>
      </c>
      <c r="K17" s="23">
        <f>IF(A17&gt;=(Title_RESULTS!$H$7+Title_RESULTS!$C$17),0,(+F17-J17))</f>
        <v>548.0634439389819</v>
      </c>
      <c r="L17" s="23">
        <f>IF(A16&gt;=(Title_RESULTS!$H$7+Title_RESULTS!$C$17),0,(+$K17/((1+Title_RESULTS!$C$37)^('Sheet8(F_24)'!$A17-Title_RESULTS!$H$7))+L16))</f>
        <v>-391.77603627470364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3812.417240151209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1153.21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4965.627240151209</v>
      </c>
      <c r="G18" s="5">
        <f>IF(A18&gt;=(Title_RESULTS!$H$7+Title_RESULTS!$C$17),0,(+'Sheet6(p_6)'!$H18))</f>
        <v>2930.1137553599997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2930.1137553599997</v>
      </c>
      <c r="K18" s="23">
        <f>IF(A18&gt;=(Title_RESULTS!$H$7+Title_RESULTS!$C$17),0,(+F18-J18))</f>
        <v>2035.513484791209</v>
      </c>
      <c r="L18" s="23">
        <f>IF(A17&gt;=(Title_RESULTS!$H$7+Title_RESULTS!$C$17),0,(+$K18/((1+Title_RESULTS!$C$37)^('Sheet8(F_24)'!$A18-Title_RESULTS!$H$7))+L17))</f>
        <v>1383.4647152935063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4612.536481472018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4612.536481472018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4612.536481472018</v>
      </c>
      <c r="L19" s="23">
        <f>IF(A18&gt;=(Title_RESULTS!$H$7+Title_RESULTS!$C$17),0,(+$K19/((1+Title_RESULTS!$C$37)^('Sheet8(F_24)'!$A19-Title_RESULTS!$H$7))+L18))</f>
        <v>5140.235748199912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4679.3208535212825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4679.3208535212825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4679.3208535212825</v>
      </c>
      <c r="L20" s="23">
        <f>IF(A19&gt;=(Title_RESULTS!$H$7+Title_RESULTS!$C$17),0,(+$K20/((1+Title_RESULTS!$C$37)^('Sheet8(F_24)'!$A20-Title_RESULTS!$H$7))+L19))</f>
        <v>8699.411017057235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4748.26209329153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4748.26209329153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4748.26209329153</v>
      </c>
      <c r="L21" s="23">
        <f>IF(A20&gt;=(Title_RESULTS!$H$7+Title_RESULTS!$C$17),0,(+$K21/((1+Title_RESULTS!$C$37)^('Sheet8(F_24)'!$A21-Title_RESULTS!$H$7))+L20))</f>
        <v>12072.228733600055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4813.143746097907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4813.143746097907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4813.143746097907</v>
      </c>
      <c r="L22" s="23">
        <f>IF(A21&gt;=(Title_RESULTS!$H$7+Title_RESULTS!$C$17),0,(+$K22/((1+Title_RESULTS!$C$37)^('Sheet8(F_24)'!$A22-Title_RESULTS!$H$7))+L21))</f>
        <v>15265.079772047193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4886.518868735825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4886.518868735825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4886.518868735825</v>
      </c>
      <c r="L23" s="23">
        <f>IF(A22&gt;=(Title_RESULTS!$H$7+Title_RESULTS!$C$17),0,(+$K23/((1+Title_RESULTS!$C$37)^('Sheet8(F_24)'!$A23-Title_RESULTS!$H$7))+L22))</f>
        <v>18292.279268522223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4981.698713613317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4981.698713613317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4981.698713613317</v>
      </c>
      <c r="L24" s="23">
        <f>IF(A23&gt;=(Title_RESULTS!$H$7+Title_RESULTS!$C$17),0,(+$K24/((1+Title_RESULTS!$C$37)^('Sheet8(F_24)'!$A24-Title_RESULTS!$H$7))+L23))</f>
        <v>21174.3893086517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5056.027957899655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5056.027957899655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5056.027957899655</v>
      </c>
      <c r="L25" s="23">
        <f>IF(A24&gt;=(Title_RESULTS!$H$7+Title_RESULTS!$C$17),0,(+$K25/((1+Title_RESULTS!$C$37)^('Sheet8(F_24)'!$A25-Title_RESULTS!$H$7))+L24))</f>
        <v>23906.09686586876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5156.636088724181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5156.636088724181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5156.636088724181</v>
      </c>
      <c r="L26" s="23">
        <f>IF(A25&gt;=(Title_RESULTS!$H$7+Title_RESULTS!$C$17),0,(+$K26/((1+Title_RESULTS!$C$37)^('Sheet8(F_24)'!$A26-Title_RESULTS!$H$7))+L25))</f>
        <v>26507.950479853203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45748.67961881877</v>
      </c>
      <c r="C28" s="5">
        <f t="shared" si="1"/>
        <v>0</v>
      </c>
      <c r="D28" s="5">
        <f t="shared" si="1"/>
        <v>3459.63</v>
      </c>
      <c r="E28" s="5">
        <f t="shared" si="1"/>
        <v>0</v>
      </c>
      <c r="F28" s="5">
        <f t="shared" si="1"/>
        <v>49208.30961881878</v>
      </c>
      <c r="G28" s="5">
        <f t="shared" si="1"/>
        <v>8594.19007536</v>
      </c>
      <c r="H28" s="5">
        <f t="shared" si="1"/>
        <v>0</v>
      </c>
      <c r="I28" s="5">
        <f t="shared" si="1"/>
        <v>0</v>
      </c>
      <c r="J28" s="5">
        <f t="shared" si="1"/>
        <v>8594.19007536</v>
      </c>
      <c r="K28" s="5">
        <f t="shared" si="1"/>
        <v>40614.11954345877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31302.174194515203</v>
      </c>
      <c r="C30" s="5">
        <f>NPV(Title_RESULTS!$C$37,'Sheet8(F_24)'!C17:C27)+'Sheet8(F_24)'!C16</f>
        <v>0</v>
      </c>
      <c r="D30" s="5">
        <f>NPV(Title_RESULTS!$C$37,'Sheet8(F_24)'!D17:D27)+'Sheet8(F_24)'!D16</f>
        <v>3235.9249332663912</v>
      </c>
      <c r="E30" s="5">
        <f>NPV(Title_RESULTS!$C$37,'Sheet8(F_24)'!E17:E27)+'Sheet8(F_24)'!E16</f>
        <v>0</v>
      </c>
      <c r="F30" s="5">
        <f>NPV(Title_RESULTS!$C$37,'Sheet8(F_24)'!F17:F27)+'Sheet8(F_24)'!F16</f>
        <v>34538.09912778159</v>
      </c>
      <c r="G30" s="5">
        <f>NPV(Title_RESULTS!$C$37,'Sheet8(F_24)'!G17:G27)+'Sheet8(F_24)'!G16</f>
        <v>8030.1486479283885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8030.1486479283885</v>
      </c>
      <c r="K30" s="5">
        <f>NPV(Title_RESULTS!$C$37,'Sheet8(F_24)'!K17:K27)+'Sheet8(F_24)'!K16</f>
        <v>26507.950479853203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4.301053522426599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Programmable Thermostat</v>
      </c>
      <c r="N2" t="s">
        <v>55</v>
      </c>
    </row>
    <row r="3" ht="12.75">
      <c r="N3" s="35">
        <f>+Title_RESULTS!I4</f>
        <v>43599.3223994213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1153.21</v>
      </c>
      <c r="E16" s="5">
        <f>+'Sheet6(p_6)'!M16</f>
        <v>674.6161728</v>
      </c>
      <c r="F16">
        <f>IF(A16&gt;=(Title_RESULTS!$H$7+Title_RESULTS!$C$17),0,(+'f-11B'!$R15))</f>
        <v>0</v>
      </c>
      <c r="G16" s="5">
        <f>IF(A16&gt;=(Title_RESULTS!$H$7+Title_RESULTS!$C$17),0,(SUM(B16:F16)))</f>
        <v>1952.8261728</v>
      </c>
      <c r="H16" s="5">
        <f>IF(A16&gt;=(Title_RESULTS!$H$7+Title_RESULTS!$C$17),0,(+'Sheet3(F_21)'!$J16+'Sheet4(F_22)'!$H16))</f>
        <v>85.97972588410332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85.97972588410332</v>
      </c>
      <c r="M16" s="23">
        <f>IF(A16&gt;=(Title_RESULTS!$H$7+Title_RESULTS!$C$17),0,(+L16-G16))</f>
        <v>-1866.8464469158966</v>
      </c>
      <c r="N16" s="24">
        <f>IF(A16&gt;=(Title_RESULTS!$H$7+Title_RESULTS!$C$17),0,(+$M16/((1+Title_RESULTS!$C$37)^('Sheet9(F_25)'!$A16-Title_RESULTS!$H$7))))</f>
        <v>-1866.8464469158966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1153.21</v>
      </c>
      <c r="E17" s="5">
        <f>+'Sheet6(p_6)'!M17</f>
        <v>2044.0870035839998</v>
      </c>
      <c r="F17">
        <f>IF(A17&gt;=(Title_RESULTS!$H$7+Title_RESULTS!$C$17),0,(+'f-11B'!$R16))</f>
        <v>0</v>
      </c>
      <c r="G17" s="5">
        <f>IF(A17&gt;=(Title_RESULTS!$H$7+Title_RESULTS!$C$17),0,(SUM(B17:F17)))</f>
        <v>3325.297003584</v>
      </c>
      <c r="H17" s="5">
        <f>IF(A17&gt;=(Title_RESULTS!$H$7+Title_RESULTS!$C$17),0,(+'Sheet3(F_21)'!$J17+'Sheet4(F_22)'!$H17))</f>
        <v>255.84113824827082</v>
      </c>
      <c r="I17" s="5">
        <f>IF(A17&gt;=(Title_RESULTS!$H$7+Title_RESULTS!$C$17),0,(+'Sheet4(F_22)'!$D17+'Sheet4(F_22)'!$G17))</f>
        <v>672.852263842283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928.6934020905538</v>
      </c>
      <c r="M17" s="23">
        <f>IF(A17&gt;=(Title_RESULTS!$H$7+Title_RESULTS!$C$17),0,(+L17-G17))</f>
        <v>-2396.603601493446</v>
      </c>
      <c r="N17" s="24">
        <f>(IF(A16&gt;=(Title_RESULTS!$H$7+Title_RESULTS!$C$17),0,(+$M17/((1+Title_RESULTS!$C$37)^('Sheet9(F_25)'!$A17-Title_RESULTS!$H$7))+N16)))</f>
        <v>-4104.989518912018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1153.21</v>
      </c>
      <c r="E18" s="5">
        <f>+'Sheet6(p_6)'!M18</f>
        <v>3440.8797893663996</v>
      </c>
      <c r="F18">
        <f>IF(A18&gt;=(Title_RESULTS!$H$7+Title_RESULTS!$C$17),0,(+'f-11B'!$R17))</f>
        <v>0</v>
      </c>
      <c r="G18" s="5">
        <f>IF(A18&gt;=(Title_RESULTS!$H$7+Title_RESULTS!$C$17),0,(SUM(B18:F18)))</f>
        <v>4725.1617893664</v>
      </c>
      <c r="H18" s="5">
        <f>IF(A18&gt;=(Title_RESULTS!$H$7+Title_RESULTS!$C$17),0,(+'Sheet3(F_21)'!$J18+'Sheet4(F_22)'!$H18))</f>
        <v>440.07529789543315</v>
      </c>
      <c r="I18" s="5">
        <f>IF(A18&gt;=(Title_RESULTS!$H$7+Title_RESULTS!$C$17),0,(+'Sheet4(F_22)'!$D18+'Sheet4(F_22)'!$G18))</f>
        <v>689.0007181744979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1129.076016069931</v>
      </c>
      <c r="M18" s="23">
        <f>IF(A18&gt;=(Title_RESULTS!$H$7+Title_RESULTS!$C$17),0,(+L18-G18))</f>
        <v>-3596.0857732964687</v>
      </c>
      <c r="N18" s="24">
        <f>(IF(A17&gt;=(Title_RESULTS!$H$7+Title_RESULTS!$C$17),0,(+$M18/((1+Title_RESULTS!$C$37)^('Sheet9(F_25)'!$A18-Title_RESULTS!$H$7))+N17)))</f>
        <v>-7241.258602162721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4170.346304712076</v>
      </c>
      <c r="F19">
        <f>IF(A19&gt;=(Title_RESULTS!$H$7+Title_RESULTS!$C$17),0,(+'f-11B'!$R18))</f>
        <v>0</v>
      </c>
      <c r="G19" s="5">
        <f>IF(A19&gt;=(Title_RESULTS!$H$7+Title_RESULTS!$C$17),0,(SUM(B19:F19)))</f>
        <v>4170.346304712076</v>
      </c>
      <c r="H19" s="5">
        <f>IF(A19&gt;=(Title_RESULTS!$H$7+Title_RESULTS!$C$17),0,(+'Sheet3(F_21)'!$J19+'Sheet4(F_22)'!$H19))</f>
        <v>1235.7861811565879</v>
      </c>
      <c r="I19" s="5">
        <f>IF(A19&gt;=(Title_RESULTS!$H$7+Title_RESULTS!$C$17),0,(+'Sheet4(F_22)'!$D19+'Sheet4(F_22)'!$G19))</f>
        <v>705.5367354106859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1941.3229165672738</v>
      </c>
      <c r="M19" s="23">
        <f>IF(A19&gt;=(Title_RESULTS!$H$7+Title_RESULTS!$C$17),0,(+L19-G19))</f>
        <v>-2229.023388144802</v>
      </c>
      <c r="N19" s="24">
        <f>(IF(A18&gt;=(Title_RESULTS!$H$7+Title_RESULTS!$C$17),0,(+$M19/((1+Title_RESULTS!$C$37)^('Sheet9(F_25)'!$A19-Title_RESULTS!$H$7))+N18)))</f>
        <v>-9056.73052956976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4212.0497677591975</v>
      </c>
      <c r="F20">
        <f>IF(A20&gt;=(Title_RESULTS!$H$7+Title_RESULTS!$C$17),0,(+'f-11B'!$R19))</f>
        <v>0</v>
      </c>
      <c r="G20" s="5">
        <f>IF(A20&gt;=(Title_RESULTS!$H$7+Title_RESULTS!$C$17),0,(SUM(B20:F20)))</f>
        <v>4212.0497677591975</v>
      </c>
      <c r="H20" s="5">
        <f>IF(A20&gt;=(Title_RESULTS!$H$7+Title_RESULTS!$C$17),0,(+'Sheet3(F_21)'!$J20+'Sheet4(F_22)'!$H20))</f>
        <v>1275.6823349468925</v>
      </c>
      <c r="I20" s="5">
        <f>IF(A20&gt;=(Title_RESULTS!$H$7+Title_RESULTS!$C$17),0,(+'Sheet4(F_22)'!$D20+'Sheet4(F_22)'!$G20))</f>
        <v>722.4696170605422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1998.1519520074348</v>
      </c>
      <c r="M20" s="23">
        <f>IF(A20&gt;=(Title_RESULTS!$H$7+Title_RESULTS!$C$17),0,(+L20-G20))</f>
        <v>-2213.8978157517627</v>
      </c>
      <c r="N20" s="24">
        <f>(IF(A19&gt;=(Title_RESULTS!$H$7+Title_RESULTS!$C$17),0,(+$M20/((1+Title_RESULTS!$C$37)^('Sheet9(F_25)'!$A20-Title_RESULTS!$H$7))+N19)))</f>
        <v>-10740.660869091429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4254.170265436789</v>
      </c>
      <c r="F21">
        <f>IF(A21&gt;=(Title_RESULTS!$H$7+Title_RESULTS!$C$17),0,(+'f-11B'!$R20))</f>
        <v>0</v>
      </c>
      <c r="G21" s="5">
        <f>IF(A21&gt;=(Title_RESULTS!$H$7+Title_RESULTS!$C$17),0,(SUM(B21:F21)))</f>
        <v>4254.170265436789</v>
      </c>
      <c r="H21" s="5">
        <f>IF(A21&gt;=(Title_RESULTS!$H$7+Title_RESULTS!$C$17),0,(+'Sheet3(F_21)'!$J21+'Sheet4(F_22)'!$H21))</f>
        <v>1337.8033146366342</v>
      </c>
      <c r="I21" s="5">
        <f>IF(A21&gt;=(Title_RESULTS!$H$7+Title_RESULTS!$C$17),0,(+'Sheet4(F_22)'!$D21+'Sheet4(F_22)'!$G21))</f>
        <v>739.8088878699953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2077.6122025066297</v>
      </c>
      <c r="M21" s="23">
        <f>IF(A21&gt;=(Title_RESULTS!$H$7+Title_RESULTS!$C$17),0,(+L21-G21))</f>
        <v>-2176.5580629301594</v>
      </c>
      <c r="N21" s="24">
        <f>(IF(A20&gt;=(Title_RESULTS!$H$7+Title_RESULTS!$C$17),0,(+$M21/((1+Title_RESULTS!$C$37)^('Sheet9(F_25)'!$A21-Title_RESULTS!$H$7))+N20)))</f>
        <v>-12286.728346307296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4296.711968091157</v>
      </c>
      <c r="F22">
        <f>IF(A22&gt;=(Title_RESULTS!$H$7+Title_RESULTS!$C$17),0,(+'f-11B'!$R21))</f>
        <v>0</v>
      </c>
      <c r="G22" s="5">
        <f>IF(A22&gt;=(Title_RESULTS!$H$7+Title_RESULTS!$C$17),0,(SUM(B22:F22)))</f>
        <v>4296.711968091157</v>
      </c>
      <c r="H22" s="5">
        <f>IF(A22&gt;=(Title_RESULTS!$H$7+Title_RESULTS!$C$17),0,(+'Sheet3(F_21)'!$J22+'Sheet4(F_22)'!$H22))</f>
        <v>1379.8929933527388</v>
      </c>
      <c r="I22" s="5">
        <f>IF(A22&gt;=(Title_RESULTS!$H$7+Title_RESULTS!$C$17),0,(+'Sheet4(F_22)'!$D22+'Sheet4(F_22)'!$G22))</f>
        <v>757.5643011788752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2137.457294531614</v>
      </c>
      <c r="M22" s="23">
        <f>IF(A22&gt;=(Title_RESULTS!$H$7+Title_RESULTS!$C$17),0,(+L22-G22))</f>
        <v>-2159.2546735595433</v>
      </c>
      <c r="N22" s="24">
        <f>(IF(A21&gt;=(Title_RESULTS!$H$7+Title_RESULTS!$C$17),0,(+$M22/((1+Title_RESULTS!$C$37)^('Sheet9(F_25)'!$A22-Title_RESULTS!$H$7))+N21)))</f>
        <v>-13719.093322386734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4339.679087772068</v>
      </c>
      <c r="F23">
        <f>IF(A23&gt;=(Title_RESULTS!$H$7+Title_RESULTS!$C$17),0,(+'f-11B'!$R22))</f>
        <v>0</v>
      </c>
      <c r="G23" s="5">
        <f>IF(A23&gt;=(Title_RESULTS!$H$7+Title_RESULTS!$C$17),0,(SUM(B23:F23)))</f>
        <v>4339.679087772068</v>
      </c>
      <c r="H23" s="5">
        <f>IF(A23&gt;=(Title_RESULTS!$H$7+Title_RESULTS!$C$17),0,(+'Sheet3(F_21)'!$J23+'Sheet4(F_22)'!$H23))</f>
        <v>1439.564031831587</v>
      </c>
      <c r="I23" s="5">
        <f>IF(A23&gt;=(Title_RESULTS!$H$7+Title_RESULTS!$C$17),0,(+'Sheet4(F_22)'!$D23+'Sheet4(F_22)'!$G23))</f>
        <v>775.7458444071683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2215.3098762387554</v>
      </c>
      <c r="M23" s="23">
        <f>IF(A23&gt;=(Title_RESULTS!$H$7+Title_RESULTS!$C$17),0,(+L23-G23))</f>
        <v>-2124.3692115333124</v>
      </c>
      <c r="N23" s="24">
        <f>(IF(A22&gt;=(Title_RESULTS!$H$7+Title_RESULTS!$C$17),0,(+$M23/((1+Title_RESULTS!$C$37)^('Sheet9(F_25)'!$A23-Title_RESULTS!$H$7))+N22)))</f>
        <v>-15035.140508580127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4383.07587864979</v>
      </c>
      <c r="F24">
        <f>IF(A24&gt;=(Title_RESULTS!$H$7+Title_RESULTS!$C$17),0,(+'f-11B'!$R23))</f>
        <v>0</v>
      </c>
      <c r="G24" s="5">
        <f>IF(A24&gt;=(Title_RESULTS!$H$7+Title_RESULTS!$C$17),0,(SUM(B24:F24)))</f>
        <v>4383.07587864979</v>
      </c>
      <c r="H24" s="5">
        <f>IF(A24&gt;=(Title_RESULTS!$H$7+Title_RESULTS!$C$17),0,(+'Sheet3(F_21)'!$J24+'Sheet4(F_22)'!$H24))</f>
        <v>1524.717237555231</v>
      </c>
      <c r="I24" s="5">
        <f>IF(A24&gt;=(Title_RESULTS!$H$7+Title_RESULTS!$C$17),0,(+'Sheet4(F_22)'!$D24+'Sheet4(F_22)'!$G24))</f>
        <v>794.3637446729401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2319.080982228171</v>
      </c>
      <c r="M24" s="23">
        <f>IF(A24&gt;=(Title_RESULTS!$H$7+Title_RESULTS!$C$17),0,(+L24-G24))</f>
        <v>-2063.994896421619</v>
      </c>
      <c r="N24" s="24">
        <f>(IF(A23&gt;=(Title_RESULTS!$H$7+Title_RESULTS!$C$17),0,(+$M24/((1+Title_RESULTS!$C$37)^('Sheet9(F_25)'!$A24-Title_RESULTS!$H$7))+N23)))</f>
        <v>-16229.243314817093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4426.906637436288</v>
      </c>
      <c r="F25">
        <f>IF(A25&gt;=(Title_RESULTS!$H$7+Title_RESULTS!$C$17),0,(+'f-11B'!$R24))</f>
        <v>0</v>
      </c>
      <c r="G25" s="5">
        <f>IF(A25&gt;=(Title_RESULTS!$H$7+Title_RESULTS!$C$17),0,(SUM(B25:F25)))</f>
        <v>4426.906637436288</v>
      </c>
      <c r="H25" s="5">
        <f>IF(A25&gt;=(Title_RESULTS!$H$7+Title_RESULTS!$C$17),0,(+'Sheet3(F_21)'!$J25+'Sheet4(F_22)'!$H25))</f>
        <v>1599.0828642649117</v>
      </c>
      <c r="I25" s="5">
        <f>IF(A25&gt;=(Title_RESULTS!$H$7+Title_RESULTS!$C$17),0,(+'Sheet4(F_22)'!$D25+'Sheet4(F_22)'!$G25))</f>
        <v>813.4284745450908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2412.5113388100026</v>
      </c>
      <c r="M25" s="23">
        <f>IF(A25&gt;=(Title_RESULTS!$H$7+Title_RESULTS!$C$17),0,(+L25-G25))</f>
        <v>-2014.3952986262857</v>
      </c>
      <c r="N25" s="24">
        <f>(IF(A24&gt;=(Title_RESULTS!$H$7+Title_RESULTS!$C$17),0,(+$M25/((1+Title_RESULTS!$C$37)^('Sheet9(F_25)'!$A25-Title_RESULTS!$H$7))+N24)))</f>
        <v>-17317.595457309173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4471.175703810651</v>
      </c>
      <c r="F26">
        <f>IF(A26&gt;=(Title_RESULTS!$H$7+Title_RESULTS!$C$17),0,(+'f-11B'!$R25))</f>
        <v>0</v>
      </c>
      <c r="G26" s="5">
        <f>IF(A26&gt;=(Title_RESULTS!$H$7+Title_RESULTS!$C$17),0,(SUM(B26:F26)))</f>
        <v>4471.175703810651</v>
      </c>
      <c r="H26" s="5">
        <f>IF(A26&gt;=(Title_RESULTS!$H$7+Title_RESULTS!$C$17),0,(+'Sheet3(F_21)'!$J26+'Sheet4(F_22)'!$H26))</f>
        <v>1705.296096719079</v>
      </c>
      <c r="I26" s="5">
        <f>IF(A26&gt;=(Title_RESULTS!$H$7+Title_RESULTS!$C$17),0,(+'Sheet4(F_22)'!$D26+'Sheet4(F_22)'!$G26))</f>
        <v>832.950757934173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2538.246854653252</v>
      </c>
      <c r="M26" s="23">
        <f>IF(A26&gt;=(Title_RESULTS!$H$7+Title_RESULTS!$C$17),0,(+L26-G26))</f>
        <v>-1932.9288491573989</v>
      </c>
      <c r="N26" s="24">
        <f>(IF(A25&gt;=(Title_RESULTS!$H$7+Title_RESULTS!$C$17),0,(+$M26/((1+Title_RESULTS!$C$37)^('Sheet9(F_25)'!$A26-Title_RESULTS!$H$7))+N25)))</f>
        <v>-18292.88202499079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384.072</v>
      </c>
      <c r="D28" s="5">
        <f t="shared" si="1"/>
        <v>3459.63</v>
      </c>
      <c r="E28" s="5">
        <f t="shared" si="1"/>
        <v>40713.698579418415</v>
      </c>
      <c r="F28" s="5">
        <f t="shared" si="1"/>
        <v>0</v>
      </c>
      <c r="G28" s="5">
        <f t="shared" si="1"/>
        <v>44557.40057941841</v>
      </c>
      <c r="H28" s="5">
        <f t="shared" si="1"/>
        <v>12279.72121649147</v>
      </c>
      <c r="I28" s="5">
        <f t="shared" si="1"/>
        <v>7503.721345096252</v>
      </c>
      <c r="J28" s="5">
        <f t="shared" si="1"/>
        <v>0</v>
      </c>
      <c r="K28" s="9">
        <f t="shared" si="1"/>
        <v>0</v>
      </c>
      <c r="L28" s="5">
        <f t="shared" si="1"/>
        <v>19783.442561587723</v>
      </c>
      <c r="M28" s="5">
        <f t="shared" si="1"/>
        <v>-24773.958017830693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358.8491576370552</v>
      </c>
      <c r="D30" s="5">
        <f>NPV(Title_RESULTS!$C$37,'Sheet9(F_25)'!D17:D27)+'Sheet9(F_25)'!D16</f>
        <v>3235.9249332663912</v>
      </c>
      <c r="E30" s="5">
        <f>NPV(Title_RESULTS!$C$37,'Sheet9(F_25)'!E17:E27)+'Sheet9(F_25)'!E16</f>
        <v>27928.973166799533</v>
      </c>
      <c r="F30" s="5">
        <f>NPV(Title_RESULTS!$C$37,'Sheet9(F_25)'!F17:F27)+'Sheet9(F_25)'!F16</f>
        <v>0</v>
      </c>
      <c r="G30" s="5">
        <f>NPV(Title_RESULTS!$C$37,'Sheet9(F_25)'!G17:G27)+'Sheet9(F_25)'!G16</f>
        <v>31523.74725770298</v>
      </c>
      <c r="H30" s="5">
        <f>NPV(Title_RESULTS!$C$37,'Sheet9(F_25)'!H17:H27)+'Sheet9(F_25)'!H16</f>
        <v>8049.486225568188</v>
      </c>
      <c r="I30" s="5">
        <f>NPV(Title_RESULTS!$C$37,'Sheet9(F_25)'!I17:I27)+'Sheet9(F_25)'!I16</f>
        <v>5181.379007144004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13230.865232712193</v>
      </c>
      <c r="M30" s="5">
        <f>NPV(Title_RESULTS!$C$37,'Sheet9(F_25)'!M17:M27)+'Sheet9(F_25)'!M16</f>
        <v>-18292.88202499079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0.41971105543231907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5424.3962121640725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316.42071039999996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2606.318592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31.269423494085224</v>
      </c>
      <c r="P24" s="48">
        <f aca="true" t="shared" si="4" ref="P24:P61">N24*$L$5</f>
        <v>257.5624070584096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32.01988965794327</v>
      </c>
      <c r="P25" s="48">
        <f t="shared" si="4"/>
        <v>263.74390482781143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746.3462672048294</v>
      </c>
      <c r="E26" s="11">
        <f>IF(B26=Title_RESULTS!$H$8,$F$16,+E25*(1+$F$7))</f>
        <v>0.09882230355451863</v>
      </c>
      <c r="F26" s="9">
        <f t="shared" si="1"/>
        <v>536.0513290784589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43.53653509744711</v>
      </c>
      <c r="L26" s="5">
        <f t="shared" si="3"/>
        <v>358.60510113985555</v>
      </c>
      <c r="N26" s="11">
        <f>IF(+B26=Title_RESULTS!$H$9,'Value of Defferal'!$O$16,+'Value of Defferal'!N25*(1+'Value of Defferal'!$F$7))</f>
        <v>0.10362269577198292</v>
      </c>
      <c r="O26" s="5">
        <f t="shared" si="7"/>
        <v>32.78836700973391</v>
      </c>
      <c r="P26" s="48">
        <f t="shared" si="4"/>
        <v>270.0737585436789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724.3067484225963</v>
      </c>
      <c r="E27" s="11">
        <f>IF(B27=Title_RESULTS!$H$8,$F$16,+E26*(1+$F$7))</f>
        <v>0.10119403883982707</v>
      </c>
      <c r="F27" s="9">
        <f t="shared" si="1"/>
        <v>548.916560976342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42.25090626113353</v>
      </c>
      <c r="L27" s="5">
        <f t="shared" si="3"/>
        <v>348.0155340591813</v>
      </c>
      <c r="N27" s="11">
        <f>IF(+B27=Title_RESULTS!$H$9,'Value of Defferal'!$O$16,+'Value of Defferal'!N26*(1+'Value of Defferal'!$F$7))</f>
        <v>0.10610964047051051</v>
      </c>
      <c r="O27" s="5">
        <f t="shared" si="7"/>
        <v>33.57528781796752</v>
      </c>
      <c r="P27" s="48">
        <f t="shared" si="4"/>
        <v>276.55552874872717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699.9752804232128</v>
      </c>
      <c r="E28" s="11">
        <f>IF(B28=Title_RESULTS!$H$8,$F$16,+E27*(1+$F$7))</f>
        <v>0.10362269577198292</v>
      </c>
      <c r="F28" s="9">
        <f t="shared" si="1"/>
        <v>562.0905584397742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40.83158140205058</v>
      </c>
      <c r="L28" s="5">
        <f t="shared" si="3"/>
        <v>336.3247292327863</v>
      </c>
      <c r="N28" s="11">
        <f>IF(+B28=Title_RESULTS!$H$9,'Value of Defferal'!$O$16,+'Value of Defferal'!N27*(1+'Value of Defferal'!$F$7))</f>
        <v>0.10865627184180277</v>
      </c>
      <c r="O28" s="5">
        <f t="shared" si="7"/>
        <v>34.38109472559874</v>
      </c>
      <c r="P28" s="48">
        <f t="shared" si="4"/>
        <v>283.19286143869664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676.8091556173382</v>
      </c>
      <c r="E29" s="11">
        <f>IF(B29=Title_RESULTS!$H$8,$F$16,+E28*(1+$F$7))</f>
        <v>0.10610964047051051</v>
      </c>
      <c r="F29" s="9">
        <f t="shared" si="1"/>
        <v>575.5807318423288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39.48023437989686</v>
      </c>
      <c r="L29" s="5">
        <f t="shared" si="3"/>
        <v>325.1938495137225</v>
      </c>
      <c r="N29" s="11">
        <f>IF(+B29=Title_RESULTS!$H$9,'Value of Defferal'!$O$16,+'Value of Defferal'!N28*(1+'Value of Defferal'!$F$7))</f>
        <v>0.11126402236600604</v>
      </c>
      <c r="O29" s="5">
        <f t="shared" si="7"/>
        <v>35.20624099901311</v>
      </c>
      <c r="P29" s="48">
        <f t="shared" si="4"/>
        <v>289.9894901132254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654.6915168758728</v>
      </c>
      <c r="E30" s="11">
        <f>IF(B30=Title_RESULTS!$H$8,$F$16,+E29*(1+$F$7))</f>
        <v>0.10865627184180277</v>
      </c>
      <c r="F30" s="9">
        <f t="shared" si="1"/>
        <v>589.3946694065447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38.190048580553665</v>
      </c>
      <c r="L30" s="5">
        <f t="shared" si="3"/>
        <v>314.566747287349</v>
      </c>
      <c r="N30" s="11">
        <f>IF(+B30=Title_RESULTS!$H$9,'Value of Defferal'!$O$16,+'Value of Defferal'!N29*(1+'Value of Defferal'!$F$7))</f>
        <v>0.11393435890279018</v>
      </c>
      <c r="O30" s="5">
        <f t="shared" si="7"/>
        <v>36.05119078298943</v>
      </c>
      <c r="P30" s="48">
        <f t="shared" si="4"/>
        <v>296.94923787594274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633.5184194596724</v>
      </c>
      <c r="E31" s="11">
        <f>IF(B31=Title_RESULTS!$H$8,$F$16,+E30*(1+$F$7))</f>
        <v>0.11126402236600604</v>
      </c>
      <c r="F31" s="9">
        <f t="shared" si="1"/>
        <v>603.5401414723018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36.95496060693204</v>
      </c>
      <c r="L31" s="5">
        <f t="shared" si="3"/>
        <v>304.39347909533865</v>
      </c>
      <c r="N31" s="11">
        <f>IF(+B31=Title_RESULTS!$H$9,'Value of Defferal'!$O$16,+'Value of Defferal'!N30*(1+'Value of Defferal'!$F$7))</f>
        <v>0.11666878351645714</v>
      </c>
      <c r="O31" s="5">
        <f t="shared" si="7"/>
        <v>36.91641936178117</v>
      </c>
      <c r="P31" s="48">
        <f t="shared" si="4"/>
        <v>304.07601958496537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613.0044995507145</v>
      </c>
      <c r="E32" s="11">
        <f>IF(B32=Title_RESULTS!$H$8,$F$16,+E31*(1+$F$7))</f>
        <v>0.11393435890279018</v>
      </c>
      <c r="F32" s="9">
        <f t="shared" si="1"/>
        <v>618.025104867637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35.75832436267592</v>
      </c>
      <c r="L32" s="5">
        <f t="shared" si="3"/>
        <v>294.5369330831539</v>
      </c>
      <c r="N32" s="11">
        <f>IF(+B32=Title_RESULTS!$H$9,'Value of Defferal'!$O$16,+'Value of Defferal'!N31*(1+'Value of Defferal'!$F$7))</f>
        <v>0.11946883432085212</v>
      </c>
      <c r="O32" s="5">
        <f t="shared" si="7"/>
        <v>37.80241342646392</v>
      </c>
      <c r="P32" s="48">
        <f t="shared" si="4"/>
        <v>311.37384405500455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592.7016972175337</v>
      </c>
      <c r="E33" s="11">
        <f>IF(B33=Title_RESULTS!$H$8,$F$16,+E32*(1+$F$7))</f>
        <v>0.11666878351645714</v>
      </c>
      <c r="F33" s="9">
        <f t="shared" si="1"/>
        <v>632.8577073844602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34.57400321685518</v>
      </c>
      <c r="L33" s="5">
        <f t="shared" si="3"/>
        <v>284.7818250267018</v>
      </c>
      <c r="N33" s="11">
        <f>IF(+B33=Title_RESULTS!$H$9,'Value of Defferal'!$O$16,+'Value of Defferal'!N32*(1+'Value of Defferal'!$F$7))</f>
        <v>0.12233608634455258</v>
      </c>
      <c r="O33" s="5">
        <f t="shared" si="7"/>
        <v>38.70967134869906</v>
      </c>
      <c r="P33" s="48">
        <f t="shared" si="4"/>
        <v>318.84681631232473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572.3988948843528</v>
      </c>
      <c r="E34" s="11">
        <f>IF(B34=Title_RESULTS!$H$8,$F$16,+E33*(1+$F$7))</f>
        <v>0.11946883432085212</v>
      </c>
      <c r="F34" s="9">
        <f t="shared" si="1"/>
        <v>648.0462923616874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33.389682071034436</v>
      </c>
      <c r="L34" s="5">
        <f t="shared" si="3"/>
        <v>275.02671697024965</v>
      </c>
      <c r="N34" s="11">
        <f>IF(+B34=Title_RESULTS!$H$9,'Value of Defferal'!$O$16,+'Value of Defferal'!N33*(1+'Value of Defferal'!$F$7))</f>
        <v>0.12527215241682185</v>
      </c>
      <c r="O34" s="5">
        <f t="shared" si="7"/>
        <v>39.63870346106784</v>
      </c>
      <c r="P34" s="48">
        <f t="shared" si="4"/>
        <v>326.49913990382055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552.096092551172</v>
      </c>
      <c r="E35" s="11">
        <f>IF(B35=Title_RESULTS!$H$8,$F$16,+E34*(1+$F$7))</f>
        <v>0.12233608634455258</v>
      </c>
      <c r="F35" s="9">
        <f t="shared" si="1"/>
        <v>663.5994033783679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32.20536092521369</v>
      </c>
      <c r="L35" s="5">
        <f t="shared" si="3"/>
        <v>265.2716089137975</v>
      </c>
      <c r="N35" s="11">
        <f>IF(+B35=Title_RESULTS!$H$9,'Value of Defferal'!$O$16,+'Value of Defferal'!N34*(1+'Value of Defferal'!$F$7))</f>
        <v>0.12827868407482557</v>
      </c>
      <c r="O35" s="5">
        <f t="shared" si="7"/>
        <v>40.59003234413347</v>
      </c>
      <c r="P35" s="48">
        <f t="shared" si="4"/>
        <v>334.3351192615122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531.7932902179912</v>
      </c>
      <c r="E36" s="11">
        <f>IF(B36=Title_RESULTS!$H$8,$F$16,+E35*(1+$F$7))</f>
        <v>0.12527215241682185</v>
      </c>
      <c r="F36" s="9">
        <f t="shared" si="1"/>
        <v>679.5257890594488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31.02103977939295</v>
      </c>
      <c r="L36" s="5">
        <f t="shared" si="3"/>
        <v>255.51650085734536</v>
      </c>
      <c r="N36" s="11">
        <f>IF(+B36=Title_RESULTS!$H$9,'Value of Defferal'!$O$16,+'Value of Defferal'!N35*(1+'Value of Defferal'!$F$7))</f>
        <v>0.1313573724926214</v>
      </c>
      <c r="O36" s="5">
        <f t="shared" si="7"/>
        <v>41.56419312039267</v>
      </c>
      <c r="P36" s="48">
        <f t="shared" si="4"/>
        <v>342.3591621237885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511.4904878848103</v>
      </c>
      <c r="E37" s="11">
        <f>IF(B37&gt;Title_RESULTS!$H$8-1+Title_RESULTS!$C$18,0,+E36*(1+$F$7))</f>
        <v>0.12827868407482557</v>
      </c>
      <c r="F37" s="9">
        <f t="shared" si="1"/>
        <v>695.8344079968755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29.8367186335722</v>
      </c>
      <c r="L37" s="5">
        <f t="shared" si="3"/>
        <v>245.7613928008932</v>
      </c>
      <c r="N37" s="11">
        <f>IF(+B37=Title_RESULTS!$H$9,'Value of Defferal'!$O$16,+'Value of Defferal'!N36*(1+'Value of Defferal'!$F$7))</f>
        <v>0.1345099494324443</v>
      </c>
      <c r="O37" s="5">
        <f t="shared" si="7"/>
        <v>42.56173375528209</v>
      </c>
      <c r="P37" s="48">
        <f t="shared" si="4"/>
        <v>350.5757820147594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491.18768555162933</v>
      </c>
      <c r="E38" s="11">
        <f>IF(B38&gt;Title_RESULTS!$H$8-1+Title_RESULTS!$C$18,0,+E37*(1+$F$7))</f>
        <v>0.1313573724926214</v>
      </c>
      <c r="F38" s="9">
        <f t="shared" si="1"/>
        <v>712.5344337888006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28.65239748775145</v>
      </c>
      <c r="L38" s="5">
        <f t="shared" si="3"/>
        <v>236.00628474444102</v>
      </c>
      <c r="N38" s="11">
        <f>IF(+B38=Title_RESULTS!$H$9,'Value of Defferal'!$O$16,+'Value of Defferal'!N37*(1+'Value of Defferal'!$F$7))</f>
        <v>0.13773818821882297</v>
      </c>
      <c r="O38" s="5">
        <f t="shared" si="7"/>
        <v>43.58321536540887</v>
      </c>
      <c r="P38" s="48">
        <f t="shared" si="4"/>
        <v>358.9896007831137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470.8848832184484</v>
      </c>
      <c r="E39" s="11">
        <f>IF(B39&gt;Title_RESULTS!$H$8-1+Title_RESULTS!$C$18,0,+E38*(1+$F$7))</f>
        <v>0.1345099494324443</v>
      </c>
      <c r="F39" s="9">
        <f t="shared" si="1"/>
        <v>729.6352601997318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27.4680763419307</v>
      </c>
      <c r="L39" s="5">
        <f t="shared" si="3"/>
        <v>226.25117668798885</v>
      </c>
      <c r="N39" s="11">
        <f>IF(+B39&gt;Title_RESULTS!$H$9+Title_RESULTS!$C$19-1,0,+'Value of Defferal'!N38*(1+'Value of Defferal'!$F$7))</f>
        <v>0.14104390473607473</v>
      </c>
      <c r="O39" s="5">
        <f t="shared" si="7"/>
        <v>44.629212534178684</v>
      </c>
      <c r="P39" s="48">
        <f t="shared" si="4"/>
        <v>367.60535120190843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450.5820808852677</v>
      </c>
      <c r="E40" s="11">
        <f>IF(B40&gt;Title_RESULTS!$H$8-1+Title_RESULTS!$C$18,0,+E39*(1+$F$7))</f>
        <v>0.13773818821882297</v>
      </c>
      <c r="F40" s="9">
        <f t="shared" si="1"/>
        <v>747.1465064445254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26.283755196109965</v>
      </c>
      <c r="L40" s="5">
        <f t="shared" si="3"/>
        <v>216.4960686315368</v>
      </c>
      <c r="N40" s="11">
        <f>IF(+B40&gt;Title_RESULTS!$H$9+Title_RESULTS!$C$19-1,0,+'Value of Defferal'!N39*(1+'Value of Defferal'!$F$7))</f>
        <v>0.14442895844974052</v>
      </c>
      <c r="O40" s="5">
        <f t="shared" si="7"/>
        <v>45.70031363499897</v>
      </c>
      <c r="P40" s="48">
        <f t="shared" si="4"/>
        <v>376.4278796307542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432.1857929290574</v>
      </c>
      <c r="E41" s="11">
        <f>IF(B41&gt;Title_RESULTS!$H$8-1+Title_RESULTS!$C$18,0,+E40*(1+$F$7))</f>
        <v>0.14104390473607473</v>
      </c>
      <c r="F41" s="9">
        <f t="shared" si="1"/>
        <v>765.078022599194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25.210646544722433</v>
      </c>
      <c r="L41" s="5">
        <f t="shared" si="3"/>
        <v>207.6570042548348</v>
      </c>
      <c r="N41" s="11">
        <f>IF(+B41&gt;Title_RESULTS!$H$9+Title_RESULTS!$C$19-1,0,+'Value of Defferal'!N40*(1+'Value of Defferal'!$F$7))</f>
        <v>0.1478952534525343</v>
      </c>
      <c r="O41" s="5">
        <f t="shared" si="7"/>
        <v>46.797121162238945</v>
      </c>
      <c r="P41" s="48">
        <f t="shared" si="4"/>
        <v>385.46214874189235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417.60188810729056</v>
      </c>
      <c r="E42" s="11">
        <f>IF(B42&gt;Title_RESULTS!$H$8-1+Title_RESULTS!$C$18,0,+E41*(1+$F$7))</f>
        <v>0.14442895844974052</v>
      </c>
      <c r="F42" s="9">
        <f t="shared" si="1"/>
        <v>783.4398951415747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24.359925221349847</v>
      </c>
      <c r="L42" s="5">
        <f t="shared" si="3"/>
        <v>200.6497170298175</v>
      </c>
      <c r="N42" s="11">
        <f>IF(+B42&gt;Title_RESULTS!$H$9+Title_RESULTS!$C$19-1,0,+'Value of Defferal'!N41*(1+'Value of Defferal'!$F$7))</f>
        <v>0.1514447395353951</v>
      </c>
      <c r="O42" s="5">
        <f t="shared" si="7"/>
        <v>47.92025207013268</v>
      </c>
      <c r="P42" s="48">
        <f t="shared" si="4"/>
        <v>394.71324031169775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404.92385204299654</v>
      </c>
      <c r="E43" s="11">
        <f>IF(B43&gt;Title_RESULTS!$H$8-1+Title_RESULTS!$C$18,0,+E42*(1+$F$7))</f>
        <v>0.1478952534525343</v>
      </c>
      <c r="F43" s="9">
        <f t="shared" si="1"/>
        <v>802.2424526249724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23.620378731558997</v>
      </c>
      <c r="L43" s="5">
        <f t="shared" si="3"/>
        <v>194.55816327673475</v>
      </c>
      <c r="N43" s="11">
        <f>IF(+B43&gt;Title_RESULTS!$H$9+Title_RESULTS!$C$19-1,0,+'Value of Defferal'!N42*(1+'Value of Defferal'!$F$7))</f>
        <v>0.1550794132842446</v>
      </c>
      <c r="O43" s="5">
        <f t="shared" si="7"/>
        <v>49.070338119815865</v>
      </c>
      <c r="P43" s="48">
        <f t="shared" si="4"/>
        <v>404.1863580791785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392.2458159787026</v>
      </c>
      <c r="E44" s="11">
        <f>IF(B44&gt;Title_RESULTS!$H$8-1+Title_RESULTS!$C$18,0,+E43*(1+$F$7))</f>
        <v>0.1514447395353951</v>
      </c>
      <c r="F44" s="9">
        <f t="shared" si="1"/>
        <v>821.4962714879719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22.88083224176815</v>
      </c>
      <c r="L44" s="5">
        <f t="shared" si="3"/>
        <v>188.466609523652</v>
      </c>
      <c r="N44" s="11">
        <f>IF(+B44&gt;Title_RESULTS!$H$9+Title_RESULTS!$C$19-1,0,+'Value of Defferal'!N43*(1+'Value of Defferal'!$F$7))</f>
        <v>0.15880131920306648</v>
      </c>
      <c r="O44" s="5">
        <f t="shared" si="7"/>
        <v>50.24802623469145</v>
      </c>
      <c r="P44" s="48">
        <f t="shared" si="4"/>
        <v>413.8868306730788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379.56777991440845</v>
      </c>
      <c r="E45" s="11">
        <f>IF(B45&gt;Title_RESULTS!$H$8-1+Title_RESULTS!$C$18,0,+E44*(1+$F$7))</f>
        <v>0.1550794132842446</v>
      </c>
      <c r="F45" s="9">
        <f t="shared" si="1"/>
        <v>841.2121820036831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22.14128575197729</v>
      </c>
      <c r="L45" s="5">
        <f t="shared" si="3"/>
        <v>182.37505577056916</v>
      </c>
      <c r="N45" s="11">
        <f>IF(+B45&gt;Title_RESULTS!$H$9+Title_RESULTS!$C$19-1,0,+'Value of Defferal'!N44*(1+'Value of Defferal'!$F$7))</f>
        <v>0.16261255086394008</v>
      </c>
      <c r="O45" s="5">
        <f t="shared" si="7"/>
        <v>51.45397886432405</v>
      </c>
      <c r="P45" s="48">
        <f t="shared" si="4"/>
        <v>423.8201146092327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366.8897438501144</v>
      </c>
      <c r="E46" s="11">
        <f>IF(B46&gt;Title_RESULTS!$H$8-1+Title_RESULTS!$C$18,0,+E45*(1+$F$7))</f>
        <v>0.15880131920306648</v>
      </c>
      <c r="F46" s="9">
        <f t="shared" si="1"/>
        <v>861.4012743717716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21.401739262186435</v>
      </c>
      <c r="L46" s="5">
        <f t="shared" si="3"/>
        <v>176.2835020174864</v>
      </c>
      <c r="N46" s="11">
        <f>IF(+B46&gt;Title_RESULTS!$H$9+Title_RESULTS!$C$19-1,0,+'Value of Defferal'!N45*(1+'Value of Defferal'!$F$7))</f>
        <v>0.16651525208467466</v>
      </c>
      <c r="O46" s="5">
        <f t="shared" si="7"/>
        <v>52.68887435706783</v>
      </c>
      <c r="P46" s="48">
        <f t="shared" si="4"/>
        <v>433.99179735985433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354.21170778582047</v>
      </c>
      <c r="E47" s="11">
        <f>IF(B47&gt;Title_RESULTS!$H$8-1+Title_RESULTS!$C$18,0,+E46*(1+$F$7))</f>
        <v>0.16261255086394008</v>
      </c>
      <c r="F47" s="9">
        <f t="shared" si="1"/>
        <v>882.0749049566941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20.66219277239559</v>
      </c>
      <c r="L47" s="5">
        <f t="shared" si="3"/>
        <v>170.19194826440366</v>
      </c>
      <c r="N47" s="11">
        <f>IF(+B47&gt;Title_RESULTS!$H$9+Title_RESULTS!$C$19-1,0,+'Value of Defferal'!N46*(1+'Value of Defferal'!$F$7))</f>
        <v>0.17051161813470686</v>
      </c>
      <c r="O47" s="5">
        <f t="shared" si="7"/>
        <v>53.95340734163746</v>
      </c>
      <c r="P47" s="48">
        <f t="shared" si="4"/>
        <v>444.4076004964909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341.53367172152645</v>
      </c>
      <c r="E48" s="11">
        <f>IF(B48&gt;Title_RESULTS!$H$8-1+Title_RESULTS!$C$18,0,+E47*(1+$F$7))</f>
        <v>0.16651525208467466</v>
      </c>
      <c r="F48" s="9">
        <f t="shared" si="1"/>
        <v>903.2447026756549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19.922646282604738</v>
      </c>
      <c r="L48" s="5">
        <f t="shared" si="3"/>
        <v>164.1003945113209</v>
      </c>
      <c r="N48" s="11">
        <f>IF(+B48&gt;Title_RESULTS!$H$9+Title_RESULTS!$C$19-1,0,+'Value of Defferal'!N47*(1+'Value of Defferal'!$F$7))</f>
        <v>0.17460389696993983</v>
      </c>
      <c r="O48" s="5">
        <f t="shared" si="7"/>
        <v>55.24828911783676</v>
      </c>
      <c r="P48" s="48">
        <f t="shared" si="4"/>
        <v>455.07338290840664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328.8556356572323</v>
      </c>
      <c r="E49" s="11">
        <f>IF(B49&gt;Title_RESULTS!$H$8-1+Title_RESULTS!$C$18,0,+E48*(1+$F$7))</f>
        <v>0.17051161813470686</v>
      </c>
      <c r="F49" s="9">
        <f t="shared" si="1"/>
        <v>924.9225755398706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19.18309979281388</v>
      </c>
      <c r="L49" s="5">
        <f t="shared" si="3"/>
        <v>158.00884075823808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316.1775995929383</v>
      </c>
      <c r="E50" s="11">
        <f>IF(B50&gt;Title_RESULTS!$H$8-1+Title_RESULTS!$C$18,0,+E49*(1+$F$7))</f>
        <v>0.17460389696993983</v>
      </c>
      <c r="F50" s="9">
        <f t="shared" si="1"/>
        <v>947.1207173528276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18.443553303023027</v>
      </c>
      <c r="L50" s="5">
        <f t="shared" si="3"/>
        <v>151.91728700515532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303.49956352864433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17.70400681323218</v>
      </c>
      <c r="L51" s="5">
        <f t="shared" si="3"/>
        <v>145.82573325207258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12959.480051074172</v>
      </c>
      <c r="F63" s="9">
        <f>SUM(F23:F61)</f>
        <v>18075.011895451502</v>
      </c>
      <c r="J63" t="s">
        <v>87</v>
      </c>
      <c r="K63" s="9">
        <f>SUM(K23:K61)</f>
        <v>755.9639310601829</v>
      </c>
      <c r="O63" s="9">
        <f>SUM(O23:O61)</f>
        <v>1054.3676901074832</v>
      </c>
    </row>
    <row r="64" spans="3:15" ht="12.75">
      <c r="C64" t="s">
        <v>89</v>
      </c>
      <c r="D64" s="9">
        <f>NPV(+Title_RESULTS!$C$37,'Value of Defferal'!D24:D61)+'Value of Defferal'!D23</f>
        <v>5786.486220401264</v>
      </c>
      <c r="F64" s="9">
        <f>NPV(+Title_RESULTS!$C$37,'Value of Defferal'!F24:F61)+'Value of Defferal'!F23</f>
        <v>6721.112762137043</v>
      </c>
      <c r="J64" t="s">
        <v>89</v>
      </c>
      <c r="K64" s="9">
        <f>NPV(+Title_RESULTS!$C$37,'Value of Defferal'!K24:K61)+'Value of Defferal'!K23</f>
        <v>337.5424672101362</v>
      </c>
      <c r="O64" s="9">
        <f>NPV(+Title_RESULTS!$C$37,'Value of Defferal'!O24:O61)+'Value of Defferal'!O23</f>
        <v>449.54317027598074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2.9608646516624564</v>
      </c>
      <c r="C25" t="s">
        <v>372</v>
      </c>
    </row>
    <row r="26" spans="2:3" ht="18">
      <c r="B26" s="15">
        <f>+((Input!$C$6*'EUE_Line Losses'!C4)+(Input!$C$7*'EUE_Line Losses'!C3))/'EUE_Line Losses'!C22</f>
        <v>2.951313475366771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10.3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0.69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5619.92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2799.84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1153.21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Programmable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43599.3223994213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10.3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2.951313475366771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5928.185654008439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5619.92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2799.84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1153.21</v>
      </c>
      <c r="D39" s="13" t="s">
        <v>189</v>
      </c>
      <c r="G39" s="20" t="s">
        <v>346</v>
      </c>
      <c r="H39" s="79">
        <f>+'Sheet7(F_23)'!H32</f>
        <v>1.5771687559549186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26507.950479853203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0.41971105543231907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2019-05-14T11:44:16Z</dcterms:created>
  <dcterms:modified xsi:type="dcterms:W3CDTF">2019-05-14T11:44:17Z</dcterms:modified>
  <cp:category/>
  <cp:version/>
  <cp:contentType/>
  <cp:contentStatus/>
</cp:coreProperties>
</file>