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<sst xmlns="http://schemas.openxmlformats.org/spreadsheetml/2006/main" count="1258" uniqueCount="468">
  <si>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</si>
  <si>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</si>
  <si>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</si>
  <si>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</si>
  <si>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</si>
  <si>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</si>
  <si>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</si>
  <si>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</si>
  <si>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</si>
  <si>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</si>
  <si>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</si>
  <si>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</si>
  <si>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</si>
  <si>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</si>
  <si>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</si>
  <si>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</si>
  <si>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</si>
  <si>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</si>
  <si>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</si>
  <si>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</si>
  <si>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</si>
  <si>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</si>
  <si>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</si>
  <si>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</si>
  <si>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</si>
  <si>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</si>
  <si>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</si>
  <si>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</si>
  <si>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</si>
  <si>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</si>
  <si>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</si>
  <si>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</si>
  <si>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</si>
  <si>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</si>
  <si>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</si>
  <si>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</si>
  <si>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</si>
  <si>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</si>
  <si>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</si>
  <si>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</si>
  <si>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</si>
  <si>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</si>
  <si>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</si>
  <si>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</si>
  <si>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</si>
  <si>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</si>
  <si>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</si>
  <si>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</si>
  <si>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</si>
  <si>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</si>
  <si>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</si>
  <si>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</si>
  <si>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</si>
  <si>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</si>
  <si>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</si>
  <si>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</si>
  <si>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</si>
  <si>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</si>
  <si>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</si>
  <si>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</si>
  <si>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</si>
  <si>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</si>
  <si>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</si>
  <si>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</si>
  <si>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</si>
  <si>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</si>
  <si>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</si>
  <si>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</si>
  <si>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</si>
  <si>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</si>
  <si>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</si>
  <si>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</si>
  <si>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</si>
  <si>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</si>
  <si>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</si>
  <si>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</si>
  <si>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</si>
  <si>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</si>
  <si>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</si>
  <si>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</si>
  <si>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</si>
  <si>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</si>
  <si>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</si>
  <si>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</si>
  <si>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</si>
  <si>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</si>
  <si>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</si>
  <si>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</si>
  <si>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</si>
  <si>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</si>
  <si>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</si>
  <si>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</si>
  <si>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</si>
  <si>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</si>
  <si>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</si>
  <si>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</si>
  <si>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</si>
  <si>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</si>
  <si>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</si>
  <si>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</si>
  <si>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</si>
  <si>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</si>
  <si>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</si>
  <si>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</si>
  <si>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</si>
  <si>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</si>
  <si>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</si>
  <si>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</si>
  <si>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</si>
  <si>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</si>
  <si>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</si>
  <si>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</si>
  <si>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</si>
  <si>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</si>
  <si>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</si>
  <si>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</si>
  <si>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</si>
  <si>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</si>
  <si>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</si>
  <si>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</si>
  <si>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</si>
  <si>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</si>
  <si>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</si>
  <si>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</si>
  <si>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</si>
  <si>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</si>
  <si>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</si>
  <si>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</si>
  <si>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</si>
  <si>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</si>
  <si>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</si>
  <si>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</si>
  <si>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</si>
  <si>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</si>
  <si>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</si>
  <si>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</si>
  <si>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</si>
  <si>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</si>
  <si>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</si>
  <si>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</si>
  <si>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</si>
  <si>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</si>
  <si>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</si>
  <si>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</si>
  <si>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</si>
  <si>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</si>
  <si>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</si>
  <si>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</si>
  <si>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</si>
  <si>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</si>
  <si>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</si>
  <si>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</si>
  <si>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</si>
  <si>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</si>
  <si>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</si>
  <si>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</si>
  <si>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</si>
  <si>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</si>
  <si>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</si>
  <si>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</si>
  <si>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</si>
  <si>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</si>
  <si>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</si>
  <si>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</si>
  <si>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</si>
  <si>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</si>
  <si>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</si>
  <si>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</si>
  <si>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</si>
  <si>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</si>
  <si>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</si>
  <si>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</si>
  <si>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</si>
  <si>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</si>
  <si>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</si>
  <si>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</si>
  <si>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</si>
  <si>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</si>
  <si>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</si>
  <si>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</si>
  <si>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</si>
  <si>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</si>
  <si>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</si>
  <si>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</si>
  <si>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</si>
  <si>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</si>
  <si>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</si>
  <si>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</si>
  <si>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</si>
  <si>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</si>
  <si>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</si>
  <si>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</si>
  <si>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</si>
  <si>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</si>
  <si>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</si>
  <si>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</si>
  <si>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</si>
  <si>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</si>
  <si>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</si>
  <si>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</si>
  <si>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</si>
  <si>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</si>
  <si>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</si>
  <si>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</si>
  <si>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</si>
  <si>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</si>
  <si>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</si>
  <si>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</si>
  <si>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</si>
  <si>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</si>
  <si>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</si>
  <si>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</si>
  <si>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</si>
  <si>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</si>
  <si>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</si>
  <si>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</si>
  <si>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</si>
  <si>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</si>
  <si>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</si>
  <si>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</si>
  <si>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</si>
  <si>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</si>
  <si>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</si>
  <si>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</si>
  <si>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</si>
  <si>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</si>
  <si>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</si>
  <si>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</si>
  <si>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</si>
  <si>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</si>
  <si>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</si>
  <si>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</si>
  <si>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</si>
  <si>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</si>
  <si>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</si>
  <si>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</si>
  <si>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</si>
  <si>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</si>
  <si>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</si>
  <si>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</si>
  <si>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</si>
  <si>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</si>
  <si>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</si>
  <si>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</si>
  <si>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</si>
  <si>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</si>
  <si>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</si>
  <si>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</si>
  <si>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</si>
  <si>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</si>
  <si>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</si>
  <si>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</si>
  <si>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</si>
  <si>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</si>
  <si>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</si>
  <si>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</si>
  <si>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</si>
  <si>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</si>
  <si>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</si>
  <si>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</si>
  <si>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</si>
  <si>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</si>
  <si>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</si>
  <si>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</si>
  <si>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</si>
  <si>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</si>
  <si>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</si>
  <si>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</si>
  <si>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</si>
  <si>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</si>
  <si>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</si>
  <si>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</si>
  <si>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</si>
  <si>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</si>
  <si>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</si>
  <si>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</si>
  <si>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</si>
  <si>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</si>
  <si>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</si>
  <si>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</si>
  <si>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</si>
  <si>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</si>
  <si>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</si>
  <si>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</si>
  <si>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</si>
  <si>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</si>
  <si>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</si>
  <si>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</si>
  <si>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</si>
  <si>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</si>
  <si>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</si>
  <si>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</si>
  <si>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</si>
  <si>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</si>
  <si>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</si>
  <si>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</si>
  <si>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</si>
  <si>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</si>
  <si>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</si>
  <si>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</si>
  <si>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</si>
  <si>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</si>
  <si>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</si>
  <si>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</si>
  <si>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</si>
  <si>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</si>
  <si>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</si>
  <si>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</si>
  <si>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</si>
  <si>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</si>
  <si>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</si>
  <si>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</si>
  <si>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</si>
  <si>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</si>
  <si>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</si>
  <si>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</si>
  <si>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</si>
  <si>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</si>
  <si>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</si>
  <si>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</si>
  <si>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</si>
  <si>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</si>
  <si>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</si>
  <si>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</si>
  <si>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</si>
  <si>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</si>
  <si>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</si>
  <si>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</si>
  <si>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</si>
  <si>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</si>
  <si>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</si>
  <si>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</si>
  <si>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</si>
  <si>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</si>
  <si>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</si>
  <si>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</si>
  <si>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</si>
  <si>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</si>
  <si>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</si>
  <si>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</si>
  <si>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</si>
  <si>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</si>
  <si>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</si>
  <si>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</si>
  <si>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</si>
  <si>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</si>
  <si>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</si>
  <si>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</si>
  <si>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</si>
  <si>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</si>
  <si>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</si>
  <si>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</si>
  <si>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</si>
  <si>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</si>
  <si>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</si>
  <si>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</si>
  <si>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</si>
  <si>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</si>
  <si>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</si>
  <si>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</si>
  <si>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</si>
  <si>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</si>
  <si>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</si>
  <si>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</si>
  <si>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</si>
  <si>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</si>
  <si>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</si>
  <si>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</si>
  <si>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</si>
  <si>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</si>
  <si>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</si>
  <si>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</si>
  <si>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</si>
  <si>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</si>
  <si>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</si>
  <si>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</si>
  <si>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</si>
  <si>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</si>
  <si>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</si>
  <si>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</si>
  <si>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</si>
  <si>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</si>
  <si>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</si>
  <si>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</si>
  <si>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</si>
  <si>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</si>
  <si>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</si>
  <si>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</si>
  <si>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</si>
  <si>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</si>
  <si>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</si>
  <si>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</si>
  <si>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</si>
  <si>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</si>
  <si>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</si>
  <si>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</si>
  <si>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</si>
  <si>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</si>
  <si>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</si>
  <si>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</si>
  <si>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</si>
  <si>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</si>
  <si>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</si>
  <si>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</si>
  <si>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</si>
  <si>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</si>
  <si>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</si>
  <si>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</si>
  <si>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</si>
  <si>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</si>
  <si>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</si>
  <si>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</si>
  <si>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</si>
  <si>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</si>
  <si>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</si>
  <si>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</si>
  <si>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</si>
  <si>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</si>
  <si>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</si>
  <si>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</si>
  <si>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</si>
  <si>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</si>
  <si>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</si>
  <si>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</si>
  <si>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</si>
  <si>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</si>
  <si>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</si>
  <si>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</si>
  <si>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</si>
  <si>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</si>
  <si>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</si>
  <si>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</si>
  <si>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</si>
  <si>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</si>
  <si>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</si>
  <si>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</si>
  <si>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</si>
  <si>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</si>
  <si>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</si>
  <si>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</si>
  <si>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</si>
  <si>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</si>
  <si>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</si>
  <si>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</si>
  <si>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</si>
  <si>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</si>
  <si>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</si>
  <si>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</si>
  <si>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</si>
  <si>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</si>
  <si>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</si>
  <si>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</si>
  <si>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</si>
  <si>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</si>
  <si>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</si>
  <si>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</si>
  <si>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</si>
  <si>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</si>
  <si>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</si>
  <si>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</si>
  <si>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</si>
  <si>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</si>
  <si>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</si>
  <si>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</si>
  <si>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</si>
  <si>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</si>
  <si>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</si>
  <si>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Solar Water Heater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</si>
</sst>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43599.31822129629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252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43599.31822129629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Solar Water Heater</v>
      </c>
      <c r="J2" t="s">
        <v>55</v>
      </c>
    </row>
    <row r="3" ht="12.75">
      <c r="J3" s="35">
        <f>+Title_RESULTS!I4</f>
        <v>43599.31822129629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252</v>
      </c>
      <c r="H5" t="s">
        <v>59</v>
      </c>
    </row>
    <row r="6" spans="3:7" ht="12.75">
      <c r="C6" t="s">
        <v>61</v>
      </c>
      <c r="G6" s="36">
        <f>+'Value of Defferal'!E3</f>
        <v>154.38760396039604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15.25693866362906</v>
      </c>
      <c r="D19" s="5">
        <f>IF((Title_RESULTS!$H$8-Title_RESULTS!$H$7)&lt;=('Sheet3(F_21)'!A19-Title_RESULTS!$H$7),((Title_RESULTS!$C$8*Partcipation!$C$26*8760*Title_RESULTS!$H$21/100000)),0)</f>
        <v>201.02561851332396</v>
      </c>
      <c r="E19" s="5">
        <f>IF($G19=0,0,((Title_RESULTS!$H$14*((1+Title_RESULTS!$H$15/100)^($A19-Title_RESULTS!$H$7))*'EUE_Line Losses'!$B$25*Partcipation!$C$26))/1000)</f>
        <v>1.5837168871506182</v>
      </c>
      <c r="F19" s="5">
        <f>IF($G19=0,0,(Title_RESULTS!$H$19/100*((1+Title_RESULTS!$H$20/100)^($A19-Title_RESULTS!$H$7))*$D19*1000)/1000)</f>
        <v>0.45328419001577175</v>
      </c>
      <c r="G19" s="5">
        <f>(+Title_RESULTS!$H$22/100*((1+Title_RESULTS!$H$23/100)^(+'Sheet4(F_22)'!A19-Title_RESULTS!$H$7)))*'Sheet3(F_21)'!D19</f>
        <v>8.612518385743595</v>
      </c>
      <c r="H19" s="5">
        <f>IF($G19=0,0,(($D19))*(Partcipation!$G19/100))</f>
        <v>6.377794211645751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19.528663914893293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15.623105191556157</v>
      </c>
      <c r="D20" s="5">
        <f>IF((Title_RESULTS!$H$8-Title_RESULTS!$H$7)&lt;=('Sheet3(F_21)'!A20-Title_RESULTS!$H$7),((Title_RESULTS!$C$8*Partcipation!$C$26*8760*Title_RESULTS!$H$21/100000)),0)</f>
        <v>201.02561851332396</v>
      </c>
      <c r="E20" s="5">
        <f>IF($G20=0,0,((Title_RESULTS!$H$14*((1+Title_RESULTS!$H$15/100)^($A20-Title_RESULTS!$H$7))*'EUE_Line Losses'!$B$25*Partcipation!$C$26))/1000)</f>
        <v>1.621726092442233</v>
      </c>
      <c r="F20" s="5">
        <f>IF($G20=0,0,(Title_RESULTS!$H$19/100*((1+Title_RESULTS!$H$20/100)^($A20-Title_RESULTS!$H$7))*$D20*1000)/1000)</f>
        <v>0.4641630105761502</v>
      </c>
      <c r="G20" s="5">
        <f>(+Title_RESULTS!$H$22/100*((1+Title_RESULTS!$H$23/100)^(+'Sheet4(F_22)'!A20-Title_RESULTS!$H$7)))*'Sheet3(F_21)'!D20</f>
        <v>9.003526720456355</v>
      </c>
      <c r="H20" s="5">
        <f>IF($G20=0,0,(($D20))*(Partcipation!$G20/100))</f>
        <v>6.6631010264165385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20.04941998861436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15.998059716153504</v>
      </c>
      <c r="D21" s="5">
        <f>IF((Title_RESULTS!$H$8-Title_RESULTS!$H$7)&lt;=('Sheet3(F_21)'!A21-Title_RESULTS!$H$7),((Title_RESULTS!$C$8*Partcipation!$C$26*8760*Title_RESULTS!$H$21/100000)),0)</f>
        <v>201.02561851332396</v>
      </c>
      <c r="E21" s="5">
        <f>IF($G21=0,0,((Title_RESULTS!$H$14*((1+Title_RESULTS!$H$15/100)^($A21-Title_RESULTS!$H$7))*'EUE_Line Losses'!$B$25*Partcipation!$C$26))/1000)</f>
        <v>1.6606475186608467</v>
      </c>
      <c r="F21" s="5">
        <f>IF($G21=0,0,(Title_RESULTS!$H$19/100*((1+Title_RESULTS!$H$20/100)^($A21-Title_RESULTS!$H$7))*$D21*1000)/1000)</f>
        <v>0.4753029228299779</v>
      </c>
      <c r="G21" s="5">
        <f>(+Title_RESULTS!$H$22/100*((1+Title_RESULTS!$H$23/100)^(+'Sheet4(F_22)'!A21-Title_RESULTS!$H$7)))*'Sheet3(F_21)'!D21</f>
        <v>9.412286833565075</v>
      </c>
      <c r="H21" s="5">
        <f>IF($G21=0,0,(($D21))*(Partcipation!$G21/100))</f>
        <v>6.927148481565958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20.61914850964345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16.382013149341187</v>
      </c>
      <c r="D22" s="5">
        <f>IF((Title_RESULTS!$H$8-Title_RESULTS!$H$7)&lt;=('Sheet3(F_21)'!A22-Title_RESULTS!$H$7),((Title_RESULTS!$C$8*Partcipation!$C$26*8760*Title_RESULTS!$H$21/100000)),0)</f>
        <v>201.02561851332396</v>
      </c>
      <c r="E22" s="5">
        <f>IF($G22=0,0,((Title_RESULTS!$H$14*((1+Title_RESULTS!$H$15/100)^($A22-Title_RESULTS!$H$7))*'EUE_Line Losses'!$B$25*Partcipation!$C$26))/1000)</f>
        <v>1.7005030591087065</v>
      </c>
      <c r="F22" s="5">
        <f>IF($G22=0,0,(Title_RESULTS!$H$19/100*((1+Title_RESULTS!$H$20/100)^($A22-Title_RESULTS!$H$7))*$D22*1000)/1000)</f>
        <v>0.4867101929778973</v>
      </c>
      <c r="G22" s="5">
        <f>(+Title_RESULTS!$H$22/100*((1+Title_RESULTS!$H$23/100)^(+'Sheet4(F_22)'!A22-Title_RESULTS!$H$7)))*'Sheet3(F_21)'!D22</f>
        <v>9.83960465580893</v>
      </c>
      <c r="H22" s="5">
        <f>IF($G22=0,0,(($D22))*(Partcipation!$G22/100))</f>
        <v>7.151590568366687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21.257240488870035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16.775181464925378</v>
      </c>
      <c r="D23" s="5">
        <f>IF((Title_RESULTS!$H$8-Title_RESULTS!$H$7)&lt;=('Sheet3(F_21)'!A23-Title_RESULTS!$H$7),((Title_RESULTS!$C$8*Partcipation!$C$26*8760*Title_RESULTS!$H$21/100000)),0)</f>
        <v>201.02561851332396</v>
      </c>
      <c r="E23" s="5">
        <f>IF($G23=0,0,((Title_RESULTS!$H$14*((1+Title_RESULTS!$H$15/100)^($A23-Title_RESULTS!$H$7))*'EUE_Line Losses'!$B$25*Partcipation!$C$26))/1000)</f>
        <v>1.741315132527316</v>
      </c>
      <c r="F23" s="5">
        <f>IF($G23=0,0,(Title_RESULTS!$H$19/100*((1+Title_RESULTS!$H$20/100)^($A23-Title_RESULTS!$H$7))*$D23*1000)/1000)</f>
        <v>0.4983912376093669</v>
      </c>
      <c r="G23" s="5">
        <f>(+Title_RESULTS!$H$22/100*((1+Title_RESULTS!$H$23/100)^(+'Sheet4(F_22)'!A23-Title_RESULTS!$H$7)))*'Sheet3(F_21)'!D23</f>
        <v>10.286322707182656</v>
      </c>
      <c r="H23" s="5">
        <f>IF($G23=0,0,(($D23))*(Partcipation!$G23/100))</f>
        <v>7.471693394352011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21.82951714789271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17.177785820083585</v>
      </c>
      <c r="D24" s="5">
        <f>IF((Title_RESULTS!$H$8-Title_RESULTS!$H$7)&lt;=('Sheet3(F_21)'!A24-Title_RESULTS!$H$7),((Title_RESULTS!$C$8*Partcipation!$C$26*8760*Title_RESULTS!$H$21/100000)),0)</f>
        <v>201.02561851332396</v>
      </c>
      <c r="E24" s="5">
        <f>IF($G24=0,0,((Title_RESULTS!$H$14*((1+Title_RESULTS!$H$15/100)^($A24-Title_RESULTS!$H$7))*'EUE_Line Losses'!$B$25*Partcipation!$C$26))/1000)</f>
        <v>1.7831066957079713</v>
      </c>
      <c r="F24" s="5">
        <f>IF($G24=0,0,(Title_RESULTS!$H$19/100*((1+Title_RESULTS!$H$20/100)^($A24-Title_RESULTS!$H$7))*$D24*1000)/1000)</f>
        <v>0.5103526273119916</v>
      </c>
      <c r="G24" s="5">
        <f>(+Title_RESULTS!$H$22/100*((1+Title_RESULTS!$H$23/100)^(+'Sheet4(F_22)'!A24-Title_RESULTS!$H$7)))*'Sheet3(F_21)'!D24</f>
        <v>10.75332175808875</v>
      </c>
      <c r="H24" s="5">
        <f>IF($G24=0,0,(($D24))*(Partcipation!$G24/100))</f>
        <v>8.041517534088802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22.1830493671035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17.59005267976559</v>
      </c>
      <c r="D25" s="5">
        <f>IF((Title_RESULTS!$H$8-Title_RESULTS!$H$7)&lt;=('Sheet3(F_21)'!A25-Title_RESULTS!$H$7),((Title_RESULTS!$C$8*Partcipation!$C$26*8760*Title_RESULTS!$H$21/100000)),0)</f>
        <v>201.02561851332396</v>
      </c>
      <c r="E25" s="5">
        <f>IF($G25=0,0,((Title_RESULTS!$H$14*((1+Title_RESULTS!$H$15/100)^($A25-Title_RESULTS!$H$7))*'EUE_Line Losses'!$B$25*Partcipation!$C$26))/1000)</f>
        <v>1.8259012564049624</v>
      </c>
      <c r="F25" s="5">
        <f>IF($G25=0,0,(Title_RESULTS!$H$19/100*((1+Title_RESULTS!$H$20/100)^($A25-Title_RESULTS!$H$7))*$D25*1000)/1000)</f>
        <v>0.5226010903674794</v>
      </c>
      <c r="G25" s="5">
        <f>(+Title_RESULTS!$H$22/100*((1+Title_RESULTS!$H$23/100)^(+'Sheet4(F_22)'!A25-Title_RESULTS!$H$7)))*'Sheet3(F_21)'!D25</f>
        <v>11.241522565905981</v>
      </c>
      <c r="H25" s="5">
        <f>IF($G25=0,0,(($D25))*(Partcipation!$G25/100))</f>
        <v>8.394424786589871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22.78565280585414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18.012213944079967</v>
      </c>
      <c r="D26" s="5">
        <f>IF((Title_RESULTS!$H$8-Title_RESULTS!$H$7)&lt;=('Sheet3(F_21)'!A26-Title_RESULTS!$H$7),((Title_RESULTS!$C$8*Partcipation!$C$26*8760*Title_RESULTS!$H$21/100000)),0)</f>
        <v>201.02561851332396</v>
      </c>
      <c r="E26" s="5">
        <f>IF($G26=0,0,((Title_RESULTS!$H$14*((1+Title_RESULTS!$H$15/100)^($A26-Title_RESULTS!$H$7))*'EUE_Line Losses'!$B$25*Partcipation!$C$26))/1000)</f>
        <v>1.8697228865586817</v>
      </c>
      <c r="F26" s="5">
        <f>IF($G26=0,0,(Title_RESULTS!$H$19/100*((1+Title_RESULTS!$H$20/100)^($A26-Title_RESULTS!$H$7))*$D26*1000)/1000)</f>
        <v>0.5351435165362989</v>
      </c>
      <c r="G26" s="5">
        <f>(+Title_RESULTS!$H$22/100*((1+Title_RESULTS!$H$23/100)^(+'Sheet4(F_22)'!A26-Title_RESULTS!$H$7)))*'Sheet3(F_21)'!D26</f>
        <v>11.751887690398114</v>
      </c>
      <c r="H26" s="5">
        <f>IF($G26=0,0,(($D26))*(Partcipation!$G26/100))</f>
        <v>9.018574669461437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23.150393368111622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18.444507078737885</v>
      </c>
      <c r="D27" s="5">
        <f>IF((Title_RESULTS!$H$8-Title_RESULTS!$H$7)&lt;=('Sheet3(F_21)'!A27-Title_RESULTS!$H$7),((Title_RESULTS!$C$8*Partcipation!$C$26*8760*Title_RESULTS!$H$21/100000)),0)</f>
        <v>201.02561851332396</v>
      </c>
      <c r="E27" s="5">
        <f>IF($G27=0,0,((Title_RESULTS!$H$14*((1+Title_RESULTS!$H$15/100)^($A27-Title_RESULTS!$H$7))*'EUE_Line Losses'!$B$25*Partcipation!$C$26))/1000)</f>
        <v>1.9145962358360904</v>
      </c>
      <c r="F27" s="5">
        <f>IF($G27=0,0,(Title_RESULTS!$H$19/100*((1+Title_RESULTS!$H$20/100)^($A27-Title_RESULTS!$H$7))*$D27*1000)/1000)</f>
        <v>0.5479869609331701</v>
      </c>
      <c r="G27" s="5">
        <f>(+Title_RESULTS!$H$22/100*((1+Title_RESULTS!$H$23/100)^(+'Sheet4(F_22)'!A27-Title_RESULTS!$H$7)))*'Sheet3(F_21)'!D27</f>
        <v>12.285423391542189</v>
      </c>
      <c r="H27" s="5">
        <f>IF($G27=0,0,(($D27))*(Partcipation!$G27/100))</f>
        <v>9.24284007697538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23.94967359007396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18.887175248627596</v>
      </c>
      <c r="D28" s="5">
        <f>IF((Title_RESULTS!$H$8-Title_RESULTS!$H$7)&lt;=('Sheet3(F_21)'!A28-Title_RESULTS!$H$7),((Title_RESULTS!$C$8*Partcipation!$C$26*8760*Title_RESULTS!$H$21/100000)),0)</f>
        <v>201.02561851332396</v>
      </c>
      <c r="E28" s="5">
        <f>IF($G28=0,0,((Title_RESULTS!$H$14*((1+Title_RESULTS!$H$15/100)^($A28-Title_RESULTS!$H$7))*'EUE_Line Losses'!$B$25*Partcipation!$C$26))/1000)</f>
        <v>1.9605465454961566</v>
      </c>
      <c r="F28" s="5">
        <f>IF($G28=0,0,(Title_RESULTS!$H$19/100*((1+Title_RESULTS!$H$20/100)^($A28-Title_RESULTS!$H$7))*$D28*1000)/1000)</f>
        <v>0.5611386479955661</v>
      </c>
      <c r="G28" s="5">
        <f>(+Title_RESULTS!$H$22/100*((1+Title_RESULTS!$H$23/100)^(+'Sheet4(F_22)'!A28-Title_RESULTS!$H$7)))*'Sheet3(F_21)'!D28</f>
        <v>12.843181613518205</v>
      </c>
      <c r="H28" s="5">
        <f>IF($G28=0,0,(($D28))*(Partcipation!$G28/100))</f>
        <v>9.797502091879394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24.454539963758123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19.340467454594663</v>
      </c>
      <c r="D29" s="5">
        <f>IF((Title_RESULTS!$H$8-Title_RESULTS!$H$7)&lt;=('Sheet3(F_21)'!A29-Title_RESULTS!$H$7),((Title_RESULTS!$C$8*Partcipation!$C$26*8760*Title_RESULTS!$H$21/100000)),0)</f>
        <v>201.02561851332396</v>
      </c>
      <c r="E29" s="5">
        <f>IF($G29=0,0,((Title_RESULTS!$H$14*((1+Title_RESULTS!$H$15/100)^($A29-Title_RESULTS!$H$7))*'EUE_Line Losses'!$B$25*Partcipation!$C$26))/1000)</f>
        <v>2.0075996625880643</v>
      </c>
      <c r="F29" s="5">
        <f>IF($G29=0,0,(Title_RESULTS!$H$19/100*((1+Title_RESULTS!$H$20/100)^($A29-Title_RESULTS!$H$7))*$D29*1000)/1000)</f>
        <v>0.5746059755474597</v>
      </c>
      <c r="G29" s="5">
        <f>(+Title_RESULTS!$H$22/100*((1+Title_RESULTS!$H$23/100)^(+'Sheet4(F_22)'!A29-Title_RESULTS!$H$7)))*'Sheet3(F_21)'!D29</f>
        <v>13.426262058771933</v>
      </c>
      <c r="H29" s="5">
        <f>IF($G29=0,0,(($D29))*(Partcipation!$G29/100))</f>
        <v>10.020958217546093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25.327976933956023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19.804638673504932</v>
      </c>
      <c r="D30" s="5">
        <f>IF((Title_RESULTS!$H$8-Title_RESULTS!$H$7)&lt;=('Sheet3(F_21)'!A30-Title_RESULTS!$H$7),((Title_RESULTS!$C$8*Partcipation!$C$26*8760*Title_RESULTS!$H$21/100000)),0)</f>
        <v>201.02561851332396</v>
      </c>
      <c r="E30" s="5">
        <f>IF($G30=0,0,((Title_RESULTS!$H$14*((1+Title_RESULTS!$H$15/100)^($A30-Title_RESULTS!$H$7))*'EUE_Line Losses'!$B$25*Partcipation!$C$26))/1000)</f>
        <v>2.0557820544901775</v>
      </c>
      <c r="F30" s="5">
        <f>IF($G30=0,0,(Title_RESULTS!$H$19/100*((1+Title_RESULTS!$H$20/100)^($A30-Title_RESULTS!$H$7))*$D30*1000)/1000)</f>
        <v>0.5883965189605987</v>
      </c>
      <c r="G30" s="5">
        <f>(+Title_RESULTS!$H$22/100*((1+Title_RESULTS!$H$23/100)^(+'Sheet4(F_22)'!A30-Title_RESULTS!$H$7)))*'Sheet3(F_21)'!D30</f>
        <v>14.035814356240179</v>
      </c>
      <c r="H30" s="5">
        <f>IF($G30=0,0,(($D30))*(Partcipation!$G30/100))</f>
        <v>10.66758157119011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25.81705003200578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209.2921390849995</v>
      </c>
      <c r="D32" s="9">
        <f t="shared" si="1"/>
        <v>2412.3074221598877</v>
      </c>
      <c r="E32" s="9">
        <f t="shared" si="1"/>
        <v>21.72516402697182</v>
      </c>
      <c r="F32" s="9">
        <f t="shared" si="1"/>
        <v>6.218076891661728</v>
      </c>
      <c r="G32" s="9">
        <f t="shared" si="1"/>
        <v>133.49167273722193</v>
      </c>
      <c r="H32" s="9">
        <f t="shared" si="1"/>
        <v>99.77472663007804</v>
      </c>
      <c r="I32" s="9">
        <f t="shared" si="1"/>
        <v>0</v>
      </c>
      <c r="J32" s="9">
        <f t="shared" si="1"/>
        <v>270.952326110777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118.01382436422675</v>
      </c>
      <c r="D34" s="5"/>
      <c r="E34" s="5">
        <f>NPV(Title_RESULTS!$C$37,E17:E31)+'Sheet3(F_21)'!E16</f>
        <v>12.250195840952292</v>
      </c>
      <c r="F34" s="5">
        <f>NPV(Title_RESULTS!$C$37,F17:F31)+'Sheet3(F_21)'!F16</f>
        <v>3.506194916751266</v>
      </c>
      <c r="G34" s="5">
        <f>NPV(Title_RESULTS!$C$37,G17:G31)+'Sheet3(F_21)'!G16</f>
        <v>74.01748350769465</v>
      </c>
      <c r="H34" s="5">
        <f>NPV(Title_RESULTS!$C$37,H17:H31)+'Sheet3(F_21)'!H16</f>
        <v>55.172885762290896</v>
      </c>
      <c r="I34" s="5">
        <f>NPV(Title_RESULTS!$C$37,I17:I31)+'Sheet3(F_21)'!I16</f>
        <v>0</v>
      </c>
      <c r="J34" s="5">
        <f>NPV(Title_RESULTS!$C$37,J17:J31)+'Sheet3(F_21)'!J16</f>
        <v>152.61481286733408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Solar Water Heater</v>
      </c>
      <c r="F2" t="s">
        <v>55</v>
      </c>
    </row>
    <row r="3" spans="6:7" ht="12.75">
      <c r="F3" s="35">
        <f>+Title_RESULTS!I4</f>
        <v>43599.31822129629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5343.206751054852</v>
      </c>
      <c r="C16" s="5">
        <f>$B16*'Sheet2(F_12)'!$E16/100</f>
        <v>154.990912434448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154.990912434448</v>
      </c>
      <c r="G16" s="5">
        <f>+$F16*'Sheet2(F_12)'!$I16</f>
        <v>154.990912434448</v>
      </c>
    </row>
    <row r="17" spans="1:7" ht="12.75">
      <c r="A17">
        <f>+A16+1</f>
        <v>2021</v>
      </c>
      <c r="B17" s="5">
        <f>(+Partcipation!$C16+(Partcipation!$C17-Partcipation!$C16)/2)*Title_RESULTS!$C$10/1000</f>
        <v>16029.620253164556</v>
      </c>
      <c r="C17" s="5">
        <f>$B17*'Sheet2(F_12)'!$E17/100</f>
        <v>461.19071731884475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461.19071731884475</v>
      </c>
      <c r="G17" s="5">
        <f>+$F17*'Sheet2(F_12)'!$I17</f>
        <v>461.19071731884475</v>
      </c>
    </row>
    <row r="18" spans="1:7" ht="12.75">
      <c r="A18">
        <f>+A17+1</f>
        <v>2022</v>
      </c>
      <c r="B18" s="5">
        <f>(+Partcipation!$C17+(Partcipation!$C18-Partcipation!$C17)/2)*Title_RESULTS!$C$10/1000</f>
        <v>26716.033755274264</v>
      </c>
      <c r="C18" s="5">
        <f>$B18*'Sheet2(F_12)'!$E18/100</f>
        <v>793.299481468637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793.299481468637</v>
      </c>
      <c r="G18" s="5">
        <f>+$F18*'Sheet2(F_12)'!$I18</f>
        <v>793.299481468637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32059.24050632911</v>
      </c>
      <c r="C19" s="5">
        <f>$B19*'Sheet2(F_12)'!$E19/100</f>
        <v>991.0123635435332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991.0123635435332</v>
      </c>
      <c r="G19" s="5">
        <f>+$F19*'Sheet2(F_12)'!$I19</f>
        <v>991.0123635435332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32059.24050632911</v>
      </c>
      <c r="C20" s="5">
        <f>$B20*'Sheet2(F_12)'!$E20/100</f>
        <v>1029.9554140823745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1029.9554140823745</v>
      </c>
      <c r="G20" s="5">
        <f>+$F20*'Sheet2(F_12)'!$I20</f>
        <v>1029.9554140823745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32059.24050632911</v>
      </c>
      <c r="C21" s="5">
        <f>$B21*'Sheet2(F_12)'!$E21/100</f>
        <v>1105.862030846001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1105.862030846001</v>
      </c>
      <c r="G21" s="5">
        <f>+$F21*'Sheet2(F_12)'!$I21</f>
        <v>1105.862030846001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32059.24050632911</v>
      </c>
      <c r="C22" s="5">
        <f>$B22*'Sheet2(F_12)'!$E22/100</f>
        <v>1141.3321403194418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1141.3321403194418</v>
      </c>
      <c r="G22" s="5">
        <f>+$F22*'Sheet2(F_12)'!$I22</f>
        <v>1141.3321403194418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32059.24050632911</v>
      </c>
      <c r="C23" s="5">
        <f>$B23*'Sheet2(F_12)'!$E23/100</f>
        <v>1212.6602907153729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1212.6602907153729</v>
      </c>
      <c r="G23" s="5">
        <f>+$F23*'Sheet2(F_12)'!$I23</f>
        <v>1212.6602907153729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32059.24050632911</v>
      </c>
      <c r="C24" s="5">
        <f>$B24*'Sheet2(F_12)'!$E24/100</f>
        <v>1343.7678348051309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1343.7678348051309</v>
      </c>
      <c r="G24" s="5">
        <f>+$F24*'Sheet2(F_12)'!$I24</f>
        <v>1343.7678348051309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32059.24050632911</v>
      </c>
      <c r="C25" s="5">
        <f>$B25*'Sheet2(F_12)'!$E25/100</f>
        <v>1439.6648436506557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1439.6648436506557</v>
      </c>
      <c r="G25" s="5">
        <f>+$F25*'Sheet2(F_12)'!$I25</f>
        <v>1439.6648436506557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32059.24050632911</v>
      </c>
      <c r="C26" s="5">
        <f>$B26*'Sheet2(F_12)'!$E26/100</f>
        <v>1608.0258726277868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1608.0258726277868</v>
      </c>
      <c r="G26" s="5">
        <f>+$F26*'Sheet2(F_12)'!$I26</f>
        <v>1608.0258726277868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32059.24050632911</v>
      </c>
      <c r="C27" s="5">
        <f>$B27*'Sheet2(F_12)'!$E27/100</f>
        <v>1602.0458727433868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1602.0458727433868</v>
      </c>
      <c r="G27" s="5">
        <f>+$F27*'Sheet2(F_12)'!$I27</f>
        <v>1602.0458727433868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32059.24050632911</v>
      </c>
      <c r="C28" s="5">
        <f>$B28*'Sheet2(F_12)'!$E28/100</f>
        <v>1750.8880715993012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1750.8880715993012</v>
      </c>
      <c r="G28" s="5">
        <f>+$F28*'Sheet2(F_12)'!$I28</f>
        <v>1750.8880715993012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32059.24050632911</v>
      </c>
      <c r="C29" s="5">
        <f>$B29*'Sheet2(F_12)'!$E29/100</f>
        <v>1867.1628606824265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1867.1628606824265</v>
      </c>
      <c r="G29" s="5">
        <f>+$F29*'Sheet2(F_12)'!$I29</f>
        <v>1867.1628606824265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32059.24050632911</v>
      </c>
      <c r="C30" s="5">
        <f>$B30*'Sheet2(F_12)'!$E30/100</f>
        <v>1954.1022021270442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1954.1022021270442</v>
      </c>
      <c r="G30" s="5">
        <f>+$F30*'Sheet2(F_12)'!$I30</f>
        <v>1954.1022021270442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432799.746835443</v>
      </c>
      <c r="C32" s="5">
        <f t="shared" si="2"/>
        <v>18455.960908964385</v>
      </c>
      <c r="D32" s="5">
        <f t="shared" si="2"/>
        <v>0</v>
      </c>
      <c r="E32" s="5">
        <f t="shared" si="2"/>
        <v>0</v>
      </c>
      <c r="F32" s="5">
        <f t="shared" si="2"/>
        <v>18455.960908964385</v>
      </c>
      <c r="G32" s="5">
        <f t="shared" si="2"/>
        <v>18455.960908964385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10571.21714513783</v>
      </c>
      <c r="D34" s="5"/>
      <c r="E34" s="5">
        <f>NPV(+Title_RESULTS!$C$37,E17:E31)+E16</f>
        <v>0</v>
      </c>
      <c r="F34" s="5">
        <f>NPV(+Title_RESULTS!$C$37,F17:F31)+F16</f>
        <v>10571.21714513783</v>
      </c>
      <c r="G34" s="5">
        <f>NPV(+Title_RESULTS!$C$37,G17:G31)+G16</f>
        <v>10571.21714513783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Solar Water Heater</v>
      </c>
      <c r="J2" t="s">
        <v>42</v>
      </c>
    </row>
    <row r="3" spans="9:10" ht="12.75">
      <c r="I3" s="4"/>
      <c r="J3" s="35">
        <f>+Title_RESULTS!I4</f>
        <v>43599.31822129629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Solar Water Heater</v>
      </c>
      <c r="H2" t="s">
        <v>108</v>
      </c>
    </row>
    <row r="3" ht="12.75">
      <c r="H3" s="35">
        <f>+Title_RESULTS!I4</f>
        <v>43599.31822129629</v>
      </c>
    </row>
    <row r="5" spans="3:6" ht="12.75">
      <c r="C5" t="s">
        <v>60</v>
      </c>
      <c r="F5" s="38">
        <f>+'Value of Defferal'!L4</f>
        <v>9.005875199999998</v>
      </c>
    </row>
    <row r="6" spans="3:6" ht="12.75">
      <c r="C6" t="s">
        <v>62</v>
      </c>
      <c r="F6" s="38">
        <f>+'Value of Defferal'!L5</f>
        <v>93.6250368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154.990912434448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0.889981332788511</v>
      </c>
      <c r="C17" s="5">
        <f>IF(+Title_RESULTS!$H$9&lt;='Sheet4(F_22)'!$A17,(+Title_RESULTS!$H$16*((1+Title_RESULTS!$H$18/100)^('Sheet4(F_22)'!$A17-Title_RESULTS!$H$7))*Title_RESULTS!$C$8*Partcipation!$C$26/1000),0)</f>
        <v>0.717878027916917</v>
      </c>
      <c r="D17" s="5">
        <f>(+B17+C17)*+Partcipation!$H17</f>
        <v>1.6078593607054281</v>
      </c>
      <c r="E17" s="5">
        <f>VLOOKUP(A17,'Value of Defferal'!$I24:$P$58,'Value of Defferal'!$K$13)</f>
        <v>9.252241806952577</v>
      </c>
      <c r="F17" s="5">
        <f>IF(+'Value of Defferal'!P24=0,0,Title_RESULTS!$H$17*Title_RESULTS!$C$7*Partcipation!$C$26*(1+Title_RESULTS!$H$18/100)^('Sheet4(F_22)'!A17-Title_RESULTS!$H$7))/1000</f>
        <v>12.889497600000002</v>
      </c>
      <c r="G17" s="5">
        <f>(+E17+F17)*Partcipation!$H17</f>
        <v>22.14173940695258</v>
      </c>
      <c r="H17" s="5">
        <f>+'Sheet5(p_5)'!$F17*'Sheet2(F_12)'!$I17</f>
        <v>461.19071731884475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0.9113408847754352</v>
      </c>
      <c r="C18" s="5">
        <f>IF(+Title_RESULTS!$H$9&lt;='Sheet4(F_22)'!$A18,(+Title_RESULTS!$H$16*((1+Title_RESULTS!$H$18/100)^('Sheet4(F_22)'!$A18-Title_RESULTS!$H$7))*Title_RESULTS!$C$8*Partcipation!$C$26/1000),0)</f>
        <v>0.7351071005869231</v>
      </c>
      <c r="D18" s="5">
        <f>(+B18+C18)*+Partcipation!$H18</f>
        <v>1.6464479853623581</v>
      </c>
      <c r="E18" s="5">
        <f>VLOOKUP(A18,'Value of Defferal'!$I25:$P$58,'Value of Defferal'!$K$13)</f>
        <v>9.47429561031944</v>
      </c>
      <c r="F18" s="5">
        <f>IF(+'Value of Defferal'!P25=0,0,Title_RESULTS!$H$17*Title_RESULTS!$C$7*Partcipation!$C$26*(1+Title_RESULTS!$H$18/100)^('Sheet4(F_22)'!A18-Title_RESULTS!$H$7))/1000</f>
        <v>13.1988455424</v>
      </c>
      <c r="G18" s="5">
        <f>(+E18+F18)*Partcipation!$H18</f>
        <v>22.673141152719438</v>
      </c>
      <c r="H18" s="5">
        <f>+'Sheet5(p_5)'!$F18*'Sheet2(F_12)'!$I18</f>
        <v>793.299481468637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0.9332130660100457</v>
      </c>
      <c r="C19" s="5">
        <f>IF(+Title_RESULTS!$H$9&lt;='Sheet4(F_22)'!$A19,(+Title_RESULTS!$H$16*((1+Title_RESULTS!$H$18/100)^('Sheet4(F_22)'!$A19-Title_RESULTS!$H$7))*Title_RESULTS!$C$8*Partcipation!$C$26/1000),0)</f>
        <v>0.7527496710010093</v>
      </c>
      <c r="D19" s="5">
        <f>(+B19+C19)*+Partcipation!$H19</f>
        <v>1.685962737011055</v>
      </c>
      <c r="E19" s="5">
        <f>VLOOKUP(A19,'Value of Defferal'!$I26:$P$58,'Value of Defferal'!$K$13)</f>
        <v>9.701678704967106</v>
      </c>
      <c r="F19" s="5">
        <f>IF(+'Value of Defferal'!P26=0,0,Title_RESULTS!$H$17*Title_RESULTS!$C$7*Partcipation!$C$26*(1+Title_RESULTS!$H$18/100)^('Sheet4(F_22)'!A19-Title_RESULTS!$H$7))/1000</f>
        <v>13.515617835417602</v>
      </c>
      <c r="G19" s="5">
        <f>(+E19+F19)*Partcipation!$H19</f>
        <v>23.21729654038471</v>
      </c>
      <c r="H19" s="5">
        <f>+'Sheet5(p_5)'!$F19*'Sheet2(F_12)'!$I19</f>
        <v>991.0123635435332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0.9556101795942867</v>
      </c>
      <c r="C20" s="5">
        <f>IF(+Title_RESULTS!$H$9&lt;='Sheet4(F_22)'!$A20,(+Title_RESULTS!$H$16*((1+Title_RESULTS!$H$18/100)^('Sheet4(F_22)'!$A20-Title_RESULTS!$H$7))*Title_RESULTS!$C$8*Partcipation!$C$26/1000),0)</f>
        <v>0.7708156631050336</v>
      </c>
      <c r="D20" s="5">
        <f>(+B20+C20)*+Partcipation!$H20</f>
        <v>1.7264258426993204</v>
      </c>
      <c r="E20" s="5">
        <f>VLOOKUP(A20,'Value of Defferal'!$I27:$P$58,'Value of Defferal'!$K$13)</f>
        <v>9.934518993886316</v>
      </c>
      <c r="F20" s="5">
        <f>IF(+'Value of Defferal'!P27=0,0,Title_RESULTS!$H$17*Title_RESULTS!$C$7*Partcipation!$C$26*(1+Title_RESULTS!$H$18/100)^('Sheet4(F_22)'!A20-Title_RESULTS!$H$7))/1000</f>
        <v>13.839992663467623</v>
      </c>
      <c r="G20" s="5">
        <f>(+E20+F20)*Partcipation!$H20</f>
        <v>23.77451165735394</v>
      </c>
      <c r="H20" s="5">
        <f>+'Sheet5(p_5)'!$F20*'Sheet2(F_12)'!$I20</f>
        <v>1029.9554140823745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0.9785448239045497</v>
      </c>
      <c r="C21" s="5">
        <f>IF(+Title_RESULTS!$H$9&lt;='Sheet4(F_22)'!$A21,(+Title_RESULTS!$H$16*((1+Title_RESULTS!$H$18/100)^('Sheet4(F_22)'!$A21-Title_RESULTS!$H$7))*Title_RESULTS!$C$8*Partcipation!$C$26/1000),0)</f>
        <v>0.7893152390195544</v>
      </c>
      <c r="D21" s="5">
        <f>(+B21+C21)*+Partcipation!$H21</f>
        <v>1.767860062924104</v>
      </c>
      <c r="E21" s="5">
        <f>VLOOKUP(A21,'Value of Defferal'!$I28:$P$58,'Value of Defferal'!$K$13)</f>
        <v>10.172947449739588</v>
      </c>
      <c r="F21" s="5">
        <f>IF(+'Value of Defferal'!P28=0,0,Title_RESULTS!$H$17*Title_RESULTS!$C$7*Partcipation!$C$26*(1+Title_RESULTS!$H$18/100)^('Sheet4(F_22)'!A21-Title_RESULTS!$H$7))/1000</f>
        <v>14.172152487390848</v>
      </c>
      <c r="G21" s="5">
        <f>(+E21+F21)*Partcipation!$H21</f>
        <v>24.345099937130435</v>
      </c>
      <c r="H21" s="5">
        <f>+'Sheet5(p_5)'!$F21*'Sheet2(F_12)'!$I21</f>
        <v>1105.862030846001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1.0020298996782588</v>
      </c>
      <c r="C22" s="5">
        <f>IF(+Title_RESULTS!$H$9&lt;='Sheet4(F_22)'!$A22,(+Title_RESULTS!$H$16*((1+Title_RESULTS!$H$18/100)^('Sheet4(F_22)'!$A22-Title_RESULTS!$H$7))*Title_RESULTS!$C$8*Partcipation!$C$26/1000),0)</f>
        <v>0.8082588047560235</v>
      </c>
      <c r="D22" s="5">
        <f>(+B22+C22)*+Partcipation!$H22</f>
        <v>1.8102887044342824</v>
      </c>
      <c r="E22" s="5">
        <f>VLOOKUP(A22,'Value of Defferal'!$I29:$P$58,'Value of Defferal'!$K$13)</f>
        <v>10.41709818853334</v>
      </c>
      <c r="F22" s="5">
        <f>IF(+'Value of Defferal'!P29=0,0,Title_RESULTS!$H$17*Title_RESULTS!$C$7*Partcipation!$C$26*(1+Title_RESULTS!$H$18/100)^('Sheet4(F_22)'!A22-Title_RESULTS!$H$7))/1000</f>
        <v>14.512284147088225</v>
      </c>
      <c r="G22" s="5">
        <f>(+E22+F22)*Partcipation!$H22</f>
        <v>24.929382335621565</v>
      </c>
      <c r="H22" s="5">
        <f>+'Sheet5(p_5)'!$F22*'Sheet2(F_12)'!$I22</f>
        <v>1141.3321403194418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1.0260786172705372</v>
      </c>
      <c r="C23" s="5">
        <f>IF(+Title_RESULTS!$H$9&lt;='Sheet4(F_22)'!$A23,(+Title_RESULTS!$H$16*((1+Title_RESULTS!$H$18/100)^('Sheet4(F_22)'!$A23-Title_RESULTS!$H$7))*Title_RESULTS!$C$8*Partcipation!$C$26/1000),0)</f>
        <v>0.8276570160701681</v>
      </c>
      <c r="D23" s="5">
        <f>(+B23+C23)*+Partcipation!$H23</f>
        <v>1.8537356333407051</v>
      </c>
      <c r="E23" s="5">
        <f>VLOOKUP(A23,'Value of Defferal'!$I30:$P$58,'Value of Defferal'!$K$13)</f>
        <v>10.667108545058138</v>
      </c>
      <c r="F23" s="5">
        <f>IF(+'Value of Defferal'!P30=0,0,Title_RESULTS!$H$17*Title_RESULTS!$C$7*Partcipation!$C$26*(1+Title_RESULTS!$H$18/100)^('Sheet4(F_22)'!A23-Title_RESULTS!$H$7))/1000</f>
        <v>14.860578966618347</v>
      </c>
      <c r="G23" s="5">
        <f>(+E23+F23)*Partcipation!$H23</f>
        <v>25.527687511676483</v>
      </c>
      <c r="H23" s="5">
        <f>+'Sheet5(p_5)'!$F23*'Sheet2(F_12)'!$I23</f>
        <v>1212.6602907153729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1.05070450408503</v>
      </c>
      <c r="C24" s="5">
        <f>IF(+Title_RESULTS!$H$9&lt;='Sheet4(F_22)'!$A24,(+Title_RESULTS!$H$16*((1+Title_RESULTS!$H$18/100)^('Sheet4(F_22)'!$A24-Title_RESULTS!$H$7))*Title_RESULTS!$C$8*Partcipation!$C$26/1000),0)</f>
        <v>0.847520784455852</v>
      </c>
      <c r="D24" s="5">
        <f>(+B24+C24)*+Partcipation!$H24</f>
        <v>1.898225288540882</v>
      </c>
      <c r="E24" s="5">
        <f>VLOOKUP(A24,'Value of Defferal'!$I31:$P$58,'Value of Defferal'!$K$13)</f>
        <v>10.923119150139533</v>
      </c>
      <c r="F24" s="5">
        <f>IF(+'Value of Defferal'!P31=0,0,Title_RESULTS!$H$17*Title_RESULTS!$C$7*Partcipation!$C$26*(1+Title_RESULTS!$H$18/100)^('Sheet4(F_22)'!A24-Title_RESULTS!$H$7))/1000</f>
        <v>15.217232861817184</v>
      </c>
      <c r="G24" s="5">
        <f>(+E24+F24)*Partcipation!$H24</f>
        <v>26.140352011956715</v>
      </c>
      <c r="H24" s="5">
        <f>+'Sheet5(p_5)'!$F24*'Sheet2(F_12)'!$I24</f>
        <v>1343.7678348051309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1.0759214121830707</v>
      </c>
      <c r="C25" s="5">
        <f>IF(+Title_RESULTS!$H$9&lt;='Sheet4(F_22)'!$A25,(+Title_RESULTS!$H$16*((1+Title_RESULTS!$H$18/100)^('Sheet4(F_22)'!$A25-Title_RESULTS!$H$7))*Title_RESULTS!$C$8*Partcipation!$C$26/1000),0)</f>
        <v>0.8678612832827924</v>
      </c>
      <c r="D25" s="5">
        <f>(+B25+C25)*+Partcipation!$H25</f>
        <v>1.9437826954658632</v>
      </c>
      <c r="E25" s="5">
        <f>VLOOKUP(A25,'Value of Defferal'!$I32:$P$58,'Value of Defferal'!$K$13)</f>
        <v>11.185274009742884</v>
      </c>
      <c r="F25" s="5">
        <f>IF(+'Value of Defferal'!P32=0,0,Title_RESULTS!$H$17*Title_RESULTS!$C$7*Partcipation!$C$26*(1+Title_RESULTS!$H$18/100)^('Sheet4(F_22)'!A25-Title_RESULTS!$H$7))/1000</f>
        <v>15.582446450500795</v>
      </c>
      <c r="G25" s="5">
        <f>(+E25+F25)*Partcipation!$H25</f>
        <v>26.76772046024368</v>
      </c>
      <c r="H25" s="5">
        <f>+'Sheet5(p_5)'!$F25*'Sheet2(F_12)'!$I25</f>
        <v>1439.6648436506557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1.1017435260754644</v>
      </c>
      <c r="C26" s="5">
        <f>IF(+Title_RESULTS!$H$9&lt;='Sheet4(F_22)'!$A26,(+Title_RESULTS!$H$16*((1+Title_RESULTS!$H$18/100)^('Sheet4(F_22)'!$A26-Title_RESULTS!$H$7))*Title_RESULTS!$C$8*Partcipation!$C$26/1000),0)</f>
        <v>0.8886899540815796</v>
      </c>
      <c r="D26" s="5">
        <f>(+B26+C26)*+Partcipation!$H26</f>
        <v>1.990433480157044</v>
      </c>
      <c r="E26" s="5">
        <f>VLOOKUP(A26,'Value of Defferal'!$I33:$P$58,'Value of Defferal'!$K$13)</f>
        <v>11.453720585976713</v>
      </c>
      <c r="F26" s="5">
        <f>IF(+'Value of Defferal'!P33=0,0,Title_RESULTS!$H$17*Title_RESULTS!$C$7*Partcipation!$C$26*(1+Title_RESULTS!$H$18/100)^('Sheet4(F_22)'!A26-Title_RESULTS!$H$7))/1000</f>
        <v>15.956425165312815</v>
      </c>
      <c r="G26" s="5">
        <f>(+E26+F26)*Partcipation!$H26</f>
        <v>27.410145751289527</v>
      </c>
      <c r="H26" s="5">
        <f>+'Sheet5(p_5)'!$F26*'Sheet2(F_12)'!$I26</f>
        <v>1608.0258726277868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1.128185370701276</v>
      </c>
      <c r="C27" s="5">
        <f>IF(+Title_RESULTS!$H$9&lt;='Sheet4(F_22)'!$A27,(+Title_RESULTS!$H$16*((1+Title_RESULTS!$H$18/100)^('Sheet4(F_22)'!$A27-Title_RESULTS!$H$7))*Title_RESULTS!$C$8*Partcipation!$C$26/1000),0)</f>
        <v>0.9100185129795376</v>
      </c>
      <c r="D27" s="5">
        <f>(+B27+C27)*+Partcipation!$H27</f>
        <v>2.0382038836808136</v>
      </c>
      <c r="E27" s="5">
        <f>VLOOKUP(A27,'Value of Defferal'!$I34:$P$58,'Value of Defferal'!$K$13)</f>
        <v>11.728609880040155</v>
      </c>
      <c r="F27" s="5">
        <f>IF(+'Value of Defferal'!P34=0,0,Title_RESULTS!$H$17*Title_RESULTS!$C$7*Partcipation!$C$26*(1+Title_RESULTS!$H$18/100)^('Sheet4(F_22)'!A27-Title_RESULTS!$H$7))/1000</f>
        <v>16.339379369280326</v>
      </c>
      <c r="G27" s="5">
        <f>(+E27+F27)*Partcipation!$H27</f>
        <v>28.067989249320483</v>
      </c>
      <c r="H27" s="5">
        <f>+'Sheet5(p_5)'!$F27*'Sheet2(F_12)'!$I27</f>
        <v>1602.0458727433868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1.1552618195981064</v>
      </c>
      <c r="C28" s="5">
        <f>IF(+Title_RESULTS!$H$9&lt;='Sheet4(F_22)'!$A28,(+Title_RESULTS!$H$16*((1+Title_RESULTS!$H$18/100)^('Sheet4(F_22)'!$A28-Title_RESULTS!$H$7))*Title_RESULTS!$C$8*Partcipation!$C$26/1000),0)</f>
        <v>0.9318589572910463</v>
      </c>
      <c r="D28" s="5">
        <f>(+B28+C28)*+Partcipation!$H28</f>
        <v>2.0871207768891527</v>
      </c>
      <c r="E28" s="5">
        <f>VLOOKUP(A28,'Value of Defferal'!$I35:$P$58,'Value of Defferal'!$K$13)</f>
        <v>12.010096517161118</v>
      </c>
      <c r="F28" s="5">
        <f>IF(+'Value of Defferal'!P35=0,0,Title_RESULTS!$H$17*Title_RESULTS!$C$7*Partcipation!$C$26*(1+Title_RESULTS!$H$18/100)^('Sheet4(F_22)'!A28-Title_RESULTS!$H$7))/1000</f>
        <v>16.73152447414305</v>
      </c>
      <c r="G28" s="5">
        <f>(+E28+F28)*Partcipation!$H28</f>
        <v>28.741620991304167</v>
      </c>
      <c r="H28" s="5">
        <f>+'Sheet5(p_5)'!$F28*'Sheet2(F_12)'!$I28</f>
        <v>1750.8880715993012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1.182988103268461</v>
      </c>
      <c r="C29" s="5">
        <f>IF(+Title_RESULTS!$H$9&lt;='Sheet4(F_22)'!$A29,(+Title_RESULTS!$H$16*((1+Title_RESULTS!$H$18/100)^('Sheet4(F_22)'!$A29-Title_RESULTS!$H$7))*Title_RESULTS!$C$8*Partcipation!$C$26/1000),0)</f>
        <v>0.9542235722660314</v>
      </c>
      <c r="D29" s="5">
        <f>(+B29+C29)*+Partcipation!$H29</f>
        <v>2.1372116755344925</v>
      </c>
      <c r="E29" s="5">
        <f>VLOOKUP(A29,'Value of Defferal'!$I36:$P$58,'Value of Defferal'!$K$13)</f>
        <v>12.298338833572986</v>
      </c>
      <c r="F29" s="5">
        <f>IF(+'Value of Defferal'!P36=0,0,Title_RESULTS!$H$17*Title_RESULTS!$C$7*Partcipation!$C$26*(1+Title_RESULTS!$H$18/100)^('Sheet4(F_22)'!A29-Title_RESULTS!$H$7))/1000</f>
        <v>17.133081061522482</v>
      </c>
      <c r="G29" s="5">
        <f>(+E29+F29)*Partcipation!$H29</f>
        <v>29.431419895095466</v>
      </c>
      <c r="H29" s="5">
        <f>+'Sheet5(p_5)'!$F29*'Sheet2(F_12)'!$I29</f>
        <v>1867.1628606824265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1.211379817746904</v>
      </c>
      <c r="C30" s="5">
        <f>IF(+Title_RESULTS!$H$9&lt;='Sheet4(F_22)'!$A30,(+Title_RESULTS!$H$16*((1+Title_RESULTS!$H$18/100)^('Sheet4(F_22)'!$A30-Title_RESULTS!$H$7))*Title_RESULTS!$C$8*Partcipation!$C$26/1000),0)</f>
        <v>0.9771249380004161</v>
      </c>
      <c r="D30" s="5">
        <f>(+B30+C30)*+Partcipation!$H30</f>
        <v>2.18850475574732</v>
      </c>
      <c r="E30" s="5">
        <f>VLOOKUP(A30,'Value of Defferal'!$I37:$P$58,'Value of Defferal'!$K$13)</f>
        <v>12.593498965578737</v>
      </c>
      <c r="F30" s="5">
        <f>IF(+'Value of Defferal'!P37=0,0,Title_RESULTS!$H$17*Title_RESULTS!$C$7*Partcipation!$C$26*(1+Title_RESULTS!$H$18/100)^('Sheet4(F_22)'!A30-Title_RESULTS!$H$7))/1000</f>
        <v>17.544275006999023</v>
      </c>
      <c r="G30" s="5">
        <f>(+E30+F30)*Partcipation!$H30</f>
        <v>30.13777397257776</v>
      </c>
      <c r="H30" s="5">
        <f>+'Sheet5(p_5)'!$F30*'Sheet2(F_12)'!$I30</f>
        <v>1954.1022021270442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14.602983357679935</v>
      </c>
      <c r="C32" s="5">
        <f t="shared" si="1"/>
        <v>11.779079524812884</v>
      </c>
      <c r="D32" s="5">
        <f t="shared" si="1"/>
        <v>26.382062882492825</v>
      </c>
      <c r="E32" s="5">
        <f t="shared" si="1"/>
        <v>151.81254724166863</v>
      </c>
      <c r="F32" s="5">
        <f t="shared" si="1"/>
        <v>211.4933336319583</v>
      </c>
      <c r="G32" s="5">
        <f t="shared" si="1"/>
        <v>363.3058808736269</v>
      </c>
      <c r="H32" s="5">
        <f t="shared" si="1"/>
        <v>18455.960908964385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8.844437251339127</v>
      </c>
      <c r="C34" s="5">
        <f>NPV(Title_RESULTS!$C$37,'Sheet4(F_22)'!C17:C31)+'Sheet4(F_22)'!C16</f>
        <v>7.134112748334506</v>
      </c>
      <c r="D34" s="5">
        <f>NPV(Title_RESULTS!$C$37,'Sheet4(F_22)'!D17:D31)+'Sheet4(F_22)'!D16</f>
        <v>15.978549999673637</v>
      </c>
      <c r="E34" s="5">
        <f>NPV(Title_RESULTS!$C$37,'Sheet4(F_22)'!E17:E31)+'Sheet4(F_22)'!E16</f>
        <v>91.94672863464919</v>
      </c>
      <c r="F34" s="5">
        <f>NPV(Title_RESULTS!$C$37,'Sheet4(F_22)'!F17:F31)+'Sheet4(F_22)'!F16</f>
        <v>128.09297063265095</v>
      </c>
      <c r="G34" s="5">
        <f>NPV(Title_RESULTS!$C$37,'Sheet4(F_22)'!G17:G31)+'Sheet4(F_22)'!G16</f>
        <v>220.0396992673001</v>
      </c>
      <c r="H34" s="5">
        <f>NPV(Title_RESULTS!$C$37,'Sheet4(F_22)'!H17:H31)+'Sheet4(F_22)'!H16</f>
        <v>10571.21714513783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Solar Water Heater</v>
      </c>
      <c r="P2" t="s">
        <v>121</v>
      </c>
    </row>
    <row r="3" ht="12.75">
      <c r="P3" s="35">
        <f>+Title_RESULTS!I4</f>
        <v>43599.31822129629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1664.4752927396473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1664.4752927396473</v>
      </c>
      <c r="H16" s="5">
        <f>IF(Partcipation!$B17&lt;Partcipation!$B16,0,IF(Partcipation!$B16=0,0,(Partcipation!$B16-Partcipation!$B15)*(+Title_RESULTS!$C$29*(1+Title_RESULTS!$C$30/100)^(+'Sheet8(F_24)'!$A16-Title_RESULTS!$H$7))/1000))</f>
        <v>3477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3477</v>
      </c>
      <c r="K16" s="5">
        <f>(+Partcipation!$B15+(Partcipation!$B16-Partcipation!$B15)/2)*(+Title_RESULTS!$C$14)/1000</f>
        <v>5065.36</v>
      </c>
      <c r="L16" s="5">
        <f>($K16)*Partcipation!$E73*Title_RESULTS!$C$12/100</f>
        <v>123.32188983524873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114.4869348</v>
      </c>
      <c r="N16" s="5">
        <f>'Sheet2(F_12)'!$I16*('Sheet6(p_6)'!$L16+'Sheet6(p_6)'!$M16)</f>
        <v>237.80882463524873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1664.4752927396473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1664.4752927396473</v>
      </c>
      <c r="H17" s="5">
        <f>IF(Partcipation!$B18&lt;Partcipation!$B17,0,IF(Partcipation!$B17=0,0,(Partcipation!$B17-Partcipation!$B16)*(+Title_RESULTS!$C$29*(1+Title_RESULTS!$C$30/100)^(+'Sheet8(F_24)'!$A17-Title_RESULTS!$H$7))/1000))</f>
        <v>3556.9709999999995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3556.9709999999995</v>
      </c>
      <c r="K17" s="5">
        <f>(+Partcipation!$B16+(Partcipation!$B17-Partcipation!$B16)/2)*(+Title_RESULTS!$C$14)/1000</f>
        <v>15196.079999999998</v>
      </c>
      <c r="L17" s="5">
        <f>($K17)*Partcipation!$E74*Title_RESULTS!$C$12/100</f>
        <v>387.57362460380614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346.89541244400004</v>
      </c>
      <c r="N17" s="5">
        <f>'Sheet2(F_12)'!$I17*('Sheet6(p_6)'!$L17+'Sheet6(p_6)'!$M17)</f>
        <v>734.4690370478062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1664.4752927396473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1664.4752927396473</v>
      </c>
      <c r="H18" s="5">
        <f>IF(Partcipation!$B19&lt;Partcipation!$B18,0,IF(Partcipation!$B18=0,0,(Partcipation!$B18-Partcipation!$B17)*(+Title_RESULTS!$C$29*(1+Title_RESULTS!$C$30/100)^(+'Sheet8(F_24)'!$A18-Title_RESULTS!$H$7))/1000))</f>
        <v>3638.7813329999994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3638.7813329999994</v>
      </c>
      <c r="K18" s="5">
        <f>(+Partcipation!$B17+(Partcipation!$B18-Partcipation!$B17)/2)*(+Title_RESULTS!$C$14)/1000</f>
        <v>25326.8</v>
      </c>
      <c r="L18" s="5">
        <f>($K18)*Partcipation!$E75*Title_RESULTS!$C$12/100</f>
        <v>669.7500824593029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583.9406109474</v>
      </c>
      <c r="N18" s="5">
        <f>'Sheet2(F_12)'!$I18*('Sheet6(p_6)'!$L18+'Sheet6(p_6)'!$M18)</f>
        <v>1253.6906934067028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30392.159999999996</v>
      </c>
      <c r="L19" s="5">
        <f>($K19)*Partcipation!$E76*Title_RESULTS!$C$12/100</f>
        <v>797.1118570202921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707.7360204682489</v>
      </c>
      <c r="N19" s="5">
        <f>'Sheet2(F_12)'!$I19*('Sheet6(p_6)'!$L19+'Sheet6(p_6)'!$M19)</f>
        <v>1504.847877488541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30392.159999999996</v>
      </c>
      <c r="L20" s="5">
        <f>($K20)*Partcipation!$E77*Title_RESULTS!$C$12/100</f>
        <v>842.3238291562285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714.8133806729313</v>
      </c>
      <c r="N20" s="5">
        <f>'Sheet2(F_12)'!$I20*('Sheet6(p_6)'!$L20+'Sheet6(p_6)'!$M20)</f>
        <v>1557.13720982916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30392.159999999996</v>
      </c>
      <c r="L21" s="5">
        <f>($K21)*Partcipation!$E78*Title_RESULTS!$C$12/100</f>
        <v>890.6721025004944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721.9615144796605</v>
      </c>
      <c r="N21" s="5">
        <f>'Sheet2(F_12)'!$I21*('Sheet6(p_6)'!$L21+'Sheet6(p_6)'!$M21)</f>
        <v>1612.6336169801548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30392.159999999996</v>
      </c>
      <c r="L22" s="5">
        <f>($K22)*Partcipation!$E79*Title_RESULTS!$C$12/100</f>
        <v>930.9430992057788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729.1811296244573</v>
      </c>
      <c r="N22" s="5">
        <f>'Sheet2(F_12)'!$I22*('Sheet6(p_6)'!$L22+'Sheet6(p_6)'!$M22)</f>
        <v>1660.124228830236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30392.159999999996</v>
      </c>
      <c r="L23" s="5">
        <f>($K23)*Partcipation!$E80*Title_RESULTS!$C$12/100</f>
        <v>985.757929971451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736.4729409207017</v>
      </c>
      <c r="N23" s="5">
        <f>'Sheet2(F_12)'!$I23*('Sheet6(p_6)'!$L23+'Sheet6(p_6)'!$M23)</f>
        <v>1722.2308708921528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30392.159999999996</v>
      </c>
      <c r="L24" s="5">
        <f>($K24)*Partcipation!$E81*Title_RESULTS!$C$12/100</f>
        <v>1079.104387005811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743.837670329909</v>
      </c>
      <c r="N24" s="5">
        <f>'Sheet2(F_12)'!$I24*('Sheet6(p_6)'!$L24+'Sheet6(p_6)'!$M24)</f>
        <v>1822.9420573357202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30392.159999999996</v>
      </c>
      <c r="L25" s="5">
        <f>($K25)*Partcipation!$E82*Title_RESULTS!$C$12/100</f>
        <v>1134.0823256638243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751.276047033208</v>
      </c>
      <c r="N25" s="5">
        <f>'Sheet2(F_12)'!$I25*('Sheet6(p_6)'!$L25+'Sheet6(p_6)'!$M25)</f>
        <v>1885.3583726970323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30392.159999999996</v>
      </c>
      <c r="L26" s="5">
        <f>($K26)*Partcipation!$E83*Title_RESULTS!$C$12/100</f>
        <v>1235.6416515984572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758.7888075035402</v>
      </c>
      <c r="N26" s="5">
        <f>'Sheet2(F_12)'!$I26*('Sheet6(p_6)'!$L26+'Sheet6(p_6)'!$M26)</f>
        <v>1994.4304591019973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30392.159999999996</v>
      </c>
      <c r="L27" s="5">
        <f>($K27)*Partcipation!$E84*Title_RESULTS!$C$12/100</f>
        <v>1278.2367920570944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766.3766955785753</v>
      </c>
      <c r="N27" s="5">
        <f>'Sheet2(F_12)'!$I27*('Sheet6(p_6)'!$L27+'Sheet6(p_6)'!$M27)</f>
        <v>2044.6134876356696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30392.159999999996</v>
      </c>
      <c r="L28" s="5">
        <f>($K28)*Partcipation!$E85*Title_RESULTS!$C$12/100</f>
        <v>1369.4403265613992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774.0404625343612</v>
      </c>
      <c r="N28" s="5">
        <f>'Sheet2(F_12)'!$I28*('Sheet6(p_6)'!$L28+'Sheet6(p_6)'!$M28)</f>
        <v>2143.4807890957604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30392.159999999996</v>
      </c>
      <c r="L29" s="5">
        <f>($K29)*Partcipation!$E86*Title_RESULTS!$C$12/100</f>
        <v>1398.1648630135405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781.7808671597047</v>
      </c>
      <c r="N29" s="5">
        <f>'Sheet2(F_12)'!$I29*('Sheet6(p_6)'!$L29+'Sheet6(p_6)'!$M29)</f>
        <v>2179.9457301732455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30392.159999999996</v>
      </c>
      <c r="L30" s="5">
        <f>($K30)*Partcipation!$E87*Title_RESULTS!$C$12/100</f>
        <v>1490.5063331284223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789.5986758313019</v>
      </c>
      <c r="N30" s="5">
        <f>'Sheet2(F_12)'!$I30*('Sheet6(p_6)'!$L30+'Sheet6(p_6)'!$M30)</f>
        <v>2280.1050089597243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4993.425878218942</v>
      </c>
      <c r="F32" s="5">
        <f t="shared" si="4"/>
        <v>0</v>
      </c>
      <c r="G32" s="5">
        <f t="shared" si="4"/>
        <v>4993.425878218942</v>
      </c>
      <c r="H32" s="5">
        <f t="shared" si="4"/>
        <v>10672.752332999999</v>
      </c>
      <c r="I32" s="5">
        <f t="shared" si="4"/>
        <v>0</v>
      </c>
      <c r="J32" s="5">
        <f t="shared" si="4"/>
        <v>10672.752332999999</v>
      </c>
      <c r="K32" s="5">
        <f t="shared" si="4"/>
        <v>410294.1599999999</v>
      </c>
      <c r="L32" s="5">
        <f t="shared" si="4"/>
        <v>14612.631093781149</v>
      </c>
      <c r="M32" s="5">
        <f t="shared" si="4"/>
        <v>10021.187170328</v>
      </c>
      <c r="N32" s="5">
        <f t="shared" si="4"/>
        <v>24633.81826410915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4670.543179977714</v>
      </c>
      <c r="F34" s="5">
        <f>NPV(Title_RESULTS!$C$37,'Sheet6(p_6)'!F17:F31)+'Sheet6(p_6)'!F16</f>
        <v>0</v>
      </c>
      <c r="G34" s="5">
        <f>NPV(Title_RESULTS!$C$37,'Sheet6(p_6)'!G17:G31)+'Sheet6(p_6)'!G16</f>
        <v>4670.543179977714</v>
      </c>
      <c r="H34" s="5">
        <f>NPV(Title_RESULTS!$C$37,'Sheet6(p_6)'!H17:H31)+'Sheet6(p_6)'!H16</f>
        <v>9972.293719943642</v>
      </c>
      <c r="I34" s="5">
        <f>NPV(Title_RESULTS!$C$37,'Sheet6(p_6)'!I17:I31)+'Sheet6(p_6)'!I16</f>
        <v>0</v>
      </c>
      <c r="J34" s="5">
        <f>NPV(Title_RESULTS!$C$37,'Sheet6(p_6)'!J17:J31)+'Sheet6(p_6)'!J16</f>
        <v>9972.293719943642</v>
      </c>
      <c r="K34" s="5"/>
      <c r="L34" s="5">
        <f>NPV(Title_RESULTS!$C$37,'Sheet6(p_6)'!L17:L31)+'Sheet6(p_6)'!L16</f>
        <v>8432.217625681635</v>
      </c>
      <c r="M34" s="5">
        <f>NPV(Title_RESULTS!$C$37,'Sheet6(p_6)'!M17:M31)+'Sheet6(p_6)'!M16</f>
        <v>6065.77670632681</v>
      </c>
      <c r="N34" s="5">
        <f>NPV(Title_RESULTS!$C$37,'Sheet6(p_6)'!N17:N31)+'Sheet6(p_6)'!N16</f>
        <v>14497.994332008444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Solar Water Heater</v>
      </c>
      <c r="M2" t="s">
        <v>55</v>
      </c>
    </row>
    <row r="3" ht="12.75">
      <c r="M3" s="35">
        <f>+Title_RESULTS!I4</f>
        <v>43599.31822129629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3477</v>
      </c>
      <c r="E16" s="5">
        <f>IF(A16&gt;=(Title_RESULTS!$H$7+Title_RESULTS!$C$17),0,(+'f-11B'!$N15))</f>
        <v>0</v>
      </c>
      <c r="F16" s="5">
        <f>IF(A16&gt;=(Title_RESULTS!$H$7+Title_RESULTS!$C$17),0,(SUM(B16:E16)))</f>
        <v>3517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154.990912434448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154.990912434448</v>
      </c>
      <c r="L16" s="23">
        <f>IF(A16&gt;=(Title_RESULTS!$H$7+Title_RESULTS!$C$17),0,(+$K16-$F16))</f>
        <v>-3362.009087565552</v>
      </c>
      <c r="M16" s="23">
        <f>IF(A16&gt;=(Title_RESULTS!$H$7+Title_RESULTS!$C$17),0,(+$L16/(1+Title_RESULTS!$C$37)^('Sheet7(F_23)'!$A16-Title_RESULTS!$H$7)))</f>
        <v>-3362.009087565552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3556.9709999999995</v>
      </c>
      <c r="E17" s="5">
        <f>IF(A17&gt;=(Title_RESULTS!$H$7+Title_RESULTS!$C$17),0,(+'f-11B'!$N16))</f>
        <v>0</v>
      </c>
      <c r="F17" s="5">
        <f>IF(A17&gt;=(Title_RESULTS!$H$7+Title_RESULTS!$C$17),0,(SUM(B17:E17)))</f>
        <v>3597.9309999999996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23.74959876765801</v>
      </c>
      <c r="I17" s="5">
        <f>IF(A17&gt;=(Title_RESULTS!$H$7+Title_RESULTS!$C$17),0,(+'Sheet4(F_22)'!$H17))</f>
        <v>461.19071731884475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484.9403160865028</v>
      </c>
      <c r="L17" s="23">
        <f>IF(A17&gt;=(Title_RESULTS!$H$7+Title_RESULTS!$C$17),0,(+$K17-$F17))</f>
        <v>-3112.990683913497</v>
      </c>
      <c r="M17" s="23">
        <f>IF(A17&gt;=(Title_RESULTS!$H$7+Title_RESULTS!$C$17),0,(+M16+$L17/(1+Title_RESULTS!$C$37)^('Sheet7(F_23)'!$A17-Title_RESULTS!$H$7)))</f>
        <v>-6269.172595142594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3638.7813329999994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3680.7243729999996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24.319589138081795</v>
      </c>
      <c r="I18" s="5">
        <f>IF(A18&gt;=(Title_RESULTS!$H$7+Title_RESULTS!$C$17),0,(+'Sheet4(F_22)'!$H18))</f>
        <v>793.299481468637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817.6190706067189</v>
      </c>
      <c r="L18" s="23">
        <f>IF(A18&gt;=(Title_RESULTS!$H$7+Title_RESULTS!$C$17),0,(+$K18-$F18))</f>
        <v>-2863.105302393281</v>
      </c>
      <c r="M18" s="23">
        <f>IF(A18&gt;=(Title_RESULTS!$H$7+Title_RESULTS!$C$17),0,(+M17+$L18/(1+Title_RESULTS!$C$37)^('Sheet7(F_23)'!$A18-Title_RESULTS!$H$7)))</f>
        <v>-8766.184404111735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19.528663914893293</v>
      </c>
      <c r="H19" s="5">
        <f>IF(A19&gt;=(Title_RESULTS!$H$7+Title_RESULTS!$C$17),0,(+'Sheet4(F_22)'!$D19+'Sheet4(F_22)'!$G19))</f>
        <v>24.903259277395765</v>
      </c>
      <c r="I19" s="5">
        <f>IF(A19&gt;=(Title_RESULTS!$H$7+Title_RESULTS!$C$17),0,(+'Sheet4(F_22)'!$H19))</f>
        <v>991.0123635435332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1035.4442867358223</v>
      </c>
      <c r="L19" s="23">
        <f>IF(A19&gt;=(Title_RESULTS!$H$7+Title_RESULTS!$C$17),0,(+$K19-$F19))</f>
        <v>1035.4442867358223</v>
      </c>
      <c r="M19" s="23">
        <f>IF(A19&gt;=(Title_RESULTS!$H$7+Title_RESULTS!$C$17),0,(+M18+$L19/(1+Title_RESULTS!$C$37)^('Sheet7(F_23)'!$A19-Title_RESULTS!$H$7)))</f>
        <v>-7922.846445003352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20.04941998861436</v>
      </c>
      <c r="H20" s="5">
        <f>IF(A20&gt;=(Title_RESULTS!$H$7+Title_RESULTS!$C$17),0,(+'Sheet4(F_22)'!$D20+'Sheet4(F_22)'!$G20))</f>
        <v>25.50093750005326</v>
      </c>
      <c r="I20" s="5">
        <f>IF(A20&gt;=(Title_RESULTS!$H$7+Title_RESULTS!$C$17),0,(+'Sheet4(F_22)'!$H20))</f>
        <v>1029.9554140823745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1075.5057715710423</v>
      </c>
      <c r="L20" s="23">
        <f>IF(A20&gt;=(Title_RESULTS!$H$7+Title_RESULTS!$C$17),0,(+$K20-$F20))</f>
        <v>1075.5057715710423</v>
      </c>
      <c r="M20" s="23">
        <f>IF(A20&gt;=(Title_RESULTS!$H$7+Title_RESULTS!$C$17),0,(+M19+$L20/(1+Title_RESULTS!$C$37)^('Sheet7(F_23)'!$A20-Title_RESULTS!$H$7)))</f>
        <v>-7104.797488003879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20.61914850964345</v>
      </c>
      <c r="H21" s="5">
        <f>IF(A21&gt;=(Title_RESULTS!$H$7+Title_RESULTS!$C$17),0,(+'Sheet4(F_22)'!$D21+'Sheet4(F_22)'!$G21))</f>
        <v>26.11296000005454</v>
      </c>
      <c r="I21" s="5">
        <f>IF(A21&gt;=(Title_RESULTS!$H$7+Title_RESULTS!$C$17),0,(+'Sheet4(F_22)'!$H21))</f>
        <v>1105.862030846001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1152.594139355699</v>
      </c>
      <c r="L21" s="23">
        <f>IF(A21&gt;=(Title_RESULTS!$H$7+Title_RESULTS!$C$17),0,(+$K21-$F21))</f>
        <v>1152.594139355699</v>
      </c>
      <c r="M21" s="23">
        <f>IF(A21&gt;=(Title_RESULTS!$H$7+Title_RESULTS!$C$17),0,(+M20+$L21/(1+Title_RESULTS!$C$37)^('Sheet7(F_23)'!$A21-Title_RESULTS!$H$7)))</f>
        <v>-6286.079005994498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21.257240488870035</v>
      </c>
      <c r="H22" s="5">
        <f>IF(A22&gt;=(Title_RESULTS!$H$7+Title_RESULTS!$C$17),0,(+'Sheet4(F_22)'!$D22+'Sheet4(F_22)'!$G22))</f>
        <v>26.739671040055846</v>
      </c>
      <c r="I22" s="5">
        <f>IF(A22&gt;=(Title_RESULTS!$H$7+Title_RESULTS!$C$17),0,(+'Sheet4(F_22)'!$H22))</f>
        <v>1141.3321403194418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1189.3290518483677</v>
      </c>
      <c r="L22" s="23">
        <f>IF(A22&gt;=(Title_RESULTS!$H$7+Title_RESULTS!$C$17),0,(+$K22-$F22))</f>
        <v>1189.3290518483677</v>
      </c>
      <c r="M22" s="23">
        <f>IF(A22&gt;=(Title_RESULTS!$H$7+Title_RESULTS!$C$17),0,(+M21+$L22/(1+Title_RESULTS!$C$37)^('Sheet7(F_23)'!$A22-Title_RESULTS!$H$7)))</f>
        <v>-5497.124697009236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21.82951714789271</v>
      </c>
      <c r="H23" s="5">
        <f>IF(A23&gt;=(Title_RESULTS!$H$7+Title_RESULTS!$C$17),0,(+'Sheet4(F_22)'!$D23+'Sheet4(F_22)'!$G23))</f>
        <v>27.381423145017187</v>
      </c>
      <c r="I23" s="5">
        <f>IF(A23&gt;=(Title_RESULTS!$H$7+Title_RESULTS!$C$17),0,(+'Sheet4(F_22)'!$H23))</f>
        <v>1212.6602907153729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1261.8712310082828</v>
      </c>
      <c r="L23" s="23">
        <f>IF(A23&gt;=(Title_RESULTS!$H$7+Title_RESULTS!$C$17),0,(+$K23-$F23))</f>
        <v>1261.8712310082828</v>
      </c>
      <c r="M23" s="23">
        <f>IF(A23&gt;=(Title_RESULTS!$H$7+Title_RESULTS!$C$17),0,(+M22+$L23/(1+Title_RESULTS!$C$37)^('Sheet7(F_23)'!$A23-Title_RESULTS!$H$7)))</f>
        <v>-4715.395196369276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22.1830493671035</v>
      </c>
      <c r="H24" s="5">
        <f>IF(A24&gt;=(Title_RESULTS!$H$7+Title_RESULTS!$C$17),0,(+'Sheet4(F_22)'!$D24+'Sheet4(F_22)'!$G24))</f>
        <v>28.038577300497597</v>
      </c>
      <c r="I24" s="5">
        <f>IF(A24&gt;=(Title_RESULTS!$H$7+Title_RESULTS!$C$17),0,(+'Sheet4(F_22)'!$H24))</f>
        <v>1343.7678348051309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1393.989461472732</v>
      </c>
      <c r="L24" s="23">
        <f>IF(A24&gt;=(Title_RESULTS!$H$7+Title_RESULTS!$C$17),0,(+$K24-$F24))</f>
        <v>1393.989461472732</v>
      </c>
      <c r="M24" s="23">
        <f>IF(A24&gt;=(Title_RESULTS!$H$7+Title_RESULTS!$C$17),0,(+M23+$L24/(1+Title_RESULTS!$C$37)^('Sheet7(F_23)'!$A24-Title_RESULTS!$H$7)))</f>
        <v>-3908.9170744052963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22.78565280585414</v>
      </c>
      <c r="H25" s="5">
        <f>IF(A25&gt;=(Title_RESULTS!$H$7+Title_RESULTS!$C$17),0,(+'Sheet4(F_22)'!$D25+'Sheet4(F_22)'!$G25))</f>
        <v>28.711503155709543</v>
      </c>
      <c r="I25" s="5">
        <f>IF(A25&gt;=(Title_RESULTS!$H$7+Title_RESULTS!$C$17),0,(+'Sheet4(F_22)'!$H25))</f>
        <v>1439.6648436506557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1491.1619996122195</v>
      </c>
      <c r="L25" s="23">
        <f>IF(A25&gt;=(Title_RESULTS!$H$7+Title_RESULTS!$C$17),0,(+$K25-$F25))</f>
        <v>1491.1619996122195</v>
      </c>
      <c r="M25" s="23">
        <f>IF(A25&gt;=(Title_RESULTS!$H$7+Title_RESULTS!$C$17),0,(+M24+$L25/(1+Title_RESULTS!$C$37)^('Sheet7(F_23)'!$A25-Title_RESULTS!$H$7)))</f>
        <v>-3103.2612241422057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23.150393368111622</v>
      </c>
      <c r="H26" s="5">
        <f>IF(A26&gt;=(Title_RESULTS!$H$7+Title_RESULTS!$C$17),0,(+'Sheet4(F_22)'!$D26+'Sheet4(F_22)'!$G26))</f>
        <v>29.40057923144657</v>
      </c>
      <c r="I26" s="5">
        <f>IF(A26&gt;=(Title_RESULTS!$H$7+Title_RESULTS!$C$17),0,(+'Sheet4(F_22)'!$H26))</f>
        <v>1608.0258726277868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1660.576845227345</v>
      </c>
      <c r="L26" s="23">
        <f>IF(A26&gt;=(Title_RESULTS!$H$7+Title_RESULTS!$C$17),0,(+$K26-$F26))</f>
        <v>1660.576845227345</v>
      </c>
      <c r="M26" s="23">
        <f>IF(A26&gt;=(Title_RESULTS!$H$7+Title_RESULTS!$C$17),0,(+M25+$L26/(1+Title_RESULTS!$C$37)^('Sheet7(F_23)'!$A26-Title_RESULTS!$H$7)))</f>
        <v>-2265.3937090190625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23.94967359007396</v>
      </c>
      <c r="H27" s="5">
        <f>IF(A27&gt;=(Title_RESULTS!$H$7+Title_RESULTS!$C$17),0,(+'Sheet4(F_22)'!$D27+'Sheet4(F_22)'!$G27))</f>
        <v>30.106193133001298</v>
      </c>
      <c r="I27" s="5">
        <f>IF(A27&gt;=(Title_RESULTS!$H$7+Title_RESULTS!$C$17),0,(+'Sheet4(F_22)'!$H27))</f>
        <v>1602.0458727433868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1656.101739466462</v>
      </c>
      <c r="L27" s="23">
        <f>IF(A27&gt;=(Title_RESULTS!$H$7+Title_RESULTS!$C$17),0,(+$K27-$F27))</f>
        <v>1656.101739466462</v>
      </c>
      <c r="M27" s="23">
        <f>IF(A27&gt;=(Title_RESULTS!$H$7+Title_RESULTS!$C$17),0,(+M26+$L27/(1+Title_RESULTS!$C$37)^('Sheet7(F_23)'!$A27-Title_RESULTS!$H$7)))</f>
        <v>-1485.0336630088827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24.454539963758123</v>
      </c>
      <c r="H28" s="5">
        <f>IF(A28&gt;=(Title_RESULTS!$H$7+Title_RESULTS!$C$17),0,(+'Sheet4(F_22)'!$D28+'Sheet4(F_22)'!$G28))</f>
        <v>30.828741768193318</v>
      </c>
      <c r="I28" s="5">
        <f>IF(A28&gt;=(Title_RESULTS!$H$7+Title_RESULTS!$C$17),0,(+'Sheet4(F_22)'!$H28))</f>
        <v>1750.8880715993012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1806.1713533312527</v>
      </c>
      <c r="L28" s="23">
        <f>IF(A28&gt;=(Title_RESULTS!$H$7+Title_RESULTS!$C$17),0,(+$K28-$F28))</f>
        <v>1806.1713533312527</v>
      </c>
      <c r="M28" s="23">
        <f>IF(A28&gt;=(Title_RESULTS!$H$7+Title_RESULTS!$C$17),0,(+M27+$L28/(1+Title_RESULTS!$C$37)^('Sheet7(F_23)'!$A28-Title_RESULTS!$H$7)))</f>
        <v>-690.232306396908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25.327976933956023</v>
      </c>
      <c r="H29" s="5">
        <f>IF(A29&gt;=(Title_RESULTS!$H$7+Title_RESULTS!$C$17),0,(+'Sheet4(F_22)'!$D29+'Sheet4(F_22)'!$G29))</f>
        <v>31.568631570629957</v>
      </c>
      <c r="I29" s="5">
        <f>IF(A29&gt;=(Title_RESULTS!$H$7+Title_RESULTS!$C$17),0,(+'Sheet4(F_22)'!$H29))</f>
        <v>1867.1628606824265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1924.0594691870126</v>
      </c>
      <c r="L29" s="23">
        <f>IF(A29&gt;=(Title_RESULTS!$H$7+Title_RESULTS!$C$17),0,(+$K29-$F29))</f>
        <v>1924.0594691870126</v>
      </c>
      <c r="M29" s="23">
        <f>IF(A29&gt;=(Title_RESULTS!$H$7+Title_RESULTS!$C$17),0,(+M28+$L29/(1+Title_RESULTS!$C$37)^('Sheet7(F_23)'!$A29-Title_RESULTS!$H$7)))</f>
        <v>100.46412453301468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25.81705003200578</v>
      </c>
      <c r="H30" s="5">
        <f>IF(A30&gt;=(Title_RESULTS!$H$7+Title_RESULTS!$C$17),0,(+'Sheet4(F_22)'!$D30+'Sheet4(F_22)'!$G30))</f>
        <v>32.32627872832508</v>
      </c>
      <c r="I30" s="5">
        <f>IF(A30&gt;=(Title_RESULTS!$H$7+Title_RESULTS!$C$17),0,(+'Sheet4(F_22)'!$H30))</f>
        <v>1954.1022021270442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2012.245530887375</v>
      </c>
      <c r="L30" s="23">
        <f>IF(A30&gt;=(Title_RESULTS!$H$7+Title_RESULTS!$C$17),0,(+$K30-$F30))</f>
        <v>2012.245530887375</v>
      </c>
      <c r="M30" s="23">
        <f>IF(A30&gt;=(Title_RESULTS!$H$7+Title_RESULTS!$C$17),0,(+M29+$L30/(1+Title_RESULTS!$C$37)^('Sheet7(F_23)'!$A30-Title_RESULTS!$H$7)))</f>
        <v>872.7247568846401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10672.752332999999</v>
      </c>
      <c r="E32" s="5">
        <f t="shared" si="1"/>
        <v>0</v>
      </c>
      <c r="F32" s="5">
        <f t="shared" si="1"/>
        <v>10795.655373</v>
      </c>
      <c r="G32" s="5">
        <f t="shared" si="1"/>
        <v>270.952326110777</v>
      </c>
      <c r="H32" s="5">
        <f t="shared" si="1"/>
        <v>389.68794375611975</v>
      </c>
      <c r="I32" s="5">
        <f t="shared" si="1"/>
        <v>18455.960908964385</v>
      </c>
      <c r="J32" s="5">
        <f t="shared" si="1"/>
        <v>0</v>
      </c>
      <c r="K32" s="5">
        <f t="shared" si="1"/>
        <v>19116.601178831283</v>
      </c>
      <c r="L32" s="5">
        <f t="shared" si="1"/>
        <v>8320.945805831285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9972.293719943642</v>
      </c>
      <c r="E34" s="5">
        <f>NPV(Title_RESULTS!$C$37,'Sheet7(F_23)'!E17:E31)+'Sheet7(F_23)'!E16</f>
        <v>0</v>
      </c>
      <c r="F34" s="5">
        <f>NPV(Title_RESULTS!$C$37,'Sheet7(F_23)'!F17:F31)+'Sheet7(F_23)'!F16</f>
        <v>10087.125450387499</v>
      </c>
      <c r="G34" s="5">
        <f>NPV(Title_RESULTS!$C$37,'Sheet7(F_23)'!G17:G31)+'Sheet7(F_23)'!G16</f>
        <v>152.61481286733408</v>
      </c>
      <c r="H34" s="5">
        <f>NPV(Title_RESULTS!$C$37,'Sheet7(F_23)'!H17:H31)+'Sheet7(F_23)'!H16</f>
        <v>236.01824926697378</v>
      </c>
      <c r="I34" s="5">
        <f>NPV(Title_RESULTS!$C$37,'Sheet7(F_23)'!I17:I31)+'Sheet7(F_23)'!I16</f>
        <v>10571.21714513783</v>
      </c>
      <c r="J34" s="5">
        <f>NPV(Title_RESULTS!$C$37,'Sheet7(F_23)'!J17:J31)+'Sheet7(F_23)'!J16</f>
        <v>0</v>
      </c>
      <c r="K34" s="5">
        <f>NPV(Title_RESULTS!$C$37,'Sheet7(F_23)'!K17:K31)+'Sheet7(F_23)'!K16</f>
        <v>10959.850207272142</v>
      </c>
      <c r="L34" s="5">
        <f>NPV(Title_RESULTS!$C$37,'Sheet7(F_23)'!L17:L31)+'Sheet7(F_23)'!L16</f>
        <v>872.7247568846401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1.08651867781134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Solar Water Heater</v>
      </c>
      <c r="L2" t="s">
        <v>55</v>
      </c>
    </row>
    <row r="3" ht="12.75">
      <c r="L3" s="35">
        <f>+Title_RESULTS!I4</f>
        <v>43599.31822129629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237.80882463524873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1664.4752927396473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1902.2841173748961</v>
      </c>
      <c r="G16" s="5">
        <f>IF(A16&gt;=(Title_RESULTS!$H$7+Title_RESULTS!$C$17),0,(+'Sheet6(p_6)'!$H16))</f>
        <v>3477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3477</v>
      </c>
      <c r="K16" s="23">
        <f>IF(A16&gt;=(Title_RESULTS!$H$7+Title_RESULTS!$C$17),0,(+F16-J16))</f>
        <v>-1574.7158826251039</v>
      </c>
      <c r="L16" s="23">
        <f>IF(A16&gt;=(Title_RESULTS!$H$7+Title_RESULTS!$C$17),0,(+$K16/((1+Title_RESULTS!$C$37)^('Sheet8(F_24)'!$A16-Title_RESULTS!$H$7))))</f>
        <v>-1574.7158826251039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734.4690370478062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1664.4752927396473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2398.9443297874536</v>
      </c>
      <c r="G17" s="5">
        <f>IF(A17&gt;=(Title_RESULTS!$H$7+Title_RESULTS!$C$17),0,(+'Sheet6(p_6)'!$H17))</f>
        <v>3556.9709999999995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3556.9709999999995</v>
      </c>
      <c r="K17" s="23">
        <f>IF(A17&gt;=(Title_RESULTS!$H$7+Title_RESULTS!$C$17),0,(+F17-J17))</f>
        <v>-1158.026670212546</v>
      </c>
      <c r="L17" s="23">
        <f>IF(A16&gt;=(Title_RESULTS!$H$7+Title_RESULTS!$C$17),0,(+$K17/((1+Title_RESULTS!$C$37)^('Sheet8(F_24)'!$A17-Title_RESULTS!$H$7))+L16))</f>
        <v>-2656.1752309745116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1253.6906934067028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1664.4752927396473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2918.1659861463504</v>
      </c>
      <c r="G18" s="5">
        <f>IF(A18&gt;=(Title_RESULTS!$H$7+Title_RESULTS!$C$17),0,(+'Sheet6(p_6)'!$H18))</f>
        <v>3638.7813329999994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3638.7813329999994</v>
      </c>
      <c r="K18" s="23">
        <f>IF(A18&gt;=(Title_RESULTS!$H$7+Title_RESULTS!$C$17),0,(+F18-J18))</f>
        <v>-720.615346853649</v>
      </c>
      <c r="L18" s="23">
        <f>IF(A17&gt;=(Title_RESULTS!$H$7+Title_RESULTS!$C$17),0,(+$K18/((1+Title_RESULTS!$C$37)^('Sheet8(F_24)'!$A18-Title_RESULTS!$H$7))+L17))</f>
        <v>-3284.6484587366344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1504.847877488541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1504.847877488541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1504.847877488541</v>
      </c>
      <c r="L19" s="23">
        <f>IF(A18&gt;=(Title_RESULTS!$H$7+Title_RESULTS!$C$17),0,(+$K19/((1+Title_RESULTS!$C$37)^('Sheet8(F_24)'!$A19-Title_RESULTS!$H$7))+L18))</f>
        <v>-2058.9955153315223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1557.13720982916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1557.13720982916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1557.13720982916</v>
      </c>
      <c r="L20" s="23">
        <f>IF(A19&gt;=(Title_RESULTS!$H$7+Title_RESULTS!$C$17),0,(+$K20/((1+Title_RESULTS!$C$37)^('Sheet8(F_24)'!$A20-Title_RESULTS!$H$7))+L19))</f>
        <v>-874.609058209036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1612.6336169801548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1612.6336169801548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1612.6336169801548</v>
      </c>
      <c r="L21" s="23">
        <f>IF(A20&gt;=(Title_RESULTS!$H$7+Title_RESULTS!$C$17),0,(+$K21/((1+Title_RESULTS!$C$37)^('Sheet8(F_24)'!$A21-Title_RESULTS!$H$7))+L20))</f>
        <v>270.8877839572224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1660.124228830236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1660.124228830236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1660.124228830236</v>
      </c>
      <c r="L22" s="23">
        <f>IF(A21&gt;=(Title_RESULTS!$H$7+Title_RESULTS!$C$17),0,(+$K22/((1+Title_RESULTS!$C$37)^('Sheet8(F_24)'!$A22-Title_RESULTS!$H$7))+L21))</f>
        <v>1372.1491731000456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1722.2308708921528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1722.2308708921528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1722.2308708921528</v>
      </c>
      <c r="L23" s="23">
        <f>IF(A22&gt;=(Title_RESULTS!$H$7+Title_RESULTS!$C$17),0,(+$K23/((1+Title_RESULTS!$C$37)^('Sheet8(F_24)'!$A23-Title_RESULTS!$H$7))+L22))</f>
        <v>2439.0715702558055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1822.9420573357202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1822.9420573357202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1822.9420573357202</v>
      </c>
      <c r="L24" s="23">
        <f>IF(A23&gt;=(Title_RESULTS!$H$7+Title_RESULTS!$C$17),0,(+$K24/((1+Title_RESULTS!$C$37)^('Sheet8(F_24)'!$A24-Title_RESULTS!$H$7))+L23))</f>
        <v>3493.715760532579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1885.3583726970323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1885.3583726970323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1885.3583726970323</v>
      </c>
      <c r="L25" s="23">
        <f>IF(A24&gt;=(Title_RESULTS!$H$7+Title_RESULTS!$C$17),0,(+$K25/((1+Title_RESULTS!$C$37)^('Sheet8(F_24)'!$A25-Title_RESULTS!$H$7))+L24))</f>
        <v>4512.350894207439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1994.4304591019973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1994.4304591019973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1994.4304591019973</v>
      </c>
      <c r="L26" s="23">
        <f>IF(A25&gt;=(Title_RESULTS!$H$7+Title_RESULTS!$C$17),0,(+$K26/((1+Title_RESULTS!$C$37)^('Sheet8(F_24)'!$A26-Title_RESULTS!$H$7))+L25))</f>
        <v>5518.6689683492705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2044.6134876356696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2044.6134876356696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2044.6134876356696</v>
      </c>
      <c r="L27" s="23">
        <f>IF(A26&gt;=(Title_RESULTS!$H$7+Title_RESULTS!$C$17),0,(+$K27/((1+Title_RESULTS!$C$37)^('Sheet8(F_24)'!$A27-Title_RESULTS!$H$7))+L26))</f>
        <v>6482.0969011032275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2143.4807890957604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2143.4807890957604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2143.4807890957604</v>
      </c>
      <c r="L28" s="23">
        <f>IF(A27&gt;=(Title_RESULTS!$H$7+Title_RESULTS!$C$17),0,(+$K28/((1+Title_RESULTS!$C$37)^('Sheet8(F_24)'!$A28-Title_RESULTS!$H$7))+L27))</f>
        <v>7425.330463025725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2179.9457301732455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2179.9457301732455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2179.9457301732455</v>
      </c>
      <c r="L29" s="23">
        <f>IF(A28&gt;=(Title_RESULTS!$H$7+Title_RESULTS!$C$17),0,(+$K29/((1+Title_RESULTS!$C$37)^('Sheet8(F_24)'!$A29-Title_RESULTS!$H$7))+L28))</f>
        <v>8321.183910423184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2280.1050089597243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2280.1050089597243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2280.1050089597243</v>
      </c>
      <c r="L30" s="23">
        <f>IF(A29&gt;=(Title_RESULTS!$H$7+Title_RESULTS!$C$17),0,(+$K30/((1+Title_RESULTS!$C$37)^('Sheet8(F_24)'!$A30-Title_RESULTS!$H$7))+L29))</f>
        <v>9196.24379204252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24633.81826410915</v>
      </c>
      <c r="C32" s="5">
        <f t="shared" si="1"/>
        <v>0</v>
      </c>
      <c r="D32" s="5">
        <f t="shared" si="1"/>
        <v>4993.425878218942</v>
      </c>
      <c r="E32" s="5">
        <f t="shared" si="1"/>
        <v>0</v>
      </c>
      <c r="F32" s="5">
        <f t="shared" si="1"/>
        <v>29627.244142328094</v>
      </c>
      <c r="G32" s="5">
        <f t="shared" si="1"/>
        <v>10672.752332999999</v>
      </c>
      <c r="H32" s="5">
        <f t="shared" si="1"/>
        <v>0</v>
      </c>
      <c r="I32" s="5">
        <f t="shared" si="1"/>
        <v>0</v>
      </c>
      <c r="J32" s="5">
        <f t="shared" si="1"/>
        <v>10672.752332999999</v>
      </c>
      <c r="K32" s="5">
        <f t="shared" si="1"/>
        <v>18954.491809328094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14497.994332008444</v>
      </c>
      <c r="C34" s="5">
        <f>NPV(Title_RESULTS!$C$37,'Sheet8(F_24)'!C17:C31)+'Sheet8(F_24)'!C16</f>
        <v>0</v>
      </c>
      <c r="D34" s="5">
        <f>NPV(Title_RESULTS!$C$37,'Sheet8(F_24)'!D17:D31)+'Sheet8(F_24)'!D16</f>
        <v>4670.543179977714</v>
      </c>
      <c r="E34" s="5">
        <f>NPV(Title_RESULTS!$C$37,'Sheet8(F_24)'!E17:E31)+'Sheet8(F_24)'!E16</f>
        <v>0</v>
      </c>
      <c r="F34" s="5">
        <f>NPV(Title_RESULTS!$C$37,'Sheet8(F_24)'!F17:F31)+'Sheet8(F_24)'!F16</f>
        <v>19168.53751198616</v>
      </c>
      <c r="G34" s="5">
        <f>NPV(Title_RESULTS!$C$37,'Sheet8(F_24)'!G17:G31)+'Sheet8(F_24)'!G16</f>
        <v>9972.293719943642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9972.293719943642</v>
      </c>
      <c r="K34" s="5">
        <f>NPV(Title_RESULTS!$C$37,'Sheet8(F_24)'!K17:K31)+'Sheet8(F_24)'!K16</f>
        <v>9196.24379204252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1.9221793952629878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Solar Water Heater</v>
      </c>
      <c r="N2" t="s">
        <v>55</v>
      </c>
    </row>
    <row r="3" ht="12.75">
      <c r="N3" s="35">
        <f>+Title_RESULTS!I4</f>
        <v>43599.31822129629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1664.4752927396473</v>
      </c>
      <c r="E16" s="5">
        <f>+'Sheet6(p_6)'!M16</f>
        <v>114.4869348</v>
      </c>
      <c r="F16">
        <f>IF(A16&gt;=(Title_RESULTS!$H$7+Title_RESULTS!$C$17),0,(+'f-11B'!$R15))</f>
        <v>0</v>
      </c>
      <c r="G16" s="5">
        <f>IF(A16&gt;=(Title_RESULTS!$H$7+Title_RESULTS!$C$17),0,(SUM(B16:F16)))</f>
        <v>1818.9622275396473</v>
      </c>
      <c r="H16" s="5">
        <f>IF(A16&gt;=(Title_RESULTS!$H$7+Title_RESULTS!$C$17),0,(+'Sheet3(F_21)'!$J16+'Sheet4(F_22)'!$H16))</f>
        <v>154.990912434448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154.990912434448</v>
      </c>
      <c r="M16" s="23">
        <f>IF(A16&gt;=(Title_RESULTS!$H$7+Title_RESULTS!$C$17),0,(+L16-G16))</f>
        <v>-1663.9713151051992</v>
      </c>
      <c r="N16" s="24">
        <f>IF(A16&gt;=(Title_RESULTS!$H$7+Title_RESULTS!$C$17),0,(+$M16/((1+Title_RESULTS!$C$37)^('Sheet9(F_25)'!$A16-Title_RESULTS!$H$7))))</f>
        <v>-1663.9713151051992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1664.4752927396473</v>
      </c>
      <c r="E17" s="5">
        <f>+'Sheet6(p_6)'!M17</f>
        <v>346.89541244400004</v>
      </c>
      <c r="F17">
        <f>IF(A17&gt;=(Title_RESULTS!$H$7+Title_RESULTS!$C$17),0,(+'f-11B'!$R16))</f>
        <v>0</v>
      </c>
      <c r="G17" s="5">
        <f>IF(A17&gt;=(Title_RESULTS!$H$7+Title_RESULTS!$C$17),0,(SUM(B17:F17)))</f>
        <v>2052.3307051836473</v>
      </c>
      <c r="H17" s="5">
        <f>IF(A17&gt;=(Title_RESULTS!$H$7+Title_RESULTS!$C$17),0,(+'Sheet3(F_21)'!$J17+'Sheet4(F_22)'!$H17))</f>
        <v>461.19071731884475</v>
      </c>
      <c r="I17" s="5">
        <f>IF(A17&gt;=(Title_RESULTS!$H$7+Title_RESULTS!$C$17),0,(+'Sheet4(F_22)'!$D17+'Sheet4(F_22)'!$G17))</f>
        <v>23.74959876765801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484.9403160865028</v>
      </c>
      <c r="M17" s="23">
        <f>IF(A17&gt;=(Title_RESULTS!$H$7+Title_RESULTS!$C$17),0,(+L17-G17))</f>
        <v>-1567.3903890971446</v>
      </c>
      <c r="N17" s="24">
        <f>(IF(A16&gt;=(Title_RESULTS!$H$7+Title_RESULTS!$C$17),0,(+$M17/((1+Title_RESULTS!$C$37)^('Sheet9(F_25)'!$A17-Title_RESULTS!$H$7))+N16)))</f>
        <v>-3127.7277487035785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1664.4752927396473</v>
      </c>
      <c r="E18" s="5">
        <f>+'Sheet6(p_6)'!M18</f>
        <v>583.9406109474</v>
      </c>
      <c r="F18">
        <f>IF(A18&gt;=(Title_RESULTS!$H$7+Title_RESULTS!$C$17),0,(+'f-11B'!$R17))</f>
        <v>0</v>
      </c>
      <c r="G18" s="5">
        <f>IF(A18&gt;=(Title_RESULTS!$H$7+Title_RESULTS!$C$17),0,(SUM(B18:F18)))</f>
        <v>2290.358943687047</v>
      </c>
      <c r="H18" s="5">
        <f>IF(A18&gt;=(Title_RESULTS!$H$7+Title_RESULTS!$C$17),0,(+'Sheet3(F_21)'!$J18+'Sheet4(F_22)'!$H18))</f>
        <v>793.299481468637</v>
      </c>
      <c r="I18" s="5">
        <f>IF(A18&gt;=(Title_RESULTS!$H$7+Title_RESULTS!$C$17),0,(+'Sheet4(F_22)'!$D18+'Sheet4(F_22)'!$G18))</f>
        <v>24.319589138081795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817.6190706067189</v>
      </c>
      <c r="M18" s="23">
        <f>IF(A18&gt;=(Title_RESULTS!$H$7+Title_RESULTS!$C$17),0,(+L18-G18))</f>
        <v>-1472.7398730803282</v>
      </c>
      <c r="N18" s="24">
        <f>(IF(A17&gt;=(Title_RESULTS!$H$7+Title_RESULTS!$C$17),0,(+$M18/((1+Title_RESULTS!$C$37)^('Sheet9(F_25)'!$A18-Title_RESULTS!$H$7))+N17)))</f>
        <v>-4412.154434493758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707.7360204682489</v>
      </c>
      <c r="F19">
        <f>IF(A19&gt;=(Title_RESULTS!$H$7+Title_RESULTS!$C$17),0,(+'f-11B'!$R18))</f>
        <v>0</v>
      </c>
      <c r="G19" s="5">
        <f>IF(A19&gt;=(Title_RESULTS!$H$7+Title_RESULTS!$C$17),0,(SUM(B19:F19)))</f>
        <v>707.7360204682489</v>
      </c>
      <c r="H19" s="5">
        <f>IF(A19&gt;=(Title_RESULTS!$H$7+Title_RESULTS!$C$17),0,(+'Sheet3(F_21)'!$J19+'Sheet4(F_22)'!$H19))</f>
        <v>1010.5410274584265</v>
      </c>
      <c r="I19" s="5">
        <f>IF(A19&gt;=(Title_RESULTS!$H$7+Title_RESULTS!$C$17),0,(+'Sheet4(F_22)'!$D19+'Sheet4(F_22)'!$G19))</f>
        <v>24.903259277395765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1035.4442867358223</v>
      </c>
      <c r="M19" s="23">
        <f>IF(A19&gt;=(Title_RESULTS!$H$7+Title_RESULTS!$C$17),0,(+L19-G19))</f>
        <v>327.70826626757344</v>
      </c>
      <c r="N19" s="24">
        <f>(IF(A18&gt;=(Title_RESULTS!$H$7+Title_RESULTS!$C$17),0,(+$M19/((1+Title_RESULTS!$C$37)^('Sheet9(F_25)'!$A19-Title_RESULTS!$H$7))+N18)))</f>
        <v>-4145.245993356593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714.8133806729313</v>
      </c>
      <c r="F20">
        <f>IF(A20&gt;=(Title_RESULTS!$H$7+Title_RESULTS!$C$17),0,(+'f-11B'!$R19))</f>
        <v>0</v>
      </c>
      <c r="G20" s="5">
        <f>IF(A20&gt;=(Title_RESULTS!$H$7+Title_RESULTS!$C$17),0,(SUM(B20:F20)))</f>
        <v>714.8133806729313</v>
      </c>
      <c r="H20" s="5">
        <f>IF(A20&gt;=(Title_RESULTS!$H$7+Title_RESULTS!$C$17),0,(+'Sheet3(F_21)'!$J20+'Sheet4(F_22)'!$H20))</f>
        <v>1050.0048340709889</v>
      </c>
      <c r="I20" s="5">
        <f>IF(A20&gt;=(Title_RESULTS!$H$7+Title_RESULTS!$C$17),0,(+'Sheet4(F_22)'!$D20+'Sheet4(F_22)'!$G20))</f>
        <v>25.50093750005326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1075.505771571042</v>
      </c>
      <c r="M20" s="23">
        <f>IF(A20&gt;=(Title_RESULTS!$H$7+Title_RESULTS!$C$17),0,(+L20-G20))</f>
        <v>360.6923908981107</v>
      </c>
      <c r="N20" s="24">
        <f>(IF(A19&gt;=(Title_RESULTS!$H$7+Title_RESULTS!$C$17),0,(+$M20/((1+Title_RESULTS!$C$37)^('Sheet9(F_25)'!$A20-Title_RESULTS!$H$7))+N19)))</f>
        <v>-3870.896899217534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721.9615144796605</v>
      </c>
      <c r="F21">
        <f>IF(A21&gt;=(Title_RESULTS!$H$7+Title_RESULTS!$C$17),0,(+'f-11B'!$R20))</f>
        <v>0</v>
      </c>
      <c r="G21" s="5">
        <f>IF(A21&gt;=(Title_RESULTS!$H$7+Title_RESULTS!$C$17),0,(SUM(B21:F21)))</f>
        <v>721.9615144796605</v>
      </c>
      <c r="H21" s="5">
        <f>IF(A21&gt;=(Title_RESULTS!$H$7+Title_RESULTS!$C$17),0,(+'Sheet3(F_21)'!$J21+'Sheet4(F_22)'!$H21))</f>
        <v>1126.4811793556446</v>
      </c>
      <c r="I21" s="5">
        <f>IF(A21&gt;=(Title_RESULTS!$H$7+Title_RESULTS!$C$17),0,(+'Sheet4(F_22)'!$D21+'Sheet4(F_22)'!$G21))</f>
        <v>26.11296000005454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1152.594139355699</v>
      </c>
      <c r="M21" s="23">
        <f>IF(A21&gt;=(Title_RESULTS!$H$7+Title_RESULTS!$C$17),0,(+L21-G21))</f>
        <v>430.63262487603856</v>
      </c>
      <c r="N21" s="24">
        <f>(IF(A20&gt;=(Title_RESULTS!$H$7+Title_RESULTS!$C$17),0,(+$M21/((1+Title_RESULTS!$C$37)^('Sheet9(F_25)'!$A21-Title_RESULTS!$H$7))+N20)))</f>
        <v>-3565.0070140413777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729.1811296244573</v>
      </c>
      <c r="F22">
        <f>IF(A22&gt;=(Title_RESULTS!$H$7+Title_RESULTS!$C$17),0,(+'f-11B'!$R21))</f>
        <v>0</v>
      </c>
      <c r="G22" s="5">
        <f>IF(A22&gt;=(Title_RESULTS!$H$7+Title_RESULTS!$C$17),0,(SUM(B22:F22)))</f>
        <v>729.1811296244573</v>
      </c>
      <c r="H22" s="5">
        <f>IF(A22&gt;=(Title_RESULTS!$H$7+Title_RESULTS!$C$17),0,(+'Sheet3(F_21)'!$J22+'Sheet4(F_22)'!$H22))</f>
        <v>1162.589380808312</v>
      </c>
      <c r="I22" s="5">
        <f>IF(A22&gt;=(Title_RESULTS!$H$7+Title_RESULTS!$C$17),0,(+'Sheet4(F_22)'!$D22+'Sheet4(F_22)'!$G22))</f>
        <v>26.739671040055846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1189.3290518483677</v>
      </c>
      <c r="M22" s="23">
        <f>IF(A22&gt;=(Title_RESULTS!$H$7+Title_RESULTS!$C$17),0,(+L22-G22))</f>
        <v>460.1479222239104</v>
      </c>
      <c r="N22" s="24">
        <f>(IF(A21&gt;=(Title_RESULTS!$H$7+Title_RESULTS!$C$17),0,(+$M22/((1+Title_RESULTS!$C$37)^('Sheet9(F_25)'!$A22-Title_RESULTS!$H$7))+N21)))</f>
        <v>-3259.7629056552537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736.4729409207017</v>
      </c>
      <c r="F23">
        <f>IF(A23&gt;=(Title_RESULTS!$H$7+Title_RESULTS!$C$17),0,(+'f-11B'!$R22))</f>
        <v>0</v>
      </c>
      <c r="G23" s="5">
        <f>IF(A23&gt;=(Title_RESULTS!$H$7+Title_RESULTS!$C$17),0,(SUM(B23:F23)))</f>
        <v>736.4729409207017</v>
      </c>
      <c r="H23" s="5">
        <f>IF(A23&gt;=(Title_RESULTS!$H$7+Title_RESULTS!$C$17),0,(+'Sheet3(F_21)'!$J23+'Sheet4(F_22)'!$H23))</f>
        <v>1234.4898078632655</v>
      </c>
      <c r="I23" s="5">
        <f>IF(A23&gt;=(Title_RESULTS!$H$7+Title_RESULTS!$C$17),0,(+'Sheet4(F_22)'!$D23+'Sheet4(F_22)'!$G23))</f>
        <v>27.381423145017187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1261.8712310082826</v>
      </c>
      <c r="M23" s="23">
        <f>IF(A23&gt;=(Title_RESULTS!$H$7+Title_RESULTS!$C$17),0,(+L23-G23))</f>
        <v>525.3982900875809</v>
      </c>
      <c r="N23" s="24">
        <f>(IF(A22&gt;=(Title_RESULTS!$H$7+Title_RESULTS!$C$17),0,(+$M23/((1+Title_RESULTS!$C$37)^('Sheet9(F_25)'!$A23-Title_RESULTS!$H$7))+N22)))</f>
        <v>-2934.278551265881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743.837670329909</v>
      </c>
      <c r="F24">
        <f>IF(A24&gt;=(Title_RESULTS!$H$7+Title_RESULTS!$C$17),0,(+'f-11B'!$R23))</f>
        <v>0</v>
      </c>
      <c r="G24" s="5">
        <f>IF(A24&gt;=(Title_RESULTS!$H$7+Title_RESULTS!$C$17),0,(SUM(B24:F24)))</f>
        <v>743.837670329909</v>
      </c>
      <c r="H24" s="5">
        <f>IF(A24&gt;=(Title_RESULTS!$H$7+Title_RESULTS!$C$17),0,(+'Sheet3(F_21)'!$J24+'Sheet4(F_22)'!$H24))</f>
        <v>1365.9508841722343</v>
      </c>
      <c r="I24" s="5">
        <f>IF(A24&gt;=(Title_RESULTS!$H$7+Title_RESULTS!$C$17),0,(+'Sheet4(F_22)'!$D24+'Sheet4(F_22)'!$G24))</f>
        <v>28.038577300497597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1393.9894614727318</v>
      </c>
      <c r="M24" s="23">
        <f>IF(A24&gt;=(Title_RESULTS!$H$7+Title_RESULTS!$C$17),0,(+L24-G24))</f>
        <v>650.1517911428228</v>
      </c>
      <c r="N24" s="24">
        <f>(IF(A23&gt;=(Title_RESULTS!$H$7+Title_RESULTS!$C$17),0,(+$M24/((1+Title_RESULTS!$C$37)^('Sheet9(F_25)'!$A24-Title_RESULTS!$H$7))+N23)))</f>
        <v>-2558.1399863742713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751.276047033208</v>
      </c>
      <c r="F25">
        <f>IF(A25&gt;=(Title_RESULTS!$H$7+Title_RESULTS!$C$17),0,(+'f-11B'!$R24))</f>
        <v>0</v>
      </c>
      <c r="G25" s="5">
        <f>IF(A25&gt;=(Title_RESULTS!$H$7+Title_RESULTS!$C$17),0,(SUM(B25:F25)))</f>
        <v>751.276047033208</v>
      </c>
      <c r="H25" s="5">
        <f>IF(A25&gt;=(Title_RESULTS!$H$7+Title_RESULTS!$C$17),0,(+'Sheet3(F_21)'!$J25+'Sheet4(F_22)'!$H25))</f>
        <v>1462.4504964565099</v>
      </c>
      <c r="I25" s="5">
        <f>IF(A25&gt;=(Title_RESULTS!$H$7+Title_RESULTS!$C$17),0,(+'Sheet4(F_22)'!$D25+'Sheet4(F_22)'!$G25))</f>
        <v>28.711503155709543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1491.1619996122195</v>
      </c>
      <c r="M25" s="23">
        <f>IF(A25&gt;=(Title_RESULTS!$H$7+Title_RESULTS!$C$17),0,(+L25-G25))</f>
        <v>739.8859525790115</v>
      </c>
      <c r="N25" s="24">
        <f>(IF(A24&gt;=(Title_RESULTS!$H$7+Title_RESULTS!$C$17),0,(+$M25/((1+Title_RESULTS!$C$37)^('Sheet9(F_25)'!$A25-Title_RESULTS!$H$7))+N24)))</f>
        <v>-2158.3890227782463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758.7888075035402</v>
      </c>
      <c r="F26">
        <f>IF(A26&gt;=(Title_RESULTS!$H$7+Title_RESULTS!$C$17),0,(+'f-11B'!$R25))</f>
        <v>0</v>
      </c>
      <c r="G26" s="5">
        <f>IF(A26&gt;=(Title_RESULTS!$H$7+Title_RESULTS!$C$17),0,(SUM(B26:F26)))</f>
        <v>758.7888075035402</v>
      </c>
      <c r="H26" s="5">
        <f>IF(A26&gt;=(Title_RESULTS!$H$7+Title_RESULTS!$C$17),0,(+'Sheet3(F_21)'!$J26+'Sheet4(F_22)'!$H26))</f>
        <v>1631.1762659958986</v>
      </c>
      <c r="I26" s="5">
        <f>IF(A26&gt;=(Title_RESULTS!$H$7+Title_RESULTS!$C$17),0,(+'Sheet4(F_22)'!$D26+'Sheet4(F_22)'!$G26))</f>
        <v>29.40057923144657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1660.576845227345</v>
      </c>
      <c r="M26" s="23">
        <f>IF(A26&gt;=(Title_RESULTS!$H$7+Title_RESULTS!$C$17),0,(+L26-G26))</f>
        <v>901.7880377238049</v>
      </c>
      <c r="N26" s="24">
        <f>(IF(A25&gt;=(Title_RESULTS!$H$7+Title_RESULTS!$C$17),0,(+$M26/((1+Title_RESULTS!$C$37)^('Sheet9(F_25)'!$A26-Title_RESULTS!$H$7))+N25)))</f>
        <v>-1703.3791239548193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766.3766955785753</v>
      </c>
      <c r="F27">
        <f>IF(A27&gt;=(Title_RESULTS!$H$7+Title_RESULTS!$C$17),0,(+'f-11B'!$R26))</f>
        <v>0</v>
      </c>
      <c r="G27" s="5">
        <f>IF(A27&gt;=(Title_RESULTS!$H$7+Title_RESULTS!$C$17),0,(SUM(B27:F27)))</f>
        <v>766.3766955785753</v>
      </c>
      <c r="H27" s="5">
        <f>IF(A27&gt;=(Title_RESULTS!$H$7+Title_RESULTS!$C$17),0,(+'Sheet3(F_21)'!$J27+'Sheet4(F_22)'!$H27))</f>
        <v>1625.9955463334607</v>
      </c>
      <c r="I27" s="5">
        <f>IF(A27&gt;=(Title_RESULTS!$H$7+Title_RESULTS!$C$17),0,(+'Sheet4(F_22)'!$D27+'Sheet4(F_22)'!$G27))</f>
        <v>30.106193133001298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1656.101739466462</v>
      </c>
      <c r="M27" s="23">
        <f>IF(A27&gt;=(Title_RESULTS!$H$7+Title_RESULTS!$C$17),0,(+L27-G27))</f>
        <v>889.7250438878867</v>
      </c>
      <c r="N27" s="24">
        <f>(IF(A26&gt;=(Title_RESULTS!$H$7+Title_RESULTS!$C$17),0,(+$M27/((1+Title_RESULTS!$C$37)^('Sheet9(F_25)'!$A27-Title_RESULTS!$H$7))+N26)))</f>
        <v>-1284.1380473719028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774.0404625343612</v>
      </c>
      <c r="F28">
        <f>IF(A28&gt;=(Title_RESULTS!$H$7+Title_RESULTS!$C$17),0,(+'f-11B'!$R27))</f>
        <v>0</v>
      </c>
      <c r="G28" s="5">
        <f>IF(A28&gt;=(Title_RESULTS!$H$7+Title_RESULTS!$C$17),0,(SUM(B28:F28)))</f>
        <v>774.0404625343612</v>
      </c>
      <c r="H28" s="5">
        <f>IF(A28&gt;=(Title_RESULTS!$H$7+Title_RESULTS!$C$17),0,(+'Sheet3(F_21)'!$J28+'Sheet4(F_22)'!$H28))</f>
        <v>1775.3426115630593</v>
      </c>
      <c r="I28" s="5">
        <f>IF(A28&gt;=(Title_RESULTS!$H$7+Title_RESULTS!$C$17),0,(+'Sheet4(F_22)'!$D28+'Sheet4(F_22)'!$G28))</f>
        <v>30.828741768193318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1806.1713533312527</v>
      </c>
      <c r="M28" s="23">
        <f>IF(A28&gt;=(Title_RESULTS!$H$7+Title_RESULTS!$C$17),0,(+L28-G28))</f>
        <v>1032.1308907968914</v>
      </c>
      <c r="N28" s="24">
        <f>(IF(A27&gt;=(Title_RESULTS!$H$7+Title_RESULTS!$C$17),0,(+$M28/((1+Title_RESULTS!$C$37)^('Sheet9(F_25)'!$A28-Title_RESULTS!$H$7))+N27)))</f>
        <v>-829.9513331969246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781.7808671597047</v>
      </c>
      <c r="F29">
        <f>IF(A29&gt;=(Title_RESULTS!$H$7+Title_RESULTS!$C$17),0,(+'f-11B'!$R28))</f>
        <v>0</v>
      </c>
      <c r="G29" s="5">
        <f>IF(A29&gt;=(Title_RESULTS!$H$7+Title_RESULTS!$C$17),0,(SUM(B29:F29)))</f>
        <v>781.7808671597047</v>
      </c>
      <c r="H29" s="5">
        <f>IF(A29&gt;=(Title_RESULTS!$H$7+Title_RESULTS!$C$17),0,(+'Sheet3(F_21)'!$J29+'Sheet4(F_22)'!$H29))</f>
        <v>1892.4908376163826</v>
      </c>
      <c r="I29" s="5">
        <f>IF(A29&gt;=(Title_RESULTS!$H$7+Title_RESULTS!$C$17),0,(+'Sheet4(F_22)'!$D29+'Sheet4(F_22)'!$G29))</f>
        <v>31.568631570629957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1924.0594691870126</v>
      </c>
      <c r="M29" s="23">
        <f>IF(A29&gt;=(Title_RESULTS!$H$7+Title_RESULTS!$C$17),0,(+L29-G29))</f>
        <v>1142.278602027308</v>
      </c>
      <c r="N29" s="24">
        <f>(IF(A28&gt;=(Title_RESULTS!$H$7+Title_RESULTS!$C$17),0,(+$M29/((1+Title_RESULTS!$C$37)^('Sheet9(F_25)'!$A29-Title_RESULTS!$H$7))+N28)))</f>
        <v>-360.5294529406724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789.5986758313019</v>
      </c>
      <c r="F30">
        <f>IF(A30&gt;=(Title_RESULTS!$H$7+Title_RESULTS!$C$17),0,(+'f-11B'!$R29))</f>
        <v>0</v>
      </c>
      <c r="G30" s="5">
        <f>IF(A30&gt;=(Title_RESULTS!$H$7+Title_RESULTS!$C$17),0,(SUM(B30:F30)))</f>
        <v>789.5986758313019</v>
      </c>
      <c r="H30" s="5">
        <f>IF(A30&gt;=(Title_RESULTS!$H$7+Title_RESULTS!$C$17),0,(+'Sheet3(F_21)'!$J30+'Sheet4(F_22)'!$H30))</f>
        <v>1979.9192521590498</v>
      </c>
      <c r="I30" s="5">
        <f>IF(A30&gt;=(Title_RESULTS!$H$7+Title_RESULTS!$C$17),0,(+'Sheet4(F_22)'!$D30+'Sheet4(F_22)'!$G30))</f>
        <v>32.32627872832508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2012.245530887375</v>
      </c>
      <c r="M30" s="23">
        <f>IF(A30&gt;=(Title_RESULTS!$H$7+Title_RESULTS!$C$17),0,(+L30-G30))</f>
        <v>1222.646855056073</v>
      </c>
      <c r="N30" s="24">
        <f>(IF(A29&gt;=(Title_RESULTS!$H$7+Title_RESULTS!$C$17),0,(+$M30/((1+Title_RESULTS!$C$37)^('Sheet9(F_25)'!$A30-Title_RESULTS!$H$7))+N29)))</f>
        <v>108.69859052375904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4993.425878218942</v>
      </c>
      <c r="E32" s="5">
        <f t="shared" si="1"/>
        <v>10021.187170328</v>
      </c>
      <c r="F32" s="5">
        <f t="shared" si="1"/>
        <v>0</v>
      </c>
      <c r="G32" s="5">
        <f t="shared" si="1"/>
        <v>15137.516088546943</v>
      </c>
      <c r="H32" s="5">
        <f t="shared" si="1"/>
        <v>18726.91323507516</v>
      </c>
      <c r="I32" s="5">
        <f t="shared" si="1"/>
        <v>389.68794375611975</v>
      </c>
      <c r="J32" s="5">
        <f t="shared" si="1"/>
        <v>0</v>
      </c>
      <c r="K32" s="9">
        <f t="shared" si="1"/>
        <v>0</v>
      </c>
      <c r="L32" s="5">
        <f t="shared" si="1"/>
        <v>19116.601178831283</v>
      </c>
      <c r="M32" s="5">
        <f t="shared" si="1"/>
        <v>3979.0850902843395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4670.543179977714</v>
      </c>
      <c r="E34" s="5">
        <f>NPV(Title_RESULTS!$C$37,'Sheet9(F_25)'!E17:E31)+'Sheet9(F_25)'!E16</f>
        <v>6065.77670632681</v>
      </c>
      <c r="F34" s="5">
        <f>NPV(Title_RESULTS!$C$37,'Sheet9(F_25)'!F17:F31)+'Sheet9(F_25)'!F16</f>
        <v>0</v>
      </c>
      <c r="G34" s="5">
        <f>NPV(Title_RESULTS!$C$37,'Sheet9(F_25)'!G17:G31)+'Sheet9(F_25)'!G16</f>
        <v>10851.15161674838</v>
      </c>
      <c r="H34" s="5">
        <f>NPV(Title_RESULTS!$C$37,'Sheet9(F_25)'!H17:H31)+'Sheet9(F_25)'!H16</f>
        <v>10723.831958005167</v>
      </c>
      <c r="I34" s="5">
        <f>NPV(Title_RESULTS!$C$37,'Sheet9(F_25)'!I17:I31)+'Sheet9(F_25)'!I16</f>
        <v>236.01824926697378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10959.85020727214</v>
      </c>
      <c r="M34" s="5">
        <f>NPV(Title_RESULTS!$C$37,'Sheet9(F_25)'!M17:M31)+'Sheet9(F_25)'!M16</f>
        <v>108.69859052375818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1.0100172400462994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154.38760396039604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9.005875199999998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93.6250368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0.889981332788511</v>
      </c>
      <c r="P24" s="48">
        <f aca="true" t="shared" si="4" ref="P24:P61">N24*$L$5</f>
        <v>9.252241806952577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0.9113408847754352</v>
      </c>
      <c r="P25" s="48">
        <f t="shared" si="4"/>
        <v>9.47429561031944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21.242292674002375</v>
      </c>
      <c r="E26" s="11">
        <f>IF(B26=Title_RESULTS!$H$8,$F$16,+E25*(1+$F$7))</f>
        <v>0.09882230355451863</v>
      </c>
      <c r="F26" s="9">
        <f t="shared" si="1"/>
        <v>15.25693866362906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1.239124333019728</v>
      </c>
      <c r="L26" s="5">
        <f t="shared" si="3"/>
        <v>12.881930817645298</v>
      </c>
      <c r="N26" s="11">
        <f>IF(+B26=Title_RESULTS!$H$9,'Value of Defferal'!$O$16,+'Value of Defferal'!N25*(1+'Value of Defferal'!$F$7))</f>
        <v>0.10362269577198292</v>
      </c>
      <c r="O26" s="5">
        <f t="shared" si="7"/>
        <v>0.9332130660100457</v>
      </c>
      <c r="P26" s="48">
        <f t="shared" si="4"/>
        <v>9.701678704967106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20.61501023294492</v>
      </c>
      <c r="E27" s="11">
        <f>IF(B27=Title_RESULTS!$H$8,$F$16,+E26*(1+$F$7))</f>
        <v>0.10119403883982707</v>
      </c>
      <c r="F27" s="9">
        <f t="shared" si="1"/>
        <v>15.623105191556157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1.2025331350582389</v>
      </c>
      <c r="L27" s="5">
        <f t="shared" si="3"/>
        <v>12.501528893388064</v>
      </c>
      <c r="N27" s="11">
        <f>IF(+B27=Title_RESULTS!$H$9,'Value of Defferal'!$O$16,+'Value of Defferal'!N26*(1+'Value of Defferal'!$F$7))</f>
        <v>0.10610964047051051</v>
      </c>
      <c r="O27" s="5">
        <f t="shared" si="7"/>
        <v>0.9556101795942867</v>
      </c>
      <c r="P27" s="48">
        <f t="shared" si="4"/>
        <v>9.934518993886316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19.922494992845003</v>
      </c>
      <c r="E28" s="11">
        <f>IF(B28=Title_RESULTS!$H$8,$F$16,+E27*(1+$F$7))</f>
        <v>0.10362269577198292</v>
      </c>
      <c r="F28" s="9">
        <f t="shared" si="1"/>
        <v>15.998059716153504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1.1621367193716678</v>
      </c>
      <c r="L28" s="5">
        <f t="shared" si="3"/>
        <v>12.081567943313681</v>
      </c>
      <c r="N28" s="11">
        <f>IF(+B28=Title_RESULTS!$H$9,'Value of Defferal'!$O$16,+'Value of Defferal'!N27*(1+'Value of Defferal'!$F$7))</f>
        <v>0.10865627184180277</v>
      </c>
      <c r="O28" s="5">
        <f t="shared" si="7"/>
        <v>0.9785448239045497</v>
      </c>
      <c r="P28" s="48">
        <f t="shared" si="4"/>
        <v>10.172947449739588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19.263147415356816</v>
      </c>
      <c r="E29" s="11">
        <f>IF(B29=Title_RESULTS!$H$8,$F$16,+E28*(1+$F$7))</f>
        <v>0.10610964047051051</v>
      </c>
      <c r="F29" s="9">
        <f t="shared" si="1"/>
        <v>16.382013149341187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1.1236750693171456</v>
      </c>
      <c r="L29" s="5">
        <f t="shared" si="3"/>
        <v>11.681720807774498</v>
      </c>
      <c r="N29" s="11">
        <f>IF(+B29=Title_RESULTS!$H$9,'Value of Defferal'!$O$16,+'Value of Defferal'!N28*(1+'Value of Defferal'!$F$7))</f>
        <v>0.11126402236600604</v>
      </c>
      <c r="O29" s="5">
        <f t="shared" si="7"/>
        <v>1.0020298996782588</v>
      </c>
      <c r="P29" s="48">
        <f t="shared" si="4"/>
        <v>10.41709818853334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18.633641546501014</v>
      </c>
      <c r="E30" s="11">
        <f>IF(B30=Title_RESULTS!$H$8,$F$16,+E29*(1+$F$7))</f>
        <v>0.10865627184180277</v>
      </c>
      <c r="F30" s="9">
        <f t="shared" si="1"/>
        <v>16.775181464925378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1.0869541723853087</v>
      </c>
      <c r="L30" s="5">
        <f t="shared" si="3"/>
        <v>11.299970533623217</v>
      </c>
      <c r="N30" s="11">
        <f>IF(+B30=Title_RESULTS!$H$9,'Value of Defferal'!$O$16,+'Value of Defferal'!N29*(1+'Value of Defferal'!$F$7))</f>
        <v>0.11393435890279018</v>
      </c>
      <c r="O30" s="5">
        <f t="shared" si="7"/>
        <v>1.0260786172705372</v>
      </c>
      <c r="P30" s="48">
        <f t="shared" si="4"/>
        <v>10.667108545058138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18.031018941025238</v>
      </c>
      <c r="E31" s="11">
        <f>IF(B31=Title_RESULTS!$H$8,$F$16,+E30*(1+$F$7))</f>
        <v>0.11126402236600604</v>
      </c>
      <c r="F31" s="9">
        <f t="shared" si="1"/>
        <v>17.177785820083585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1.0518014539131324</v>
      </c>
      <c r="L31" s="5">
        <f t="shared" si="3"/>
        <v>10.934523035463622</v>
      </c>
      <c r="N31" s="11">
        <f>IF(+B31=Title_RESULTS!$H$9,'Value of Defferal'!$O$16,+'Value of Defferal'!N30*(1+'Value of Defferal'!$F$7))</f>
        <v>0.11666878351645714</v>
      </c>
      <c r="O31" s="5">
        <f t="shared" si="7"/>
        <v>1.05070450408503</v>
      </c>
      <c r="P31" s="48">
        <f t="shared" si="4"/>
        <v>10.923119150139533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17.447157656062807</v>
      </c>
      <c r="E32" s="11">
        <f>IF(B32=Title_RESULTS!$H$8,$F$16,+E31*(1+$F$7))</f>
        <v>0.11393435890279018</v>
      </c>
      <c r="F32" s="9">
        <f t="shared" si="1"/>
        <v>17.59005267976559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1.0177431374965362</v>
      </c>
      <c r="L32" s="5">
        <f t="shared" si="3"/>
        <v>10.58045293599679</v>
      </c>
      <c r="N32" s="11">
        <f>IF(+B32=Title_RESULTS!$H$9,'Value of Defferal'!$O$16,+'Value of Defferal'!N31*(1+'Value of Defferal'!$F$7))</f>
        <v>0.11946883432085212</v>
      </c>
      <c r="O32" s="5">
        <f t="shared" si="7"/>
        <v>1.0759214121830707</v>
      </c>
      <c r="P32" s="48">
        <f t="shared" si="4"/>
        <v>11.185274009742884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16.869305138786824</v>
      </c>
      <c r="E33" s="11">
        <f>IF(B33=Title_RESULTS!$H$8,$F$16,+E32*(1+$F$7))</f>
        <v>0.11666878351645714</v>
      </c>
      <c r="F33" s="9">
        <f t="shared" si="1"/>
        <v>18.012213944079967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0.9840353298675746</v>
      </c>
      <c r="L33" s="5">
        <f t="shared" si="3"/>
        <v>10.230026724260162</v>
      </c>
      <c r="N33" s="11">
        <f>IF(+B33=Title_RESULTS!$H$9,'Value of Defferal'!$O$16,+'Value of Defferal'!N32*(1+'Value of Defferal'!$F$7))</f>
        <v>0.12233608634455258</v>
      </c>
      <c r="O33" s="5">
        <f t="shared" si="7"/>
        <v>1.1017435260754644</v>
      </c>
      <c r="P33" s="48">
        <f t="shared" si="4"/>
        <v>11.453720585976713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16.291452621510835</v>
      </c>
      <c r="E34" s="11">
        <f>IF(B34=Title_RESULTS!$H$8,$F$16,+E33*(1+$F$7))</f>
        <v>0.11946883432085212</v>
      </c>
      <c r="F34" s="9">
        <f t="shared" si="1"/>
        <v>18.444507078737885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0.9503275222386127</v>
      </c>
      <c r="L34" s="5">
        <f t="shared" si="3"/>
        <v>9.879600512523531</v>
      </c>
      <c r="N34" s="11">
        <f>IF(+B34=Title_RESULTS!$H$9,'Value of Defferal'!$O$16,+'Value of Defferal'!N33*(1+'Value of Defferal'!$F$7))</f>
        <v>0.12527215241682185</v>
      </c>
      <c r="O34" s="5">
        <f t="shared" si="7"/>
        <v>1.128185370701276</v>
      </c>
      <c r="P34" s="48">
        <f t="shared" si="4"/>
        <v>11.728609880040155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15.71360010423485</v>
      </c>
      <c r="E35" s="11">
        <f>IF(B35=Title_RESULTS!$H$8,$F$16,+E34*(1+$F$7))</f>
        <v>0.12233608634455258</v>
      </c>
      <c r="F35" s="9">
        <f t="shared" si="1"/>
        <v>18.887175248627596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0.9166197146096509</v>
      </c>
      <c r="L35" s="5">
        <f t="shared" si="3"/>
        <v>9.5291743007869</v>
      </c>
      <c r="N35" s="11">
        <f>IF(+B35=Title_RESULTS!$H$9,'Value of Defferal'!$O$16,+'Value of Defferal'!N34*(1+'Value of Defferal'!$F$7))</f>
        <v>0.12827868407482557</v>
      </c>
      <c r="O35" s="5">
        <f t="shared" si="7"/>
        <v>1.1552618195981064</v>
      </c>
      <c r="P35" s="48">
        <f t="shared" si="4"/>
        <v>12.010096517161118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15.135747586958866</v>
      </c>
      <c r="E36" s="11">
        <f>IF(B36=Title_RESULTS!$H$8,$F$16,+E35*(1+$F$7))</f>
        <v>0.12527215241682185</v>
      </c>
      <c r="F36" s="9">
        <f t="shared" si="1"/>
        <v>19.340467454594663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0.8829119069806892</v>
      </c>
      <c r="L36" s="5">
        <f t="shared" si="3"/>
        <v>9.178748089050272</v>
      </c>
      <c r="N36" s="11">
        <f>IF(+B36=Title_RESULTS!$H$9,'Value of Defferal'!$O$16,+'Value of Defferal'!N35*(1+'Value of Defferal'!$F$7))</f>
        <v>0.1313573724926214</v>
      </c>
      <c r="O36" s="5">
        <f t="shared" si="7"/>
        <v>1.182988103268461</v>
      </c>
      <c r="P36" s="48">
        <f t="shared" si="4"/>
        <v>12.298338833572986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14.557895069682878</v>
      </c>
      <c r="E37" s="11">
        <f>IF(B37&gt;Title_RESULTS!$H$8-1+Title_RESULTS!$C$18,0,+E36*(1+$F$7))</f>
        <v>0.12827868407482557</v>
      </c>
      <c r="F37" s="9">
        <f t="shared" si="1"/>
        <v>19.804638673504932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0.8492040993517274</v>
      </c>
      <c r="L37" s="5">
        <f t="shared" si="3"/>
        <v>8.82832187731364</v>
      </c>
      <c r="N37" s="11">
        <f>IF(+B37=Title_RESULTS!$H$9,'Value of Defferal'!$O$16,+'Value of Defferal'!N36*(1+'Value of Defferal'!$F$7))</f>
        <v>0.1345099494324443</v>
      </c>
      <c r="O37" s="5">
        <f t="shared" si="7"/>
        <v>1.211379817746904</v>
      </c>
      <c r="P37" s="48">
        <f t="shared" si="4"/>
        <v>12.593498965578737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13.980042552406891</v>
      </c>
      <c r="E38" s="11">
        <f>IF(B38&gt;Title_RESULTS!$H$8-1+Title_RESULTS!$C$18,0,+E37*(1+$F$7))</f>
        <v>0.1313573724926214</v>
      </c>
      <c r="F38" s="9">
        <f t="shared" si="1"/>
        <v>20.27995000166905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0.8154962917227655</v>
      </c>
      <c r="L38" s="5">
        <f t="shared" si="3"/>
        <v>8.477895665577007</v>
      </c>
      <c r="N38" s="11">
        <f>IF(+B38=Title_RESULTS!$H$9,'Value of Defferal'!$O$16,+'Value of Defferal'!N37*(1+'Value of Defferal'!$F$7))</f>
        <v>0.13773818821882297</v>
      </c>
      <c r="O38" s="5">
        <f t="shared" si="7"/>
        <v>1.2404529333728298</v>
      </c>
      <c r="P38" s="48">
        <f t="shared" si="4"/>
        <v>12.895742940752628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13.402190035130904</v>
      </c>
      <c r="E39" s="11">
        <f>IF(B39&gt;Title_RESULTS!$H$8-1+Title_RESULTS!$C$18,0,+E38*(1+$F$7))</f>
        <v>0.1345099494324443</v>
      </c>
      <c r="F39" s="9">
        <f t="shared" si="1"/>
        <v>20.766668801709105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0.7817884840938035</v>
      </c>
      <c r="L39" s="5">
        <f t="shared" si="3"/>
        <v>8.127469453840376</v>
      </c>
      <c r="N39" s="11">
        <f>IF(+B39&gt;Title_RESULTS!$H$9+Title_RESULTS!$C$19-1,0,+'Value of Defferal'!N38*(1+'Value of Defferal'!$F$7))</f>
        <v>0.14104390473607473</v>
      </c>
      <c r="O39" s="5">
        <f t="shared" si="7"/>
        <v>1.2702238037737776</v>
      </c>
      <c r="P39" s="48">
        <f t="shared" si="4"/>
        <v>13.205240771330692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12.824337517854923</v>
      </c>
      <c r="E40" s="11">
        <f>IF(B40&gt;Title_RESULTS!$H$8-1+Title_RESULTS!$C$18,0,+E39*(1+$F$7))</f>
        <v>0.13773818821882297</v>
      </c>
      <c r="F40" s="9">
        <f t="shared" si="1"/>
        <v>21.26506885295013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0.748080676464842</v>
      </c>
      <c r="L40" s="5">
        <f t="shared" si="3"/>
        <v>7.7770432421037485</v>
      </c>
      <c r="N40" s="11">
        <f>IF(+B40&gt;Title_RESULTS!$H$9+Title_RESULTS!$C$19-1,0,+'Value of Defferal'!N39*(1+'Value of Defferal'!$F$7))</f>
        <v>0.14442895844974052</v>
      </c>
      <c r="O40" s="5">
        <f t="shared" si="7"/>
        <v>1.3007091750643485</v>
      </c>
      <c r="P40" s="48">
        <f t="shared" si="4"/>
        <v>13.522166549842627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12.300747664120452</v>
      </c>
      <c r="E41" s="11">
        <f>IF(B41&gt;Title_RESULTS!$H$8-1+Title_RESULTS!$C$18,0,+E40*(1+$F$7))</f>
        <v>0.14104390473607473</v>
      </c>
      <c r="F41" s="9">
        <f t="shared" si="1"/>
        <v>21.775430505420932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0.7175381668477584</v>
      </c>
      <c r="L41" s="5">
        <f t="shared" si="3"/>
        <v>7.4595234538144535</v>
      </c>
      <c r="N41" s="11">
        <f>IF(+B41&gt;Title_RESULTS!$H$9+Title_RESULTS!$C$19-1,0,+'Value of Defferal'!N40*(1+'Value of Defferal'!$F$7))</f>
        <v>0.1478952534525343</v>
      </c>
      <c r="O41" s="5">
        <f t="shared" si="7"/>
        <v>1.3319261952658927</v>
      </c>
      <c r="P41" s="48">
        <f t="shared" si="4"/>
        <v>13.846698547038852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11.885664762032667</v>
      </c>
      <c r="E42" s="11">
        <f>IF(B42&gt;Title_RESULTS!$H$8-1+Title_RESULTS!$C$18,0,+E41*(1+$F$7))</f>
        <v>0.14442895844974052</v>
      </c>
      <c r="F42" s="9">
        <f t="shared" si="1"/>
        <v>22.298040837551035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0.6933251813621144</v>
      </c>
      <c r="L42" s="5">
        <f t="shared" si="3"/>
        <v>7.207805369032279</v>
      </c>
      <c r="N42" s="11">
        <f>IF(+B42&gt;Title_RESULTS!$H$9+Title_RESULTS!$C$19-1,0,+'Value of Defferal'!N41*(1+'Value of Defferal'!$F$7))</f>
        <v>0.1514447395353951</v>
      </c>
      <c r="O42" s="5">
        <f t="shared" si="7"/>
        <v>1.363892423952274</v>
      </c>
      <c r="P42" s="48">
        <f t="shared" si="4"/>
        <v>14.179019312167783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11.52482614805005</v>
      </c>
      <c r="E43" s="11">
        <f>IF(B43&gt;Title_RESULTS!$H$8-1+Title_RESULTS!$C$18,0,+E42*(1+$F$7))</f>
        <v>0.1478952534525343</v>
      </c>
      <c r="F43" s="9">
        <f t="shared" si="1"/>
        <v>22.83319381765226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0.6722764219960319</v>
      </c>
      <c r="L43" s="5">
        <f t="shared" si="3"/>
        <v>6.988982564309889</v>
      </c>
      <c r="N43" s="11">
        <f>IF(+B43&gt;Title_RESULTS!$H$9+Title_RESULTS!$C$19-1,0,+'Value of Defferal'!N42*(1+'Value of Defferal'!$F$7))</f>
        <v>0.1550794132842446</v>
      </c>
      <c r="O43" s="5">
        <f t="shared" si="7"/>
        <v>1.3966258421271287</v>
      </c>
      <c r="P43" s="48">
        <f t="shared" si="4"/>
        <v>14.51931577565981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11.163987534067434</v>
      </c>
      <c r="E44" s="11">
        <f>IF(B44&gt;Title_RESULTS!$H$8-1+Title_RESULTS!$C$18,0,+E43*(1+$F$7))</f>
        <v>0.1514447395353951</v>
      </c>
      <c r="F44" s="9">
        <f t="shared" si="1"/>
        <v>23.38119046927591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0.6512276626299496</v>
      </c>
      <c r="L44" s="5">
        <f t="shared" si="3"/>
        <v>6.770159759587499</v>
      </c>
      <c r="N44" s="11">
        <f>IF(+B44&gt;Title_RESULTS!$H$9+Title_RESULTS!$C$19-1,0,+'Value of Defferal'!N43*(1+'Value of Defferal'!$F$7))</f>
        <v>0.15880131920306648</v>
      </c>
      <c r="O44" s="5">
        <f t="shared" si="7"/>
        <v>1.4301448623381798</v>
      </c>
      <c r="P44" s="48">
        <f t="shared" si="4"/>
        <v>14.867779354275646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10.803148920084814</v>
      </c>
      <c r="E45" s="11">
        <f>IF(B45&gt;Title_RESULTS!$H$8-1+Title_RESULTS!$C$18,0,+E44*(1+$F$7))</f>
        <v>0.1550794132842446</v>
      </c>
      <c r="F45" s="9">
        <f t="shared" si="1"/>
        <v>23.942339040538535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0.6301789032638667</v>
      </c>
      <c r="L45" s="5">
        <f t="shared" si="3"/>
        <v>6.551336954865106</v>
      </c>
      <c r="N45" s="11">
        <f>IF(+B45&gt;Title_RESULTS!$H$9+Title_RESULTS!$C$19-1,0,+'Value of Defferal'!N44*(1+'Value of Defferal'!$F$7))</f>
        <v>0.16261255086394008</v>
      </c>
      <c r="O45" s="5">
        <f t="shared" si="7"/>
        <v>1.4644683390342963</v>
      </c>
      <c r="P45" s="48">
        <f t="shared" si="4"/>
        <v>15.224606058778262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10.442310306102197</v>
      </c>
      <c r="E46" s="11">
        <f>IF(B46&gt;Title_RESULTS!$H$8-1+Title_RESULTS!$C$18,0,+E45*(1+$F$7))</f>
        <v>0.15880131920306648</v>
      </c>
      <c r="F46" s="9">
        <f t="shared" si="1"/>
        <v>24.51695517751146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0.6091301438977843</v>
      </c>
      <c r="L46" s="5">
        <f t="shared" si="3"/>
        <v>6.332514150142716</v>
      </c>
      <c r="N46" s="11">
        <f>IF(+B46&gt;Title_RESULTS!$H$9+Title_RESULTS!$C$19-1,0,+'Value of Defferal'!N45*(1+'Value of Defferal'!$F$7))</f>
        <v>0.16651525208467466</v>
      </c>
      <c r="O46" s="5">
        <f t="shared" si="7"/>
        <v>1.4996155791711197</v>
      </c>
      <c r="P46" s="48">
        <f t="shared" si="4"/>
        <v>15.589996604188942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10.081471692119582</v>
      </c>
      <c r="E47" s="11">
        <f>IF(B47&gt;Title_RESULTS!$H$8-1+Title_RESULTS!$C$18,0,+E46*(1+$F$7))</f>
        <v>0.16261255086394008</v>
      </c>
      <c r="F47" s="9">
        <f t="shared" si="1"/>
        <v>25.10536210177174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0.5880813845317019</v>
      </c>
      <c r="L47" s="5">
        <f t="shared" si="3"/>
        <v>6.113691345420326</v>
      </c>
      <c r="N47" s="11">
        <f>IF(+B47&gt;Title_RESULTS!$H$9+Title_RESULTS!$C$19-1,0,+'Value of Defferal'!N46*(1+'Value of Defferal'!$F$7))</f>
        <v>0.17051161813470686</v>
      </c>
      <c r="O47" s="5">
        <f t="shared" si="7"/>
        <v>1.5356063530712265</v>
      </c>
      <c r="P47" s="48">
        <f t="shared" si="4"/>
        <v>15.964156522689478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9.720633078136965</v>
      </c>
      <c r="E48" s="11">
        <f>IF(B48&gt;Title_RESULTS!$H$8-1+Title_RESULTS!$C$18,0,+E47*(1+$F$7))</f>
        <v>0.16651525208467466</v>
      </c>
      <c r="F48" s="9">
        <f t="shared" si="1"/>
        <v>25.70789079221426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0.5670326251656194</v>
      </c>
      <c r="L48" s="5">
        <f t="shared" si="3"/>
        <v>5.894868540697936</v>
      </c>
      <c r="N48" s="11">
        <f>IF(+B48&gt;Title_RESULTS!$H$9+Title_RESULTS!$C$19-1,0,+'Value of Defferal'!N47*(1+'Value of Defferal'!$F$7))</f>
        <v>0.17460389696993983</v>
      </c>
      <c r="O48" s="5">
        <f t="shared" si="7"/>
        <v>1.572460905544936</v>
      </c>
      <c r="P48" s="48">
        <f t="shared" si="4"/>
        <v>16.347296279234026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9.359794464154344</v>
      </c>
      <c r="E49" s="11">
        <f>IF(B49&gt;Title_RESULTS!$H$8-1+Title_RESULTS!$C$18,0,+E48*(1+$F$7))</f>
        <v>0.17051161813470686</v>
      </c>
      <c r="F49" s="9">
        <f t="shared" si="1"/>
        <v>26.324880171227406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0.5459838657995366</v>
      </c>
      <c r="L49" s="5">
        <f t="shared" si="3"/>
        <v>5.676045735975543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8.998955850171727</v>
      </c>
      <c r="E50" s="11">
        <f>IF(B50&gt;Title_RESULTS!$H$8-1+Title_RESULTS!$C$18,0,+E49*(1+$F$7))</f>
        <v>0.17460389696993983</v>
      </c>
      <c r="F50" s="9">
        <f t="shared" si="1"/>
        <v>26.956677295336863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0.5249351064334541</v>
      </c>
      <c r="L50" s="5">
        <f t="shared" si="3"/>
        <v>5.457222931253153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8.63811723618911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0.5038863470673717</v>
      </c>
      <c r="L51" s="5">
        <f t="shared" si="3"/>
        <v>5.238400126530762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368.8489917405345</v>
      </c>
      <c r="F63" s="9">
        <f>SUM(F23:F61)</f>
        <v>514.4457869498282</v>
      </c>
      <c r="J63" t="s">
        <v>87</v>
      </c>
      <c r="K63" s="9">
        <f>SUM(K23:K61)</f>
        <v>21.516027854886616</v>
      </c>
      <c r="O63" s="9">
        <f>SUM(O23:O61)</f>
        <v>30.00910977039595</v>
      </c>
    </row>
    <row r="64" spans="3:15" ht="12.75">
      <c r="C64" t="s">
        <v>89</v>
      </c>
      <c r="D64" s="9">
        <f>NPV(+Title_RESULTS!$C$37,'Value of Defferal'!D24:D61)+'Value of Defferal'!D23</f>
        <v>164.69330557274884</v>
      </c>
      <c r="F64" s="9">
        <f>NPV(+Title_RESULTS!$C$37,'Value of Defferal'!F24:F61)+'Value of Defferal'!F23</f>
        <v>191.29437723724135</v>
      </c>
      <c r="J64" t="s">
        <v>89</v>
      </c>
      <c r="K64" s="9">
        <f>NPV(+Title_RESULTS!$C$37,'Value of Defferal'!K24:K61)+'Value of Defferal'!K23</f>
        <v>9.60703656392075</v>
      </c>
      <c r="O64" s="9">
        <f>NPV(+Title_RESULTS!$C$37,'Value of Defferal'!O24:O61)+'Value of Defferal'!O23</f>
        <v>12.794768343070604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0.08433112000017867</v>
      </c>
      <c r="C25" t="s">
        <v>372</v>
      </c>
    </row>
    <row r="26" spans="2:3" ht="18">
      <c r="B26" s="15">
        <f>+((Input!$C$6*'EUE_Line Losses'!C4)+(Input!$C$7*'EUE_Line Losses'!C3))/'EUE_Line Losses'!C22</f>
        <v>0.08405908412921036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0.37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10130.72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3477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1664.4752927396476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Solar Water Heater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43599.31822129629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0.08405908412921036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10686.413502109704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10130.72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3477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1664.4752927396476</v>
      </c>
      <c r="D39" s="13" t="s">
        <v>189</v>
      </c>
      <c r="G39" s="20" t="s">
        <v>346</v>
      </c>
      <c r="H39" s="79">
        <f>+'Sheet7(F_23)'!H36</f>
        <v>1.08651867781134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9196.24379204252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1.0100172400462994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2019-05-14T11:38:15Z</dcterms:created>
  <dcterms:modified xsi:type="dcterms:W3CDTF">2019-05-14T11:38:16Z</dcterms:modified>
  <cp:category/>
  <cp:version/>
  <cp:contentType/>
  <cp:contentStatus/>
</cp:coreProperties>
</file>