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'Sheet2(F_12)'!$A$1:$K$47</definedName>
    <definedName name="_xlnm.Print_Area" localSheetId="11">'Sheet3(F_21)'!$A$1:$J$36</definedName>
    <definedName name="_xlnm.Print_Area" localSheetId="14">'Sheet4(F_22)'!$A$1:$J$36</definedName>
    <definedName name="_xlnm.Print_Area" localSheetId="12">'Sheet5(p_5)'!$A$1:$H$36</definedName>
    <definedName name="_xlnm.Print_Area" localSheetId="15">'Sheet6(p_6)'!$A$1:$R$36</definedName>
    <definedName name="_xlnm.Print_Area" localSheetId="16">'Sheet7(F_23)'!$A$1:$M$36</definedName>
    <definedName name="_xlnm.Print_Area" localSheetId="17">'Sheet8(F_24)'!$A$1:$M$36</definedName>
    <definedName name="_xlnm.Print_Area" localSheetId="18">'Sheet9(F_25)'!$A$1:$N$36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<sst xmlns="http://schemas.openxmlformats.org/spreadsheetml/2006/main" count="1258" uniqueCount="468">
  <si>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</si>
  <si>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</si>
  <si>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</si>
  <si>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</si>
  <si>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</si>
  <si>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</si>
  <si>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</si>
  <si>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</si>
  <si>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</si>
  <si>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</si>
  <si>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</si>
  <si>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</si>
  <si>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</si>
  <si>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</si>
  <si>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</si>
  <si>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</si>
  <si>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</si>
  <si>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</si>
  <si>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</si>
  <si>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</si>
  <si>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</si>
  <si>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</si>
  <si>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</si>
  <si>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</si>
  <si>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</si>
  <si>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</si>
  <si>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</si>
  <si>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</si>
  <si>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</si>
  <si>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</si>
  <si>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</si>
  <si>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</si>
  <si>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</si>
  <si>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</si>
  <si>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</si>
  <si>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</si>
  <si>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</si>
  <si>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</si>
  <si>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</si>
  <si>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</si>
  <si>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</si>
  <si>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</si>
  <si>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</si>
  <si>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</si>
  <si>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</si>
  <si>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</si>
  <si>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</si>
  <si>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</si>
  <si>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</si>
  <si>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</si>
  <si>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</si>
  <si>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</si>
  <si>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</si>
  <si>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</si>
  <si>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</si>
  <si>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</si>
  <si>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</si>
  <si>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</si>
  <si>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</si>
  <si>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</si>
  <si>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</si>
  <si>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</si>
  <si>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</si>
  <si>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</si>
  <si>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</si>
  <si>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</si>
  <si>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</si>
  <si>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</si>
  <si>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</si>
  <si>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</si>
  <si>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</si>
  <si>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</si>
  <si>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</si>
  <si>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</si>
  <si>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</si>
  <si>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</si>
  <si>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</si>
  <si>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</si>
  <si>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</si>
  <si>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</si>
  <si>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</si>
  <si>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</si>
  <si>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</si>
  <si>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</si>
  <si>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</si>
  <si>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</si>
  <si>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</si>
  <si>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</si>
  <si>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</si>
  <si>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</si>
  <si>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</si>
  <si>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</si>
  <si>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</si>
  <si>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</si>
  <si>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</si>
  <si>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</si>
  <si>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</si>
  <si>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</si>
  <si>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</si>
  <si>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</si>
  <si>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</si>
  <si>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</si>
  <si>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</si>
  <si>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</si>
  <si>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</si>
  <si>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</si>
  <si>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</si>
  <si>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</si>
  <si>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</si>
  <si>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</si>
  <si>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</si>
  <si>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</si>
  <si>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</si>
  <si>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</si>
  <si>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</si>
  <si>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</si>
  <si>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</si>
  <si>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</si>
  <si>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</si>
  <si>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</si>
  <si>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</si>
  <si>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</si>
  <si>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</si>
  <si>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</si>
  <si>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</si>
  <si>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</si>
  <si>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</si>
  <si>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</si>
  <si>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</si>
  <si>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</si>
  <si>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</si>
  <si>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</si>
  <si>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</si>
  <si>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</si>
  <si>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</si>
  <si>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</si>
  <si>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</si>
  <si>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</si>
  <si>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</si>
  <si>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</si>
  <si>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</si>
  <si>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</si>
  <si>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</si>
  <si>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</si>
  <si>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</si>
  <si>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</si>
  <si>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</si>
  <si>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</si>
  <si>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</si>
  <si>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</si>
  <si>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</si>
  <si>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</si>
  <si>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</si>
  <si>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</si>
  <si>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</si>
  <si>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</si>
  <si>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</si>
  <si>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</si>
  <si>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</si>
  <si>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</si>
  <si>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</si>
  <si>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</si>
  <si>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</si>
  <si>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</si>
  <si>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</si>
  <si>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</si>
  <si>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</si>
  <si>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</si>
  <si>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</si>
  <si>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</si>
  <si>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</si>
  <si>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</si>
  <si>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</si>
  <si>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</si>
  <si>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</si>
  <si>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</si>
  <si>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</si>
  <si>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</si>
  <si>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</si>
  <si>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</si>
  <si>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</si>
  <si>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</si>
  <si>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</si>
  <si>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</si>
  <si>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</si>
  <si>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</si>
  <si>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</si>
  <si>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</si>
  <si>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</si>
  <si>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</si>
  <si>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</si>
  <si>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</si>
  <si>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</si>
  <si>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</si>
  <si>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</si>
  <si>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</si>
  <si>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</si>
  <si>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</si>
  <si>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</si>
  <si>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</si>
  <si>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</si>
  <si>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</si>
  <si>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</si>
  <si>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</si>
  <si>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</si>
  <si>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</si>
  <si>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</si>
  <si>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</si>
  <si>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</si>
  <si>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</si>
  <si>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</si>
  <si>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</si>
  <si>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</si>
  <si>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</si>
  <si>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</si>
  <si>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</si>
  <si>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</si>
  <si>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</si>
  <si>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</si>
  <si>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</si>
  <si>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</si>
  <si>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</si>
  <si>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</si>
  <si>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</si>
  <si>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</si>
  <si>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</si>
  <si>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</si>
  <si>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</si>
  <si>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</si>
  <si>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</si>
  <si>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</si>
  <si>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</si>
  <si>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</si>
  <si>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</si>
  <si>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</si>
  <si>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</si>
  <si>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</si>
  <si>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</si>
  <si>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</si>
  <si>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</si>
  <si>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</si>
  <si>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</si>
  <si>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</si>
  <si>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</si>
  <si>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</si>
  <si>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</si>
  <si>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</si>
  <si>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</si>
  <si>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</si>
  <si>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</si>
  <si>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</si>
  <si>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</si>
  <si>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</si>
  <si>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</si>
  <si>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</si>
  <si>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</si>
  <si>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</si>
  <si>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</si>
  <si>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</si>
  <si>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</si>
  <si>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</si>
  <si>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</si>
  <si>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</si>
  <si>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</si>
  <si>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</si>
  <si>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</si>
  <si>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</si>
  <si>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</si>
  <si>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</si>
  <si>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</si>
  <si>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</si>
  <si>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</si>
  <si>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</si>
  <si>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</si>
  <si>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</si>
  <si>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</si>
  <si>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</si>
  <si>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</si>
  <si>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</si>
  <si>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</si>
  <si>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</si>
  <si>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</si>
  <si>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</si>
  <si>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</si>
  <si>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</si>
  <si>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</si>
  <si>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</si>
  <si>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</si>
  <si>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</si>
  <si>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</si>
  <si>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</si>
  <si>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</si>
  <si>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</si>
  <si>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</si>
  <si>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</si>
  <si>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</si>
  <si>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</si>
  <si>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</si>
  <si>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</si>
  <si>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</si>
  <si>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</si>
  <si>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</si>
  <si>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</si>
  <si>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</si>
  <si>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</si>
  <si>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</si>
  <si>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</si>
  <si>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</si>
  <si>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</si>
  <si>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</si>
  <si>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</si>
  <si>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</si>
  <si>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</si>
  <si>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</si>
  <si>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</si>
  <si>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</si>
  <si>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</si>
  <si>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</si>
  <si>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</si>
  <si>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</si>
  <si>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</si>
  <si>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</si>
  <si>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</si>
  <si>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</si>
  <si>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</si>
  <si>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</si>
  <si>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</si>
  <si>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</si>
  <si>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</si>
  <si>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</si>
  <si>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</si>
  <si>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</si>
  <si>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</si>
  <si>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</si>
  <si>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</si>
  <si>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</si>
  <si>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</si>
  <si>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</si>
  <si>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</si>
  <si>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</si>
  <si>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</si>
  <si>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</si>
  <si>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</si>
  <si>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</si>
  <si>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</si>
  <si>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</si>
  <si>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</si>
  <si>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</si>
  <si>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</si>
  <si>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</si>
  <si>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</si>
  <si>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</si>
  <si>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</si>
  <si>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</si>
  <si>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</si>
  <si>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</si>
  <si>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</si>
  <si>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</si>
  <si>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</si>
  <si>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</si>
  <si>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</si>
  <si>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</si>
  <si>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</si>
  <si>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</si>
  <si>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</si>
  <si>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</si>
  <si>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</si>
  <si>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</si>
  <si>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</si>
  <si>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</si>
  <si>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</si>
  <si>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</si>
  <si>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</si>
  <si>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</si>
  <si>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</si>
  <si>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</si>
  <si>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</si>
  <si>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</si>
  <si>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</si>
  <si>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</si>
  <si>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</si>
  <si>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</si>
  <si>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</si>
  <si>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</si>
  <si>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</si>
  <si>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</si>
  <si>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</si>
  <si>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</si>
  <si>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</si>
  <si>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</si>
  <si>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</si>
  <si>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</si>
  <si>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</si>
  <si>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</si>
  <si>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</si>
  <si>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</si>
  <si>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</si>
  <si>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</si>
  <si>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</si>
  <si>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</si>
  <si>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</si>
  <si>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</si>
  <si>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</si>
  <si>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</si>
  <si>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</si>
  <si>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</si>
  <si>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</si>
  <si>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</si>
  <si>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</si>
  <si>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</si>
  <si>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</si>
  <si>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</si>
  <si>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</si>
  <si>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</si>
  <si>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</si>
  <si>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</si>
  <si>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</si>
  <si>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</si>
  <si>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</si>
  <si>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</si>
  <si>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</si>
  <si>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</si>
  <si>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</si>
  <si>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</si>
  <si>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</si>
  <si>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</si>
  <si>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</si>
  <si>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</si>
  <si>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</si>
  <si>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</si>
  <si>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</si>
  <si>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</si>
  <si>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</si>
  <si>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</si>
  <si>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</si>
  <si>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</si>
  <si>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</si>
  <si>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</si>
  <si>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</si>
  <si>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</si>
  <si>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</si>
  <si>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</si>
  <si>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</si>
  <si>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</si>
  <si>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</si>
  <si>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</si>
  <si>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</si>
  <si>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</si>
  <si>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</si>
  <si>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</si>
  <si>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</si>
  <si>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</si>
  <si>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</si>
  <si>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</si>
  <si>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</si>
  <si>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</si>
  <si>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</si>
  <si>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</si>
  <si>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</si>
  <si>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</si>
  <si>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</si>
  <si>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</si>
  <si>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</si>
  <si>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</si>
  <si>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</si>
  <si>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</si>
  <si>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</si>
  <si>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CO Sensors in Parking Garage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</si>
</sst>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43599.31857199074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668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43599.31857199074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CO Sensors in Parking Garage</v>
      </c>
      <c r="J2" t="s">
        <v>55</v>
      </c>
    </row>
    <row r="3" ht="12.75">
      <c r="J3" s="35">
        <f>+Title_RESULTS!I4</f>
        <v>43599.31857199074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668</v>
      </c>
      <c r="H5" t="s">
        <v>59</v>
      </c>
    </row>
    <row r="6" spans="3:7" ht="12.75">
      <c r="C6" t="s">
        <v>61</v>
      </c>
      <c r="G6" s="36">
        <f>+'Value of Defferal'!E3</f>
        <v>409.2496803394625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0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40.44299614009608</v>
      </c>
      <c r="D19" s="5">
        <f>IF((Title_RESULTS!$H$8-Title_RESULTS!$H$7)&lt;=('Sheet3(F_21)'!A19-Title_RESULTS!$H$7),((Title_RESULTS!$C$8*Partcipation!$C$26*8760*Title_RESULTS!$H$21/100000)),0)</f>
        <v>532.398316970547</v>
      </c>
      <c r="E19" s="5">
        <f>IF($G19=0,0,((Title_RESULTS!$H$14*((1+Title_RESULTS!$H$15/100)^($A19-Title_RESULTS!$H$7))*'EUE_Line Losses'!$B$25*Partcipation!$C$26))/1000)</f>
        <v>4.1943321031042515</v>
      </c>
      <c r="F19" s="5">
        <f>IF($G19=0,0,(Title_RESULTS!$H$19/100*((1+Title_RESULTS!$H$20/100)^($A19-Title_RESULTS!$H$7))*$D19*1000)/1000)</f>
        <v>1.200482513912819</v>
      </c>
      <c r="G19" s="5">
        <f>(+Title_RESULTS!$H$22/100*((1+Title_RESULTS!$H$23/100)^(+'Sheet4(F_22)'!A19-Title_RESULTS!$H$7)))*'Sheet3(F_21)'!D19</f>
        <v>22.809482330451672</v>
      </c>
      <c r="H19" s="5">
        <f>IF($G19=0,0,(($D19))*(Partcipation!$G19/100))</f>
        <v>16.89101582861012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51.7562772589547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41.41362804745838</v>
      </c>
      <c r="D20" s="5">
        <f>IF((Title_RESULTS!$H$8-Title_RESULTS!$H$7)&lt;=('Sheet3(F_21)'!A20-Title_RESULTS!$H$7),((Title_RESULTS!$C$8*Partcipation!$C$26*8760*Title_RESULTS!$H$21/100000)),0)</f>
        <v>532.398316970547</v>
      </c>
      <c r="E20" s="5">
        <f>IF($G20=0,0,((Title_RESULTS!$H$14*((1+Title_RESULTS!$H$15/100)^($A20-Title_RESULTS!$H$7))*'EUE_Line Losses'!$B$25*Partcipation!$C$26))/1000)</f>
        <v>4.294996073578752</v>
      </c>
      <c r="F20" s="5">
        <f>IF($G20=0,0,(Title_RESULTS!$H$19/100*((1+Title_RESULTS!$H$20/100)^($A20-Title_RESULTS!$H$7))*$D20*1000)/1000)</f>
        <v>1.2292940942467265</v>
      </c>
      <c r="G20" s="5">
        <f>(+Title_RESULTS!$H$22/100*((1+Title_RESULTS!$H$23/100)^(+'Sheet4(F_22)'!A20-Title_RESULTS!$H$7)))*'Sheet3(F_21)'!D20</f>
        <v>23.84503282825418</v>
      </c>
      <c r="H20" s="5">
        <f>IF($G20=0,0,(($D20))*(Partcipation!$G20/100))</f>
        <v>17.646625333147604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53.136325710390444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42.40755512059738</v>
      </c>
      <c r="D21" s="5">
        <f>IF((Title_RESULTS!$H$8-Title_RESULTS!$H$7)&lt;=('Sheet3(F_21)'!A21-Title_RESULTS!$H$7),((Title_RESULTS!$C$8*Partcipation!$C$26*8760*Title_RESULTS!$H$21/100000)),0)</f>
        <v>532.398316970547</v>
      </c>
      <c r="E21" s="5">
        <f>IF($G21=0,0,((Title_RESULTS!$H$14*((1+Title_RESULTS!$H$15/100)^($A21-Title_RESULTS!$H$7))*'EUE_Line Losses'!$B$25*Partcipation!$C$26))/1000)</f>
        <v>4.398075979344643</v>
      </c>
      <c r="F21" s="5">
        <f>IF($G21=0,0,(Title_RESULTS!$H$19/100*((1+Title_RESULTS!$H$20/100)^($A21-Title_RESULTS!$H$7))*$D21*1000)/1000)</f>
        <v>1.258797152508648</v>
      </c>
      <c r="G21" s="5">
        <f>(+Title_RESULTS!$H$22/100*((1+Title_RESULTS!$H$23/100)^(+'Sheet4(F_22)'!A21-Title_RESULTS!$H$7)))*'Sheet3(F_21)'!D21</f>
        <v>24.927597318656925</v>
      </c>
      <c r="H21" s="5">
        <f>IF($G21=0,0,(($D21))*(Partcipation!$G21/100))</f>
        <v>18.345931330868435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54.64609424023915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43.425336443491716</v>
      </c>
      <c r="D22" s="5">
        <f>IF((Title_RESULTS!$H$8-Title_RESULTS!$H$7)&lt;=('Sheet3(F_21)'!A22-Title_RESULTS!$H$7),((Title_RESULTS!$C$8*Partcipation!$C$26*8760*Title_RESULTS!$H$21/100000)),0)</f>
        <v>532.398316970547</v>
      </c>
      <c r="E22" s="5">
        <f>IF($G22=0,0,((Title_RESULTS!$H$14*((1+Title_RESULTS!$H$15/100)^($A22-Title_RESULTS!$H$7))*'EUE_Line Losses'!$B$25*Partcipation!$C$26))/1000)</f>
        <v>4.503629802848913</v>
      </c>
      <c r="F22" s="5">
        <f>IF($G22=0,0,(Title_RESULTS!$H$19/100*((1+Title_RESULTS!$H$20/100)^($A22-Title_RESULTS!$H$7))*$D22*1000)/1000)</f>
        <v>1.2890082841688555</v>
      </c>
      <c r="G22" s="5">
        <f>(+Title_RESULTS!$H$22/100*((1+Title_RESULTS!$H$23/100)^(+'Sheet4(F_22)'!A22-Title_RESULTS!$H$7)))*'Sheet3(F_21)'!D22</f>
        <v>26.05931023692395</v>
      </c>
      <c r="H22" s="5">
        <f>IF($G22=0,0,(($D22))*(Partcipation!$G22/100))</f>
        <v>18.940346063447137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56.33693870398629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44.46754451813552</v>
      </c>
      <c r="D23" s="5">
        <f>IF((Title_RESULTS!$H$8-Title_RESULTS!$H$7)&lt;=('Sheet3(F_21)'!A23-Title_RESULTS!$H$7),((Title_RESULTS!$C$8*Partcipation!$C$26*8760*Title_RESULTS!$H$21/100000)),0)</f>
        <v>532.398316970547</v>
      </c>
      <c r="E23" s="5">
        <f>IF($G23=0,0,((Title_RESULTS!$H$14*((1+Title_RESULTS!$H$15/100)^($A23-Title_RESULTS!$H$7))*'EUE_Line Losses'!$B$25*Partcipation!$C$26))/1000)</f>
        <v>4.611716918117288</v>
      </c>
      <c r="F23" s="5">
        <f>IF($G23=0,0,(Title_RESULTS!$H$19/100*((1+Title_RESULTS!$H$20/100)^($A23-Title_RESULTS!$H$7))*$D23*1000)/1000)</f>
        <v>1.3199444829889082</v>
      </c>
      <c r="G23" s="5">
        <f>(+Title_RESULTS!$H$22/100*((1+Title_RESULTS!$H$23/100)^(+'Sheet4(F_22)'!A23-Title_RESULTS!$H$7)))*'Sheet3(F_21)'!D23</f>
        <v>27.242402921680302</v>
      </c>
      <c r="H23" s="5">
        <f>IF($G23=0,0,(($D23))*(Partcipation!$G23/100))</f>
        <v>19.78810968219609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57.853499158725924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45.53476558657078</v>
      </c>
      <c r="D24" s="5">
        <f>IF((Title_RESULTS!$H$8-Title_RESULTS!$H$7)&lt;=('Sheet3(F_21)'!A24-Title_RESULTS!$H$7),((Title_RESULTS!$C$8*Partcipation!$C$26*8760*Title_RESULTS!$H$21/100000)),0)</f>
        <v>532.398316970547</v>
      </c>
      <c r="E24" s="5">
        <f>IF($G24=0,0,((Title_RESULTS!$H$14*((1+Title_RESULTS!$H$15/100)^($A24-Title_RESULTS!$H$7))*'EUE_Line Losses'!$B$25*Partcipation!$C$26))/1000)</f>
        <v>4.722398124152102</v>
      </c>
      <c r="F24" s="5">
        <f>IF($G24=0,0,(Title_RESULTS!$H$19/100*((1+Title_RESULTS!$H$20/100)^($A24-Title_RESULTS!$H$7))*$D24*1000)/1000)</f>
        <v>1.3516231505806418</v>
      </c>
      <c r="G24" s="5">
        <f>(+Title_RESULTS!$H$22/100*((1+Title_RESULTS!$H$23/100)^(+'Sheet4(F_22)'!A24-Title_RESULTS!$H$7)))*'Sheet3(F_21)'!D24</f>
        <v>28.47920801432459</v>
      </c>
      <c r="H24" s="5">
        <f>IF($G24=0,0,(($D24))*(Partcipation!$G24/100))</f>
        <v>21.297237798346867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58.79075707728124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46.627599960648475</v>
      </c>
      <c r="D25" s="5">
        <f>IF((Title_RESULTS!$H$8-Title_RESULTS!$H$7)&lt;=('Sheet3(F_21)'!A25-Title_RESULTS!$H$7),((Title_RESULTS!$C$8*Partcipation!$C$26*8760*Title_RESULTS!$H$21/100000)),0)</f>
        <v>532.398316970547</v>
      </c>
      <c r="E25" s="5">
        <f>IF($G25=0,0,((Title_RESULTS!$H$14*((1+Title_RESULTS!$H$15/100)^($A25-Title_RESULTS!$H$7))*'EUE_Line Losses'!$B$25*Partcipation!$C$26))/1000)</f>
        <v>4.835735679131752</v>
      </c>
      <c r="F25" s="5">
        <f>IF($G25=0,0,(Title_RESULTS!$H$19/100*((1+Title_RESULTS!$H$20/100)^($A25-Title_RESULTS!$H$7))*$D25*1000)/1000)</f>
        <v>1.384062106194577</v>
      </c>
      <c r="G25" s="5">
        <f>(+Title_RESULTS!$H$22/100*((1+Title_RESULTS!$H$23/100)^(+'Sheet4(F_22)'!A25-Title_RESULTS!$H$7)))*'Sheet3(F_21)'!D25</f>
        <v>29.77216405817493</v>
      </c>
      <c r="H25" s="5">
        <f>IF($G25=0,0,(($D25))*(Partcipation!$G25/100))</f>
        <v>22.231880997894176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60.38768080625556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47.74666235970403</v>
      </c>
      <c r="D26" s="5">
        <f>IF((Title_RESULTS!$H$8-Title_RESULTS!$H$7)&lt;=('Sheet3(F_21)'!A26-Title_RESULTS!$H$7),((Title_RESULTS!$C$8*Partcipation!$C$26*8760*Title_RESULTS!$H$21/100000)),0)</f>
        <v>532.398316970547</v>
      </c>
      <c r="E26" s="5">
        <f>IF($G26=0,0,((Title_RESULTS!$H$14*((1+Title_RESULTS!$H$15/100)^($A26-Title_RESULTS!$H$7))*'EUE_Line Losses'!$B$25*Partcipation!$C$26))/1000)</f>
        <v>4.951793335430915</v>
      </c>
      <c r="F26" s="5">
        <f>IF($G26=0,0,(Title_RESULTS!$H$19/100*((1+Title_RESULTS!$H$20/100)^($A26-Title_RESULTS!$H$7))*$D26*1000)/1000)</f>
        <v>1.417279596743247</v>
      </c>
      <c r="G26" s="5">
        <f>(+Title_RESULTS!$H$22/100*((1+Title_RESULTS!$H$23/100)^(+'Sheet4(F_22)'!A26-Title_RESULTS!$H$7)))*'Sheet3(F_21)'!D26</f>
        <v>31.123820306416075</v>
      </c>
      <c r="H26" s="5">
        <f>IF($G26=0,0,(($D26))*(Partcipation!$G26/100))</f>
        <v>23.884885971268552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61.35466962702572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48.89258225633694</v>
      </c>
      <c r="D27" s="5">
        <f>IF((Title_RESULTS!$H$8-Title_RESULTS!$H$7)&lt;=('Sheet3(F_21)'!A27-Title_RESULTS!$H$7),((Title_RESULTS!$C$8*Partcipation!$C$26*8760*Title_RESULTS!$H$21/100000)),0)</f>
        <v>532.398316970547</v>
      </c>
      <c r="E27" s="5">
        <f>IF($G27=0,0,((Title_RESULTS!$H$14*((1+Title_RESULTS!$H$15/100)^($A27-Title_RESULTS!$H$7))*'EUE_Line Losses'!$B$25*Partcipation!$C$26))/1000)</f>
        <v>5.070636375481257</v>
      </c>
      <c r="F27" s="5">
        <f>IF($G27=0,0,(Title_RESULTS!$H$19/100*((1+Title_RESULTS!$H$20/100)^($A27-Title_RESULTS!$H$7))*$D27*1000)/1000)</f>
        <v>1.451294307065085</v>
      </c>
      <c r="G27" s="5">
        <f>(+Title_RESULTS!$H$22/100*((1+Title_RESULTS!$H$23/100)^(+'Sheet4(F_22)'!A27-Title_RESULTS!$H$7)))*'Sheet3(F_21)'!D27</f>
        <v>32.53684174832737</v>
      </c>
      <c r="H27" s="5">
        <f>IF($G27=0,0,(($D27))*(Partcipation!$G27/100))</f>
        <v>24.478832784605796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63.47252190260484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50.06600423048902</v>
      </c>
      <c r="D28" s="5">
        <f>IF((Title_RESULTS!$H$8-Title_RESULTS!$H$7)&lt;=('Sheet3(F_21)'!A28-Title_RESULTS!$H$7),((Title_RESULTS!$C$8*Partcipation!$C$26*8760*Title_RESULTS!$H$21/100000)),0)</f>
        <v>532.398316970547</v>
      </c>
      <c r="E28" s="5">
        <f>IF($G28=0,0,((Title_RESULTS!$H$14*((1+Title_RESULTS!$H$15/100)^($A28-Title_RESULTS!$H$7))*'EUE_Line Losses'!$B$25*Partcipation!$C$26))/1000)</f>
        <v>5.192331648492807</v>
      </c>
      <c r="F28" s="5">
        <f>IF($G28=0,0,(Title_RESULTS!$H$19/100*((1+Title_RESULTS!$H$20/100)^($A28-Title_RESULTS!$H$7))*$D28*1000)/1000)</f>
        <v>1.4861253704346469</v>
      </c>
      <c r="G28" s="5">
        <f>(+Title_RESULTS!$H$22/100*((1+Title_RESULTS!$H$23/100)^(+'Sheet4(F_22)'!A28-Title_RESULTS!$H$7)))*'Sheet3(F_21)'!D28</f>
        <v>34.01401436370143</v>
      </c>
      <c r="H28" s="5">
        <f>IF($G28=0,0,(($D28))*(Partcipation!$G28/100))</f>
        <v>25.94780537330507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64.81067023981284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51.267588332020765</v>
      </c>
      <c r="D29" s="5">
        <f>IF((Title_RESULTS!$H$8-Title_RESULTS!$H$7)&lt;=('Sheet3(F_21)'!A29-Title_RESULTS!$H$7),((Title_RESULTS!$C$8*Partcipation!$C$26*8760*Title_RESULTS!$H$21/100000)),0)</f>
        <v>532.398316970547</v>
      </c>
      <c r="E29" s="5">
        <f>IF($G29=0,0,((Title_RESULTS!$H$14*((1+Title_RESULTS!$H$15/100)^($A29-Title_RESULTS!$H$7))*'EUE_Line Losses'!$B$25*Partcipation!$C$26))/1000)</f>
        <v>5.316947608056634</v>
      </c>
      <c r="F29" s="5">
        <f>IF($G29=0,0,(Title_RESULTS!$H$19/100*((1+Title_RESULTS!$H$20/100)^($A29-Title_RESULTS!$H$7))*$D29*1000)/1000)</f>
        <v>1.5217923793250785</v>
      </c>
      <c r="G29" s="5">
        <f>(+Title_RESULTS!$H$22/100*((1+Title_RESULTS!$H$23/100)^(+'Sheet4(F_22)'!A29-Title_RESULTS!$H$7)))*'Sheet3(F_21)'!D29</f>
        <v>35.55825061581348</v>
      </c>
      <c r="H29" s="5">
        <f>IF($G29=0,0,(($D29))*(Partcipation!$G29/100))</f>
        <v>26.53960887626917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67.12497005894679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52.49801045198926</v>
      </c>
      <c r="D30" s="5">
        <f>IF((Title_RESULTS!$H$8-Title_RESULTS!$H$7)&lt;=('Sheet3(F_21)'!A30-Title_RESULTS!$H$7),((Title_RESULTS!$C$8*Partcipation!$C$26*8760*Title_RESULTS!$H$21/100000)),0)</f>
        <v>532.398316970547</v>
      </c>
      <c r="E30" s="5">
        <f>IF($G30=0,0,((Title_RESULTS!$H$14*((1+Title_RESULTS!$H$15/100)^($A30-Title_RESULTS!$H$7))*'EUE_Line Losses'!$B$25*Partcipation!$C$26))/1000)</f>
        <v>5.444554350649994</v>
      </c>
      <c r="F30" s="5">
        <f>IF($G30=0,0,(Title_RESULTS!$H$19/100*((1+Title_RESULTS!$H$20/100)^($A30-Title_RESULTS!$H$7))*$D30*1000)/1000)</f>
        <v>1.5583153964288803</v>
      </c>
      <c r="G30" s="5">
        <f>(+Title_RESULTS!$H$22/100*((1+Title_RESULTS!$H$23/100)^(+'Sheet4(F_22)'!A30-Title_RESULTS!$H$7)))*'Sheet3(F_21)'!D30</f>
        <v>37.172595193771414</v>
      </c>
      <c r="H30" s="5">
        <f>IF($G30=0,0,(($D30))*(Partcipation!$G30/100))</f>
        <v>28.252132820928033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68.42134257191151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87</v>
      </c>
      <c r="B32" s="9"/>
      <c r="C32" s="9">
        <f aca="true" t="shared" si="1" ref="C32:J32">SUM(C16:C31)</f>
        <v>554.7902734475383</v>
      </c>
      <c r="D32" s="9">
        <f t="shared" si="1"/>
        <v>6388.779803646564</v>
      </c>
      <c r="E32" s="9">
        <f t="shared" si="1"/>
        <v>57.537147998389315</v>
      </c>
      <c r="F32" s="9">
        <f t="shared" si="1"/>
        <v>16.468018834598112</v>
      </c>
      <c r="G32" s="9">
        <f t="shared" si="1"/>
        <v>353.54071993649626</v>
      </c>
      <c r="H32" s="9">
        <f t="shared" si="1"/>
        <v>264.24441286088705</v>
      </c>
      <c r="I32" s="9">
        <f t="shared" si="1"/>
        <v>0</v>
      </c>
      <c r="J32" s="9">
        <f t="shared" si="1"/>
        <v>718.091747356135</v>
      </c>
    </row>
    <row r="33" spans="3:10" ht="12.75"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89</v>
      </c>
      <c r="C34" s="5">
        <f>NPV(Title_RESULTS!$C$37,C17:C31)+'Sheet3(F_21)'!C16</f>
        <v>312.8302963305693</v>
      </c>
      <c r="D34" s="5"/>
      <c r="E34" s="5">
        <f>NPV(Title_RESULTS!$C$37,E17:E31)+'Sheet3(F_21)'!E16</f>
        <v>32.44354474079292</v>
      </c>
      <c r="F34" s="5">
        <f>NPV(Title_RESULTS!$C$37,F17:F31)+'Sheet3(F_21)'!F16</f>
        <v>9.285842702308795</v>
      </c>
      <c r="G34" s="5">
        <f>NPV(Title_RESULTS!$C$37,G17:G31)+'Sheet3(F_21)'!G16</f>
        <v>196.02866508917103</v>
      </c>
      <c r="H34" s="5">
        <f>NPV(Title_RESULTS!$C$37,H17:H31)+'Sheet3(F_21)'!H16</f>
        <v>146.1204384768751</v>
      </c>
      <c r="I34" s="5">
        <f>NPV(Title_RESULTS!$C$37,I17:I31)+'Sheet3(F_21)'!I16</f>
        <v>0</v>
      </c>
      <c r="J34" s="5">
        <f>NPV(Title_RESULTS!$C$37,J17:J31)+'Sheet3(F_21)'!J16</f>
        <v>404.4679103859669</v>
      </c>
    </row>
    <row r="36" ht="12.75">
      <c r="A36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CO Sensors in Parking Garage</v>
      </c>
      <c r="F2" t="s">
        <v>55</v>
      </c>
    </row>
    <row r="3" spans="6:7" ht="12.75">
      <c r="F3" s="35">
        <f>+Title_RESULTS!I4</f>
        <v>43599.31857199074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2626.5981012658226</v>
      </c>
      <c r="C16" s="5">
        <f>$B16*'Sheet2(F_12)'!$E16/100</f>
        <v>76.18998389560902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76.18998389560902</v>
      </c>
      <c r="G16" s="5">
        <f>+$F16*'Sheet2(F_12)'!$I16</f>
        <v>76.18998389560902</v>
      </c>
    </row>
    <row r="17" spans="1:7" ht="12.75">
      <c r="A17">
        <f>+A16+1</f>
        <v>2021</v>
      </c>
      <c r="B17" s="5">
        <f>(+Partcipation!$C16+(Partcipation!$C17-Partcipation!$C16)/2)*Title_RESULTS!$C$10/1000</f>
        <v>7879.794303797467</v>
      </c>
      <c r="C17" s="5">
        <f>$B17*'Sheet2(F_12)'!$E17/100</f>
        <v>226.71079725521642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226.71079725521642</v>
      </c>
      <c r="G17" s="5">
        <f>+$F17*'Sheet2(F_12)'!$I17</f>
        <v>226.71079725521642</v>
      </c>
    </row>
    <row r="18" spans="1:7" ht="12.75">
      <c r="A18">
        <f>+A17+1</f>
        <v>2022</v>
      </c>
      <c r="B18" s="5">
        <f>(+Partcipation!$C17+(Partcipation!$C18-Partcipation!$C17)/2)*Title_RESULTS!$C$10/1000</f>
        <v>13132.990506329113</v>
      </c>
      <c r="C18" s="5">
        <f>$B18*'Sheet2(F_12)'!$E18/100</f>
        <v>389.9678617806292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389.9678617806292</v>
      </c>
      <c r="G18" s="5">
        <f>+$F18*'Sheet2(F_12)'!$I18</f>
        <v>389.9678617806292</v>
      </c>
    </row>
    <row r="19" spans="1:7" ht="12.75">
      <c r="A19">
        <f aca="true" t="shared" si="0" ref="A19:A30">+A18+1</f>
        <v>2023</v>
      </c>
      <c r="B19" s="5">
        <f>(+Partcipation!$C18+(Partcipation!$C19-Partcipation!$C18)/2)*Title_RESULTS!$C$10/1000</f>
        <v>15759.588607594935</v>
      </c>
      <c r="C19" s="5">
        <f>$B19*'Sheet2(F_12)'!$E19/100</f>
        <v>487.1589877933356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0">+C19-E19</f>
        <v>487.1589877933356</v>
      </c>
      <c r="G19" s="5">
        <f>+$F19*'Sheet2(F_12)'!$I19</f>
        <v>487.1589877933356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15759.588607594935</v>
      </c>
      <c r="C20" s="5">
        <f>$B20*'Sheet2(F_12)'!$E20/100</f>
        <v>506.30249980185494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506.30249980185494</v>
      </c>
      <c r="G20" s="5">
        <f>+$F20*'Sheet2(F_12)'!$I20</f>
        <v>506.30249980185494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15759.588607594935</v>
      </c>
      <c r="C21" s="5">
        <f>$B21*'Sheet2(F_12)'!$E21/100</f>
        <v>543.6164546521876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543.6164546521876</v>
      </c>
      <c r="G21" s="5">
        <f>+$F21*'Sheet2(F_12)'!$I21</f>
        <v>543.6164546521876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15759.588607594935</v>
      </c>
      <c r="C22" s="5">
        <f>$B22*'Sheet2(F_12)'!$E22/100</f>
        <v>561.0527483490838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561.0527483490838</v>
      </c>
      <c r="G22" s="5">
        <f>+$F22*'Sheet2(F_12)'!$I22</f>
        <v>561.0527483490838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15759.588607594935</v>
      </c>
      <c r="C23" s="5">
        <f>$B23*'Sheet2(F_12)'!$E23/100</f>
        <v>596.1160339611871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596.1160339611871</v>
      </c>
      <c r="G23" s="5">
        <f>+$F23*'Sheet2(F_12)'!$I23</f>
        <v>596.1160339611871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15759.588607594935</v>
      </c>
      <c r="C24" s="5">
        <f>$B24*'Sheet2(F_12)'!$E24/100</f>
        <v>660.5655008098728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660.5655008098728</v>
      </c>
      <c r="G24" s="5">
        <f>+$F24*'Sheet2(F_12)'!$I24</f>
        <v>660.5655008098728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15759.588607594935</v>
      </c>
      <c r="C25" s="5">
        <f>$B25*'Sheet2(F_12)'!$E25/100</f>
        <v>707.7062747095541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707.7062747095541</v>
      </c>
      <c r="G25" s="5">
        <f>+$F25*'Sheet2(F_12)'!$I25</f>
        <v>707.7062747095541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15759.588607594935</v>
      </c>
      <c r="C26" s="5">
        <f>$B26*'Sheet2(F_12)'!$E26/100</f>
        <v>790.4687017766316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790.4687017766316</v>
      </c>
      <c r="G26" s="5">
        <f>+$F26*'Sheet2(F_12)'!$I26</f>
        <v>790.4687017766316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15759.588607594935</v>
      </c>
      <c r="C27" s="5">
        <f>$B27*'Sheet2(F_12)'!$E27/100</f>
        <v>787.5290707509681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787.5290707509681</v>
      </c>
      <c r="G27" s="5">
        <f>+$F27*'Sheet2(F_12)'!$I27</f>
        <v>787.5290707509681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15759.588607594935</v>
      </c>
      <c r="C28" s="5">
        <f>$B28*'Sheet2(F_12)'!$E28/100</f>
        <v>860.6964878317303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860.6964878317303</v>
      </c>
      <c r="G28" s="5">
        <f>+$F28*'Sheet2(F_12)'!$I28</f>
        <v>860.6964878317303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15759.588607594935</v>
      </c>
      <c r="C29" s="5">
        <f>$B29*'Sheet2(F_12)'!$E29/100</f>
        <v>917.854511928501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917.854511928501</v>
      </c>
      <c r="G29" s="5">
        <f>+$F29*'Sheet2(F_12)'!$I29</f>
        <v>917.854511928501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15759.588607594935</v>
      </c>
      <c r="C30" s="5">
        <f>$B30*'Sheet2(F_12)'!$E30/100</f>
        <v>960.5919016277959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960.5919016277959</v>
      </c>
      <c r="G30" s="5">
        <f>+$F30*'Sheet2(F_12)'!$I30</f>
        <v>960.5919016277959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87</v>
      </c>
      <c r="B32" s="5">
        <f aca="true" t="shared" si="2" ref="B32:G32">SUM(B16:B31)</f>
        <v>212754.44620253157</v>
      </c>
      <c r="C32" s="5">
        <f t="shared" si="2"/>
        <v>9072.527816924157</v>
      </c>
      <c r="D32" s="5">
        <f t="shared" si="2"/>
        <v>0</v>
      </c>
      <c r="E32" s="5">
        <f t="shared" si="2"/>
        <v>0</v>
      </c>
      <c r="F32" s="5">
        <f t="shared" si="2"/>
        <v>9072.527816924157</v>
      </c>
      <c r="G32" s="5">
        <f t="shared" si="2"/>
        <v>9072.527816924157</v>
      </c>
    </row>
    <row r="33" spans="2:7" ht="12.75">
      <c r="B33" s="5"/>
      <c r="C33" s="5"/>
      <c r="D33" s="5"/>
      <c r="E33" s="5"/>
      <c r="F33" s="5"/>
      <c r="G33" s="5"/>
    </row>
    <row r="34" spans="1:7" ht="12.75">
      <c r="A34" t="s">
        <v>118</v>
      </c>
      <c r="B34" s="5"/>
      <c r="C34" s="5">
        <f>NPV(+Title_RESULTS!$C$37,C17:C31)+C16</f>
        <v>5196.568310969086</v>
      </c>
      <c r="D34" s="5"/>
      <c r="E34" s="5">
        <f>NPV(+Title_RESULTS!$C$37,E17:E31)+E16</f>
        <v>0</v>
      </c>
      <c r="F34" s="5">
        <f>NPV(+Title_RESULTS!$C$37,F17:F31)+F16</f>
        <v>5196.568310969086</v>
      </c>
      <c r="G34" s="5">
        <f>NPV(+Title_RESULTS!$C$37,G17:G31)+G16</f>
        <v>5196.568310969086</v>
      </c>
    </row>
    <row r="35" spans="6:7" ht="12.75">
      <c r="F35" s="9"/>
      <c r="G35" s="9"/>
    </row>
    <row r="36" ht="12.75">
      <c r="A36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CO Sensors in Parking Garage</v>
      </c>
      <c r="J2" t="s">
        <v>42</v>
      </c>
    </row>
    <row r="3" spans="9:10" ht="12.75">
      <c r="I3" s="4"/>
      <c r="J3" s="35">
        <f>+Title_RESULTS!I4</f>
        <v>43599.31857199074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0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CO Sensors in Parking Garage</v>
      </c>
      <c r="H2" t="s">
        <v>108</v>
      </c>
    </row>
    <row r="3" ht="12.75">
      <c r="H3" s="35">
        <f>+Title_RESULTS!I4</f>
        <v>43599.31857199074</v>
      </c>
    </row>
    <row r="5" spans="3:6" ht="12.75">
      <c r="C5" t="s">
        <v>60</v>
      </c>
      <c r="F5" s="38">
        <f>+'Value of Defferal'!L4</f>
        <v>23.872716800000003</v>
      </c>
    </row>
    <row r="6" spans="3:6" ht="12.75">
      <c r="C6" t="s">
        <v>62</v>
      </c>
      <c r="F6" s="38">
        <f>+'Value of Defferal'!L5</f>
        <v>50.608128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76.18998389560902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2.3591568662806566</v>
      </c>
      <c r="C17" s="5">
        <f>IF(+Title_RESULTS!$H$9&lt;='Sheet4(F_22)'!$A17,(+Title_RESULTS!$H$16*((1+Title_RESULTS!$H$18/100)^('Sheet4(F_22)'!$A17-Title_RESULTS!$H$7))*Title_RESULTS!$C$8*Partcipation!$C$26/1000),0)</f>
        <v>1.9012355573365392</v>
      </c>
      <c r="D17" s="5">
        <f>(+B17+C17)*+Partcipation!$H17</f>
        <v>4.260392423617196</v>
      </c>
      <c r="E17" s="5">
        <f>VLOOKUP(A17,'Value of Defferal'!$I24:$P$58,'Value of Defferal'!$K$13)</f>
        <v>5.0012117875419335</v>
      </c>
      <c r="F17" s="5">
        <f>IF(+'Value of Defferal'!P24=0,0,Title_RESULTS!$H$17*Title_RESULTS!$C$7*Partcipation!$C$26*(1+Title_RESULTS!$H$18/100)^('Sheet4(F_22)'!A17-Title_RESULTS!$H$7))/1000</f>
        <v>6.967296000000001</v>
      </c>
      <c r="G17" s="5">
        <f>(+E17+F17)*Partcipation!$H17</f>
        <v>11.968507787541935</v>
      </c>
      <c r="H17" s="5">
        <f>+'Sheet5(p_5)'!$F17*'Sheet2(F_12)'!$I17</f>
        <v>226.71079725521642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2.4157766310713926</v>
      </c>
      <c r="C18" s="5">
        <f>IF(+Title_RESULTS!$H$9&lt;='Sheet4(F_22)'!$A18,(+Title_RESULTS!$H$16*((1+Title_RESULTS!$H$18/100)^('Sheet4(F_22)'!$A18-Title_RESULTS!$H$7))*Title_RESULTS!$C$8*Partcipation!$C$26/1000),0)</f>
        <v>1.9468652107126159</v>
      </c>
      <c r="D18" s="5">
        <f>(+B18+C18)*+Partcipation!$H18</f>
        <v>4.362641841784009</v>
      </c>
      <c r="E18" s="5">
        <f>VLOOKUP(A18,'Value of Defferal'!$I25:$P$58,'Value of Defferal'!$K$13)</f>
        <v>5.12124087044294</v>
      </c>
      <c r="F18" s="5">
        <f>IF(+'Value of Defferal'!P25=0,0,Title_RESULTS!$H$17*Title_RESULTS!$C$7*Partcipation!$C$26*(1+Title_RESULTS!$H$18/100)^('Sheet4(F_22)'!A18-Title_RESULTS!$H$7))/1000</f>
        <v>7.134511104000001</v>
      </c>
      <c r="G18" s="5">
        <f>(+E18+F18)*Partcipation!$H18</f>
        <v>12.25575197444294</v>
      </c>
      <c r="H18" s="5">
        <f>+'Sheet5(p_5)'!$F18*'Sheet2(F_12)'!$I18</f>
        <v>389.9678617806292</v>
      </c>
      <c r="I18" s="5"/>
      <c r="J18" s="5"/>
    </row>
    <row r="19" spans="1:10" ht="12.75">
      <c r="A19">
        <f aca="true" t="shared" si="0" ref="A19:A30">+A18+1</f>
        <v>2023</v>
      </c>
      <c r="B19" s="5">
        <f>VLOOKUP(A19,'Value of Defferal'!$I26:$P$58,'Value of Defferal'!$K$9)</f>
        <v>2.473755270217106</v>
      </c>
      <c r="C19" s="5">
        <f>IF(+Title_RESULTS!$H$9&lt;='Sheet4(F_22)'!$A19,(+Title_RESULTS!$H$16*((1+Title_RESULTS!$H$18/100)^('Sheet4(F_22)'!$A19-Title_RESULTS!$H$7))*Title_RESULTS!$C$8*Partcipation!$C$26/1000),0)</f>
        <v>1.993589975769719</v>
      </c>
      <c r="D19" s="5">
        <f>(+B19+C19)*+Partcipation!$H19</f>
        <v>4.4673452459868255</v>
      </c>
      <c r="E19" s="5">
        <f>VLOOKUP(A19,'Value of Defferal'!$I26:$P$58,'Value of Defferal'!$K$13)</f>
        <v>5.2441506513335705</v>
      </c>
      <c r="F19" s="5">
        <f>IF(+'Value of Defferal'!P26=0,0,Title_RESULTS!$H$17*Title_RESULTS!$C$7*Partcipation!$C$26*(1+Title_RESULTS!$H$18/100)^('Sheet4(F_22)'!A19-Title_RESULTS!$H$7))/1000</f>
        <v>7.305739370496001</v>
      </c>
      <c r="G19" s="5">
        <f>(+E19+F19)*Partcipation!$H19</f>
        <v>12.549890021829572</v>
      </c>
      <c r="H19" s="5">
        <f>+'Sheet5(p_5)'!$F19*'Sheet2(F_12)'!$I19</f>
        <v>487.1589877933356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2.5331253967023164</v>
      </c>
      <c r="C20" s="5">
        <f>IF(+Title_RESULTS!$H$9&lt;='Sheet4(F_22)'!$A20,(+Title_RESULTS!$H$16*((1+Title_RESULTS!$H$18/100)^('Sheet4(F_22)'!$A20-Title_RESULTS!$H$7))*Title_RESULTS!$C$8*Partcipation!$C$26/1000),0)</f>
        <v>2.0414361351881922</v>
      </c>
      <c r="D20" s="5">
        <f>(+B20+C20)*+Partcipation!$H20</f>
        <v>4.574561531890509</v>
      </c>
      <c r="E20" s="5">
        <f>VLOOKUP(A20,'Value of Defferal'!$I27:$P$58,'Value of Defferal'!$K$13)</f>
        <v>5.3700102669655765</v>
      </c>
      <c r="F20" s="5">
        <f>IF(+'Value of Defferal'!P27=0,0,Title_RESULTS!$H$17*Title_RESULTS!$C$7*Partcipation!$C$26*(1+Title_RESULTS!$H$18/100)^('Sheet4(F_22)'!A20-Title_RESULTS!$H$7))/1000</f>
        <v>7.481077115387905</v>
      </c>
      <c r="G20" s="5">
        <f>(+E20+F20)*Partcipation!$H20</f>
        <v>12.851087382353482</v>
      </c>
      <c r="H20" s="5">
        <f>+'Sheet5(p_5)'!$F20*'Sheet2(F_12)'!$I20</f>
        <v>506.30249980185494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2.593920406223172</v>
      </c>
      <c r="C21" s="5">
        <f>IF(+Title_RESULTS!$H$9&lt;='Sheet4(F_22)'!$A21,(+Title_RESULTS!$H$16*((1+Title_RESULTS!$H$18/100)^('Sheet4(F_22)'!$A21-Title_RESULTS!$H$7))*Title_RESULTS!$C$8*Partcipation!$C$26/1000),0)</f>
        <v>2.0904306024327095</v>
      </c>
      <c r="D21" s="5">
        <f>(+B21+C21)*+Partcipation!$H21</f>
        <v>4.684351008655882</v>
      </c>
      <c r="E21" s="5">
        <f>VLOOKUP(A21,'Value of Defferal'!$I28:$P$58,'Value of Defferal'!$K$13)</f>
        <v>5.49889051337275</v>
      </c>
      <c r="F21" s="5">
        <f>IF(+'Value of Defferal'!P28=0,0,Title_RESULTS!$H$17*Title_RESULTS!$C$7*Partcipation!$C$26*(1+Title_RESULTS!$H$18/100)^('Sheet4(F_22)'!A21-Title_RESULTS!$H$7))/1000</f>
        <v>7.660622966157215</v>
      </c>
      <c r="G21" s="5">
        <f>(+E21+F21)*Partcipation!$H21</f>
        <v>13.159513479529965</v>
      </c>
      <c r="H21" s="5">
        <f>+'Sheet5(p_5)'!$F21*'Sheet2(F_12)'!$I21</f>
        <v>543.6164546521876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2.6561744959725284</v>
      </c>
      <c r="C22" s="5">
        <f>IF(+Title_RESULTS!$H$9&lt;='Sheet4(F_22)'!$A22,(+Title_RESULTS!$H$16*((1+Title_RESULTS!$H$18/100)^('Sheet4(F_22)'!$A22-Title_RESULTS!$H$7))*Title_RESULTS!$C$8*Partcipation!$C$26/1000),0)</f>
        <v>2.1406009368910937</v>
      </c>
      <c r="D22" s="5">
        <f>(+B22+C22)*+Partcipation!$H22</f>
        <v>4.7967754328636225</v>
      </c>
      <c r="E22" s="5">
        <f>VLOOKUP(A22,'Value of Defferal'!$I29:$P$58,'Value of Defferal'!$K$13)</f>
        <v>5.630863885693697</v>
      </c>
      <c r="F22" s="5">
        <f>IF(+'Value of Defferal'!P29=0,0,Title_RESULTS!$H$17*Title_RESULTS!$C$7*Partcipation!$C$26*(1+Title_RESULTS!$H$18/100)^('Sheet4(F_22)'!A22-Title_RESULTS!$H$7))/1000</f>
        <v>7.844477917344987</v>
      </c>
      <c r="G22" s="5">
        <f>(+E22+F22)*Partcipation!$H22</f>
        <v>13.475341803038685</v>
      </c>
      <c r="H22" s="5">
        <f>+'Sheet5(p_5)'!$F22*'Sheet2(F_12)'!$I22</f>
        <v>561.0527483490838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2.7199226838758688</v>
      </c>
      <c r="C23" s="5">
        <f>IF(+Title_RESULTS!$H$9&lt;='Sheet4(F_22)'!$A23,(+Title_RESULTS!$H$16*((1+Title_RESULTS!$H$18/100)^('Sheet4(F_22)'!$A23-Title_RESULTS!$H$7))*Title_RESULTS!$C$8*Partcipation!$C$26/1000),0)</f>
        <v>2.1919753593764804</v>
      </c>
      <c r="D23" s="5">
        <f>(+B23+C23)*+Partcipation!$H23</f>
        <v>4.911898043252349</v>
      </c>
      <c r="E23" s="5">
        <f>VLOOKUP(A23,'Value of Defferal'!$I30:$P$58,'Value of Defferal'!$K$13)</f>
        <v>5.766004618950345</v>
      </c>
      <c r="F23" s="5">
        <f>IF(+'Value of Defferal'!P30=0,0,Title_RESULTS!$H$17*Title_RESULTS!$C$7*Partcipation!$C$26*(1+Title_RESULTS!$H$18/100)^('Sheet4(F_22)'!A23-Title_RESULTS!$H$7))/1000</f>
        <v>8.032745387361269</v>
      </c>
      <c r="G23" s="5">
        <f>(+E23+F23)*Partcipation!$H23</f>
        <v>13.798750006311614</v>
      </c>
      <c r="H23" s="5">
        <f>+'Sheet5(p_5)'!$F23*'Sheet2(F_12)'!$I23</f>
        <v>596.1160339611871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2.7852008282888896</v>
      </c>
      <c r="C24" s="5">
        <f>IF(+Title_RESULTS!$H$9&lt;='Sheet4(F_22)'!$A24,(+Title_RESULTS!$H$16*((1+Title_RESULTS!$H$18/100)^('Sheet4(F_22)'!$A24-Title_RESULTS!$H$7))*Title_RESULTS!$C$8*Partcipation!$C$26/1000),0)</f>
        <v>2.244582768001515</v>
      </c>
      <c r="D24" s="5">
        <f>(+B24+C24)*+Partcipation!$H24</f>
        <v>5.029783596290405</v>
      </c>
      <c r="E24" s="5">
        <f>VLOOKUP(A24,'Value of Defferal'!$I31:$P$58,'Value of Defferal'!$K$13)</f>
        <v>5.904388729805153</v>
      </c>
      <c r="F24" s="5">
        <f>IF(+'Value of Defferal'!P31=0,0,Title_RESULTS!$H$17*Title_RESULTS!$C$7*Partcipation!$C$26*(1+Title_RESULTS!$H$18/100)^('Sheet4(F_22)'!A24-Title_RESULTS!$H$7))/1000</f>
        <v>8.225531276657938</v>
      </c>
      <c r="G24" s="5">
        <f>(+E24+F24)*Partcipation!$H24</f>
        <v>14.129920006463092</v>
      </c>
      <c r="H24" s="5">
        <f>+'Sheet5(p_5)'!$F24*'Sheet2(F_12)'!$I24</f>
        <v>660.5655008098728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2.8520456481678234</v>
      </c>
      <c r="C25" s="5">
        <f>IF(+Title_RESULTS!$H$9&lt;='Sheet4(F_22)'!$A25,(+Title_RESULTS!$H$16*((1+Title_RESULTS!$H$18/100)^('Sheet4(F_22)'!$A25-Title_RESULTS!$H$7))*Title_RESULTS!$C$8*Partcipation!$C$26/1000),0)</f>
        <v>2.2984527544335513</v>
      </c>
      <c r="D25" s="5">
        <f>(+B25+C25)*+Partcipation!$H25</f>
        <v>5.150498402601375</v>
      </c>
      <c r="E25" s="5">
        <f>VLOOKUP(A25,'Value of Defferal'!$I32:$P$58,'Value of Defferal'!$K$13)</f>
        <v>6.0460940593204775</v>
      </c>
      <c r="F25" s="5">
        <f>IF(+'Value of Defferal'!P32=0,0,Title_RESULTS!$H$17*Title_RESULTS!$C$7*Partcipation!$C$26*(1+Title_RESULTS!$H$18/100)^('Sheet4(F_22)'!A25-Title_RESULTS!$H$7))/1000</f>
        <v>8.422944027297728</v>
      </c>
      <c r="G25" s="5">
        <f>(+E25+F25)*Partcipation!$H25</f>
        <v>14.469038086618205</v>
      </c>
      <c r="H25" s="5">
        <f>+'Sheet5(p_5)'!$F25*'Sheet2(F_12)'!$I25</f>
        <v>707.7062747095541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2.920494743723851</v>
      </c>
      <c r="C26" s="5">
        <f>IF(+Title_RESULTS!$H$9&lt;='Sheet4(F_22)'!$A26,(+Title_RESULTS!$H$16*((1+Title_RESULTS!$H$18/100)^('Sheet4(F_22)'!$A26-Title_RESULTS!$H$7))*Title_RESULTS!$C$8*Partcipation!$C$26/1000),0)</f>
        <v>2.353615620539957</v>
      </c>
      <c r="D26" s="5">
        <f>(+B26+C26)*+Partcipation!$H26</f>
        <v>5.274110364263809</v>
      </c>
      <c r="E26" s="5">
        <f>VLOOKUP(A26,'Value of Defferal'!$I33:$P$58,'Value of Defferal'!$K$13)</f>
        <v>6.191200316744169</v>
      </c>
      <c r="F26" s="5">
        <f>IF(+'Value of Defferal'!P33=0,0,Title_RESULTS!$H$17*Title_RESULTS!$C$7*Partcipation!$C$26*(1+Title_RESULTS!$H$18/100)^('Sheet4(F_22)'!A26-Title_RESULTS!$H$7))/1000</f>
        <v>8.625094683952874</v>
      </c>
      <c r="G26" s="5">
        <f>(+E26+F26)*Partcipation!$H26</f>
        <v>14.816295000697043</v>
      </c>
      <c r="H26" s="5">
        <f>+'Sheet5(p_5)'!$F26*'Sheet2(F_12)'!$I26</f>
        <v>790.4687017766316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2.990586617573224</v>
      </c>
      <c r="C27" s="5">
        <f>IF(+Title_RESULTS!$H$9&lt;='Sheet4(F_22)'!$A27,(+Title_RESULTS!$H$16*((1+Title_RESULTS!$H$18/100)^('Sheet4(F_22)'!$A27-Title_RESULTS!$H$7))*Title_RESULTS!$C$8*Partcipation!$C$26/1000),0)</f>
        <v>2.4101023954329164</v>
      </c>
      <c r="D27" s="5">
        <f>(+B27+C27)*+Partcipation!$H27</f>
        <v>5.40068901300614</v>
      </c>
      <c r="E27" s="5">
        <f>VLOOKUP(A27,'Value of Defferal'!$I34:$P$58,'Value of Defferal'!$K$13)</f>
        <v>6.33978912434603</v>
      </c>
      <c r="F27" s="5">
        <f>IF(+'Value of Defferal'!P34=0,0,Title_RESULTS!$H$17*Title_RESULTS!$C$7*Partcipation!$C$26*(1+Title_RESULTS!$H$18/100)^('Sheet4(F_22)'!A27-Title_RESULTS!$H$7))/1000</f>
        <v>8.832096956367742</v>
      </c>
      <c r="G27" s="5">
        <f>(+E27+F27)*Partcipation!$H27</f>
        <v>15.171886080713772</v>
      </c>
      <c r="H27" s="5">
        <f>+'Sheet5(p_5)'!$F27*'Sheet2(F_12)'!$I27</f>
        <v>787.5290707509681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3.062360696394981</v>
      </c>
      <c r="C28" s="5">
        <f>IF(+Title_RESULTS!$H$9&lt;='Sheet4(F_22)'!$A28,(+Title_RESULTS!$H$16*((1+Title_RESULTS!$H$18/100)^('Sheet4(F_22)'!$A28-Title_RESULTS!$H$7))*Title_RESULTS!$C$8*Partcipation!$C$26/1000),0)</f>
        <v>2.467944852923306</v>
      </c>
      <c r="D28" s="5">
        <f>(+B28+C28)*+Partcipation!$H28</f>
        <v>5.530305549318287</v>
      </c>
      <c r="E28" s="5">
        <f>VLOOKUP(A28,'Value of Defferal'!$I35:$P$58,'Value of Defferal'!$K$13)</f>
        <v>6.491944063330334</v>
      </c>
      <c r="F28" s="5">
        <f>IF(+'Value of Defferal'!P35=0,0,Title_RESULTS!$H$17*Title_RESULTS!$C$7*Partcipation!$C$26*(1+Title_RESULTS!$H$18/100)^('Sheet4(F_22)'!A28-Title_RESULTS!$H$7))/1000</f>
        <v>9.044067283320569</v>
      </c>
      <c r="G28" s="5">
        <f>(+E28+F28)*Partcipation!$H28</f>
        <v>15.536011346650902</v>
      </c>
      <c r="H28" s="5">
        <f>+'Sheet5(p_5)'!$F28*'Sheet2(F_12)'!$I28</f>
        <v>860.6964878317303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3.135857353108461</v>
      </c>
      <c r="C29" s="5">
        <f>IF(+Title_RESULTS!$H$9&lt;='Sheet4(F_22)'!$A29,(+Title_RESULTS!$H$16*((1+Title_RESULTS!$H$18/100)^('Sheet4(F_22)'!$A29-Title_RESULTS!$H$7))*Title_RESULTS!$C$8*Partcipation!$C$26/1000),0)</f>
        <v>2.5271755293934652</v>
      </c>
      <c r="D29" s="5">
        <f>(+B29+C29)*+Partcipation!$H29</f>
        <v>5.663032882501926</v>
      </c>
      <c r="E29" s="5">
        <f>VLOOKUP(A29,'Value of Defferal'!$I36:$P$58,'Value of Defferal'!$K$13)</f>
        <v>6.647750720850262</v>
      </c>
      <c r="F29" s="5">
        <f>IF(+'Value of Defferal'!P36=0,0,Title_RESULTS!$H$17*Title_RESULTS!$C$7*Partcipation!$C$26*(1+Title_RESULTS!$H$18/100)^('Sheet4(F_22)'!A29-Title_RESULTS!$H$7))/1000</f>
        <v>9.261124898120263</v>
      </c>
      <c r="G29" s="5">
        <f>(+E29+F29)*Partcipation!$H29</f>
        <v>15.908875618970526</v>
      </c>
      <c r="H29" s="5">
        <f>+'Sheet5(p_5)'!$F29*'Sheet2(F_12)'!$I29</f>
        <v>917.854511928501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3.2111179295830636</v>
      </c>
      <c r="C30" s="5">
        <f>IF(+Title_RESULTS!$H$9&lt;='Sheet4(F_22)'!$A30,(+Title_RESULTS!$H$16*((1+Title_RESULTS!$H$18/100)^('Sheet4(F_22)'!$A30-Title_RESULTS!$H$7))*Title_RESULTS!$C$8*Partcipation!$C$26/1000),0)</f>
        <v>2.5878277420989084</v>
      </c>
      <c r="D30" s="5">
        <f>(+B30+C30)*+Partcipation!$H30</f>
        <v>5.798945671681972</v>
      </c>
      <c r="E30" s="5">
        <f>VLOOKUP(A30,'Value of Defferal'!$I37:$P$58,'Value of Defferal'!$K$13)</f>
        <v>6.807296738150669</v>
      </c>
      <c r="F30" s="5">
        <f>IF(+'Value of Defferal'!P37=0,0,Title_RESULTS!$H$17*Title_RESULTS!$C$7*Partcipation!$C$26*(1+Title_RESULTS!$H$18/100)^('Sheet4(F_22)'!A30-Title_RESULTS!$H$7))/1000</f>
        <v>9.483391895675148</v>
      </c>
      <c r="G30" s="5">
        <f>(+E30+F30)*Partcipation!$H30</f>
        <v>16.290688633825816</v>
      </c>
      <c r="H30" s="5">
        <f>+'Sheet5(p_5)'!$F30*'Sheet2(F_12)'!$I30</f>
        <v>960.5919016277959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88</v>
      </c>
      <c r="B32" s="5">
        <f aca="true" t="shared" si="1" ref="B32:H32">SUM(B16:B31)</f>
        <v>38.70949556718333</v>
      </c>
      <c r="C32" s="5">
        <f t="shared" si="1"/>
        <v>31.19583544053097</v>
      </c>
      <c r="D32" s="5">
        <f t="shared" si="1"/>
        <v>69.90533100771431</v>
      </c>
      <c r="E32" s="5">
        <f t="shared" si="1"/>
        <v>82.06083634684792</v>
      </c>
      <c r="F32" s="5">
        <f t="shared" si="1"/>
        <v>114.32072088213963</v>
      </c>
      <c r="G32" s="5">
        <f t="shared" si="1"/>
        <v>196.38155722898756</v>
      </c>
      <c r="H32" s="5">
        <f t="shared" si="1"/>
        <v>9072.527816924157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spans="1:10" ht="12.75">
      <c r="A34" t="s">
        <v>90</v>
      </c>
      <c r="B34" s="5">
        <f>NPV(Title_RESULTS!$C$37,'Sheet4(F_22)'!B17:B31)+'Sheet4(F_22)'!B16</f>
        <v>23.444778110692614</v>
      </c>
      <c r="C34" s="5">
        <f>NPV(Title_RESULTS!$C$37,'Sheet4(F_22)'!C17:C31)+'Sheet4(F_22)'!C16</f>
        <v>18.89405762499704</v>
      </c>
      <c r="D34" s="5">
        <f>NPV(Title_RESULTS!$C$37,'Sheet4(F_22)'!D17:D31)+'Sheet4(F_22)'!D16</f>
        <v>42.338835735689656</v>
      </c>
      <c r="E34" s="5">
        <f>NPV(Title_RESULTS!$C$37,'Sheet4(F_22)'!E17:E31)+'Sheet4(F_22)'!E16</f>
        <v>49.70093439710766</v>
      </c>
      <c r="F34" s="5">
        <f>NPV(Title_RESULTS!$C$37,'Sheet4(F_22)'!F17:F31)+'Sheet4(F_22)'!F16</f>
        <v>69.23944358521673</v>
      </c>
      <c r="G34" s="5">
        <f>NPV(Title_RESULTS!$C$37,'Sheet4(F_22)'!G17:G31)+'Sheet4(F_22)'!G16</f>
        <v>118.94037798232439</v>
      </c>
      <c r="H34" s="5">
        <f>NPV(Title_RESULTS!$C$37,'Sheet4(F_22)'!H17:H31)+'Sheet4(F_22)'!H16</f>
        <v>5196.568310969086</v>
      </c>
      <c r="I34" s="5"/>
      <c r="J34" s="5"/>
    </row>
    <row r="35" spans="2:10" ht="12.75">
      <c r="B35" s="5"/>
      <c r="C35" s="5"/>
      <c r="D35" s="5"/>
      <c r="E35" s="5"/>
      <c r="F35" s="5"/>
      <c r="G35" s="5"/>
      <c r="H35" s="5"/>
      <c r="I35" s="5"/>
      <c r="J35" s="5"/>
    </row>
    <row r="36" ht="12.75">
      <c r="A36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CO Sensors in Parking Garage</v>
      </c>
      <c r="P2" t="s">
        <v>121</v>
      </c>
    </row>
    <row r="3" ht="12.75">
      <c r="P3" s="35">
        <f>+Title_RESULTS!I4</f>
        <v>43599.31857199074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125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125</v>
      </c>
      <c r="E16" s="5">
        <f>IF(+'Sheet9(F_25)'!$A16&gt;=Title_RESULTS!$H$8,0,((Partcipation!$B16-Partcipation!$B15)*(Title_RESULTS!$C$39*((1+Title_RESULTS!$C$41/100)^('Sheet9(F_25)'!$A16-Title_RESULTS!$H$7)))/1000))</f>
        <v>106.57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106.57</v>
      </c>
      <c r="H16" s="5">
        <f>IF(Partcipation!$B17&lt;Partcipation!$B16,0,IF(Partcipation!$B16=0,0,(Partcipation!$B16-Partcipation!$B15)*(+Title_RESULTS!$C$29*(1+Title_RESULTS!$C$30/100)^(+'Sheet8(F_24)'!$A16-Title_RESULTS!$H$7))/1000))</f>
        <v>607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607</v>
      </c>
      <c r="K16" s="5">
        <f>(+Partcipation!$B15+(Partcipation!$B16-Partcipation!$B15)/2)*(+Title_RESULTS!$C$14)/1000</f>
        <v>2490.015</v>
      </c>
      <c r="L16" s="5">
        <f>($K16)*Partcipation!$E73*Title_RESULTS!$C$12/100</f>
        <v>60.62221747676708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57.3758727</v>
      </c>
      <c r="N16" s="5">
        <f>'Sheet2(F_12)'!$I16*('Sheet6(p_6)'!$L16+'Sheet6(p_6)'!$M16)</f>
        <v>117.99809017676708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128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128</v>
      </c>
      <c r="E17" s="5">
        <f>IF(+'Sheet9(F_25)'!$A17&gt;=Title_RESULTS!$H$8,0,((Partcipation!$B17-Partcipation!$B16)*(Title_RESULTS!$C$39*((1+Title_RESULTS!$C$41/100)^('Sheet9(F_25)'!$A17-Title_RESULTS!$H$7)))/1000))</f>
        <v>106.57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106.57</v>
      </c>
      <c r="H17" s="5">
        <f>IF(Partcipation!$B18&lt;Partcipation!$B17,0,IF(Partcipation!$B17=0,0,(Partcipation!$B17-Partcipation!$B16)*(+Title_RESULTS!$C$29*(1+Title_RESULTS!$C$30/100)^(+'Sheet8(F_24)'!$A17-Title_RESULTS!$H$7))/1000))</f>
        <v>620.9609999999999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620.9609999999999</v>
      </c>
      <c r="K17" s="5">
        <f>(+Partcipation!$B16+(Partcipation!$B17-Partcipation!$B16)/2)*(+Title_RESULTS!$C$14)/1000</f>
        <v>7470.045</v>
      </c>
      <c r="L17" s="5">
        <f>($K17)*Partcipation!$E74*Title_RESULTS!$C$12/100</f>
        <v>190.52232000644506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173.848894281</v>
      </c>
      <c r="N17" s="5">
        <f>'Sheet2(F_12)'!$I17*('Sheet6(p_6)'!$L17+'Sheet6(p_6)'!$M17)</f>
        <v>364.37121428744507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131.072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131.072</v>
      </c>
      <c r="E18" s="5">
        <f>IF(+'Sheet9(F_25)'!$A18&gt;=Title_RESULTS!$H$8,0,((Partcipation!$B18-Partcipation!$B17)*(Title_RESULTS!$C$39*((1+Title_RESULTS!$C$41/100)^('Sheet9(F_25)'!$A18-Title_RESULTS!$H$7)))/1000))</f>
        <v>106.57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106.57</v>
      </c>
      <c r="H18" s="5">
        <f>IF(Partcipation!$B19&lt;Partcipation!$B18,0,IF(Partcipation!$B18=0,0,(Partcipation!$B18-Partcipation!$B17)*(+Title_RESULTS!$C$29*(1+Title_RESULTS!$C$30/100)^(+'Sheet8(F_24)'!$A18-Title_RESULTS!$H$7))/1000))</f>
        <v>635.2431029999999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635.2431029999999</v>
      </c>
      <c r="K18" s="5">
        <f>(+Partcipation!$B17+(Partcipation!$B18-Partcipation!$B17)/2)*(+Title_RESULTS!$C$14)/1000</f>
        <v>12450.075</v>
      </c>
      <c r="L18" s="5">
        <f>($K18)*Partcipation!$E75*Title_RESULTS!$C$12/100</f>
        <v>329.2338060029102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292.64563870635004</v>
      </c>
      <c r="N18" s="5">
        <f>'Sheet2(F_12)'!$I18*('Sheet6(p_6)'!$L18+'Sheet6(p_6)'!$M18)</f>
        <v>621.8794447092603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0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0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0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0">SUM(H19:I19)</f>
        <v>0</v>
      </c>
      <c r="K19" s="5">
        <f>(+Partcipation!$B18+(Partcipation!$B19-Partcipation!$B18)/2)*(+Title_RESULTS!$C$14)/1000</f>
        <v>14940.09</v>
      </c>
      <c r="L19" s="5">
        <f>($K19)*Partcipation!$E76*Title_RESULTS!$C$12/100</f>
        <v>391.84193831403553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354.68651411209623</v>
      </c>
      <c r="N19" s="5">
        <f>'Sheet2(F_12)'!$I19*('Sheet6(p_6)'!$L19+'Sheet6(p_6)'!$M19)</f>
        <v>746.5284524261317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14940.09</v>
      </c>
      <c r="L20" s="5">
        <f>($K20)*Partcipation!$E77*Title_RESULTS!$C$12/100</f>
        <v>414.06710864705497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358.2333792532172</v>
      </c>
      <c r="N20" s="5">
        <f>'Sheet2(F_12)'!$I20*('Sheet6(p_6)'!$L20+'Sheet6(p_6)'!$M20)</f>
        <v>772.3004879002722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14940.09</v>
      </c>
      <c r="L21" s="5">
        <f>($K21)*Partcipation!$E78*Title_RESULTS!$C$12/100</f>
        <v>437.8340128456356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361.81571304574936</v>
      </c>
      <c r="N21" s="5">
        <f>'Sheet2(F_12)'!$I21*('Sheet6(p_6)'!$L21+'Sheet6(p_6)'!$M21)</f>
        <v>799.649725891385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14940.09</v>
      </c>
      <c r="L22" s="5">
        <f>($K22)*Partcipation!$E79*Title_RESULTS!$C$12/100</f>
        <v>457.63031278504934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365.43387017620694</v>
      </c>
      <c r="N22" s="5">
        <f>'Sheet2(F_12)'!$I22*('Sheet6(p_6)'!$L22+'Sheet6(p_6)'!$M22)</f>
        <v>823.0641829612563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14940.09</v>
      </c>
      <c r="L23" s="5">
        <f>($K23)*Partcipation!$E80*Title_RESULTS!$C$12/100</f>
        <v>484.5760285543106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369.0882088779689</v>
      </c>
      <c r="N23" s="5">
        <f>'Sheet2(F_12)'!$I23*('Sheet6(p_6)'!$L23+'Sheet6(p_6)'!$M23)</f>
        <v>853.6642374322795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14940.09</v>
      </c>
      <c r="L24" s="5">
        <f>($K24)*Partcipation!$E81*Title_RESULTS!$C$12/100</f>
        <v>530.4630095808146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372.7790909667487</v>
      </c>
      <c r="N24" s="5">
        <f>'Sheet2(F_12)'!$I24*('Sheet6(p_6)'!$L24+'Sheet6(p_6)'!$M24)</f>
        <v>903.2421005475633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14940.09</v>
      </c>
      <c r="L25" s="5">
        <f>($K25)*Partcipation!$E82*Title_RESULTS!$C$12/100</f>
        <v>557.4889054554479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376.5068818764162</v>
      </c>
      <c r="N25" s="5">
        <f>'Sheet2(F_12)'!$I25*('Sheet6(p_6)'!$L25+'Sheet6(p_6)'!$M25)</f>
        <v>933.9957873318641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14940.09</v>
      </c>
      <c r="L26" s="5">
        <f>($K26)*Partcipation!$E83*Title_RESULTS!$C$12/100</f>
        <v>607.4131447922621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380.27195069518035</v>
      </c>
      <c r="N26" s="5">
        <f>'Sheet2(F_12)'!$I26*('Sheet6(p_6)'!$L26+'Sheet6(p_6)'!$M26)</f>
        <v>987.6850954874424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14940.09</v>
      </c>
      <c r="L27" s="5">
        <f>($K27)*Partcipation!$E84*Title_RESULTS!$C$12/100</f>
        <v>628.35194058745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384.0746702021321</v>
      </c>
      <c r="N27" s="5">
        <f>'Sheet2(F_12)'!$I27*('Sheet6(p_6)'!$L27+'Sheet6(p_6)'!$M27)</f>
        <v>1012.4266107895821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14940.09</v>
      </c>
      <c r="L28" s="5">
        <f>($K28)*Partcipation!$E85*Title_RESULTS!$C$12/100</f>
        <v>673.1855099623291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387.9154169041534</v>
      </c>
      <c r="N28" s="5">
        <f>'Sheet2(F_12)'!$I28*('Sheet6(p_6)'!$L28+'Sheet6(p_6)'!$M28)</f>
        <v>1061.1009268664825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14940.09</v>
      </c>
      <c r="L29" s="5">
        <f>($K29)*Partcipation!$E86*Title_RESULTS!$C$12/100</f>
        <v>687.3058344079515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391.79457107319496</v>
      </c>
      <c r="N29" s="5">
        <f>'Sheet2(F_12)'!$I29*('Sheet6(p_6)'!$L29+'Sheet6(p_6)'!$M29)</f>
        <v>1079.1004054811465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14940.09</v>
      </c>
      <c r="L30" s="5">
        <f>($K30)*Partcipation!$E87*Title_RESULTS!$C$12/100</f>
        <v>732.6987868749247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395.71251678392696</v>
      </c>
      <c r="N30" s="5">
        <f>'Sheet2(F_12)'!$I30*('Sheet6(p_6)'!$L30+'Sheet6(p_6)'!$M30)</f>
        <v>1128.4113036588517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87</v>
      </c>
      <c r="B32" s="5">
        <f aca="true" t="shared" si="4" ref="B32:R32">SUM(B16:B31)</f>
        <v>384.072</v>
      </c>
      <c r="C32" s="5">
        <f t="shared" si="4"/>
        <v>0</v>
      </c>
      <c r="D32" s="5">
        <f t="shared" si="4"/>
        <v>384.072</v>
      </c>
      <c r="E32" s="5">
        <f t="shared" si="4"/>
        <v>319.71</v>
      </c>
      <c r="F32" s="5">
        <f t="shared" si="4"/>
        <v>0</v>
      </c>
      <c r="G32" s="5">
        <f t="shared" si="4"/>
        <v>319.71</v>
      </c>
      <c r="H32" s="5">
        <f t="shared" si="4"/>
        <v>1863.2041029999996</v>
      </c>
      <c r="I32" s="5">
        <f t="shared" si="4"/>
        <v>0</v>
      </c>
      <c r="J32" s="5">
        <f t="shared" si="4"/>
        <v>1863.2041029999996</v>
      </c>
      <c r="K32" s="5">
        <f t="shared" si="4"/>
        <v>201691.21499999997</v>
      </c>
      <c r="L32" s="5">
        <f t="shared" si="4"/>
        <v>7183.234876293389</v>
      </c>
      <c r="M32" s="5">
        <f t="shared" si="4"/>
        <v>5022.183189654341</v>
      </c>
      <c r="N32" s="5">
        <f t="shared" si="4"/>
        <v>12205.41806594773</v>
      </c>
      <c r="O32" s="5">
        <f t="shared" si="4"/>
        <v>0</v>
      </c>
      <c r="P32" s="5">
        <f t="shared" si="4"/>
        <v>0</v>
      </c>
      <c r="Q32" s="5">
        <f t="shared" si="4"/>
        <v>0</v>
      </c>
      <c r="R32" s="5">
        <f t="shared" si="4"/>
        <v>0</v>
      </c>
    </row>
    <row r="33" spans="2:18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2.75">
      <c r="A34" t="s">
        <v>89</v>
      </c>
      <c r="B34" s="5">
        <f>NPV(Title_RESULTS!$C$37,'Sheet6(p_6)'!B17:B31)+'Sheet6(p_6)'!B16</f>
        <v>358.8491576370552</v>
      </c>
      <c r="C34" s="5">
        <f>NPV(Title_RESULTS!$C$37,'Sheet6(p_6)'!C17:C31)+'Sheet6(p_6)'!C16</f>
        <v>0</v>
      </c>
      <c r="D34" s="5">
        <f>NPV(Title_RESULTS!$C$37,'Sheet6(p_6)'!D17:D31)+'Sheet6(p_6)'!D16</f>
        <v>358.8491576370552</v>
      </c>
      <c r="E34" s="5">
        <f>NPV(Title_RESULTS!$C$37,'Sheet6(p_6)'!E17:E31)+'Sheet6(p_6)'!E16</f>
        <v>299.03705321511194</v>
      </c>
      <c r="F34" s="5">
        <f>NPV(Title_RESULTS!$C$37,'Sheet6(p_6)'!F17:F31)+'Sheet6(p_6)'!F16</f>
        <v>0</v>
      </c>
      <c r="G34" s="5">
        <f>NPV(Title_RESULTS!$C$37,'Sheet6(p_6)'!G17:G31)+'Sheet6(p_6)'!G16</f>
        <v>299.03705321511194</v>
      </c>
      <c r="H34" s="5">
        <f>NPV(Title_RESULTS!$C$37,'Sheet6(p_6)'!H17:H31)+'Sheet6(p_6)'!H16</f>
        <v>1740.920991661142</v>
      </c>
      <c r="I34" s="5">
        <f>NPV(Title_RESULTS!$C$37,'Sheet6(p_6)'!I17:I31)+'Sheet6(p_6)'!I16</f>
        <v>0</v>
      </c>
      <c r="J34" s="5">
        <f>NPV(Title_RESULTS!$C$37,'Sheet6(p_6)'!J17:J31)+'Sheet6(p_6)'!J16</f>
        <v>1740.920991661142</v>
      </c>
      <c r="K34" s="5"/>
      <c r="L34" s="5">
        <f>NPV(Title_RESULTS!$C$37,'Sheet6(p_6)'!L17:L31)+'Sheet6(p_6)'!L16</f>
        <v>4145.085121533644</v>
      </c>
      <c r="M34" s="5">
        <f>NPV(Title_RESULTS!$C$37,'Sheet6(p_6)'!M17:M31)+'Sheet6(p_6)'!M16</f>
        <v>3039.9034853785975</v>
      </c>
      <c r="N34" s="5">
        <f>NPV(Title_RESULTS!$C$37,'Sheet6(p_6)'!N17:N31)+'Sheet6(p_6)'!N16</f>
        <v>7184.988606912242</v>
      </c>
      <c r="O34" s="5"/>
      <c r="P34" s="5">
        <f>NPV(Title_RESULTS!$C$37,'Sheet6(p_6)'!P17:P31)+'Sheet6(p_6)'!P16</f>
        <v>0</v>
      </c>
      <c r="Q34" s="5">
        <f>NPV(Title_RESULTS!$C$37,'Sheet6(p_6)'!Q17:Q31)+'Sheet6(p_6)'!Q16</f>
        <v>0</v>
      </c>
      <c r="R34" s="5">
        <f>NPV(Title_RESULTS!$C$37,'Sheet6(p_6)'!R17:R31)+'Sheet6(p_6)'!R16</f>
        <v>0</v>
      </c>
    </row>
    <row r="36" ht="12.75">
      <c r="A36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CO Sensors in Parking Garage</v>
      </c>
      <c r="M2" t="s">
        <v>55</v>
      </c>
    </row>
    <row r="3" ht="12.75">
      <c r="M3" s="35">
        <f>+Title_RESULTS!I4</f>
        <v>43599.31857199074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IF(A16&gt;=(Title_RESULTS!$H$7+Title_RESULTS!$C$17),0,(+'Sheet6(p_6)'!$J16))</f>
        <v>607</v>
      </c>
      <c r="E16" s="5">
        <f>IF(A16&gt;=(Title_RESULTS!$H$7+Title_RESULTS!$C$17),0,(+'f-11B'!$N15))</f>
        <v>0</v>
      </c>
      <c r="F16" s="5">
        <f>IF(A16&gt;=(Title_RESULTS!$H$7+Title_RESULTS!$C$17),0,(SUM(B16:E16)))</f>
        <v>732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76.18998389560902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76.18998389560902</v>
      </c>
      <c r="L16" s="23">
        <f>IF(A16&gt;=(Title_RESULTS!$H$7+Title_RESULTS!$C$17),0,(+$K16-$F16))</f>
        <v>-655.810016104391</v>
      </c>
      <c r="M16" s="23">
        <f>IF(A16&gt;=(Title_RESULTS!$H$7+Title_RESULTS!$C$17),0,(+$L16/(1+Title_RESULTS!$C$37)^('Sheet7(F_23)'!$A16-Title_RESULTS!$H$7)))</f>
        <v>-655.810016104391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IF(A17&gt;=(Title_RESULTS!$H$7+Title_RESULTS!$C$17),0,(+'Sheet6(p_6)'!$J17))</f>
        <v>620.9609999999999</v>
      </c>
      <c r="E17" s="5">
        <f>IF(A17&gt;=(Title_RESULTS!$H$7+Title_RESULTS!$C$17),0,(+'f-11B'!$N16))</f>
        <v>0</v>
      </c>
      <c r="F17" s="5">
        <f>IF(A17&gt;=(Title_RESULTS!$H$7+Title_RESULTS!$C$17),0,(SUM(B17:E17)))</f>
        <v>748.9609999999999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16.22890021115913</v>
      </c>
      <c r="I17" s="5">
        <f>IF(A17&gt;=(Title_RESULTS!$H$7+Title_RESULTS!$C$17),0,(+'Sheet4(F_22)'!$H17))</f>
        <v>226.71079725521642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242.93969746637555</v>
      </c>
      <c r="L17" s="23">
        <f>IF(A17&gt;=(Title_RESULTS!$H$7+Title_RESULTS!$C$17),0,(+$K17-$F17))</f>
        <v>-506.02130253362435</v>
      </c>
      <c r="M17" s="23">
        <f>IF(A17&gt;=(Title_RESULTS!$H$7+Title_RESULTS!$C$17),0,(+M16+$L17/(1+Title_RESULTS!$C$37)^('Sheet7(F_23)'!$A17-Title_RESULTS!$H$7)))</f>
        <v>-1128.3738025571593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IF(A18&gt;=(Title_RESULTS!$H$7+Title_RESULTS!$C$17),0,(+'Sheet6(p_6)'!$J18))</f>
        <v>635.2431029999999</v>
      </c>
      <c r="E18" s="5">
        <f>IF(A18&gt;=(Title_RESULTS!$H$7+Title_RESULTS!$C$17),0,(+'f-11B'!$N17))</f>
        <v>0</v>
      </c>
      <c r="F18" s="5">
        <f>IF(A18&gt;=(Title_RESULTS!$H$7+Title_RESULTS!$C$17),0,(SUM(B18:E18)))</f>
        <v>766.3151029999999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16.61839381622695</v>
      </c>
      <c r="I18" s="5">
        <f>IF(A18&gt;=(Title_RESULTS!$H$7+Title_RESULTS!$C$17),0,(+'Sheet4(F_22)'!$H18))</f>
        <v>389.9678617806292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406.5862555968562</v>
      </c>
      <c r="L18" s="23">
        <f>IF(A18&gt;=(Title_RESULTS!$H$7+Title_RESULTS!$C$17),0,(+$K18-$F18))</f>
        <v>-359.72884740314373</v>
      </c>
      <c r="M18" s="23">
        <f>IF(A18&gt;=(Title_RESULTS!$H$7+Title_RESULTS!$C$17),0,(+M17+$L18/(1+Title_RESULTS!$C$37)^('Sheet7(F_23)'!$A18-Title_RESULTS!$H$7)))</f>
        <v>-1442.1056025163361</v>
      </c>
    </row>
    <row r="19" spans="1:13" ht="12.75">
      <c r="A19">
        <f aca="true" t="shared" si="0" ref="A19:A30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51.7562772589547</v>
      </c>
      <c r="H19" s="5">
        <f>IF(A19&gt;=(Title_RESULTS!$H$7+Title_RESULTS!$C$17),0,(+'Sheet4(F_22)'!$D19+'Sheet4(F_22)'!$G19))</f>
        <v>17.017235267816396</v>
      </c>
      <c r="I19" s="5">
        <f>IF(A19&gt;=(Title_RESULTS!$H$7+Title_RESULTS!$C$17),0,(+'Sheet4(F_22)'!$H19))</f>
        <v>487.1589877933356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555.9325003201067</v>
      </c>
      <c r="L19" s="23">
        <f>IF(A19&gt;=(Title_RESULTS!$H$7+Title_RESULTS!$C$17),0,(+$K19-$F19))</f>
        <v>555.9325003201067</v>
      </c>
      <c r="M19" s="23">
        <f>IF(A19&gt;=(Title_RESULTS!$H$7+Title_RESULTS!$C$17),0,(+M18+$L19/(1+Title_RESULTS!$C$37)^('Sheet7(F_23)'!$A19-Title_RESULTS!$H$7)))</f>
        <v>-989.3154464182552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53.136325710390444</v>
      </c>
      <c r="H20" s="5">
        <f>IF(A20&gt;=(Title_RESULTS!$H$7+Title_RESULTS!$C$17),0,(+'Sheet4(F_22)'!$D20+'Sheet4(F_22)'!$G20))</f>
        <v>17.42564891424399</v>
      </c>
      <c r="I20" s="5">
        <f>IF(A20&gt;=(Title_RESULTS!$H$7+Title_RESULTS!$C$17),0,(+'Sheet4(F_22)'!$H20))</f>
        <v>506.30249980185494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576.8644744264893</v>
      </c>
      <c r="L20" s="23">
        <f>IF(A20&gt;=(Title_RESULTS!$H$7+Title_RESULTS!$C$17),0,(+$K20-$F20))</f>
        <v>576.8644744264893</v>
      </c>
      <c r="M20" s="23">
        <f>IF(A20&gt;=(Title_RESULTS!$H$7+Title_RESULTS!$C$17),0,(+M19+$L20/(1+Title_RESULTS!$C$37)^('Sheet7(F_23)'!$A20-Title_RESULTS!$H$7)))</f>
        <v>-550.5419929338478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54.64609424023915</v>
      </c>
      <c r="H21" s="5">
        <f>IF(A21&gt;=(Title_RESULTS!$H$7+Title_RESULTS!$C$17),0,(+'Sheet4(F_22)'!$D21+'Sheet4(F_22)'!$G21))</f>
        <v>17.843864488185847</v>
      </c>
      <c r="I21" s="5">
        <f>IF(A21&gt;=(Title_RESULTS!$H$7+Title_RESULTS!$C$17),0,(+'Sheet4(F_22)'!$H21))</f>
        <v>543.6164546521876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616.1064133806126</v>
      </c>
      <c r="L21" s="23">
        <f>IF(A21&gt;=(Title_RESULTS!$H$7+Title_RESULTS!$C$17),0,(+$K21-$F21))</f>
        <v>616.1064133806126</v>
      </c>
      <c r="M21" s="23">
        <f>IF(A21&gt;=(Title_RESULTS!$H$7+Title_RESULTS!$C$17),0,(+M20+$L21/(1+Title_RESULTS!$C$37)^('Sheet7(F_23)'!$A21-Title_RESULTS!$H$7)))</f>
        <v>-112.90510905971229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56.33693870398629</v>
      </c>
      <c r="H22" s="5">
        <f>IF(A22&gt;=(Title_RESULTS!$H$7+Title_RESULTS!$C$17),0,(+'Sheet4(F_22)'!$D22+'Sheet4(F_22)'!$G22))</f>
        <v>18.272117235902307</v>
      </c>
      <c r="I22" s="5">
        <f>IF(A22&gt;=(Title_RESULTS!$H$7+Title_RESULTS!$C$17),0,(+'Sheet4(F_22)'!$H22))</f>
        <v>561.0527483490838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635.6618042889725</v>
      </c>
      <c r="L22" s="23">
        <f>IF(A22&gt;=(Title_RESULTS!$H$7+Title_RESULTS!$C$17),0,(+$K22-$F22))</f>
        <v>635.6618042889725</v>
      </c>
      <c r="M22" s="23">
        <f>IF(A22&gt;=(Title_RESULTS!$H$7+Title_RESULTS!$C$17),0,(+M21+$L22/(1+Title_RESULTS!$C$37)^('Sheet7(F_23)'!$A22-Title_RESULTS!$H$7)))</f>
        <v>308.7680341059442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57.853499158725924</v>
      </c>
      <c r="H23" s="5">
        <f>IF(A23&gt;=(Title_RESULTS!$H$7+Title_RESULTS!$C$17),0,(+'Sheet4(F_22)'!$D23+'Sheet4(F_22)'!$G23))</f>
        <v>18.710648049563964</v>
      </c>
      <c r="I23" s="5">
        <f>IF(A23&gt;=(Title_RESULTS!$H$7+Title_RESULTS!$C$17),0,(+'Sheet4(F_22)'!$H23))</f>
        <v>596.1160339611871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672.680181169477</v>
      </c>
      <c r="L23" s="23">
        <f>IF(A23&gt;=(Title_RESULTS!$H$7+Title_RESULTS!$C$17),0,(+$K23-$F23))</f>
        <v>672.680181169477</v>
      </c>
      <c r="M23" s="23">
        <f>IF(A23&gt;=(Title_RESULTS!$H$7+Title_RESULTS!$C$17),0,(+M22+$L23/(1+Title_RESULTS!$C$37)^('Sheet7(F_23)'!$A23-Title_RESULTS!$H$7)))</f>
        <v>725.4935518878467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58.79075707728124</v>
      </c>
      <c r="H24" s="5">
        <f>IF(A24&gt;=(Title_RESULTS!$H$7+Title_RESULTS!$C$17),0,(+'Sheet4(F_22)'!$D24+'Sheet4(F_22)'!$G24))</f>
        <v>19.159703602753495</v>
      </c>
      <c r="I24" s="5">
        <f>IF(A24&gt;=(Title_RESULTS!$H$7+Title_RESULTS!$C$17),0,(+'Sheet4(F_22)'!$H24))</f>
        <v>660.5655008098728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738.5159614899076</v>
      </c>
      <c r="L24" s="23">
        <f>IF(A24&gt;=(Title_RESULTS!$H$7+Title_RESULTS!$C$17),0,(+$K24-$F24))</f>
        <v>738.5159614899076</v>
      </c>
      <c r="M24" s="23">
        <f>IF(A24&gt;=(Title_RESULTS!$H$7+Title_RESULTS!$C$17),0,(+M23+$L24/(1+Title_RESULTS!$C$37)^('Sheet7(F_23)'!$A24-Title_RESULTS!$H$7)))</f>
        <v>1152.7542895935414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60.38768080625556</v>
      </c>
      <c r="H25" s="5">
        <f>IF(A25&gt;=(Title_RESULTS!$H$7+Title_RESULTS!$C$17),0,(+'Sheet4(F_22)'!$D25+'Sheet4(F_22)'!$G25))</f>
        <v>19.61953648921958</v>
      </c>
      <c r="I25" s="5">
        <f>IF(A25&gt;=(Title_RESULTS!$H$7+Title_RESULTS!$C$17),0,(+'Sheet4(F_22)'!$H25))</f>
        <v>707.7062747095541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787.7134920050293</v>
      </c>
      <c r="L25" s="23">
        <f>IF(A25&gt;=(Title_RESULTS!$H$7+Title_RESULTS!$C$17),0,(+$K25-$F25))</f>
        <v>787.7134920050293</v>
      </c>
      <c r="M25" s="23">
        <f>IF(A25&gt;=(Title_RESULTS!$H$7+Title_RESULTS!$C$17),0,(+M24+$L25/(1+Title_RESULTS!$C$37)^('Sheet7(F_23)'!$A25-Title_RESULTS!$H$7)))</f>
        <v>1578.3458640368656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61.35466962702572</v>
      </c>
      <c r="H26" s="5">
        <f>IF(A26&gt;=(Title_RESULTS!$H$7+Title_RESULTS!$C$17),0,(+'Sheet4(F_22)'!$D26+'Sheet4(F_22)'!$G26))</f>
        <v>20.09040536496085</v>
      </c>
      <c r="I26" s="5">
        <f>IF(A26&gt;=(Title_RESULTS!$H$7+Title_RESULTS!$C$17),0,(+'Sheet4(F_22)'!$H26))</f>
        <v>790.4687017766316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871.9137767686182</v>
      </c>
      <c r="L26" s="23">
        <f>IF(A26&gt;=(Title_RESULTS!$H$7+Title_RESULTS!$C$17),0,(+$K26-$F26))</f>
        <v>871.9137767686182</v>
      </c>
      <c r="M26" s="23">
        <f>IF(A26&gt;=(Title_RESULTS!$H$7+Title_RESULTS!$C$17),0,(+M25+$L26/(1+Title_RESULTS!$C$37)^('Sheet7(F_23)'!$A26-Title_RESULTS!$H$7)))</f>
        <v>2018.2822823016522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63.47252190260484</v>
      </c>
      <c r="H27" s="5">
        <f>IF(A27&gt;=(Title_RESULTS!$H$7+Title_RESULTS!$C$17),0,(+'Sheet4(F_22)'!$D27+'Sheet4(F_22)'!$G27))</f>
        <v>20.572575093719912</v>
      </c>
      <c r="I27" s="5">
        <f>IF(A27&gt;=(Title_RESULTS!$H$7+Title_RESULTS!$C$17),0,(+'Sheet4(F_22)'!$H27))</f>
        <v>787.5290707509681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871.5741677472929</v>
      </c>
      <c r="L27" s="23">
        <f>IF(A27&gt;=(Title_RESULTS!$H$7+Title_RESULTS!$C$17),0,(+$K27-$F27))</f>
        <v>871.5741677472929</v>
      </c>
      <c r="M27" s="23">
        <f>IF(A27&gt;=(Title_RESULTS!$H$7+Title_RESULTS!$C$17),0,(+M26+$L27/(1+Title_RESULTS!$C$37)^('Sheet7(F_23)'!$A27-Title_RESULTS!$H$7)))</f>
        <v>2428.970612273263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64.81067023981284</v>
      </c>
      <c r="H28" s="5">
        <f>IF(A28&gt;=(Title_RESULTS!$H$7+Title_RESULTS!$C$17),0,(+'Sheet4(F_22)'!$D28+'Sheet4(F_22)'!$G28))</f>
        <v>21.066316895969187</v>
      </c>
      <c r="I28" s="5">
        <f>IF(A28&gt;=(Title_RESULTS!$H$7+Title_RESULTS!$C$17),0,(+'Sheet4(F_22)'!$H28))</f>
        <v>860.6964878317303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946.5734749675123</v>
      </c>
      <c r="L28" s="23">
        <f>IF(A28&gt;=(Title_RESULTS!$H$7+Title_RESULTS!$C$17),0,(+$K28-$F28))</f>
        <v>946.5734749675123</v>
      </c>
      <c r="M28" s="23">
        <f>IF(A28&gt;=(Title_RESULTS!$H$7+Title_RESULTS!$C$17),0,(+M27+$L28/(1+Title_RESULTS!$C$37)^('Sheet7(F_23)'!$A28-Title_RESULTS!$H$7)))</f>
        <v>2845.5079915476595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67.12497005894679</v>
      </c>
      <c r="H29" s="5">
        <f>IF(A29&gt;=(Title_RESULTS!$H$7+Title_RESULTS!$C$17),0,(+'Sheet4(F_22)'!$D29+'Sheet4(F_22)'!$G29))</f>
        <v>21.571908501472453</v>
      </c>
      <c r="I29" s="5">
        <f>IF(A29&gt;=(Title_RESULTS!$H$7+Title_RESULTS!$C$17),0,(+'Sheet4(F_22)'!$H29))</f>
        <v>917.854511928501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1006.5513904889202</v>
      </c>
      <c r="L29" s="23">
        <f>IF(A29&gt;=(Title_RESULTS!$H$7+Title_RESULTS!$C$17),0,(+$K29-$F29))</f>
        <v>1006.5513904889202</v>
      </c>
      <c r="M29" s="23">
        <f>IF(A29&gt;=(Title_RESULTS!$H$7+Title_RESULTS!$C$17),0,(+M28+$L29/(1+Title_RESULTS!$C$37)^('Sheet7(F_23)'!$A29-Title_RESULTS!$H$7)))</f>
        <v>3259.15247850493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68.42134257191151</v>
      </c>
      <c r="H30" s="5">
        <f>IF(A30&gt;=(Title_RESULTS!$H$7+Title_RESULTS!$C$17),0,(+'Sheet4(F_22)'!$D30+'Sheet4(F_22)'!$G30))</f>
        <v>22.089634305507786</v>
      </c>
      <c r="I30" s="5">
        <f>IF(A30&gt;=(Title_RESULTS!$H$7+Title_RESULTS!$C$17),0,(+'Sheet4(F_22)'!$H30))</f>
        <v>960.5919016277959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1051.1028785052151</v>
      </c>
      <c r="L30" s="23">
        <f>IF(A30&gt;=(Title_RESULTS!$H$7+Title_RESULTS!$C$17),0,(+$K30-$F30))</f>
        <v>1051.1028785052151</v>
      </c>
      <c r="M30" s="23">
        <f>IF(A30&gt;=(Title_RESULTS!$H$7+Title_RESULTS!$C$17),0,(+M29+$L30/(1+Title_RESULTS!$C$37)^('Sheet7(F_23)'!$A30-Title_RESULTS!$H$7)))</f>
        <v>3662.545285774871</v>
      </c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L32">SUM(B16:B31)</f>
        <v>0</v>
      </c>
      <c r="C32" s="5">
        <f t="shared" si="1"/>
        <v>384.072</v>
      </c>
      <c r="D32" s="5">
        <f t="shared" si="1"/>
        <v>1863.2041029999996</v>
      </c>
      <c r="E32" s="5">
        <f t="shared" si="1"/>
        <v>0</v>
      </c>
      <c r="F32" s="5">
        <f t="shared" si="1"/>
        <v>2247.2761029999997</v>
      </c>
      <c r="G32" s="5">
        <f t="shared" si="1"/>
        <v>718.091747356135</v>
      </c>
      <c r="H32" s="5">
        <f t="shared" si="1"/>
        <v>266.28688823670177</v>
      </c>
      <c r="I32" s="5">
        <f t="shared" si="1"/>
        <v>9072.527816924157</v>
      </c>
      <c r="J32" s="5">
        <f t="shared" si="1"/>
        <v>0</v>
      </c>
      <c r="K32" s="5">
        <f t="shared" si="1"/>
        <v>10056.906452516992</v>
      </c>
      <c r="L32" s="5">
        <f t="shared" si="1"/>
        <v>7809.630349516995</v>
      </c>
      <c r="M32" s="5"/>
    </row>
    <row r="33" spans="2:13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t="s">
        <v>118</v>
      </c>
      <c r="B34" s="5">
        <f>NPV(Title_RESULTS!$C$37,'Sheet7(F_23)'!B17:B31)+'Sheet7(F_23)'!B16</f>
        <v>0</v>
      </c>
      <c r="C34" s="5">
        <f>NPV(Title_RESULTS!$C$37,'Sheet7(F_23)'!C17:C31)+'Sheet7(F_23)'!C16</f>
        <v>358.8491576370552</v>
      </c>
      <c r="D34" s="5">
        <f>NPV(Title_RESULTS!$C$37,'Sheet7(F_23)'!D17:D31)+'Sheet7(F_23)'!D16</f>
        <v>1740.920991661142</v>
      </c>
      <c r="E34" s="5">
        <f>NPV(Title_RESULTS!$C$37,'Sheet7(F_23)'!E17:E31)+'Sheet7(F_23)'!E16</f>
        <v>0</v>
      </c>
      <c r="F34" s="5">
        <f>NPV(Title_RESULTS!$C$37,'Sheet7(F_23)'!F17:F31)+'Sheet7(F_23)'!F16</f>
        <v>2099.770149298197</v>
      </c>
      <c r="G34" s="5">
        <f>NPV(Title_RESULTS!$C$37,'Sheet7(F_23)'!G17:G31)+'Sheet7(F_23)'!G16</f>
        <v>404.4679103859669</v>
      </c>
      <c r="H34" s="5">
        <f>NPV(Title_RESULTS!$C$37,'Sheet7(F_23)'!H17:H31)+'Sheet7(F_23)'!H16</f>
        <v>161.27921371801406</v>
      </c>
      <c r="I34" s="5">
        <f>NPV(Title_RESULTS!$C$37,'Sheet7(F_23)'!I17:I31)+'Sheet7(F_23)'!I16</f>
        <v>5196.568310969086</v>
      </c>
      <c r="J34" s="5">
        <f>NPV(Title_RESULTS!$C$37,'Sheet7(F_23)'!J17:J31)+'Sheet7(F_23)'!J16</f>
        <v>0</v>
      </c>
      <c r="K34" s="5">
        <f>NPV(Title_RESULTS!$C$37,'Sheet7(F_23)'!K17:K31)+'Sheet7(F_23)'!K16</f>
        <v>5762.315435073067</v>
      </c>
      <c r="L34" s="5">
        <f>NPV(Title_RESULTS!$C$37,'Sheet7(F_23)'!L17:L31)+'Sheet7(F_23)'!L16</f>
        <v>3662.5452857748705</v>
      </c>
      <c r="M34" s="5"/>
    </row>
    <row r="36" spans="1:8" ht="12.75">
      <c r="A36" t="s">
        <v>162</v>
      </c>
      <c r="C36">
        <f>+Title_RESULTS!C37</f>
        <v>0.0708</v>
      </c>
      <c r="D36" t="s">
        <v>163</v>
      </c>
      <c r="H36" s="10">
        <f>+K34/F34</f>
        <v>2.744260097705931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CO Sensors in Parking Garage</v>
      </c>
      <c r="L2" t="s">
        <v>55</v>
      </c>
    </row>
    <row r="3" ht="12.75">
      <c r="L3" s="35">
        <f>+Title_RESULTS!I4</f>
        <v>43599.31857199074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117.99809017676708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106.57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224.56809017676707</v>
      </c>
      <c r="G16" s="5">
        <f>IF(A16&gt;=(Title_RESULTS!$H$7+Title_RESULTS!$C$17),0,(+'Sheet6(p_6)'!$H16))</f>
        <v>607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607</v>
      </c>
      <c r="K16" s="23">
        <f>IF(A16&gt;=(Title_RESULTS!$H$7+Title_RESULTS!$C$17),0,(+F16-J16))</f>
        <v>-382.4319098232329</v>
      </c>
      <c r="L16" s="23">
        <f>IF(A16&gt;=(Title_RESULTS!$H$7+Title_RESULTS!$C$17),0,(+$K16/((1+Title_RESULTS!$C$37)^('Sheet8(F_24)'!$A16-Title_RESULTS!$H$7))))</f>
        <v>-382.4319098232329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364.37121428744507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106.57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470.94121428744506</v>
      </c>
      <c r="G17" s="5">
        <f>IF(A17&gt;=(Title_RESULTS!$H$7+Title_RESULTS!$C$17),0,(+'Sheet6(p_6)'!$H17))</f>
        <v>620.9609999999999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620.9609999999999</v>
      </c>
      <c r="K17" s="23">
        <f>IF(A17&gt;=(Title_RESULTS!$H$7+Title_RESULTS!$C$17),0,(+F17-J17))</f>
        <v>-150.01978571255484</v>
      </c>
      <c r="L17" s="23">
        <f>IF(A16&gt;=(Title_RESULTS!$H$7+Title_RESULTS!$C$17),0,(+$K17/((1+Title_RESULTS!$C$37)^('Sheet8(F_24)'!$A17-Title_RESULTS!$H$7))+L16))</f>
        <v>-522.5325688749277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621.8794447092603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106.57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728.4494447092602</v>
      </c>
      <c r="G18" s="5">
        <f>IF(A18&gt;=(Title_RESULTS!$H$7+Title_RESULTS!$C$17),0,(+'Sheet6(p_6)'!$H18))</f>
        <v>635.2431029999999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635.2431029999999</v>
      </c>
      <c r="K18" s="23">
        <f>IF(A18&gt;=(Title_RESULTS!$H$7+Title_RESULTS!$C$17),0,(+F18-J18))</f>
        <v>93.2063417092603</v>
      </c>
      <c r="L18" s="23">
        <f>IF(A17&gt;=(Title_RESULTS!$H$7+Title_RESULTS!$C$17),0,(+$K18/((1+Title_RESULTS!$C$37)^('Sheet8(F_24)'!$A18-Title_RESULTS!$H$7))+L17))</f>
        <v>-441.24413853871556</v>
      </c>
      <c r="M18" s="5"/>
    </row>
    <row r="19" spans="1:13" ht="12.75">
      <c r="A19">
        <f aca="true" t="shared" si="0" ref="A19:A30">+A18+1</f>
        <v>2023</v>
      </c>
      <c r="B19" s="5">
        <f>IF(A19&gt;=(Title_RESULTS!$H$7+Title_RESULTS!$C$17),0,(+'Sheet6(p_6)'!N19-'Sheet6(p_6)'!R19))</f>
        <v>746.5284524261317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746.5284524261317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746.5284524261317</v>
      </c>
      <c r="L19" s="23">
        <f>IF(A18&gt;=(Title_RESULTS!$H$7+Title_RESULTS!$C$17),0,(+$K19/((1+Title_RESULTS!$C$37)^('Sheet8(F_24)'!$A19-Title_RESULTS!$H$7))+L18))</f>
        <v>166.78063841002233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772.3004879002722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772.3004879002722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772.3004879002722</v>
      </c>
      <c r="L20" s="23">
        <f>IF(A19&gt;=(Title_RESULTS!$H$7+Title_RESULTS!$C$17),0,(+$K20/((1+Title_RESULTS!$C$37)^('Sheet8(F_24)'!$A20-Title_RESULTS!$H$7))+L19))</f>
        <v>754.2062248800333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799.649725891385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799.649725891385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799.649725891385</v>
      </c>
      <c r="L21" s="23">
        <f>IF(A20&gt;=(Title_RESULTS!$H$7+Title_RESULTS!$C$17),0,(+$K21/((1+Title_RESULTS!$C$37)^('Sheet8(F_24)'!$A21-Title_RESULTS!$H$7))+L20))</f>
        <v>1322.2188386583607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823.0641829612563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823.0641829612563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823.0641829612563</v>
      </c>
      <c r="L22" s="23">
        <f>IF(A21&gt;=(Title_RESULTS!$H$7+Title_RESULTS!$C$17),0,(+$K22/((1+Title_RESULTS!$C$37)^('Sheet8(F_24)'!$A22-Title_RESULTS!$H$7))+L21))</f>
        <v>1868.2073796004404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853.6642374322795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853.6642374322795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853.6642374322795</v>
      </c>
      <c r="L23" s="23">
        <f>IF(A22&gt;=(Title_RESULTS!$H$7+Title_RESULTS!$C$17),0,(+$K23/((1+Title_RESULTS!$C$37)^('Sheet8(F_24)'!$A23-Title_RESULTS!$H$7))+L22))</f>
        <v>2397.0525593965617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903.2421005475633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903.2421005475633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903.2421005475633</v>
      </c>
      <c r="L24" s="23">
        <f>IF(A23&gt;=(Title_RESULTS!$H$7+Title_RESULTS!$C$17),0,(+$K24/((1+Title_RESULTS!$C$37)^('Sheet8(F_24)'!$A24-Title_RESULTS!$H$7))+L23))</f>
        <v>2919.6138936542875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933.9957873318641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933.9957873318641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933.9957873318641</v>
      </c>
      <c r="L25" s="23">
        <f>IF(A24&gt;=(Title_RESULTS!$H$7+Title_RESULTS!$C$17),0,(+$K25/((1+Title_RESULTS!$C$37)^('Sheet8(F_24)'!$A25-Title_RESULTS!$H$7))+L24))</f>
        <v>3424.239930517272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987.6850954874424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987.6850954874424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987.6850954874424</v>
      </c>
      <c r="L26" s="23">
        <f>IF(A25&gt;=(Title_RESULTS!$H$7+Title_RESULTS!$C$17),0,(+$K26/((1+Title_RESULTS!$C$37)^('Sheet8(F_24)'!$A26-Title_RESULTS!$H$7))+L25))</f>
        <v>3922.59040376317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1012.4266107895821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1012.4266107895821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1012.4266107895821</v>
      </c>
      <c r="L27" s="23">
        <f>IF(A26&gt;=(Title_RESULTS!$H$7+Title_RESULTS!$C$17),0,(+$K27/((1+Title_RESULTS!$C$37)^('Sheet8(F_24)'!$A27-Title_RESULTS!$H$7))+L26))</f>
        <v>4399.648822186315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1061.1009268664825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1061.1009268664825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1061.1009268664825</v>
      </c>
      <c r="L28" s="23">
        <f>IF(A27&gt;=(Title_RESULTS!$H$7+Title_RESULTS!$C$17),0,(+$K28/((1+Title_RESULTS!$C$37)^('Sheet8(F_24)'!$A28-Title_RESULTS!$H$7))+L27))</f>
        <v>4866.583731003369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1079.1004054811465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1079.1004054811465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1079.1004054811465</v>
      </c>
      <c r="L29" s="23">
        <f>IF(A28&gt;=(Title_RESULTS!$H$7+Title_RESULTS!$C$17),0,(+$K29/((1+Title_RESULTS!$C$37)^('Sheet8(F_24)'!$A29-Title_RESULTS!$H$7))+L28))</f>
        <v>5310.042393738727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1128.4113036588517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1128.4113036588517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1128.4113036588517</v>
      </c>
      <c r="L30" s="23">
        <f>IF(A29&gt;=(Title_RESULTS!$H$7+Title_RESULTS!$C$17),0,(+$K30/((1+Title_RESULTS!$C$37)^('Sheet8(F_24)'!$A30-Title_RESULTS!$H$7))+L29))</f>
        <v>5743.104668466214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87</v>
      </c>
      <c r="B32" s="5">
        <f aca="true" t="shared" si="1" ref="B32:K32">SUM(B16:B31)</f>
        <v>12205.41806594773</v>
      </c>
      <c r="C32" s="5">
        <f t="shared" si="1"/>
        <v>0</v>
      </c>
      <c r="D32" s="5">
        <f t="shared" si="1"/>
        <v>319.71</v>
      </c>
      <c r="E32" s="5">
        <f t="shared" si="1"/>
        <v>0</v>
      </c>
      <c r="F32" s="5">
        <f t="shared" si="1"/>
        <v>12525.128065947729</v>
      </c>
      <c r="G32" s="5">
        <f t="shared" si="1"/>
        <v>1863.2041029999996</v>
      </c>
      <c r="H32" s="5">
        <f t="shared" si="1"/>
        <v>0</v>
      </c>
      <c r="I32" s="5">
        <f t="shared" si="1"/>
        <v>0</v>
      </c>
      <c r="J32" s="5">
        <f t="shared" si="1"/>
        <v>1863.2041029999996</v>
      </c>
      <c r="K32" s="5">
        <f t="shared" si="1"/>
        <v>10661.923962947729</v>
      </c>
      <c r="L32" s="5"/>
      <c r="M32" s="5"/>
    </row>
    <row r="33" ht="12.75">
      <c r="M33" s="5"/>
    </row>
    <row r="34" spans="1:13" ht="12.75">
      <c r="A34" t="s">
        <v>118</v>
      </c>
      <c r="B34" s="5">
        <f>NPV(Title_RESULTS!$C$37,'Sheet8(F_24)'!B17:B31)+'Sheet8(F_24)'!B16</f>
        <v>7184.988606912242</v>
      </c>
      <c r="C34" s="5">
        <f>NPV(Title_RESULTS!$C$37,'Sheet8(F_24)'!C17:C31)+'Sheet8(F_24)'!C16</f>
        <v>0</v>
      </c>
      <c r="D34" s="5">
        <f>NPV(Title_RESULTS!$C$37,'Sheet8(F_24)'!D17:D31)+'Sheet8(F_24)'!D16</f>
        <v>299.03705321511194</v>
      </c>
      <c r="E34" s="5">
        <f>NPV(Title_RESULTS!$C$37,'Sheet8(F_24)'!E17:E31)+'Sheet8(F_24)'!E16</f>
        <v>0</v>
      </c>
      <c r="F34" s="5">
        <f>NPV(Title_RESULTS!$C$37,'Sheet8(F_24)'!F17:F31)+'Sheet8(F_24)'!F16</f>
        <v>7484.025660127355</v>
      </c>
      <c r="G34" s="5">
        <f>NPV(Title_RESULTS!$C$37,'Sheet8(F_24)'!G17:G31)+'Sheet8(F_24)'!G16</f>
        <v>1740.920991661142</v>
      </c>
      <c r="H34" s="5">
        <f>NPV(Title_RESULTS!$C$37,'Sheet8(F_24)'!H17:H31)+'Sheet8(F_24)'!H16</f>
        <v>0</v>
      </c>
      <c r="I34" s="5">
        <f>NPV(Title_RESULTS!$C$37,'Sheet8(F_24)'!I17:I31)+'Sheet8(F_24)'!I16</f>
        <v>0</v>
      </c>
      <c r="J34" s="5">
        <f>NPV(Title_RESULTS!$C$37,'Sheet8(F_24)'!J17:J31)+'Sheet8(F_24)'!J16</f>
        <v>1740.920991661142</v>
      </c>
      <c r="K34" s="5">
        <f>NPV(Title_RESULTS!$C$37,'Sheet8(F_24)'!K17:K31)+'Sheet8(F_24)'!K16</f>
        <v>5743.104668466213</v>
      </c>
      <c r="L34" s="5"/>
      <c r="M34" s="5"/>
    </row>
    <row r="35" spans="2:12" ht="12.75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1" ht="12.75">
      <c r="A36" t="s">
        <v>174</v>
      </c>
      <c r="D36">
        <f>+Title_RESULTS!H8</f>
        <v>2023</v>
      </c>
      <c r="F36">
        <f>+F34/J34</f>
        <v>4.298888746804237</v>
      </c>
      <c r="K36" s="10"/>
    </row>
    <row r="37" spans="1:10" ht="12.75">
      <c r="A37" t="s">
        <v>175</v>
      </c>
      <c r="D37">
        <f>+Title_RESULTS!C37</f>
        <v>0.0708</v>
      </c>
      <c r="J37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CO Sensors in Parking Garage</v>
      </c>
      <c r="N2" t="s">
        <v>55</v>
      </c>
    </row>
    <row r="3" ht="12.75">
      <c r="N3" s="35">
        <f>+Title_RESULTS!I4</f>
        <v>43599.31857199074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125</v>
      </c>
      <c r="D16" s="5">
        <f>IF(A16&gt;=(Title_RESULTS!$H$7+Title_RESULTS!$C$17),0,(+'Sheet6(p_6)'!$G16))</f>
        <v>106.57</v>
      </c>
      <c r="E16" s="5">
        <f>+'Sheet6(p_6)'!M16</f>
        <v>57.3758727</v>
      </c>
      <c r="F16">
        <f>IF(A16&gt;=(Title_RESULTS!$H$7+Title_RESULTS!$C$17),0,(+'f-11B'!$R15))</f>
        <v>0</v>
      </c>
      <c r="G16" s="5">
        <f>IF(A16&gt;=(Title_RESULTS!$H$7+Title_RESULTS!$C$17),0,(SUM(B16:F16)))</f>
        <v>288.9458727</v>
      </c>
      <c r="H16" s="5">
        <f>IF(A16&gt;=(Title_RESULTS!$H$7+Title_RESULTS!$C$17),0,(+'Sheet3(F_21)'!$J16+'Sheet4(F_22)'!$H16))</f>
        <v>76.18998389560902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76.18998389560902</v>
      </c>
      <c r="M16" s="23">
        <f>IF(A16&gt;=(Title_RESULTS!$H$7+Title_RESULTS!$C$17),0,(+L16-G16))</f>
        <v>-212.75588880439096</v>
      </c>
      <c r="N16" s="24">
        <f>IF(A16&gt;=(Title_RESULTS!$H$7+Title_RESULTS!$C$17),0,(+$M16/((1+Title_RESULTS!$C$37)^('Sheet9(F_25)'!$A16-Title_RESULTS!$H$7))))</f>
        <v>-212.75588880439096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128</v>
      </c>
      <c r="D17" s="5">
        <f>IF(A17&gt;=(Title_RESULTS!$H$7+Title_RESULTS!$C$17),0,(+'Sheet6(p_6)'!$G17))</f>
        <v>106.57</v>
      </c>
      <c r="E17" s="5">
        <f>+'Sheet6(p_6)'!M17</f>
        <v>173.848894281</v>
      </c>
      <c r="F17">
        <f>IF(A17&gt;=(Title_RESULTS!$H$7+Title_RESULTS!$C$17),0,(+'f-11B'!$R16))</f>
        <v>0</v>
      </c>
      <c r="G17" s="5">
        <f>IF(A17&gt;=(Title_RESULTS!$H$7+Title_RESULTS!$C$17),0,(SUM(B17:F17)))</f>
        <v>408.418894281</v>
      </c>
      <c r="H17" s="5">
        <f>IF(A17&gt;=(Title_RESULTS!$H$7+Title_RESULTS!$C$17),0,(+'Sheet3(F_21)'!$J17+'Sheet4(F_22)'!$H17))</f>
        <v>226.71079725521642</v>
      </c>
      <c r="I17" s="5">
        <f>IF(A17&gt;=(Title_RESULTS!$H$7+Title_RESULTS!$C$17),0,(+'Sheet4(F_22)'!$D17+'Sheet4(F_22)'!$G17))</f>
        <v>16.22890021115913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242.93969746637555</v>
      </c>
      <c r="M17" s="23">
        <f>IF(A17&gt;=(Title_RESULTS!$H$7+Title_RESULTS!$C$17),0,(+L17-G17))</f>
        <v>-165.47919681462446</v>
      </c>
      <c r="N17" s="24">
        <f>(IF(A16&gt;=(Title_RESULTS!$H$7+Title_RESULTS!$C$17),0,(+$M17/((1+Title_RESULTS!$C$37)^('Sheet9(F_25)'!$A17-Title_RESULTS!$H$7))+N16)))</f>
        <v>-367.2938014067672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131.072</v>
      </c>
      <c r="D18" s="5">
        <f>IF(A18&gt;=(Title_RESULTS!$H$7+Title_RESULTS!$C$17),0,(+'Sheet6(p_6)'!$G18))</f>
        <v>106.57</v>
      </c>
      <c r="E18" s="5">
        <f>+'Sheet6(p_6)'!M18</f>
        <v>292.64563870635004</v>
      </c>
      <c r="F18">
        <f>IF(A18&gt;=(Title_RESULTS!$H$7+Title_RESULTS!$C$17),0,(+'f-11B'!$R17))</f>
        <v>0</v>
      </c>
      <c r="G18" s="5">
        <f>IF(A18&gt;=(Title_RESULTS!$H$7+Title_RESULTS!$C$17),0,(SUM(B18:F18)))</f>
        <v>530.28763870635</v>
      </c>
      <c r="H18" s="5">
        <f>IF(A18&gt;=(Title_RESULTS!$H$7+Title_RESULTS!$C$17),0,(+'Sheet3(F_21)'!$J18+'Sheet4(F_22)'!$H18))</f>
        <v>389.9678617806292</v>
      </c>
      <c r="I18" s="5">
        <f>IF(A18&gt;=(Title_RESULTS!$H$7+Title_RESULTS!$C$17),0,(+'Sheet4(F_22)'!$D18+'Sheet4(F_22)'!$G18))</f>
        <v>16.61839381622695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406.5862555968562</v>
      </c>
      <c r="M18" s="23">
        <f>IF(A18&gt;=(Title_RESULTS!$H$7+Title_RESULTS!$C$17),0,(+L18-G18))</f>
        <v>-123.7013831094938</v>
      </c>
      <c r="N18" s="24">
        <f>(IF(A17&gt;=(Title_RESULTS!$H$7+Title_RESULTS!$C$17),0,(+$M18/((1+Title_RESULTS!$C$37)^('Sheet9(F_25)'!$A18-Title_RESULTS!$H$7))+N17)))</f>
        <v>-475.17799768555045</v>
      </c>
    </row>
    <row r="19" spans="1:14" ht="12.75">
      <c r="A19">
        <f aca="true" t="shared" si="0" ref="A19:A30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354.68651411209623</v>
      </c>
      <c r="F19">
        <f>IF(A19&gt;=(Title_RESULTS!$H$7+Title_RESULTS!$C$17),0,(+'f-11B'!$R18))</f>
        <v>0</v>
      </c>
      <c r="G19" s="5">
        <f>IF(A19&gt;=(Title_RESULTS!$H$7+Title_RESULTS!$C$17),0,(SUM(B19:F19)))</f>
        <v>354.68651411209623</v>
      </c>
      <c r="H19" s="5">
        <f>IF(A19&gt;=(Title_RESULTS!$H$7+Title_RESULTS!$C$17),0,(+'Sheet3(F_21)'!$J19+'Sheet4(F_22)'!$H19))</f>
        <v>538.9152650522904</v>
      </c>
      <c r="I19" s="5">
        <f>IF(A19&gt;=(Title_RESULTS!$H$7+Title_RESULTS!$C$17),0,(+'Sheet4(F_22)'!$D19+'Sheet4(F_22)'!$G19))</f>
        <v>17.017235267816396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555.9325003201068</v>
      </c>
      <c r="M19" s="23">
        <f>IF(A19&gt;=(Title_RESULTS!$H$7+Title_RESULTS!$C$17),0,(+L19-G19))</f>
        <v>201.24598620801055</v>
      </c>
      <c r="N19" s="24">
        <f>(IF(A18&gt;=(Title_RESULTS!$H$7+Title_RESULTS!$C$17),0,(+$M19/((1+Title_RESULTS!$C$37)^('Sheet9(F_25)'!$A19-Title_RESULTS!$H$7))+N18)))</f>
        <v>-311.2692471506041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358.2333792532172</v>
      </c>
      <c r="F20">
        <f>IF(A20&gt;=(Title_RESULTS!$H$7+Title_RESULTS!$C$17),0,(+'f-11B'!$R19))</f>
        <v>0</v>
      </c>
      <c r="G20" s="5">
        <f>IF(A20&gt;=(Title_RESULTS!$H$7+Title_RESULTS!$C$17),0,(SUM(B20:F20)))</f>
        <v>358.2333792532172</v>
      </c>
      <c r="H20" s="5">
        <f>IF(A20&gt;=(Title_RESULTS!$H$7+Title_RESULTS!$C$17),0,(+'Sheet3(F_21)'!$J20+'Sheet4(F_22)'!$H20))</f>
        <v>559.4388255122453</v>
      </c>
      <c r="I20" s="5">
        <f>IF(A20&gt;=(Title_RESULTS!$H$7+Title_RESULTS!$C$17),0,(+'Sheet4(F_22)'!$D20+'Sheet4(F_22)'!$G20))</f>
        <v>17.42564891424399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576.8644744264893</v>
      </c>
      <c r="M20" s="23">
        <f>IF(A20&gt;=(Title_RESULTS!$H$7+Title_RESULTS!$C$17),0,(+L20-G20))</f>
        <v>218.63109517327212</v>
      </c>
      <c r="N20" s="24">
        <f>(IF(A19&gt;=(Title_RESULTS!$H$7+Title_RESULTS!$C$17),0,(+$M20/((1+Title_RESULTS!$C$37)^('Sheet9(F_25)'!$A20-Title_RESULTS!$H$7))+N19)))</f>
        <v>-144.9745194961987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361.81571304574936</v>
      </c>
      <c r="F21">
        <f>IF(A21&gt;=(Title_RESULTS!$H$7+Title_RESULTS!$C$17),0,(+'f-11B'!$R20))</f>
        <v>0</v>
      </c>
      <c r="G21" s="5">
        <f>IF(A21&gt;=(Title_RESULTS!$H$7+Title_RESULTS!$C$17),0,(SUM(B21:F21)))</f>
        <v>361.81571304574936</v>
      </c>
      <c r="H21" s="5">
        <f>IF(A21&gt;=(Title_RESULTS!$H$7+Title_RESULTS!$C$17),0,(+'Sheet3(F_21)'!$J21+'Sheet4(F_22)'!$H21))</f>
        <v>598.2625488924267</v>
      </c>
      <c r="I21" s="5">
        <f>IF(A21&gt;=(Title_RESULTS!$H$7+Title_RESULTS!$C$17),0,(+'Sheet4(F_22)'!$D21+'Sheet4(F_22)'!$G21))</f>
        <v>17.843864488185847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616.1064133806126</v>
      </c>
      <c r="M21" s="23">
        <f>IF(A21&gt;=(Title_RESULTS!$H$7+Title_RESULTS!$C$17),0,(+L21-G21))</f>
        <v>254.29070033486323</v>
      </c>
      <c r="N21" s="24">
        <f>(IF(A20&gt;=(Title_RESULTS!$H$7+Title_RESULTS!$C$17),0,(+$M21/((1+Title_RESULTS!$C$37)^('Sheet9(F_25)'!$A21-Title_RESULTS!$H$7))+N20)))</f>
        <v>35.65497449345611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365.43387017620694</v>
      </c>
      <c r="F22">
        <f>IF(A22&gt;=(Title_RESULTS!$H$7+Title_RESULTS!$C$17),0,(+'f-11B'!$R21))</f>
        <v>0</v>
      </c>
      <c r="G22" s="5">
        <f>IF(A22&gt;=(Title_RESULTS!$H$7+Title_RESULTS!$C$17),0,(SUM(B22:F22)))</f>
        <v>365.43387017620694</v>
      </c>
      <c r="H22" s="5">
        <f>IF(A22&gt;=(Title_RESULTS!$H$7+Title_RESULTS!$C$17),0,(+'Sheet3(F_21)'!$J22+'Sheet4(F_22)'!$H22))</f>
        <v>617.3896870530701</v>
      </c>
      <c r="I22" s="5">
        <f>IF(A22&gt;=(Title_RESULTS!$H$7+Title_RESULTS!$C$17),0,(+'Sheet4(F_22)'!$D22+'Sheet4(F_22)'!$G22))</f>
        <v>18.272117235902307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635.6618042889725</v>
      </c>
      <c r="M22" s="23">
        <f>IF(A22&gt;=(Title_RESULTS!$H$7+Title_RESULTS!$C$17),0,(+L22-G22))</f>
        <v>270.2279341127655</v>
      </c>
      <c r="N22" s="24">
        <f>(IF(A21&gt;=(Title_RESULTS!$H$7+Title_RESULTS!$C$17),0,(+$M22/((1+Title_RESULTS!$C$37)^('Sheet9(F_25)'!$A22-Title_RESULTS!$H$7))+N21)))</f>
        <v>214.91360161192767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369.0882088779689</v>
      </c>
      <c r="F23">
        <f>IF(A23&gt;=(Title_RESULTS!$H$7+Title_RESULTS!$C$17),0,(+'f-11B'!$R22))</f>
        <v>0</v>
      </c>
      <c r="G23" s="5">
        <f>IF(A23&gt;=(Title_RESULTS!$H$7+Title_RESULTS!$C$17),0,(SUM(B23:F23)))</f>
        <v>369.0882088779689</v>
      </c>
      <c r="H23" s="5">
        <f>IF(A23&gt;=(Title_RESULTS!$H$7+Title_RESULTS!$C$17),0,(+'Sheet3(F_21)'!$J23+'Sheet4(F_22)'!$H23))</f>
        <v>653.969533119913</v>
      </c>
      <c r="I23" s="5">
        <f>IF(A23&gt;=(Title_RESULTS!$H$7+Title_RESULTS!$C$17),0,(+'Sheet4(F_22)'!$D23+'Sheet4(F_22)'!$G23))</f>
        <v>18.710648049563964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672.6801811694769</v>
      </c>
      <c r="M23" s="23">
        <f>IF(A23&gt;=(Title_RESULTS!$H$7+Title_RESULTS!$C$17),0,(+L23-G23))</f>
        <v>303.591972291508</v>
      </c>
      <c r="N23" s="24">
        <f>(IF(A22&gt;=(Title_RESULTS!$H$7+Title_RESULTS!$C$17),0,(+$M23/((1+Title_RESULTS!$C$37)^('Sheet9(F_25)'!$A23-Title_RESULTS!$H$7))+N22)))</f>
        <v>402.98889413453173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372.7790909667487</v>
      </c>
      <c r="F24">
        <f>IF(A24&gt;=(Title_RESULTS!$H$7+Title_RESULTS!$C$17),0,(+'f-11B'!$R23))</f>
        <v>0</v>
      </c>
      <c r="G24" s="5">
        <f>IF(A24&gt;=(Title_RESULTS!$H$7+Title_RESULTS!$C$17),0,(SUM(B24:F24)))</f>
        <v>372.7790909667487</v>
      </c>
      <c r="H24" s="5">
        <f>IF(A24&gt;=(Title_RESULTS!$H$7+Title_RESULTS!$C$17),0,(+'Sheet3(F_21)'!$J24+'Sheet4(F_22)'!$H24))</f>
        <v>719.356257887154</v>
      </c>
      <c r="I24" s="5">
        <f>IF(A24&gt;=(Title_RESULTS!$H$7+Title_RESULTS!$C$17),0,(+'Sheet4(F_22)'!$D24+'Sheet4(F_22)'!$G24))</f>
        <v>19.159703602753495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738.5159614899076</v>
      </c>
      <c r="M24" s="23">
        <f>IF(A24&gt;=(Title_RESULTS!$H$7+Title_RESULTS!$C$17),0,(+L24-G24))</f>
        <v>365.73687052315887</v>
      </c>
      <c r="N24" s="24">
        <f>(IF(A23&gt;=(Title_RESULTS!$H$7+Title_RESULTS!$C$17),0,(+$M24/((1+Title_RESULTS!$C$37)^('Sheet9(F_25)'!$A24-Title_RESULTS!$H$7))+N23)))</f>
        <v>614.5821612463794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376.5068818764162</v>
      </c>
      <c r="F25">
        <f>IF(A25&gt;=(Title_RESULTS!$H$7+Title_RESULTS!$C$17),0,(+'f-11B'!$R24))</f>
        <v>0</v>
      </c>
      <c r="G25" s="5">
        <f>IF(A25&gt;=(Title_RESULTS!$H$7+Title_RESULTS!$C$17),0,(SUM(B25:F25)))</f>
        <v>376.5068818764162</v>
      </c>
      <c r="H25" s="5">
        <f>IF(A25&gt;=(Title_RESULTS!$H$7+Title_RESULTS!$C$17),0,(+'Sheet3(F_21)'!$J25+'Sheet4(F_22)'!$H25))</f>
        <v>768.0939555158097</v>
      </c>
      <c r="I25" s="5">
        <f>IF(A25&gt;=(Title_RESULTS!$H$7+Title_RESULTS!$C$17),0,(+'Sheet4(F_22)'!$D25+'Sheet4(F_22)'!$G25))</f>
        <v>19.61953648921958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787.7134920050294</v>
      </c>
      <c r="M25" s="23">
        <f>IF(A25&gt;=(Title_RESULTS!$H$7+Title_RESULTS!$C$17),0,(+L25-G25))</f>
        <v>411.2066101286132</v>
      </c>
      <c r="N25" s="24">
        <f>(IF(A24&gt;=(Title_RESULTS!$H$7+Title_RESULTS!$C$17),0,(+$M25/((1+Title_RESULTS!$C$37)^('Sheet9(F_25)'!$A25-Title_RESULTS!$H$7))+N24)))</f>
        <v>836.7518592423879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380.27195069518035</v>
      </c>
      <c r="F26">
        <f>IF(A26&gt;=(Title_RESULTS!$H$7+Title_RESULTS!$C$17),0,(+'f-11B'!$R25))</f>
        <v>0</v>
      </c>
      <c r="G26" s="5">
        <f>IF(A26&gt;=(Title_RESULTS!$H$7+Title_RESULTS!$C$17),0,(SUM(B26:F26)))</f>
        <v>380.27195069518035</v>
      </c>
      <c r="H26" s="5">
        <f>IF(A26&gt;=(Title_RESULTS!$H$7+Title_RESULTS!$C$17),0,(+'Sheet3(F_21)'!$J26+'Sheet4(F_22)'!$H26))</f>
        <v>851.8233714036573</v>
      </c>
      <c r="I26" s="5">
        <f>IF(A26&gt;=(Title_RESULTS!$H$7+Title_RESULTS!$C$17),0,(+'Sheet4(F_22)'!$D26+'Sheet4(F_22)'!$G26))</f>
        <v>20.09040536496085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871.9137767686182</v>
      </c>
      <c r="M26" s="23">
        <f>IF(A26&gt;=(Title_RESULTS!$H$7+Title_RESULTS!$C$17),0,(+L26-G26))</f>
        <v>491.6418260734378</v>
      </c>
      <c r="N26" s="24">
        <f>(IF(A25&gt;=(Title_RESULTS!$H$7+Title_RESULTS!$C$17),0,(+$M26/((1+Title_RESULTS!$C$37)^('Sheet9(F_25)'!$A26-Title_RESULTS!$H$7))+N25)))</f>
        <v>1084.8166906452127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384.0746702021321</v>
      </c>
      <c r="F27">
        <f>IF(A27&gt;=(Title_RESULTS!$H$7+Title_RESULTS!$C$17),0,(+'f-11B'!$R26))</f>
        <v>0</v>
      </c>
      <c r="G27" s="5">
        <f>IF(A27&gt;=(Title_RESULTS!$H$7+Title_RESULTS!$C$17),0,(SUM(B27:F27)))</f>
        <v>384.0746702021321</v>
      </c>
      <c r="H27" s="5">
        <f>IF(A27&gt;=(Title_RESULTS!$H$7+Title_RESULTS!$C$17),0,(+'Sheet3(F_21)'!$J27+'Sheet4(F_22)'!$H27))</f>
        <v>851.001592653573</v>
      </c>
      <c r="I27" s="5">
        <f>IF(A27&gt;=(Title_RESULTS!$H$7+Title_RESULTS!$C$17),0,(+'Sheet4(F_22)'!$D27+'Sheet4(F_22)'!$G27))</f>
        <v>20.572575093719912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871.5741677472929</v>
      </c>
      <c r="M27" s="23">
        <f>IF(A27&gt;=(Title_RESULTS!$H$7+Title_RESULTS!$C$17),0,(+L27-G27))</f>
        <v>487.4994975451608</v>
      </c>
      <c r="N27" s="24">
        <f>(IF(A26&gt;=(Title_RESULTS!$H$7+Title_RESULTS!$C$17),0,(+$M27/((1+Title_RESULTS!$C$37)^('Sheet9(F_25)'!$A27-Title_RESULTS!$H$7))+N26)))</f>
        <v>1314.5278981564377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387.9154169041534</v>
      </c>
      <c r="F28">
        <f>IF(A28&gt;=(Title_RESULTS!$H$7+Title_RESULTS!$C$17),0,(+'f-11B'!$R27))</f>
        <v>0</v>
      </c>
      <c r="G28" s="5">
        <f>IF(A28&gt;=(Title_RESULTS!$H$7+Title_RESULTS!$C$17),0,(SUM(B28:F28)))</f>
        <v>387.9154169041534</v>
      </c>
      <c r="H28" s="5">
        <f>IF(A28&gt;=(Title_RESULTS!$H$7+Title_RESULTS!$C$17),0,(+'Sheet3(F_21)'!$J28+'Sheet4(F_22)'!$H28))</f>
        <v>925.5071580715431</v>
      </c>
      <c r="I28" s="5">
        <f>IF(A28&gt;=(Title_RESULTS!$H$7+Title_RESULTS!$C$17),0,(+'Sheet4(F_22)'!$D28+'Sheet4(F_22)'!$G28))</f>
        <v>21.066316895969187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946.5734749675123</v>
      </c>
      <c r="M28" s="23">
        <f>IF(A28&gt;=(Title_RESULTS!$H$7+Title_RESULTS!$C$17),0,(+L28-G28))</f>
        <v>558.6580580633589</v>
      </c>
      <c r="N28" s="24">
        <f>(IF(A27&gt;=(Title_RESULTS!$H$7+Title_RESULTS!$C$17),0,(+$M28/((1+Title_RESULTS!$C$37)^('Sheet9(F_25)'!$A28-Title_RESULTS!$H$7))+N27)))</f>
        <v>1560.3640319274814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391.79457107319496</v>
      </c>
      <c r="F29">
        <f>IF(A29&gt;=(Title_RESULTS!$H$7+Title_RESULTS!$C$17),0,(+'f-11B'!$R28))</f>
        <v>0</v>
      </c>
      <c r="G29" s="5">
        <f>IF(A29&gt;=(Title_RESULTS!$H$7+Title_RESULTS!$C$17),0,(SUM(B29:F29)))</f>
        <v>391.79457107319496</v>
      </c>
      <c r="H29" s="5">
        <f>IF(A29&gt;=(Title_RESULTS!$H$7+Title_RESULTS!$C$17),0,(+'Sheet3(F_21)'!$J29+'Sheet4(F_22)'!$H29))</f>
        <v>984.9794819874478</v>
      </c>
      <c r="I29" s="5">
        <f>IF(A29&gt;=(Title_RESULTS!$H$7+Title_RESULTS!$C$17),0,(+'Sheet4(F_22)'!$D29+'Sheet4(F_22)'!$G29))</f>
        <v>21.571908501472453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1006.5513904889202</v>
      </c>
      <c r="M29" s="23">
        <f>IF(A29&gt;=(Title_RESULTS!$H$7+Title_RESULTS!$C$17),0,(+L29-G29))</f>
        <v>614.7568194157252</v>
      </c>
      <c r="N29" s="24">
        <f>(IF(A28&gt;=(Title_RESULTS!$H$7+Title_RESULTS!$C$17),0,(+$M29/((1+Title_RESULTS!$C$37)^('Sheet9(F_25)'!$A29-Title_RESULTS!$H$7))+N28)))</f>
        <v>1812.9996862751273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395.71251678392696</v>
      </c>
      <c r="F30">
        <f>IF(A30&gt;=(Title_RESULTS!$H$7+Title_RESULTS!$C$17),0,(+'f-11B'!$R29))</f>
        <v>0</v>
      </c>
      <c r="G30" s="5">
        <f>IF(A30&gt;=(Title_RESULTS!$H$7+Title_RESULTS!$C$17),0,(SUM(B30:F30)))</f>
        <v>395.71251678392696</v>
      </c>
      <c r="H30" s="5">
        <f>IF(A30&gt;=(Title_RESULTS!$H$7+Title_RESULTS!$C$17),0,(+'Sheet3(F_21)'!$J30+'Sheet4(F_22)'!$H30))</f>
        <v>1029.0132441997075</v>
      </c>
      <c r="I30" s="5">
        <f>IF(A30&gt;=(Title_RESULTS!$H$7+Title_RESULTS!$C$17),0,(+'Sheet4(F_22)'!$D30+'Sheet4(F_22)'!$G30))</f>
        <v>22.089634305507786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1051.1028785052154</v>
      </c>
      <c r="M30" s="23">
        <f>IF(A30&gt;=(Title_RESULTS!$H$7+Title_RESULTS!$C$17),0,(+L30-G30))</f>
        <v>655.3903617212884</v>
      </c>
      <c r="N30" s="24">
        <f>(IF(A29&gt;=(Title_RESULTS!$H$7+Title_RESULTS!$C$17),0,(+$M30/((1+Title_RESULTS!$C$37)^('Sheet9(F_25)'!$A30-Title_RESULTS!$H$7))+N29)))</f>
        <v>2064.5257388423033</v>
      </c>
    </row>
    <row r="31" ht="12.75">
      <c r="E31" s="5"/>
    </row>
    <row r="32" spans="1:13" ht="12.75">
      <c r="A32" t="s">
        <v>87</v>
      </c>
      <c r="B32" s="5">
        <f aca="true" t="shared" si="1" ref="B32:M32">SUM(B16:B31)</f>
        <v>0</v>
      </c>
      <c r="C32" s="5">
        <f t="shared" si="1"/>
        <v>384.072</v>
      </c>
      <c r="D32" s="5">
        <f t="shared" si="1"/>
        <v>319.71</v>
      </c>
      <c r="E32" s="5">
        <f t="shared" si="1"/>
        <v>5022.183189654341</v>
      </c>
      <c r="F32" s="5">
        <f t="shared" si="1"/>
        <v>0</v>
      </c>
      <c r="G32" s="5">
        <f t="shared" si="1"/>
        <v>5725.965189654341</v>
      </c>
      <c r="H32" s="5">
        <f t="shared" si="1"/>
        <v>9790.619564280292</v>
      </c>
      <c r="I32" s="5">
        <f t="shared" si="1"/>
        <v>266.28688823670177</v>
      </c>
      <c r="J32" s="5">
        <f t="shared" si="1"/>
        <v>0</v>
      </c>
      <c r="K32" s="9">
        <f t="shared" si="1"/>
        <v>0</v>
      </c>
      <c r="L32" s="5">
        <f t="shared" si="1"/>
        <v>10056.906452516992</v>
      </c>
      <c r="M32" s="5">
        <f t="shared" si="1"/>
        <v>4330.941262862653</v>
      </c>
    </row>
    <row r="34" spans="1:13" ht="12.75">
      <c r="A34" t="s">
        <v>118</v>
      </c>
      <c r="B34" s="5">
        <f>NPV(Title_RESULTS!$C$37,'Sheet9(F_25)'!B17:B31)+'Sheet9(F_25)'!B16</f>
        <v>0</v>
      </c>
      <c r="C34" s="5">
        <f>NPV(Title_RESULTS!$C$37,'Sheet9(F_25)'!C17:C31)+'Sheet9(F_25)'!C16</f>
        <v>358.8491576370552</v>
      </c>
      <c r="D34" s="5">
        <f>NPV(Title_RESULTS!$C$37,'Sheet9(F_25)'!D17:D31)+'Sheet9(F_25)'!D16</f>
        <v>299.03705321511194</v>
      </c>
      <c r="E34" s="5">
        <f>NPV(Title_RESULTS!$C$37,'Sheet9(F_25)'!E17:E31)+'Sheet9(F_25)'!E16</f>
        <v>3039.9034853785975</v>
      </c>
      <c r="F34" s="5">
        <f>NPV(Title_RESULTS!$C$37,'Sheet9(F_25)'!F17:F31)+'Sheet9(F_25)'!F16</f>
        <v>0</v>
      </c>
      <c r="G34" s="5">
        <f>NPV(Title_RESULTS!$C$37,'Sheet9(F_25)'!G17:G31)+'Sheet9(F_25)'!G16</f>
        <v>3697.789696230765</v>
      </c>
      <c r="H34" s="5">
        <f>NPV(Title_RESULTS!$C$37,'Sheet9(F_25)'!H17:H31)+'Sheet9(F_25)'!H16</f>
        <v>5601.036221355054</v>
      </c>
      <c r="I34" s="5">
        <f>NPV(Title_RESULTS!$C$37,'Sheet9(F_25)'!I17:I31)+'Sheet9(F_25)'!I16</f>
        <v>161.27921371801406</v>
      </c>
      <c r="J34" s="5">
        <f>NPV(Title_RESULTS!$C$37,'Sheet9(F_25)'!J17:J31)+'Sheet9(F_25)'!J16</f>
        <v>0</v>
      </c>
      <c r="K34" s="9">
        <f>NPV(Title_RESULTS!$C$37,'Sheet9(F_25)'!K17:K31)+'Sheet9(F_25)'!K16</f>
        <v>0</v>
      </c>
      <c r="L34" s="5">
        <f>NPV(Title_RESULTS!$C$37,'Sheet9(F_25)'!L17:L31)+'Sheet9(F_25)'!L16</f>
        <v>5762.315435073067</v>
      </c>
      <c r="M34" s="5">
        <f>NPV(Title_RESULTS!$C$37,'Sheet9(F_25)'!M17:M31)+'Sheet9(F_25)'!M16</f>
        <v>2064.525738842303</v>
      </c>
    </row>
    <row r="36" spans="1:10" ht="12.75">
      <c r="A36" t="s">
        <v>175</v>
      </c>
      <c r="D36">
        <f>+Title_RESULTS!C37</f>
        <v>0.0708</v>
      </c>
      <c r="F36" t="s">
        <v>183</v>
      </c>
      <c r="J36" s="10">
        <f>+L34/G34</f>
        <v>1.5583134543715986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409.2496803394625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23.872716800000003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50.608128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2.3591568662806566</v>
      </c>
      <c r="P24" s="48">
        <f aca="true" t="shared" si="4" ref="P24:P61">N24*$L$5</f>
        <v>5.0012117875419335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2.4157766310713926</v>
      </c>
      <c r="P25" s="48">
        <f t="shared" si="4"/>
        <v>5.12124087044294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56.30893454854598</v>
      </c>
      <c r="E26" s="11">
        <f>IF(B26=Title_RESULTS!$H$8,$F$16,+E25*(1+$F$7))</f>
        <v>0.09882230355451863</v>
      </c>
      <c r="F26" s="9">
        <f t="shared" si="1"/>
        <v>40.44299614009608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3.284662914512613</v>
      </c>
      <c r="L26" s="5">
        <f t="shared" si="3"/>
        <v>6.9632058473758365</v>
      </c>
      <c r="N26" s="11">
        <f>IF(+B26=Title_RESULTS!$H$9,'Value of Defferal'!$O$16,+'Value of Defferal'!N25*(1+'Value of Defferal'!$F$7))</f>
        <v>0.10362269577198292</v>
      </c>
      <c r="O26" s="5">
        <f t="shared" si="7"/>
        <v>2.473755270217106</v>
      </c>
      <c r="P26" s="48">
        <f t="shared" si="4"/>
        <v>5.2441506513335705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54.64613823653653</v>
      </c>
      <c r="E27" s="11">
        <f>IF(B27=Title_RESULTS!$H$8,$F$16,+E26*(1+$F$7))</f>
        <v>0.10119403883982707</v>
      </c>
      <c r="F27" s="9">
        <f t="shared" si="1"/>
        <v>41.41362804745838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3.1876671992813645</v>
      </c>
      <c r="L27" s="5">
        <f t="shared" si="3"/>
        <v>6.75758318561517</v>
      </c>
      <c r="N27" s="11">
        <f>IF(+B27=Title_RESULTS!$H$9,'Value of Defferal'!$O$16,+'Value of Defferal'!N26*(1+'Value of Defferal'!$F$7))</f>
        <v>0.10610964047051051</v>
      </c>
      <c r="O27" s="5">
        <f t="shared" si="7"/>
        <v>2.5331253967023164</v>
      </c>
      <c r="P27" s="48">
        <f t="shared" si="4"/>
        <v>5.3700102669655765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52.81042323500183</v>
      </c>
      <c r="E28" s="11">
        <f>IF(B28=Title_RESULTS!$H$8,$F$16,+E27*(1+$F$7))</f>
        <v>0.10362269577198292</v>
      </c>
      <c r="F28" s="9">
        <f t="shared" si="1"/>
        <v>42.40755512059738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3.0805846370645806</v>
      </c>
      <c r="L28" s="5">
        <f t="shared" si="3"/>
        <v>6.530577266656044</v>
      </c>
      <c r="N28" s="11">
        <f>IF(+B28=Title_RESULTS!$H$9,'Value of Defferal'!$O$16,+'Value of Defferal'!N27*(1+'Value of Defferal'!$F$7))</f>
        <v>0.10865627184180277</v>
      </c>
      <c r="O28" s="5">
        <f t="shared" si="7"/>
        <v>2.593920406223172</v>
      </c>
      <c r="P28" s="48">
        <f t="shared" si="4"/>
        <v>5.49889051337275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51.06262886292998</v>
      </c>
      <c r="E29" s="11">
        <f>IF(B29=Title_RESULTS!$H$8,$F$16,+E28*(1+$F$7))</f>
        <v>0.10610964047051051</v>
      </c>
      <c r="F29" s="9">
        <f t="shared" si="1"/>
        <v>43.425336443491716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2.9786307393010056</v>
      </c>
      <c r="L29" s="5">
        <f t="shared" si="3"/>
        <v>6.314443679878107</v>
      </c>
      <c r="N29" s="11">
        <f>IF(+B29=Title_RESULTS!$H$9,'Value of Defferal'!$O$16,+'Value of Defferal'!N28*(1+'Value of Defferal'!$F$7))</f>
        <v>0.11126402236600604</v>
      </c>
      <c r="O29" s="5">
        <f t="shared" si="7"/>
        <v>2.6561744959725284</v>
      </c>
      <c r="P29" s="48">
        <f t="shared" si="4"/>
        <v>5.630863885693697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49.39393870262967</v>
      </c>
      <c r="E30" s="11">
        <f>IF(B30=Title_RESULTS!$H$8,$F$16,+E29*(1+$F$7))</f>
        <v>0.10865627184180277</v>
      </c>
      <c r="F30" s="9">
        <f t="shared" si="1"/>
        <v>44.46754451813552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2.8812912188626445</v>
      </c>
      <c r="L30" s="5">
        <f t="shared" si="3"/>
        <v>6.1080921803368735</v>
      </c>
      <c r="N30" s="11">
        <f>IF(+B30=Title_RESULTS!$H$9,'Value of Defferal'!$O$16,+'Value of Defferal'!N29*(1+'Value of Defferal'!$F$7))</f>
        <v>0.11393435890279018</v>
      </c>
      <c r="O30" s="5">
        <f t="shared" si="7"/>
        <v>2.7199226838758688</v>
      </c>
      <c r="P30" s="48">
        <f t="shared" si="4"/>
        <v>5.766004618950345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47.79651052620976</v>
      </c>
      <c r="E31" s="11">
        <f>IF(B31=Title_RESULTS!$H$8,$F$16,+E30*(1+$F$7))</f>
        <v>0.11126402236600604</v>
      </c>
      <c r="F31" s="9">
        <f t="shared" si="1"/>
        <v>45.53476558657078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2.7881086159284627</v>
      </c>
      <c r="L31" s="5">
        <f t="shared" si="3"/>
        <v>5.910552992142498</v>
      </c>
      <c r="N31" s="11">
        <f>IF(+B31=Title_RESULTS!$H$9,'Value of Defferal'!$O$16,+'Value of Defferal'!N30*(1+'Value of Defferal'!$F$7))</f>
        <v>0.11666878351645714</v>
      </c>
      <c r="O31" s="5">
        <f t="shared" si="7"/>
        <v>2.7852008282888896</v>
      </c>
      <c r="P31" s="48">
        <f t="shared" si="4"/>
        <v>5.904388729805153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46.248814739087116</v>
      </c>
      <c r="E32" s="11">
        <f>IF(B32=Title_RESULTS!$H$8,$F$16,+E31*(1+$F$7))</f>
        <v>0.11393435890279018</v>
      </c>
      <c r="F32" s="9">
        <f t="shared" si="1"/>
        <v>46.627599960648475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2.697827047014629</v>
      </c>
      <c r="L32" s="5">
        <f t="shared" si="3"/>
        <v>5.719163749187454</v>
      </c>
      <c r="N32" s="11">
        <f>IF(+B32=Title_RESULTS!$H$9,'Value of Defferal'!$O$16,+'Value of Defferal'!N31*(1+'Value of Defferal'!$F$7))</f>
        <v>0.11946883432085212</v>
      </c>
      <c r="O32" s="5">
        <f t="shared" si="7"/>
        <v>2.8520456481678234</v>
      </c>
      <c r="P32" s="48">
        <f t="shared" si="4"/>
        <v>6.0460940593204775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44.717046955196814</v>
      </c>
      <c r="E33" s="11">
        <f>IF(B33=Title_RESULTS!$H$8,$F$16,+E32*(1+$F$7))</f>
        <v>0.11666878351645714</v>
      </c>
      <c r="F33" s="9">
        <f t="shared" si="1"/>
        <v>47.74666235970403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2.6084746045696034</v>
      </c>
      <c r="L33" s="5">
        <f t="shared" si="3"/>
        <v>5.529744175275763</v>
      </c>
      <c r="N33" s="11">
        <f>IF(+B33=Title_RESULTS!$H$9,'Value of Defferal'!$O$16,+'Value of Defferal'!N32*(1+'Value of Defferal'!$F$7))</f>
        <v>0.12233608634455258</v>
      </c>
      <c r="O33" s="5">
        <f t="shared" si="7"/>
        <v>2.920494743723851</v>
      </c>
      <c r="P33" s="48">
        <f t="shared" si="4"/>
        <v>6.191200316744169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43.1852791713065</v>
      </c>
      <c r="E34" s="11">
        <f>IF(B34=Title_RESULTS!$H$8,$F$16,+E33*(1+$F$7))</f>
        <v>0.11946883432085212</v>
      </c>
      <c r="F34" s="9">
        <f t="shared" si="1"/>
        <v>48.89258225633694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2.519122162124577</v>
      </c>
      <c r="L34" s="5">
        <f t="shared" si="3"/>
        <v>5.34032460136407</v>
      </c>
      <c r="N34" s="11">
        <f>IF(+B34=Title_RESULTS!$H$9,'Value of Defferal'!$O$16,+'Value of Defferal'!N33*(1+'Value of Defferal'!$F$7))</f>
        <v>0.12527215241682185</v>
      </c>
      <c r="O34" s="5">
        <f t="shared" si="7"/>
        <v>2.990586617573224</v>
      </c>
      <c r="P34" s="48">
        <f t="shared" si="4"/>
        <v>6.33978912434603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41.65351138741619</v>
      </c>
      <c r="E35" s="11">
        <f>IF(B35=Title_RESULTS!$H$8,$F$16,+E34*(1+$F$7))</f>
        <v>0.12233608634455258</v>
      </c>
      <c r="F35" s="9">
        <f t="shared" si="1"/>
        <v>50.06600423048902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2.4297697196795514</v>
      </c>
      <c r="L35" s="5">
        <f t="shared" si="3"/>
        <v>5.150905027452378</v>
      </c>
      <c r="N35" s="11">
        <f>IF(+B35=Title_RESULTS!$H$9,'Value of Defferal'!$O$16,+'Value of Defferal'!N34*(1+'Value of Defferal'!$F$7))</f>
        <v>0.12827868407482557</v>
      </c>
      <c r="O35" s="5">
        <f t="shared" si="7"/>
        <v>3.062360696394981</v>
      </c>
      <c r="P35" s="48">
        <f t="shared" si="4"/>
        <v>6.491944063330334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40.121743603525886</v>
      </c>
      <c r="E36" s="11">
        <f>IF(B36=Title_RESULTS!$H$8,$F$16,+E35*(1+$F$7))</f>
        <v>0.12527215241682185</v>
      </c>
      <c r="F36" s="9">
        <f t="shared" si="1"/>
        <v>51.267588332020765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2.340417277234526</v>
      </c>
      <c r="L36" s="5">
        <f t="shared" si="3"/>
        <v>4.9614854535406865</v>
      </c>
      <c r="N36" s="11">
        <f>IF(+B36=Title_RESULTS!$H$9,'Value of Defferal'!$O$16,+'Value of Defferal'!N35*(1+'Value of Defferal'!$F$7))</f>
        <v>0.1313573724926214</v>
      </c>
      <c r="O36" s="5">
        <f t="shared" si="7"/>
        <v>3.135857353108461</v>
      </c>
      <c r="P36" s="48">
        <f t="shared" si="4"/>
        <v>6.647750720850262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38.58997581963557</v>
      </c>
      <c r="E37" s="11">
        <f>IF(B37&gt;Title_RESULTS!$H$8-1+Title_RESULTS!$C$18,0,+E36*(1+$F$7))</f>
        <v>0.12827868407482557</v>
      </c>
      <c r="F37" s="9">
        <f t="shared" si="1"/>
        <v>52.49801045198926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2.2510648347895</v>
      </c>
      <c r="L37" s="5">
        <f t="shared" si="3"/>
        <v>4.772065879628994</v>
      </c>
      <c r="N37" s="11">
        <f>IF(+B37=Title_RESULTS!$H$9,'Value of Defferal'!$O$16,+'Value of Defferal'!N36*(1+'Value of Defferal'!$F$7))</f>
        <v>0.1345099494324443</v>
      </c>
      <c r="O37" s="5">
        <f t="shared" si="7"/>
        <v>3.2111179295830636</v>
      </c>
      <c r="P37" s="48">
        <f t="shared" si="4"/>
        <v>6.807296738150669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37.05820803574525</v>
      </c>
      <c r="E38" s="11">
        <f>IF(B38&gt;Title_RESULTS!$H$8-1+Title_RESULTS!$C$18,0,+E37*(1+$F$7))</f>
        <v>0.1313573724926214</v>
      </c>
      <c r="F38" s="9">
        <f t="shared" si="1"/>
        <v>53.757962702837006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2.1617123923444743</v>
      </c>
      <c r="L38" s="5">
        <f t="shared" si="3"/>
        <v>4.582646305717302</v>
      </c>
      <c r="N38" s="11">
        <f>IF(+B38=Title_RESULTS!$H$9,'Value of Defferal'!$O$16,+'Value of Defferal'!N37*(1+'Value of Defferal'!$F$7))</f>
        <v>0.13773818821882297</v>
      </c>
      <c r="O38" s="5">
        <f t="shared" si="7"/>
        <v>3.2881847598930576</v>
      </c>
      <c r="P38" s="48">
        <f t="shared" si="4"/>
        <v>6.970671859866285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35.526440251854936</v>
      </c>
      <c r="E39" s="11">
        <f>IF(B39&gt;Title_RESULTS!$H$8-1+Title_RESULTS!$C$18,0,+E38*(1+$F$7))</f>
        <v>0.1345099494324443</v>
      </c>
      <c r="F39" s="9">
        <f t="shared" si="1"/>
        <v>55.04815380770509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2.072359949899448</v>
      </c>
      <c r="L39" s="5">
        <f t="shared" si="3"/>
        <v>4.393226731805608</v>
      </c>
      <c r="N39" s="11">
        <f>IF(+B39&gt;Title_RESULTS!$H$9+Title_RESULTS!$C$19-1,0,+'Value of Defferal'!N38*(1+'Value of Defferal'!$F$7))</f>
        <v>0.14104390473607473</v>
      </c>
      <c r="O39" s="5">
        <f t="shared" si="7"/>
        <v>3.367101194130491</v>
      </c>
      <c r="P39" s="48">
        <f t="shared" si="4"/>
        <v>7.137967984503076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33.994672467964634</v>
      </c>
      <c r="E40" s="11">
        <f>IF(B40&gt;Title_RESULTS!$H$8-1+Title_RESULTS!$C$18,0,+E39*(1+$F$7))</f>
        <v>0.13773818821882297</v>
      </c>
      <c r="F40" s="9">
        <f t="shared" si="1"/>
        <v>56.36930949909002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1.9830075074544231</v>
      </c>
      <c r="L40" s="5">
        <f t="shared" si="3"/>
        <v>4.203807157893918</v>
      </c>
      <c r="N40" s="11">
        <f>IF(+B40&gt;Title_RESULTS!$H$9+Title_RESULTS!$C$19-1,0,+'Value of Defferal'!N39*(1+'Value of Defferal'!$F$7))</f>
        <v>0.14442895844974052</v>
      </c>
      <c r="O40" s="5">
        <f t="shared" si="7"/>
        <v>3.447911622789623</v>
      </c>
      <c r="P40" s="48">
        <f t="shared" si="4"/>
        <v>7.3092792161311495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32.606743808065325</v>
      </c>
      <c r="E41" s="11">
        <f>IF(B41&gt;Title_RESULTS!$H$8-1+Title_RESULTS!$C$18,0,+E40*(1+$F$7))</f>
        <v>0.14104390473607473</v>
      </c>
      <c r="F41" s="9">
        <f t="shared" si="1"/>
        <v>57.72217292706818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1.9020456168821536</v>
      </c>
      <c r="L41" s="5">
        <f t="shared" si="3"/>
        <v>4.032174839899704</v>
      </c>
      <c r="N41" s="11">
        <f>IF(+B41&gt;Title_RESULTS!$H$9+Title_RESULTS!$C$19-1,0,+'Value of Defferal'!N40*(1+'Value of Defferal'!$F$7))</f>
        <v>0.1478952534525343</v>
      </c>
      <c r="O41" s="5">
        <f t="shared" si="7"/>
        <v>3.530661501736574</v>
      </c>
      <c r="P41" s="48">
        <f t="shared" si="4"/>
        <v>7.484701917318297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31.50644468665802</v>
      </c>
      <c r="E42" s="11">
        <f>IF(B42&gt;Title_RESULTS!$H$8-1+Title_RESULTS!$C$18,0,+E41*(1+$F$7))</f>
        <v>0.14442895844974052</v>
      </c>
      <c r="F42" s="9">
        <f t="shared" si="1"/>
        <v>59.10750507731782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1.8378619886900498</v>
      </c>
      <c r="L42" s="5">
        <f t="shared" si="3"/>
        <v>3.8961110102877186</v>
      </c>
      <c r="N42" s="11">
        <f>IF(+B42&gt;Title_RESULTS!$H$9+Title_RESULTS!$C$19-1,0,+'Value of Defferal'!N41*(1+'Value of Defferal'!$F$7))</f>
        <v>0.1514447395353951</v>
      </c>
      <c r="O42" s="5">
        <f t="shared" si="7"/>
        <v>3.6153973777782515</v>
      </c>
      <c r="P42" s="48">
        <f t="shared" si="4"/>
        <v>7.664334763333937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30.54993597975172</v>
      </c>
      <c r="E43" s="11">
        <f>IF(B43&gt;Title_RESULTS!$H$8-1+Title_RESULTS!$C$18,0,+E42*(1+$F$7))</f>
        <v>0.1478952534525343</v>
      </c>
      <c r="F43" s="9">
        <f t="shared" si="1"/>
        <v>60.526085199173444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1.782066071005355</v>
      </c>
      <c r="L43" s="5">
        <f t="shared" si="3"/>
        <v>3.7778284131404805</v>
      </c>
      <c r="N43" s="11">
        <f>IF(+B43&gt;Title_RESULTS!$H$9+Title_RESULTS!$C$19-1,0,+'Value of Defferal'!N42*(1+'Value of Defferal'!$F$7))</f>
        <v>0.1550794132842446</v>
      </c>
      <c r="O43" s="5">
        <f t="shared" si="7"/>
        <v>3.7021669148449297</v>
      </c>
      <c r="P43" s="48">
        <f t="shared" si="4"/>
        <v>7.848278797653951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29.59342727284542</v>
      </c>
      <c r="E44" s="11">
        <f>IF(B44&gt;Title_RESULTS!$H$8-1+Title_RESULTS!$C$18,0,+E43*(1+$F$7))</f>
        <v>0.1514447395353951</v>
      </c>
      <c r="F44" s="9">
        <f t="shared" si="1"/>
        <v>61.978711243953605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1.7262701533206604</v>
      </c>
      <c r="L44" s="5">
        <f t="shared" si="3"/>
        <v>3.659545815993243</v>
      </c>
      <c r="N44" s="11">
        <f>IF(+B44&gt;Title_RESULTS!$H$9+Title_RESULTS!$C$19-1,0,+'Value of Defferal'!N43*(1+'Value of Defferal'!$F$7))</f>
        <v>0.15880131920306648</v>
      </c>
      <c r="O44" s="5">
        <f t="shared" si="7"/>
        <v>3.791018920801208</v>
      </c>
      <c r="P44" s="48">
        <f t="shared" si="4"/>
        <v>8.036637488797647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28.63691856593911</v>
      </c>
      <c r="E45" s="11">
        <f>IF(B45&gt;Title_RESULTS!$H$8-1+Title_RESULTS!$C$18,0,+E44*(1+$F$7))</f>
        <v>0.1550794132842446</v>
      </c>
      <c r="F45" s="9">
        <f t="shared" si="1"/>
        <v>63.46620031380849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1.6704742356359648</v>
      </c>
      <c r="L45" s="5">
        <f t="shared" si="3"/>
        <v>3.5412632188460034</v>
      </c>
      <c r="N45" s="11">
        <f>IF(+B45&gt;Title_RESULTS!$H$9+Title_RESULTS!$C$19-1,0,+'Value of Defferal'!N44*(1+'Value of Defferal'!$F$7))</f>
        <v>0.16261255086394008</v>
      </c>
      <c r="O45" s="5">
        <f t="shared" si="7"/>
        <v>3.8820033749004375</v>
      </c>
      <c r="P45" s="48">
        <f t="shared" si="4"/>
        <v>8.229516788528791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27.680409859032803</v>
      </c>
      <c r="E46" s="11">
        <f>IF(B46&gt;Title_RESULTS!$H$8-1+Title_RESULTS!$C$18,0,+E45*(1+$F$7))</f>
        <v>0.15880131920306648</v>
      </c>
      <c r="F46" s="9">
        <f t="shared" si="1"/>
        <v>64.9893891213399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1.6146783179512698</v>
      </c>
      <c r="L46" s="5">
        <f t="shared" si="3"/>
        <v>3.4229806216987653</v>
      </c>
      <c r="N46" s="11">
        <f>IF(+B46&gt;Title_RESULTS!$H$9+Title_RESULTS!$C$19-1,0,+'Value of Defferal'!N45*(1+'Value of Defferal'!$F$7))</f>
        <v>0.16651525208467466</v>
      </c>
      <c r="O46" s="5">
        <f t="shared" si="7"/>
        <v>3.975171455898048</v>
      </c>
      <c r="P46" s="48">
        <f t="shared" si="4"/>
        <v>8.427025191453483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26.72390115212651</v>
      </c>
      <c r="E47" s="11">
        <f>IF(B47&gt;Title_RESULTS!$H$8-1+Title_RESULTS!$C$18,0,+E46*(1+$F$7))</f>
        <v>0.16261255086394008</v>
      </c>
      <c r="F47" s="9">
        <f t="shared" si="1"/>
        <v>66.54913446025206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1.5588824002665753</v>
      </c>
      <c r="L47" s="5">
        <f t="shared" si="3"/>
        <v>3.3046980245515276</v>
      </c>
      <c r="N47" s="11">
        <f>IF(+B47&gt;Title_RESULTS!$H$9+Title_RESULTS!$C$19-1,0,+'Value of Defferal'!N46*(1+'Value of Defferal'!$F$7))</f>
        <v>0.17051161813470686</v>
      </c>
      <c r="O47" s="5">
        <f t="shared" si="7"/>
        <v>4.070575570839601</v>
      </c>
      <c r="P47" s="48">
        <f t="shared" si="4"/>
        <v>8.629273796048366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25.767392445220207</v>
      </c>
      <c r="E48" s="11">
        <f>IF(B48&gt;Title_RESULTS!$H$8-1+Title_RESULTS!$C$18,0,+E47*(1+$F$7))</f>
        <v>0.16651525208467466</v>
      </c>
      <c r="F48" s="9">
        <f t="shared" si="1"/>
        <v>68.14631368729812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1.5030864825818804</v>
      </c>
      <c r="L48" s="5">
        <f t="shared" si="3"/>
        <v>3.1864154274042895</v>
      </c>
      <c r="N48" s="11">
        <f>IF(+B48&gt;Title_RESULTS!$H$9+Title_RESULTS!$C$19-1,0,+'Value of Defferal'!N47*(1+'Value of Defferal'!$F$7))</f>
        <v>0.17460389696993983</v>
      </c>
      <c r="O48" s="5">
        <f t="shared" si="7"/>
        <v>4.1682693845397525</v>
      </c>
      <c r="P48" s="48">
        <f t="shared" si="4"/>
        <v>8.836376367153527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24.810883738313894</v>
      </c>
      <c r="E49" s="11">
        <f>IF(B49&gt;Title_RESULTS!$H$8-1+Title_RESULTS!$C$18,0,+E48*(1+$F$7))</f>
        <v>0.17051161813470686</v>
      </c>
      <c r="F49" s="9">
        <f t="shared" si="1"/>
        <v>69.78182521579328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1.4472905648971848</v>
      </c>
      <c r="L49" s="5">
        <f t="shared" si="3"/>
        <v>3.06813283025705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23.854375031407592</v>
      </c>
      <c r="E50" s="11">
        <f>IF(B50&gt;Title_RESULTS!$H$8-1+Title_RESULTS!$C$18,0,+E49*(1+$F$7))</f>
        <v>0.17460389696993983</v>
      </c>
      <c r="F50" s="9">
        <f t="shared" si="1"/>
        <v>71.45658902097232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1.3914946472124898</v>
      </c>
      <c r="L50" s="5">
        <f t="shared" si="3"/>
        <v>2.949850233109812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22.897866324501294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1.3356987295277951</v>
      </c>
      <c r="L51" s="5">
        <f t="shared" si="3"/>
        <v>2.8315676359625743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977.7425654074485</v>
      </c>
      <c r="F63" s="9">
        <f>SUM(F23:F61)</f>
        <v>1363.6896257241478</v>
      </c>
      <c r="J63" t="s">
        <v>87</v>
      </c>
      <c r="K63" s="9">
        <f>SUM(K23:K61)</f>
        <v>57.03455002803279</v>
      </c>
      <c r="O63" s="9">
        <f>SUM(O23:O61)</f>
        <v>79.5479576453353</v>
      </c>
    </row>
    <row r="64" spans="3:15" ht="12.75">
      <c r="C64" t="s">
        <v>89</v>
      </c>
      <c r="D64" s="9">
        <f>NPV(+Title_RESULTS!$C$37,'Value of Defferal'!D24:D61)+'Value of Defferal'!D23</f>
        <v>436.5679687404612</v>
      </c>
      <c r="F64" s="9">
        <f>NPV(+Title_RESULTS!$C$37,'Value of Defferal'!F24:F61)+'Value of Defferal'!F23</f>
        <v>507.0819206130049</v>
      </c>
      <c r="J64" t="s">
        <v>89</v>
      </c>
      <c r="K64" s="9">
        <f>NPV(+Title_RESULTS!$C$37,'Value of Defferal'!K24:K61)+'Value of Defferal'!K23</f>
        <v>25.466271526583576</v>
      </c>
      <c r="O64" s="9">
        <f>NPV(+Title_RESULTS!$C$37,'Value of Defferal'!O24:O61)+'Value of Defferal'!O23</f>
        <v>33.91629068718717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0.2233434061209494</v>
      </c>
      <c r="C25" t="s">
        <v>372</v>
      </c>
    </row>
    <row r="26" spans="2:3" ht="18">
      <c r="B26" s="15">
        <f>+((Input!$C$6*'EUE_Line Losses'!C4)+(Input!$C$7*'EUE_Line Losses'!C3))/'EUE_Line Losses'!C22</f>
        <v>0.22262294352055925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F28" sqref="F28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0.2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0.2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4980.03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15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125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607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106.57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CO Sensors in Parking Garage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43599.31857199074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0.2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0.22262294352055925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5253.196202531645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4980.03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15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125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607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106.57</v>
      </c>
      <c r="D39" s="13" t="s">
        <v>189</v>
      </c>
      <c r="G39" s="20" t="s">
        <v>346</v>
      </c>
      <c r="H39" s="79">
        <f>+'Sheet7(F_23)'!H36</f>
        <v>2.744260097705931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+'Sheet8(F_24)'!K34</f>
        <v>5743.104668466213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+'Sheet9(F_25)'!J36</f>
        <v>1.5583134543715986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2019-05-14T11:38:46Z</dcterms:created>
  <dcterms:modified xsi:type="dcterms:W3CDTF">2019-05-14T11:38:47Z</dcterms:modified>
  <cp:category/>
  <cp:version/>
  <cp:contentType/>
  <cp:contentStatus/>
</cp:coreProperties>
</file>