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7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'Sheet2(F_12)'!$A$1:$K$47</definedName>
    <definedName name="_xlnm.Print_Area" localSheetId="11">'Sheet3(F_21)'!$A$1:$J$36</definedName>
    <definedName name="_xlnm.Print_Area" localSheetId="14">'Sheet4(F_22)'!$A$1:$J$36</definedName>
    <definedName name="_xlnm.Print_Area" localSheetId="12">'Sheet5(p_5)'!$A$1:$H$36</definedName>
    <definedName name="_xlnm.Print_Area" localSheetId="15">'Sheet6(p_6)'!$A$1:$R$36</definedName>
    <definedName name="_xlnm.Print_Area" localSheetId="16">'Sheet7(F_23)'!$A$1:$M$36</definedName>
    <definedName name="_xlnm.Print_Area" localSheetId="17">'Sheet8(F_24)'!$A$1:$M$36</definedName>
    <definedName name="_xlnm.Print_Area" localSheetId="18">'Sheet9(F_25)'!$A$1:$N$36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<sst xmlns="http://schemas.openxmlformats.org/spreadsheetml/2006/main" count="1258" uniqueCount="468">
  <si>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</si>
  <si>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</si>
  <si>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</si>
  <si>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</si>
  <si>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</si>
  <si>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</si>
  <si>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</si>
  <si>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</si>
  <si>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</si>
  <si>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</si>
  <si>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</si>
  <si>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</si>
  <si>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</si>
  <si>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</si>
  <si>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</si>
  <si>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</si>
  <si>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</si>
  <si>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</si>
  <si>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</si>
  <si>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</si>
  <si>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</si>
  <si>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</si>
  <si>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</si>
  <si>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</si>
  <si>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</si>
  <si>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</si>
  <si>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</si>
  <si>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</si>
  <si>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</si>
  <si>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</si>
  <si>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</si>
  <si>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</si>
  <si>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</si>
  <si>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</si>
  <si>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</si>
  <si>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</si>
  <si>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</si>
  <si>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</si>
  <si>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</si>
  <si>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</si>
  <si>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</si>
  <si>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</si>
  <si>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</si>
  <si>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</si>
  <si>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</si>
  <si>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</si>
  <si>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</si>
  <si>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</si>
  <si>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</si>
  <si>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</si>
  <si>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</si>
  <si>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</si>
  <si>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</si>
  <si>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</si>
  <si>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</si>
  <si>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</si>
  <si>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</si>
  <si>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</si>
  <si>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</si>
  <si>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</si>
  <si>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</si>
  <si>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</si>
  <si>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</si>
  <si>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</si>
  <si>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</si>
  <si>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</si>
  <si>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</si>
  <si>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</si>
  <si>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</si>
  <si>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</si>
  <si>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</si>
  <si>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</si>
  <si>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</si>
  <si>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</si>
  <si>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</si>
  <si>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</si>
  <si>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</si>
  <si>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</si>
  <si>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</si>
  <si>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</si>
  <si>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</si>
  <si>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</si>
  <si>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</si>
  <si>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</si>
  <si>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</si>
  <si>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</si>
  <si>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</si>
  <si>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</si>
  <si>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</si>
  <si>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</si>
  <si>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</si>
  <si>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</si>
  <si>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</si>
  <si>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</si>
  <si>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</si>
  <si>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</si>
  <si>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</si>
  <si>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</si>
  <si>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</si>
  <si>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</si>
  <si>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</si>
  <si>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</si>
  <si>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</si>
  <si>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</si>
  <si>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</si>
  <si>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</si>
  <si>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</si>
  <si>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</si>
  <si>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</si>
  <si>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</si>
  <si>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</si>
  <si>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</si>
  <si>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</si>
  <si>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</si>
  <si>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</si>
  <si>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</si>
  <si>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</si>
  <si>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</si>
  <si>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</si>
  <si>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</si>
  <si>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</si>
  <si>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</si>
  <si>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</si>
  <si>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</si>
  <si>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</si>
  <si>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</si>
  <si>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</si>
  <si>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</si>
  <si>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</si>
  <si>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</si>
  <si>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</si>
  <si>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</si>
  <si>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</si>
  <si>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</si>
  <si>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</si>
  <si>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</si>
  <si>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</si>
  <si>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</si>
  <si>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</si>
  <si>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</si>
  <si>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</si>
  <si>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</si>
  <si>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</si>
  <si>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</si>
  <si>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</si>
  <si>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</si>
  <si>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</si>
  <si>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</si>
  <si>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</si>
  <si>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</si>
  <si>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</si>
  <si>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</si>
  <si>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</si>
  <si>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</si>
  <si>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</si>
  <si>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</si>
  <si>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</si>
  <si>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</si>
  <si>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</si>
  <si>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</si>
  <si>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</si>
  <si>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</si>
  <si>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</si>
  <si>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</si>
  <si>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</si>
  <si>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</si>
  <si>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</si>
  <si>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</si>
  <si>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</si>
  <si>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</si>
  <si>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</si>
  <si>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</si>
  <si>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</si>
  <si>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</si>
  <si>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</si>
  <si>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</si>
  <si>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</si>
  <si>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</si>
  <si>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</si>
  <si>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</si>
  <si>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</si>
  <si>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</si>
  <si>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</si>
  <si>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</si>
  <si>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</si>
  <si>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</si>
  <si>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</si>
  <si>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</si>
  <si>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</si>
  <si>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</si>
  <si>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</si>
  <si>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</si>
  <si>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</si>
  <si>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</si>
  <si>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</si>
  <si>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</si>
  <si>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</si>
  <si>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</si>
  <si>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</si>
  <si>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</si>
  <si>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</si>
  <si>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</si>
  <si>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</si>
  <si>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</si>
  <si>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</si>
  <si>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</si>
  <si>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</si>
  <si>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</si>
  <si>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</si>
  <si>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</si>
  <si>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</si>
  <si>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</si>
  <si>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</si>
  <si>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</si>
  <si>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</si>
  <si>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</si>
  <si>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</si>
  <si>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</si>
  <si>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</si>
  <si>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</si>
  <si>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</si>
  <si>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</si>
  <si>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</si>
  <si>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</si>
  <si>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</si>
  <si>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</si>
  <si>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</si>
  <si>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</si>
  <si>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</si>
  <si>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</si>
  <si>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</si>
  <si>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</si>
  <si>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</si>
  <si>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</si>
  <si>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</si>
  <si>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</si>
  <si>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</si>
  <si>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</si>
  <si>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</si>
  <si>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</si>
  <si>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</si>
  <si>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</si>
  <si>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</si>
  <si>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</si>
  <si>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</si>
  <si>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</si>
  <si>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</si>
  <si>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</si>
  <si>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</si>
  <si>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</si>
  <si>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</si>
  <si>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</si>
  <si>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</si>
  <si>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</si>
  <si>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</si>
  <si>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</si>
  <si>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</si>
  <si>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</si>
  <si>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</si>
  <si>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</si>
  <si>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</si>
  <si>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</si>
  <si>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</si>
  <si>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</si>
  <si>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</si>
  <si>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</si>
  <si>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</si>
  <si>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</si>
  <si>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</si>
  <si>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</si>
  <si>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</si>
  <si>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</si>
  <si>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</si>
  <si>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</si>
  <si>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</si>
  <si>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</si>
  <si>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</si>
  <si>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</si>
  <si>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</si>
  <si>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</si>
  <si>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</si>
  <si>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</si>
  <si>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</si>
  <si>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</si>
  <si>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</si>
  <si>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</si>
  <si>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</si>
  <si>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</si>
  <si>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</si>
  <si>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</si>
  <si>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</si>
  <si>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</si>
  <si>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</si>
  <si>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</si>
  <si>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</si>
  <si>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</si>
  <si>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</si>
  <si>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</si>
  <si>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</si>
  <si>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</si>
  <si>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</si>
  <si>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</si>
  <si>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</si>
  <si>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</si>
  <si>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</si>
  <si>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</si>
  <si>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</si>
  <si>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</si>
  <si>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</si>
  <si>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</si>
  <si>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</si>
  <si>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</si>
  <si>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</si>
  <si>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</si>
  <si>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</si>
  <si>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</si>
  <si>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</si>
  <si>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</si>
  <si>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</si>
  <si>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</si>
  <si>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</si>
  <si>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</si>
  <si>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</si>
  <si>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</si>
  <si>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</si>
  <si>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</si>
  <si>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</si>
  <si>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</si>
  <si>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</si>
  <si>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</si>
  <si>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</si>
  <si>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</si>
  <si>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</si>
  <si>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</si>
  <si>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</si>
  <si>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</si>
  <si>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</si>
  <si>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</si>
  <si>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</si>
  <si>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</si>
  <si>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</si>
  <si>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</si>
  <si>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</si>
  <si>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</si>
  <si>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</si>
  <si>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</si>
  <si>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</si>
  <si>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</si>
  <si>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</si>
  <si>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</si>
  <si>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</si>
  <si>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</si>
  <si>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</si>
  <si>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</si>
  <si>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</si>
  <si>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</si>
  <si>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</si>
  <si>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</si>
  <si>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</si>
  <si>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</si>
  <si>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</si>
  <si>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</si>
  <si>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</si>
  <si>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</si>
  <si>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</si>
  <si>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</si>
  <si>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</si>
  <si>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</si>
  <si>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</si>
  <si>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</si>
  <si>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</si>
  <si>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</si>
  <si>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</si>
  <si>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</si>
  <si>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</si>
  <si>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</si>
  <si>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</si>
  <si>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</si>
  <si>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</si>
  <si>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</si>
  <si>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</si>
  <si>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</si>
  <si>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</si>
  <si>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</si>
  <si>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</si>
  <si>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</si>
  <si>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</si>
  <si>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</si>
  <si>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</si>
  <si>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</si>
  <si>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</si>
  <si>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</si>
  <si>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</si>
  <si>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</si>
  <si>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</si>
  <si>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</si>
  <si>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</si>
  <si>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</si>
  <si>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</si>
  <si>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</si>
  <si>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</si>
  <si>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</si>
  <si>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</si>
  <si>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</si>
  <si>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</si>
  <si>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</si>
  <si>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</si>
  <si>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</si>
  <si>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</si>
  <si>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</si>
  <si>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</si>
  <si>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</si>
  <si>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</si>
  <si>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</si>
  <si>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</si>
  <si>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</si>
  <si>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</si>
  <si>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</si>
  <si>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</si>
  <si>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</si>
  <si>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</si>
  <si>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</si>
  <si>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</si>
  <si>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</si>
  <si>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</si>
  <si>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</si>
  <si>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</si>
  <si>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</si>
  <si>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</si>
  <si>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</si>
  <si>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</si>
  <si>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</si>
  <si>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</si>
  <si>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</si>
  <si>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</si>
  <si>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</si>
  <si>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</si>
  <si>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</si>
  <si>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</si>
  <si>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</si>
  <si>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</si>
  <si>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</si>
  <si>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</si>
  <si>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</si>
  <si>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</si>
  <si>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</si>
  <si>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</si>
  <si>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</si>
  <si>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</si>
  <si>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</si>
  <si>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</si>
  <si>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</si>
  <si>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</si>
  <si>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</si>
  <si>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</si>
  <si>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</si>
  <si>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</si>
  <si>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</si>
  <si>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</si>
  <si>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</si>
  <si>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</si>
  <si>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</si>
  <si>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</si>
  <si>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</si>
  <si>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</si>
  <si>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</si>
  <si>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</si>
  <si>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Dedicated Outdoor Air on VRF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</si>
</sst>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43599.318632407405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1603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43599.318632407405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Dedicated Outdoor Air on VRF</v>
      </c>
      <c r="J2" t="s">
        <v>55</v>
      </c>
    </row>
    <row r="3" ht="12.75">
      <c r="J3" s="35">
        <f>+Title_RESULTS!I4</f>
        <v>43599.318632407405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1603</v>
      </c>
      <c r="H5" t="s">
        <v>59</v>
      </c>
    </row>
    <row r="6" spans="3:7" ht="12.75">
      <c r="C6" t="s">
        <v>61</v>
      </c>
      <c r="G6" s="36">
        <f>+'Value of Defferal'!E3</f>
        <v>982.0767029702969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0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97.0510820547515</v>
      </c>
      <c r="D19" s="5">
        <f>IF((Title_RESULTS!$H$8-Title_RESULTS!$H$7)&lt;=('Sheet3(F_21)'!A19-Title_RESULTS!$H$7),((Title_RESULTS!$C$8*Partcipation!$C$26*8760*Title_RESULTS!$H$21/100000)),0)</f>
        <v>1277.755960729313</v>
      </c>
      <c r="E19" s="5">
        <f>IF($G19=0,0,((Title_RESULTS!$H$14*((1+Title_RESULTS!$H$15/100)^($A19-Title_RESULTS!$H$7))*'EUE_Line Losses'!$B$25*Partcipation!$C$26))/1000)</f>
        <v>10.0663970474502</v>
      </c>
      <c r="F19" s="5">
        <f>IF($G19=0,0,(Title_RESULTS!$H$19/100*((1+Title_RESULTS!$H$20/100)^($A19-Title_RESULTS!$H$7))*$D19*1000)/1000)</f>
        <v>2.8811580333907663</v>
      </c>
      <c r="G19" s="5">
        <f>(+Title_RESULTS!$H$22/100*((1+Title_RESULTS!$H$23/100)^(+'Sheet4(F_22)'!A19-Title_RESULTS!$H$7)))*'Sheet3(F_21)'!D19</f>
        <v>54.74275759308403</v>
      </c>
      <c r="H19" s="5">
        <f>IF($G19=0,0,(($D19))*(Partcipation!$G19/100))</f>
        <v>40.5384379886643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124.20295674001221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99.38030802406553</v>
      </c>
      <c r="D20" s="5">
        <f>IF((Title_RESULTS!$H$8-Title_RESULTS!$H$7)&lt;=('Sheet3(F_21)'!A20-Title_RESULTS!$H$7),((Title_RESULTS!$C$8*Partcipation!$C$26*8760*Title_RESULTS!$H$21/100000)),0)</f>
        <v>1277.755960729313</v>
      </c>
      <c r="E20" s="5">
        <f>IF($G20=0,0,((Title_RESULTS!$H$14*((1+Title_RESULTS!$H$15/100)^($A20-Title_RESULTS!$H$7))*'EUE_Line Losses'!$B$25*Partcipation!$C$26))/1000)</f>
        <v>10.307990576589004</v>
      </c>
      <c r="F20" s="5">
        <f>IF($G20=0,0,(Title_RESULTS!$H$19/100*((1+Title_RESULTS!$H$20/100)^($A20-Title_RESULTS!$H$7))*$D20*1000)/1000)</f>
        <v>2.9503058261921447</v>
      </c>
      <c r="G20" s="5">
        <f>(+Title_RESULTS!$H$22/100*((1+Title_RESULTS!$H$23/100)^(+'Sheet4(F_22)'!A20-Title_RESULTS!$H$7)))*'Sheet3(F_21)'!D20</f>
        <v>57.228078787810055</v>
      </c>
      <c r="H20" s="5">
        <f>IF($G20=0,0,(($D20))*(Partcipation!$G20/100))</f>
        <v>42.351900799554265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127.51478241510245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101.76543541664311</v>
      </c>
      <c r="D21" s="5">
        <f>IF((Title_RESULTS!$H$8-Title_RESULTS!$H$7)&lt;=('Sheet3(F_21)'!A21-Title_RESULTS!$H$7),((Title_RESULTS!$C$8*Partcipation!$C$26*8760*Title_RESULTS!$H$21/100000)),0)</f>
        <v>1277.755960729313</v>
      </c>
      <c r="E21" s="5">
        <f>IF($G21=0,0,((Title_RESULTS!$H$14*((1+Title_RESULTS!$H$15/100)^($A21-Title_RESULTS!$H$7))*'EUE_Line Losses'!$B$25*Partcipation!$C$26))/1000)</f>
        <v>10.555382350427141</v>
      </c>
      <c r="F21" s="5">
        <f>IF($G21=0,0,(Title_RESULTS!$H$19/100*((1+Title_RESULTS!$H$20/100)^($A21-Title_RESULTS!$H$7))*$D21*1000)/1000)</f>
        <v>3.0211131660207564</v>
      </c>
      <c r="G21" s="5">
        <f>(+Title_RESULTS!$H$22/100*((1+Title_RESULTS!$H$23/100)^(+'Sheet4(F_22)'!A21-Title_RESULTS!$H$7)))*'Sheet3(F_21)'!D21</f>
        <v>59.826233564776636</v>
      </c>
      <c r="H21" s="5">
        <f>IF($G21=0,0,(($D21))*(Partcipation!$G21/100))</f>
        <v>44.030235194084256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131.13792930378344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104.20780586664254</v>
      </c>
      <c r="D22" s="5">
        <f>IF((Title_RESULTS!$H$8-Title_RESULTS!$H$7)&lt;=('Sheet3(F_21)'!A22-Title_RESULTS!$H$7),((Title_RESULTS!$C$8*Partcipation!$C$26*8760*Title_RESULTS!$H$21/100000)),0)</f>
        <v>1277.755960729313</v>
      </c>
      <c r="E22" s="5">
        <f>IF($G22=0,0,((Title_RESULTS!$H$14*((1+Title_RESULTS!$H$15/100)^($A22-Title_RESULTS!$H$7))*'EUE_Line Losses'!$B$25*Partcipation!$C$26))/1000)</f>
        <v>10.808711526837389</v>
      </c>
      <c r="F22" s="5">
        <f>IF($G22=0,0,(Title_RESULTS!$H$19/100*((1+Title_RESULTS!$H$20/100)^($A22-Title_RESULTS!$H$7))*$D22*1000)/1000)</f>
        <v>3.093619882005254</v>
      </c>
      <c r="G22" s="5">
        <f>(+Title_RESULTS!$H$22/100*((1+Title_RESULTS!$H$23/100)^(+'Sheet4(F_22)'!A22-Title_RESULTS!$H$7)))*'Sheet3(F_21)'!D22</f>
        <v>62.5423445686175</v>
      </c>
      <c r="H22" s="5">
        <f>IF($G22=0,0,(($D22))*(Partcipation!$G22/100))</f>
        <v>45.45683055227314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135.19565129182953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106.70879320744197</v>
      </c>
      <c r="D23" s="5">
        <f>IF((Title_RESULTS!$H$8-Title_RESULTS!$H$7)&lt;=('Sheet3(F_21)'!A23-Title_RESULTS!$H$7),((Title_RESULTS!$C$8*Partcipation!$C$26*8760*Title_RESULTS!$H$21/100000)),0)</f>
        <v>1277.755960729313</v>
      </c>
      <c r="E23" s="5">
        <f>IF($G23=0,0,((Title_RESULTS!$H$14*((1+Title_RESULTS!$H$15/100)^($A23-Title_RESULTS!$H$7))*'EUE_Line Losses'!$B$25*Partcipation!$C$26))/1000)</f>
        <v>11.06812060348149</v>
      </c>
      <c r="F23" s="5">
        <f>IF($G23=0,0,(Title_RESULTS!$H$19/100*((1+Title_RESULTS!$H$20/100)^($A23-Title_RESULTS!$H$7))*$D23*1000)/1000)</f>
        <v>3.1678667591733807</v>
      </c>
      <c r="G23" s="5">
        <f>(+Title_RESULTS!$H$22/100*((1+Title_RESULTS!$H$23/100)^(+'Sheet4(F_22)'!A23-Title_RESULTS!$H$7)))*'Sheet3(F_21)'!D23</f>
        <v>65.38176701203274</v>
      </c>
      <c r="H23" s="5">
        <f>IF($G23=0,0,(($D23))*(Partcipation!$G23/100))</f>
        <v>47.49146323727063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138.83508434485893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109.26980424442058</v>
      </c>
      <c r="D24" s="5">
        <f>IF((Title_RESULTS!$H$8-Title_RESULTS!$H$7)&lt;=('Sheet3(F_21)'!A24-Title_RESULTS!$H$7),((Title_RESULTS!$C$8*Partcipation!$C$26*8760*Title_RESULTS!$H$21/100000)),0)</f>
        <v>1277.755960729313</v>
      </c>
      <c r="E24" s="5">
        <f>IF($G24=0,0,((Title_RESULTS!$H$14*((1+Title_RESULTS!$H$15/100)^($A24-Title_RESULTS!$H$7))*'EUE_Line Losses'!$B$25*Partcipation!$C$26))/1000)</f>
        <v>11.333755497965045</v>
      </c>
      <c r="F24" s="5">
        <f>IF($G24=0,0,(Title_RESULTS!$H$19/100*((1+Title_RESULTS!$H$20/100)^($A24-Title_RESULTS!$H$7))*$D24*1000)/1000)</f>
        <v>3.2438955613935416</v>
      </c>
      <c r="G24" s="5">
        <f>(+Title_RESULTS!$H$22/100*((1+Title_RESULTS!$H$23/100)^(+'Sheet4(F_22)'!A24-Title_RESULTS!$H$7)))*'Sheet3(F_21)'!D24</f>
        <v>68.35009923437904</v>
      </c>
      <c r="H24" s="5">
        <f>IF($G24=0,0,(($D24))*(Partcipation!$G24/100))</f>
        <v>51.1133707160325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141.08418382212574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111.89227954628667</v>
      </c>
      <c r="D25" s="5">
        <f>IF((Title_RESULTS!$H$8-Title_RESULTS!$H$7)&lt;=('Sheet3(F_21)'!A25-Title_RESULTS!$H$7),((Title_RESULTS!$C$8*Partcipation!$C$26*8760*Title_RESULTS!$H$21/100000)),0)</f>
        <v>1277.755960729313</v>
      </c>
      <c r="E25" s="5">
        <f>IF($G25=0,0,((Title_RESULTS!$H$14*((1+Title_RESULTS!$H$15/100)^($A25-Title_RESULTS!$H$7))*'EUE_Line Losses'!$B$25*Partcipation!$C$26))/1000)</f>
        <v>11.605765629916206</v>
      </c>
      <c r="F25" s="5">
        <f>IF($G25=0,0,(Title_RESULTS!$H$19/100*((1+Title_RESULTS!$H$20/100)^($A25-Title_RESULTS!$H$7))*$D25*1000)/1000)</f>
        <v>3.321749054866986</v>
      </c>
      <c r="G25" s="5">
        <f>(+Title_RESULTS!$H$22/100*((1+Title_RESULTS!$H$23/100)^(+'Sheet4(F_22)'!A25-Title_RESULTS!$H$7)))*'Sheet3(F_21)'!D25</f>
        <v>71.45319373961986</v>
      </c>
      <c r="H25" s="5">
        <f>IF($G25=0,0,(($D25))*(Partcipation!$G25/100))</f>
        <v>53.35651439494604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144.91647357574368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114.57769425539755</v>
      </c>
      <c r="D26" s="5">
        <f>IF((Title_RESULTS!$H$8-Title_RESULTS!$H$7)&lt;=('Sheet3(F_21)'!A26-Title_RESULTS!$H$7),((Title_RESULTS!$C$8*Partcipation!$C$26*8760*Title_RESULTS!$H$21/100000)),0)</f>
        <v>1277.755960729313</v>
      </c>
      <c r="E26" s="5">
        <f>IF($G26=0,0,((Title_RESULTS!$H$14*((1+Title_RESULTS!$H$15/100)^($A26-Title_RESULTS!$H$7))*'EUE_Line Losses'!$B$25*Partcipation!$C$26))/1000)</f>
        <v>11.884304005034194</v>
      </c>
      <c r="F26" s="5">
        <f>IF($G26=0,0,(Title_RESULTS!$H$19/100*((1+Title_RESULTS!$H$20/100)^($A26-Title_RESULTS!$H$7))*$D26*1000)/1000)</f>
        <v>3.4014710321837938</v>
      </c>
      <c r="G26" s="5">
        <f>(+Title_RESULTS!$H$22/100*((1+Title_RESULTS!$H$23/100)^(+'Sheet4(F_22)'!A26-Title_RESULTS!$H$7)))*'Sheet3(F_21)'!D26</f>
        <v>74.6971687353986</v>
      </c>
      <c r="H26" s="5">
        <f>IF($G26=0,0,(($D26))*(Partcipation!$G26/100))</f>
        <v>57.32372633104455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147.23691169696957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117.3275589175271</v>
      </c>
      <c r="D27" s="5">
        <f>IF((Title_RESULTS!$H$8-Title_RESULTS!$H$7)&lt;=('Sheet3(F_21)'!A27-Title_RESULTS!$H$7),((Title_RESULTS!$C$8*Partcipation!$C$26*8760*Title_RESULTS!$H$21/100000)),0)</f>
        <v>1277.755960729313</v>
      </c>
      <c r="E27" s="5">
        <f>IF($G27=0,0,((Title_RESULTS!$H$14*((1+Title_RESULTS!$H$15/100)^($A27-Title_RESULTS!$H$7))*'EUE_Line Losses'!$B$25*Partcipation!$C$26))/1000)</f>
        <v>12.169527301155018</v>
      </c>
      <c r="F27" s="5">
        <f>IF($G27=0,0,(Title_RESULTS!$H$19/100*((1+Title_RESULTS!$H$20/100)^($A27-Title_RESULTS!$H$7))*$D27*1000)/1000)</f>
        <v>3.4831063369562054</v>
      </c>
      <c r="G27" s="5">
        <f>(+Title_RESULTS!$H$22/100*((1+Title_RESULTS!$H$23/100)^(+'Sheet4(F_22)'!A27-Title_RESULTS!$H$7)))*'Sheet3(F_21)'!D27</f>
        <v>78.0884201959857</v>
      </c>
      <c r="H27" s="5">
        <f>IF($G27=0,0,(($D27))*(Partcipation!$G27/100))</f>
        <v>58.74919868305393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152.3194140685701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120.14342033154776</v>
      </c>
      <c r="D28" s="5">
        <f>IF((Title_RESULTS!$H$8-Title_RESULTS!$H$7)&lt;=('Sheet3(F_21)'!A28-Title_RESULTS!$H$7),((Title_RESULTS!$C$8*Partcipation!$C$26*8760*Title_RESULTS!$H$21/100000)),0)</f>
        <v>1277.755960729313</v>
      </c>
      <c r="E28" s="5">
        <f>IF($G28=0,0,((Title_RESULTS!$H$14*((1+Title_RESULTS!$H$15/100)^($A28-Title_RESULTS!$H$7))*'EUE_Line Losses'!$B$25*Partcipation!$C$26))/1000)</f>
        <v>12.461595956382737</v>
      </c>
      <c r="F28" s="5">
        <f>IF($G28=0,0,(Title_RESULTS!$H$19/100*((1+Title_RESULTS!$H$20/100)^($A28-Title_RESULTS!$H$7))*$D28*1000)/1000)</f>
        <v>3.5667008890431537</v>
      </c>
      <c r="G28" s="5">
        <f>(+Title_RESULTS!$H$22/100*((1+Title_RESULTS!$H$23/100)^(+'Sheet4(F_22)'!A28-Title_RESULTS!$H$7)))*'Sheet3(F_21)'!D28</f>
        <v>81.63363447288346</v>
      </c>
      <c r="H28" s="5">
        <f>IF($G28=0,0,(($D28))*(Partcipation!$G28/100))</f>
        <v>62.27473289593219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155.5306187539249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123.02686241950491</v>
      </c>
      <c r="D29" s="5">
        <f>IF((Title_RESULTS!$H$8-Title_RESULTS!$H$7)&lt;=('Sheet3(F_21)'!A29-Title_RESULTS!$H$7),((Title_RESULTS!$C$8*Partcipation!$C$26*8760*Title_RESULTS!$H$21/100000)),0)</f>
        <v>1277.755960729313</v>
      </c>
      <c r="E29" s="5">
        <f>IF($G29=0,0,((Title_RESULTS!$H$14*((1+Title_RESULTS!$H$15/100)^($A29-Title_RESULTS!$H$7))*'EUE_Line Losses'!$B$25*Partcipation!$C$26))/1000)</f>
        <v>12.760674259335923</v>
      </c>
      <c r="F29" s="5">
        <f>IF($G29=0,0,(Title_RESULTS!$H$19/100*((1+Title_RESULTS!$H$20/100)^($A29-Title_RESULTS!$H$7))*$D29*1000)/1000)</f>
        <v>3.65230171038019</v>
      </c>
      <c r="G29" s="5">
        <f>(+Title_RESULTS!$H$22/100*((1+Title_RESULTS!$H$23/100)^(+'Sheet4(F_22)'!A29-Title_RESULTS!$H$7)))*'Sheet3(F_21)'!D29</f>
        <v>85.33980147795238</v>
      </c>
      <c r="H29" s="5">
        <f>IF($G29=0,0,(($D29))*(Partcipation!$G29/100))</f>
        <v>63.695061303046025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161.08457856412736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125.97950711757302</v>
      </c>
      <c r="D30" s="5">
        <f>IF((Title_RESULTS!$H$8-Title_RESULTS!$H$7)&lt;=('Sheet3(F_21)'!A30-Title_RESULTS!$H$7),((Title_RESULTS!$C$8*Partcipation!$C$26*8760*Title_RESULTS!$H$21/100000)),0)</f>
        <v>1277.755960729313</v>
      </c>
      <c r="E30" s="5">
        <f>IF($G30=0,0,((Title_RESULTS!$H$14*((1+Title_RESULTS!$H$15/100)^($A30-Title_RESULTS!$H$7))*'EUE_Line Losses'!$B$25*Partcipation!$C$26))/1000)</f>
        <v>13.066930441559983</v>
      </c>
      <c r="F30" s="5">
        <f>IF($G30=0,0,(Title_RESULTS!$H$19/100*((1+Title_RESULTS!$H$20/100)^($A30-Title_RESULTS!$H$7))*$D30*1000)/1000)</f>
        <v>3.739956951429314</v>
      </c>
      <c r="G30" s="5">
        <f>(+Title_RESULTS!$H$22/100*((1+Title_RESULTS!$H$23/100)^(+'Sheet4(F_22)'!A30-Title_RESULTS!$H$7)))*'Sheet3(F_21)'!D30</f>
        <v>89.21422846505142</v>
      </c>
      <c r="H30" s="5">
        <f>IF($G30=0,0,(($D30))*(Partcipation!$G30/100))</f>
        <v>67.8051187702273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164.19550420538644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87</v>
      </c>
      <c r="B32" s="9"/>
      <c r="C32" s="9">
        <f aca="true" t="shared" si="1" ref="C32:J32">SUM(C16:C31)</f>
        <v>1331.3305514018023</v>
      </c>
      <c r="D32" s="9">
        <f t="shared" si="1"/>
        <v>15333.071528751758</v>
      </c>
      <c r="E32" s="9">
        <f t="shared" si="1"/>
        <v>138.08915519613433</v>
      </c>
      <c r="F32" s="9">
        <f t="shared" si="1"/>
        <v>39.52324520303548</v>
      </c>
      <c r="G32" s="9">
        <f t="shared" si="1"/>
        <v>848.4977278475915</v>
      </c>
      <c r="H32" s="9">
        <f t="shared" si="1"/>
        <v>634.1865908661291</v>
      </c>
      <c r="I32" s="9">
        <f t="shared" si="1"/>
        <v>0</v>
      </c>
      <c r="J32" s="9">
        <f t="shared" si="1"/>
        <v>1723.2540887824343</v>
      </c>
    </row>
    <row r="33" spans="3:10" ht="12.75"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89</v>
      </c>
      <c r="C34" s="5">
        <f>NPV(Title_RESULTS!$C$37,C17:C31)+'Sheet3(F_21)'!C16</f>
        <v>750.6990494279979</v>
      </c>
      <c r="D34" s="5"/>
      <c r="E34" s="5">
        <f>NPV(Title_RESULTS!$C$37,E17:E31)+'Sheet3(F_21)'!E16</f>
        <v>77.86450737790302</v>
      </c>
      <c r="F34" s="5">
        <f>NPV(Title_RESULTS!$C$37,F17:F31)+'Sheet3(F_21)'!F16</f>
        <v>22.28602248554111</v>
      </c>
      <c r="G34" s="5">
        <f>NPV(Title_RESULTS!$C$37,G17:G31)+'Sheet3(F_21)'!G16</f>
        <v>470.46879621401064</v>
      </c>
      <c r="H34" s="5">
        <f>NPV(Title_RESULTS!$C$37,H17:H31)+'Sheet3(F_21)'!H16</f>
        <v>350.68905234450034</v>
      </c>
      <c r="I34" s="5">
        <f>NPV(Title_RESULTS!$C$37,I17:I31)+'Sheet3(F_21)'!I16</f>
        <v>0</v>
      </c>
      <c r="J34" s="5">
        <f>NPV(Title_RESULTS!$C$37,J17:J31)+'Sheet3(F_21)'!J16</f>
        <v>970.6293231609523</v>
      </c>
    </row>
    <row r="36" ht="12.75">
      <c r="A3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Dedicated Outdoor Air on VRF</v>
      </c>
      <c r="F2" t="s">
        <v>55</v>
      </c>
    </row>
    <row r="3" spans="6:7" ht="12.75">
      <c r="F3" s="35">
        <f>+Title_RESULTS!I4</f>
        <v>43599.318632407405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830.5485232067512</v>
      </c>
      <c r="C16" s="5">
        <f>$B16*'Sheet2(F_12)'!$E16/100</f>
        <v>24.09180094097695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24.09180094097695</v>
      </c>
      <c r="G16" s="5">
        <f>+$F16*'Sheet2(F_12)'!$I16</f>
        <v>24.09180094097695</v>
      </c>
    </row>
    <row r="17" spans="1:7" ht="12.75">
      <c r="A17">
        <f>+A16+1</f>
        <v>2021</v>
      </c>
      <c r="B17" s="5">
        <f>(+Partcipation!$C16+(Partcipation!$C17-Partcipation!$C16)/2)*Title_RESULTS!$C$10/1000</f>
        <v>2491.6455696202534</v>
      </c>
      <c r="C17" s="5">
        <f>$B17*'Sheet2(F_12)'!$E17/100</f>
        <v>71.68752530682235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71.68752530682235</v>
      </c>
      <c r="G17" s="5">
        <f>+$F17*'Sheet2(F_12)'!$I17</f>
        <v>71.68752530682235</v>
      </c>
    </row>
    <row r="18" spans="1:7" ht="12.75">
      <c r="A18">
        <f>+A17+1</f>
        <v>2022</v>
      </c>
      <c r="B18" s="5">
        <f>(+Partcipation!$C17+(Partcipation!$C18-Partcipation!$C17)/2)*Title_RESULTS!$C$10/1000</f>
        <v>4152.742616033755</v>
      </c>
      <c r="C18" s="5">
        <f>$B18*'Sheet2(F_12)'!$E18/100</f>
        <v>123.31054055963368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123.31054055963368</v>
      </c>
      <c r="G18" s="5">
        <f>+$F18*'Sheet2(F_12)'!$I18</f>
        <v>123.31054055963368</v>
      </c>
    </row>
    <row r="19" spans="1:7" ht="12.75">
      <c r="A19">
        <f aca="true" t="shared" si="0" ref="A19:A30">+A18+1</f>
        <v>2023</v>
      </c>
      <c r="B19" s="5">
        <f>(+Partcipation!$C18+(Partcipation!$C19-Partcipation!$C18)/2)*Title_RESULTS!$C$10/1000</f>
        <v>4983.291139240507</v>
      </c>
      <c r="C19" s="5">
        <f>$B19*'Sheet2(F_12)'!$E19/100</f>
        <v>154.04304818603939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0">+C19-E19</f>
        <v>154.04304818603939</v>
      </c>
      <c r="G19" s="5">
        <f>+$F19*'Sheet2(F_12)'!$I19</f>
        <v>154.04304818603939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4983.291139240507</v>
      </c>
      <c r="C20" s="5">
        <f>$B20*'Sheet2(F_12)'!$E20/100</f>
        <v>160.09635935686674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160.09635935686674</v>
      </c>
      <c r="G20" s="5">
        <f>+$F20*'Sheet2(F_12)'!$I20</f>
        <v>160.09635935686674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4983.291139240507</v>
      </c>
      <c r="C21" s="5">
        <f>$B21*'Sheet2(F_12)'!$E21/100</f>
        <v>171.8952904841724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171.8952904841724</v>
      </c>
      <c r="G21" s="5">
        <f>+$F21*'Sheet2(F_12)'!$I21</f>
        <v>171.8952904841724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4983.291139240507</v>
      </c>
      <c r="C22" s="5">
        <f>$B22*'Sheet2(F_12)'!$E22/100</f>
        <v>177.40876739302158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177.40876739302158</v>
      </c>
      <c r="G22" s="5">
        <f>+$F22*'Sheet2(F_12)'!$I22</f>
        <v>177.40876739302158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4983.291139240507</v>
      </c>
      <c r="C23" s="5">
        <f>$B23*'Sheet2(F_12)'!$E23/100</f>
        <v>188.49602130898023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188.49602130898023</v>
      </c>
      <c r="G23" s="5">
        <f>+$F23*'Sheet2(F_12)'!$I23</f>
        <v>188.49602130898023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4983.291139240507</v>
      </c>
      <c r="C24" s="5">
        <f>$B24*'Sheet2(F_12)'!$E24/100</f>
        <v>208.87538939229748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208.87538939229748</v>
      </c>
      <c r="G24" s="5">
        <f>+$F24*'Sheet2(F_12)'!$I24</f>
        <v>208.87538939229748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4983.291139240507</v>
      </c>
      <c r="C25" s="5">
        <f>$B25*'Sheet2(F_12)'!$E25/100</f>
        <v>223.78162880758336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223.78162880758336</v>
      </c>
      <c r="G25" s="5">
        <f>+$F25*'Sheet2(F_12)'!$I25</f>
        <v>223.78162880758336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4983.291139240507</v>
      </c>
      <c r="C26" s="5">
        <f>$B26*'Sheet2(F_12)'!$E26/100</f>
        <v>249.9516818295668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249.9516818295668</v>
      </c>
      <c r="G26" s="5">
        <f>+$F26*'Sheet2(F_12)'!$I26</f>
        <v>249.9516818295668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4983.291139240507</v>
      </c>
      <c r="C27" s="5">
        <f>$B27*'Sheet2(F_12)'!$E27/100</f>
        <v>249.02215012619698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249.02215012619698</v>
      </c>
      <c r="G27" s="5">
        <f>+$F27*'Sheet2(F_12)'!$I27</f>
        <v>249.02215012619698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4983.291139240507</v>
      </c>
      <c r="C28" s="5">
        <f>$B28*'Sheet2(F_12)'!$E28/100</f>
        <v>272.1581944924795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272.1581944924795</v>
      </c>
      <c r="G28" s="5">
        <f>+$F28*'Sheet2(F_12)'!$I28</f>
        <v>272.1581944924795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4983.291139240507</v>
      </c>
      <c r="C29" s="5">
        <f>$B29*'Sheet2(F_12)'!$E29/100</f>
        <v>290.23195784444056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290.23195784444056</v>
      </c>
      <c r="G29" s="5">
        <f>+$F29*'Sheet2(F_12)'!$I29</f>
        <v>290.23195784444056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4983.291139240507</v>
      </c>
      <c r="C30" s="5">
        <f>$B30*'Sheet2(F_12)'!$E30/100</f>
        <v>303.7458166579966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303.7458166579966</v>
      </c>
      <c r="G30" s="5">
        <f>+$F30*'Sheet2(F_12)'!$I30</f>
        <v>303.7458166579966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87</v>
      </c>
      <c r="B32" s="5">
        <f aca="true" t="shared" si="2" ref="B32:G32">SUM(B16:B31)</f>
        <v>67274.43037974685</v>
      </c>
      <c r="C32" s="5">
        <f t="shared" si="2"/>
        <v>2868.796172687075</v>
      </c>
      <c r="D32" s="5">
        <f t="shared" si="2"/>
        <v>0</v>
      </c>
      <c r="E32" s="5">
        <f t="shared" si="2"/>
        <v>0</v>
      </c>
      <c r="F32" s="5">
        <f t="shared" si="2"/>
        <v>2868.796172687075</v>
      </c>
      <c r="G32" s="5">
        <f t="shared" si="2"/>
        <v>2868.796172687075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t="s">
        <v>118</v>
      </c>
      <c r="B34" s="5"/>
      <c r="C34" s="5">
        <f>NPV(+Title_RESULTS!$C$37,C17:C31)+C16</f>
        <v>1643.190914642932</v>
      </c>
      <c r="D34" s="5"/>
      <c r="E34" s="5">
        <f>NPV(+Title_RESULTS!$C$37,E17:E31)+E16</f>
        <v>0</v>
      </c>
      <c r="F34" s="5">
        <f>NPV(+Title_RESULTS!$C$37,F17:F31)+F16</f>
        <v>1643.190914642932</v>
      </c>
      <c r="G34" s="5">
        <f>NPV(+Title_RESULTS!$C$37,G17:G31)+G16</f>
        <v>1643.190914642932</v>
      </c>
    </row>
    <row r="35" spans="6:7" ht="12.75">
      <c r="F35" s="9"/>
      <c r="G35" s="9"/>
    </row>
    <row r="36" ht="12.75">
      <c r="A3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Dedicated Outdoor Air on VRF</v>
      </c>
      <c r="J2" t="s">
        <v>42</v>
      </c>
    </row>
    <row r="3" spans="9:10" ht="12.75">
      <c r="I3" s="4"/>
      <c r="J3" s="35">
        <f>+Title_RESULTS!I4</f>
        <v>43599.318632407405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Dedicated Outdoor Air on VRF</v>
      </c>
      <c r="H2" t="s">
        <v>108</v>
      </c>
    </row>
    <row r="3" ht="12.75">
      <c r="H3" s="35">
        <f>+Title_RESULTS!I4</f>
        <v>43599.318632407405</v>
      </c>
    </row>
    <row r="5" spans="3:6" ht="12.75">
      <c r="C5" t="s">
        <v>60</v>
      </c>
      <c r="F5" s="38">
        <f>+'Value of Defferal'!L4</f>
        <v>57.2873728</v>
      </c>
    </row>
    <row r="6" spans="3:6" ht="12.75">
      <c r="C6" t="s">
        <v>62</v>
      </c>
      <c r="F6" s="38">
        <f>+'Value of Defferal'!L5</f>
        <v>121.45950719999999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24.09180094097695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5.661270144682474</v>
      </c>
      <c r="C17" s="5">
        <f>IF(+Title_RESULTS!$H$9&lt;='Sheet4(F_22)'!$A17,(+Title_RESULTS!$H$16*((1+Title_RESULTS!$H$18/100)^('Sheet4(F_22)'!$A17-Title_RESULTS!$H$7))*Title_RESULTS!$C$8*Partcipation!$C$26/1000),0)</f>
        <v>4.562965337607695</v>
      </c>
      <c r="D17" s="5">
        <f>(+B17+C17)*+Partcipation!$H17</f>
        <v>10.224235482290169</v>
      </c>
      <c r="E17" s="5">
        <f>VLOOKUP(A17,'Value of Defferal'!$I24:$P$58,'Value of Defferal'!$K$13)</f>
        <v>12.00290829010064</v>
      </c>
      <c r="F17" s="5">
        <f>IF(+'Value of Defferal'!P24=0,0,Title_RESULTS!$H$17*Title_RESULTS!$C$7*Partcipation!$C$26*(1+Title_RESULTS!$H$18/100)^('Sheet4(F_22)'!A17-Title_RESULTS!$H$7))/1000</f>
        <v>16.7215104</v>
      </c>
      <c r="G17" s="5">
        <f>(+E17+F17)*Partcipation!$H17</f>
        <v>28.72441869010064</v>
      </c>
      <c r="H17" s="5">
        <f>+'Sheet5(p_5)'!$F17*'Sheet2(F_12)'!$I17</f>
        <v>71.68752530682235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5.797140628154853</v>
      </c>
      <c r="C18" s="5">
        <f>IF(+Title_RESULTS!$H$9&lt;='Sheet4(F_22)'!$A18,(+Title_RESULTS!$H$16*((1+Title_RESULTS!$H$18/100)^('Sheet4(F_22)'!$A18-Title_RESULTS!$H$7))*Title_RESULTS!$C$8*Partcipation!$C$26/1000),0)</f>
        <v>4.6724765057102795</v>
      </c>
      <c r="D18" s="5">
        <f>(+B18+C18)*+Partcipation!$H18</f>
        <v>10.469617133865132</v>
      </c>
      <c r="E18" s="5">
        <f>VLOOKUP(A18,'Value of Defferal'!$I25:$P$58,'Value of Defferal'!$K$13)</f>
        <v>12.290978089063055</v>
      </c>
      <c r="F18" s="5">
        <f>IF(+'Value of Defferal'!P25=0,0,Title_RESULTS!$H$17*Title_RESULTS!$C$7*Partcipation!$C$26*(1+Title_RESULTS!$H$18/100)^('Sheet4(F_22)'!A18-Title_RESULTS!$H$7))/1000</f>
        <v>17.1228266496</v>
      </c>
      <c r="G18" s="5">
        <f>(+E18+F18)*Partcipation!$H18</f>
        <v>29.413804738663053</v>
      </c>
      <c r="H18" s="5">
        <f>+'Sheet5(p_5)'!$F18*'Sheet2(F_12)'!$I18</f>
        <v>123.31054055963368</v>
      </c>
      <c r="I18" s="5"/>
      <c r="J18" s="5"/>
    </row>
    <row r="19" spans="1:10" ht="12.75">
      <c r="A19">
        <f aca="true" t="shared" si="0" ref="A19:A30">+A18+1</f>
        <v>2023</v>
      </c>
      <c r="B19" s="5">
        <f>VLOOKUP(A19,'Value of Defferal'!$I26:$P$58,'Value of Defferal'!$K$9)</f>
        <v>5.936272003230569</v>
      </c>
      <c r="C19" s="5">
        <f>IF(+Title_RESULTS!$H$9&lt;='Sheet4(F_22)'!$A19,(+Title_RESULTS!$H$16*((1+Title_RESULTS!$H$18/100)^('Sheet4(F_22)'!$A19-Title_RESULTS!$H$7))*Title_RESULTS!$C$8*Partcipation!$C$26/1000),0)</f>
        <v>4.784615941847326</v>
      </c>
      <c r="D19" s="5">
        <f>(+B19+C19)*+Partcipation!$H19</f>
        <v>10.720887945077894</v>
      </c>
      <c r="E19" s="5">
        <f>VLOOKUP(A19,'Value of Defferal'!$I26:$P$58,'Value of Defferal'!$K$13)</f>
        <v>12.585961563200568</v>
      </c>
      <c r="F19" s="5">
        <f>IF(+'Value of Defferal'!P26=0,0,Title_RESULTS!$H$17*Title_RESULTS!$C$7*Partcipation!$C$26*(1+Title_RESULTS!$H$18/100)^('Sheet4(F_22)'!A19-Title_RESULTS!$H$7))/1000</f>
        <v>17.5337744891904</v>
      </c>
      <c r="G19" s="5">
        <f>(+E19+F19)*Partcipation!$H19</f>
        <v>30.11973605239097</v>
      </c>
      <c r="H19" s="5">
        <f>+'Sheet5(p_5)'!$F19*'Sheet2(F_12)'!$I19</f>
        <v>154.04304818603939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6.078742531308103</v>
      </c>
      <c r="C20" s="5">
        <f>IF(+Title_RESULTS!$H$9&lt;='Sheet4(F_22)'!$A20,(+Title_RESULTS!$H$16*((1+Title_RESULTS!$H$18/100)^('Sheet4(F_22)'!$A20-Title_RESULTS!$H$7))*Title_RESULTS!$C$8*Partcipation!$C$26/1000),0)</f>
        <v>4.8994467244516615</v>
      </c>
      <c r="D20" s="5">
        <f>(+B20+C20)*+Partcipation!$H20</f>
        <v>10.978189255759766</v>
      </c>
      <c r="E20" s="5">
        <f>VLOOKUP(A20,'Value of Defferal'!$I27:$P$58,'Value of Defferal'!$K$13)</f>
        <v>12.888024640717381</v>
      </c>
      <c r="F20" s="5">
        <f>IF(+'Value of Defferal'!P27=0,0,Title_RESULTS!$H$17*Title_RESULTS!$C$7*Partcipation!$C$26*(1+Title_RESULTS!$H$18/100)^('Sheet4(F_22)'!A20-Title_RESULTS!$H$7))/1000</f>
        <v>17.954585076930968</v>
      </c>
      <c r="G20" s="5">
        <f>(+E20+F20)*Partcipation!$H20</f>
        <v>30.84260971764835</v>
      </c>
      <c r="H20" s="5">
        <f>+'Sheet5(p_5)'!$F20*'Sheet2(F_12)'!$I20</f>
        <v>160.09635935686674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6.224632352059498</v>
      </c>
      <c r="C21" s="5">
        <f>IF(+Title_RESULTS!$H$9&lt;='Sheet4(F_22)'!$A21,(+Title_RESULTS!$H$16*((1+Title_RESULTS!$H$18/100)^('Sheet4(F_22)'!$A21-Title_RESULTS!$H$7))*Title_RESULTS!$C$8*Partcipation!$C$26/1000),0)</f>
        <v>5.017033445838503</v>
      </c>
      <c r="D21" s="5">
        <f>(+B21+C21)*+Partcipation!$H21</f>
        <v>11.241665797898001</v>
      </c>
      <c r="E21" s="5">
        <f>VLOOKUP(A21,'Value of Defferal'!$I28:$P$58,'Value of Defferal'!$K$13)</f>
        <v>13.197337232094599</v>
      </c>
      <c r="F21" s="5">
        <f>IF(+'Value of Defferal'!P28=0,0,Title_RESULTS!$H$17*Title_RESULTS!$C$7*Partcipation!$C$26*(1+Title_RESULTS!$H$18/100)^('Sheet4(F_22)'!A21-Title_RESULTS!$H$7))/1000</f>
        <v>18.385495118777314</v>
      </c>
      <c r="G21" s="5">
        <f>(+E21+F21)*Partcipation!$H21</f>
        <v>31.58283235087191</v>
      </c>
      <c r="H21" s="5">
        <f>+'Sheet5(p_5)'!$F21*'Sheet2(F_12)'!$I21</f>
        <v>171.8952904841724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6.374023528508926</v>
      </c>
      <c r="C22" s="5">
        <f>IF(+Title_RESULTS!$H$9&lt;='Sheet4(F_22)'!$A22,(+Title_RESULTS!$H$16*((1+Title_RESULTS!$H$18/100)^('Sheet4(F_22)'!$A22-Title_RESULTS!$H$7))*Title_RESULTS!$C$8*Partcipation!$C$26/1000),0)</f>
        <v>5.137442248538625</v>
      </c>
      <c r="D22" s="5">
        <f>(+B22+C22)*+Partcipation!$H22</f>
        <v>11.511465777047551</v>
      </c>
      <c r="E22" s="5">
        <f>VLOOKUP(A22,'Value of Defferal'!$I29:$P$58,'Value of Defferal'!$K$13)</f>
        <v>13.51407332566487</v>
      </c>
      <c r="F22" s="5">
        <f>IF(+'Value of Defferal'!P29=0,0,Title_RESULTS!$H$17*Title_RESULTS!$C$7*Partcipation!$C$26*(1+Title_RESULTS!$H$18/100)^('Sheet4(F_22)'!A22-Title_RESULTS!$H$7))/1000</f>
        <v>18.826747001627965</v>
      </c>
      <c r="G22" s="5">
        <f>(+E22+F22)*Partcipation!$H22</f>
        <v>32.34082032729283</v>
      </c>
      <c r="H22" s="5">
        <f>+'Sheet5(p_5)'!$F22*'Sheet2(F_12)'!$I22</f>
        <v>177.40876739302158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6.52700009319314</v>
      </c>
      <c r="C23" s="5">
        <f>IF(+Title_RESULTS!$H$9&lt;='Sheet4(F_22)'!$A23,(+Title_RESULTS!$H$16*((1+Title_RESULTS!$H$18/100)^('Sheet4(F_22)'!$A23-Title_RESULTS!$H$7))*Title_RESULTS!$C$8*Partcipation!$C$26/1000),0)</f>
        <v>5.260740862503553</v>
      </c>
      <c r="D23" s="5">
        <f>(+B23+C23)*+Partcipation!$H23</f>
        <v>11.787740955696693</v>
      </c>
      <c r="E23" s="5">
        <f>VLOOKUP(A23,'Value of Defferal'!$I30:$P$58,'Value of Defferal'!$K$13)</f>
        <v>13.838411085480827</v>
      </c>
      <c r="F23" s="5">
        <f>IF(+'Value of Defferal'!P30=0,0,Title_RESULTS!$H$17*Title_RESULTS!$C$7*Partcipation!$C$26*(1+Title_RESULTS!$H$18/100)^('Sheet4(F_22)'!A23-Title_RESULTS!$H$7))/1000</f>
        <v>19.278588929667045</v>
      </c>
      <c r="G23" s="5">
        <f>(+E23+F23)*Partcipation!$H23</f>
        <v>33.11700001514787</v>
      </c>
      <c r="H23" s="5">
        <f>+'Sheet5(p_5)'!$F23*'Sheet2(F_12)'!$I23</f>
        <v>188.49602130898023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6.683648095429775</v>
      </c>
      <c r="C24" s="5">
        <f>IF(+Title_RESULTS!$H$9&lt;='Sheet4(F_22)'!$A24,(+Title_RESULTS!$H$16*((1+Title_RESULTS!$H$18/100)^('Sheet4(F_22)'!$A24-Title_RESULTS!$H$7))*Title_RESULTS!$C$8*Partcipation!$C$26/1000),0)</f>
        <v>5.386998643203637</v>
      </c>
      <c r="D24" s="5">
        <f>(+B24+C24)*+Partcipation!$H24</f>
        <v>12.070646738633412</v>
      </c>
      <c r="E24" s="5">
        <f>VLOOKUP(A24,'Value of Defferal'!$I31:$P$58,'Value of Defferal'!$K$13)</f>
        <v>14.170532951532365</v>
      </c>
      <c r="F24" s="5">
        <f>IF(+'Value of Defferal'!P31=0,0,Title_RESULTS!$H$17*Title_RESULTS!$C$7*Partcipation!$C$26*(1+Title_RESULTS!$H$18/100)^('Sheet4(F_22)'!A24-Title_RESULTS!$H$7))/1000</f>
        <v>19.741275063979046</v>
      </c>
      <c r="G24" s="5">
        <f>(+E24+F24)*Partcipation!$H24</f>
        <v>33.91180801551141</v>
      </c>
      <c r="H24" s="5">
        <f>+'Sheet5(p_5)'!$F24*'Sheet2(F_12)'!$I24</f>
        <v>208.87538939229748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6.84405564972009</v>
      </c>
      <c r="C25" s="5">
        <f>IF(+Title_RESULTS!$H$9&lt;='Sheet4(F_22)'!$A25,(+Title_RESULTS!$H$16*((1+Title_RESULTS!$H$18/100)^('Sheet4(F_22)'!$A25-Title_RESULTS!$H$7))*Title_RESULTS!$C$8*Partcipation!$C$26/1000),0)</f>
        <v>5.516286610640525</v>
      </c>
      <c r="D25" s="5">
        <f>(+B25+C25)*+Partcipation!$H25</f>
        <v>12.360342260360614</v>
      </c>
      <c r="E25" s="5">
        <f>VLOOKUP(A25,'Value of Defferal'!$I32:$P$58,'Value of Defferal'!$K$13)</f>
        <v>14.510625742369143</v>
      </c>
      <c r="F25" s="5">
        <f>IF(+'Value of Defferal'!P32=0,0,Title_RESULTS!$H$17*Title_RESULTS!$C$7*Partcipation!$C$26*(1+Title_RESULTS!$H$18/100)^('Sheet4(F_22)'!A25-Title_RESULTS!$H$7))/1000</f>
        <v>20.215065665514544</v>
      </c>
      <c r="G25" s="5">
        <f>(+E25+F25)*Partcipation!$H25</f>
        <v>34.72569140788369</v>
      </c>
      <c r="H25" s="5">
        <f>+'Sheet5(p_5)'!$F25*'Sheet2(F_12)'!$I25</f>
        <v>223.78162880758336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7.008312985313372</v>
      </c>
      <c r="C26" s="5">
        <f>IF(+Title_RESULTS!$H$9&lt;='Sheet4(F_22)'!$A26,(+Title_RESULTS!$H$16*((1+Title_RESULTS!$H$18/100)^('Sheet4(F_22)'!$A26-Title_RESULTS!$H$7))*Title_RESULTS!$C$8*Partcipation!$C$26/1000),0)</f>
        <v>5.648677489295897</v>
      </c>
      <c r="D26" s="5">
        <f>(+B26+C26)*+Partcipation!$H26</f>
        <v>12.65699047460927</v>
      </c>
      <c r="E26" s="5">
        <f>VLOOKUP(A26,'Value of Defferal'!$I33:$P$58,'Value of Defferal'!$K$13)</f>
        <v>14.858880760186004</v>
      </c>
      <c r="F26" s="5">
        <f>IF(+'Value of Defferal'!P33=0,0,Title_RESULTS!$H$17*Title_RESULTS!$C$7*Partcipation!$C$26*(1+Title_RESULTS!$H$18/100)^('Sheet4(F_22)'!A26-Title_RESULTS!$H$7))/1000</f>
        <v>20.700227241486893</v>
      </c>
      <c r="G26" s="5">
        <f>(+E26+F26)*Partcipation!$H26</f>
        <v>35.5591080016729</v>
      </c>
      <c r="H26" s="5">
        <f>+'Sheet5(p_5)'!$F26*'Sheet2(F_12)'!$I26</f>
        <v>249.9516818295668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7.176512496960894</v>
      </c>
      <c r="C27" s="5">
        <f>IF(+Title_RESULTS!$H$9&lt;='Sheet4(F_22)'!$A27,(+Title_RESULTS!$H$16*((1+Title_RESULTS!$H$18/100)^('Sheet4(F_22)'!$A27-Title_RESULTS!$H$7))*Title_RESULTS!$C$8*Partcipation!$C$26/1000),0)</f>
        <v>5.784245749039</v>
      </c>
      <c r="D27" s="5">
        <f>(+B27+C27)*+Partcipation!$H27</f>
        <v>12.960758245999894</v>
      </c>
      <c r="E27" s="5">
        <f>VLOOKUP(A27,'Value of Defferal'!$I34:$P$58,'Value of Defferal'!$K$13)</f>
        <v>15.21549389843047</v>
      </c>
      <c r="F27" s="5">
        <f>IF(+'Value of Defferal'!P34=0,0,Title_RESULTS!$H$17*Title_RESULTS!$C$7*Partcipation!$C$26*(1+Title_RESULTS!$H$18/100)^('Sheet4(F_22)'!A27-Title_RESULTS!$H$7))/1000</f>
        <v>21.19703269528258</v>
      </c>
      <c r="G27" s="5">
        <f>(+E27+F27)*Partcipation!$H27</f>
        <v>36.412526593713054</v>
      </c>
      <c r="H27" s="5">
        <f>+'Sheet5(p_5)'!$F27*'Sheet2(F_12)'!$I27</f>
        <v>249.02215012619698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7.348748796887955</v>
      </c>
      <c r="C28" s="5">
        <f>IF(+Title_RESULTS!$H$9&lt;='Sheet4(F_22)'!$A28,(+Title_RESULTS!$H$16*((1+Title_RESULTS!$H$18/100)^('Sheet4(F_22)'!$A28-Title_RESULTS!$H$7))*Title_RESULTS!$C$8*Partcipation!$C$26/1000),0)</f>
        <v>5.923067647015935</v>
      </c>
      <c r="D28" s="5">
        <f>(+B28+C28)*+Partcipation!$H28</f>
        <v>13.27181644390389</v>
      </c>
      <c r="E28" s="5">
        <f>VLOOKUP(A28,'Value of Defferal'!$I35:$P$58,'Value of Defferal'!$K$13)</f>
        <v>15.5806657519928</v>
      </c>
      <c r="F28" s="5">
        <f>IF(+'Value of Defferal'!P35=0,0,Title_RESULTS!$H$17*Title_RESULTS!$C$7*Partcipation!$C$26*(1+Title_RESULTS!$H$18/100)^('Sheet4(F_22)'!A28-Title_RESULTS!$H$7))/1000</f>
        <v>21.70576147996936</v>
      </c>
      <c r="G28" s="5">
        <f>(+E28+F28)*Partcipation!$H28</f>
        <v>37.286427231962165</v>
      </c>
      <c r="H28" s="5">
        <f>+'Sheet5(p_5)'!$F28*'Sheet2(F_12)'!$I28</f>
        <v>272.1581944924795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7.525118768013266</v>
      </c>
      <c r="C29" s="5">
        <f>IF(+Title_RESULTS!$H$9&lt;='Sheet4(F_22)'!$A29,(+Title_RESULTS!$H$16*((1+Title_RESULTS!$H$18/100)^('Sheet4(F_22)'!$A29-Title_RESULTS!$H$7))*Title_RESULTS!$C$8*Partcipation!$C$26/1000),0)</f>
        <v>6.065221270544317</v>
      </c>
      <c r="D29" s="5">
        <f>(+B29+C29)*+Partcipation!$H29</f>
        <v>13.590340038557583</v>
      </c>
      <c r="E29" s="5">
        <f>VLOOKUP(A29,'Value of Defferal'!$I36:$P$58,'Value of Defferal'!$K$13)</f>
        <v>15.954601730040627</v>
      </c>
      <c r="F29" s="5">
        <f>IF(+'Value of Defferal'!P36=0,0,Title_RESULTS!$H$17*Title_RESULTS!$C$7*Partcipation!$C$26*(1+Title_RESULTS!$H$18/100)^('Sheet4(F_22)'!A29-Title_RESULTS!$H$7))/1000</f>
        <v>22.226699755488625</v>
      </c>
      <c r="G29" s="5">
        <f>(+E29+F29)*Partcipation!$H29</f>
        <v>38.181301485529254</v>
      </c>
      <c r="H29" s="5">
        <f>+'Sheet5(p_5)'!$F29*'Sheet2(F_12)'!$I29</f>
        <v>290.23195784444056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7.705721618445585</v>
      </c>
      <c r="C30" s="5">
        <f>IF(+Title_RESULTS!$H$9&lt;='Sheet4(F_22)'!$A30,(+Title_RESULTS!$H$16*((1+Title_RESULTS!$H$18/100)^('Sheet4(F_22)'!$A30-Title_RESULTS!$H$7))*Title_RESULTS!$C$8*Partcipation!$C$26/1000),0)</f>
        <v>6.2107865810373815</v>
      </c>
      <c r="D30" s="5">
        <f>(+B30+C30)*+Partcipation!$H30</f>
        <v>13.916508199482966</v>
      </c>
      <c r="E30" s="5">
        <f>VLOOKUP(A30,'Value of Defferal'!$I37:$P$58,'Value of Defferal'!$K$13)</f>
        <v>16.337512171561603</v>
      </c>
      <c r="F30" s="5">
        <f>IF(+'Value of Defferal'!P37=0,0,Title_RESULTS!$H$17*Title_RESULTS!$C$7*Partcipation!$C$26*(1+Title_RESULTS!$H$18/100)^('Sheet4(F_22)'!A30-Title_RESULTS!$H$7))/1000</f>
        <v>22.760140549620353</v>
      </c>
      <c r="G30" s="5">
        <f>(+E30+F30)*Partcipation!$H30</f>
        <v>39.09765272118196</v>
      </c>
      <c r="H30" s="5">
        <f>+'Sheet5(p_5)'!$F30*'Sheet2(F_12)'!$I30</f>
        <v>303.7458166579966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88</v>
      </c>
      <c r="B32" s="5">
        <f aca="true" t="shared" si="1" ref="B32:H32">SUM(B16:B31)</f>
        <v>92.8911996919085</v>
      </c>
      <c r="C32" s="5">
        <f t="shared" si="1"/>
        <v>74.87000505727435</v>
      </c>
      <c r="D32" s="5">
        <f t="shared" si="1"/>
        <v>167.76120474918284</v>
      </c>
      <c r="E32" s="5">
        <f t="shared" si="1"/>
        <v>196.94600723243497</v>
      </c>
      <c r="F32" s="5">
        <f t="shared" si="1"/>
        <v>274.3697301171351</v>
      </c>
      <c r="G32" s="5">
        <f t="shared" si="1"/>
        <v>471.3157373495701</v>
      </c>
      <c r="H32" s="5">
        <f t="shared" si="1"/>
        <v>2868.796172687075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90</v>
      </c>
      <c r="B34" s="5">
        <f>NPV(Title_RESULTS!$C$37,'Sheet4(F_22)'!B17:B31)+'Sheet4(F_22)'!B16</f>
        <v>56.260448071018345</v>
      </c>
      <c r="C34" s="5">
        <f>NPV(Title_RESULTS!$C$37,'Sheet4(F_22)'!C17:C31)+'Sheet4(F_22)'!C16</f>
        <v>45.345738299992895</v>
      </c>
      <c r="D34" s="5">
        <f>NPV(Title_RESULTS!$C$37,'Sheet4(F_22)'!D17:D31)+'Sheet4(F_22)'!D16</f>
        <v>101.60618637101125</v>
      </c>
      <c r="E34" s="5">
        <f>NPV(Title_RESULTS!$C$37,'Sheet4(F_22)'!E17:E31)+'Sheet4(F_22)'!E16</f>
        <v>119.2822425530584</v>
      </c>
      <c r="F34" s="5">
        <f>NPV(Title_RESULTS!$C$37,'Sheet4(F_22)'!F17:F31)+'Sheet4(F_22)'!F16</f>
        <v>166.17466460452013</v>
      </c>
      <c r="G34" s="5">
        <f>NPV(Title_RESULTS!$C$37,'Sheet4(F_22)'!G17:G31)+'Sheet4(F_22)'!G16</f>
        <v>285.4569071575785</v>
      </c>
      <c r="H34" s="5">
        <f>NPV(Title_RESULTS!$C$37,'Sheet4(F_22)'!H17:H31)+'Sheet4(F_22)'!H16</f>
        <v>1643.190914642932</v>
      </c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ht="12.75">
      <c r="A3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Dedicated Outdoor Air on VRF</v>
      </c>
      <c r="P2" t="s">
        <v>121</v>
      </c>
    </row>
    <row r="3" ht="12.75">
      <c r="P3" s="35">
        <f>+Title_RESULTS!I4</f>
        <v>43599.318632407405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111.47735280784406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111.47735280784406</v>
      </c>
      <c r="H16" s="5">
        <f>IF(Partcipation!$B17&lt;Partcipation!$B16,0,IF(Partcipation!$B16=0,0,(Partcipation!$B16-Partcipation!$B15)*(+Title_RESULTS!$C$29*(1+Title_RESULTS!$C$30/100)^(+'Sheet8(F_24)'!$A16-Title_RESULTS!$H$7))/1000))</f>
        <v>1000.58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1000.58</v>
      </c>
      <c r="K16" s="5">
        <f>(+Partcipation!$B15+(Partcipation!$B16-Partcipation!$B15)/2)*(+Title_RESULTS!$C$14)/1000</f>
        <v>787.36</v>
      </c>
      <c r="L16" s="5">
        <f>($K16)*Partcipation!$E73*Title_RESULTS!$C$12/100</f>
        <v>19.16916530724005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43.3719648</v>
      </c>
      <c r="N16" s="5">
        <f>'Sheet2(F_12)'!$I16*('Sheet6(p_6)'!$L16+'Sheet6(p_6)'!$M16)</f>
        <v>62.54113010724005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111.47735280784406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111.47735280784406</v>
      </c>
      <c r="H17" s="5">
        <f>IF(Partcipation!$B18&lt;Partcipation!$B17,0,IF(Partcipation!$B17=0,0,(Partcipation!$B17-Partcipation!$B16)*(+Title_RESULTS!$C$29*(1+Title_RESULTS!$C$30/100)^(+'Sheet8(F_24)'!$A17-Title_RESULTS!$H$7))/1000))</f>
        <v>1023.5933399999999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1023.5933399999999</v>
      </c>
      <c r="K17" s="5">
        <f>(+Partcipation!$B16+(Partcipation!$B17-Partcipation!$B16)/2)*(+Title_RESULTS!$C$14)/1000</f>
        <v>2362.08</v>
      </c>
      <c r="L17" s="5">
        <f>($K17)*Partcipation!$E74*Title_RESULTS!$C$12/100</f>
        <v>60.24447799723077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131.417053344</v>
      </c>
      <c r="N17" s="5">
        <f>'Sheet2(F_12)'!$I17*('Sheet6(p_6)'!$L17+'Sheet6(p_6)'!$M17)</f>
        <v>191.66153134123078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111.47735280784406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111.47735280784406</v>
      </c>
      <c r="H18" s="5">
        <f>IF(Partcipation!$B19&lt;Partcipation!$B18,0,IF(Partcipation!$B18=0,0,(Partcipation!$B18-Partcipation!$B17)*(+Title_RESULTS!$C$29*(1+Title_RESULTS!$C$30/100)^(+'Sheet8(F_24)'!$A18-Title_RESULTS!$H$7))/1000))</f>
        <v>1047.13598682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1047.13598682</v>
      </c>
      <c r="K18" s="5">
        <f>(+Partcipation!$B17+(Partcipation!$B18-Partcipation!$B17)/2)*(+Title_RESULTS!$C$14)/1000</f>
        <v>3936.8</v>
      </c>
      <c r="L18" s="5">
        <f>($K18)*Partcipation!$E75*Title_RESULTS!$C$12/100</f>
        <v>104.10601120653948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221.2187064624</v>
      </c>
      <c r="N18" s="5">
        <f>'Sheet2(F_12)'!$I18*('Sheet6(p_6)'!$L18+'Sheet6(p_6)'!$M18)</f>
        <v>325.32471766893946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0">SUM(H19:I19)</f>
        <v>0</v>
      </c>
      <c r="K19" s="5">
        <f>(+Partcipation!$B18+(Partcipation!$B19-Partcipation!$B18)/2)*(+Title_RESULTS!$C$14)/1000</f>
        <v>4724.16</v>
      </c>
      <c r="L19" s="5">
        <f>($K19)*Partcipation!$E76*Title_RESULTS!$C$12/100</f>
        <v>123.9031365477473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268.11707223242877</v>
      </c>
      <c r="N19" s="5">
        <f>'Sheet2(F_12)'!$I19*('Sheet6(p_6)'!$L19+'Sheet6(p_6)'!$M19)</f>
        <v>392.02020878017606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4724.16</v>
      </c>
      <c r="L20" s="5">
        <f>($K20)*Partcipation!$E77*Title_RESULTS!$C$12/100</f>
        <v>130.93088943815408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270.79824295475305</v>
      </c>
      <c r="N20" s="5">
        <f>'Sheet2(F_12)'!$I20*('Sheet6(p_6)'!$L20+'Sheet6(p_6)'!$M20)</f>
        <v>401.7291323929071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4724.16</v>
      </c>
      <c r="L21" s="5">
        <f>($K21)*Partcipation!$E78*Title_RESULTS!$C$12/100</f>
        <v>138.4461492618075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273.5062253843006</v>
      </c>
      <c r="N21" s="5">
        <f>'Sheet2(F_12)'!$I21*('Sheet6(p_6)'!$L21+'Sheet6(p_6)'!$M21)</f>
        <v>411.95237464610807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4724.16</v>
      </c>
      <c r="L22" s="5">
        <f>($K22)*Partcipation!$E79*Title_RESULTS!$C$12/100</f>
        <v>144.70587650051763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276.24128763814366</v>
      </c>
      <c r="N22" s="5">
        <f>'Sheet2(F_12)'!$I22*('Sheet6(p_6)'!$L22+'Sheet6(p_6)'!$M22)</f>
        <v>420.94716413866126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4724.16</v>
      </c>
      <c r="L23" s="5">
        <f>($K23)*Partcipation!$E80*Title_RESULTS!$C$12/100</f>
        <v>153.2262985735114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279.003700514525</v>
      </c>
      <c r="N23" s="5">
        <f>'Sheet2(F_12)'!$I23*('Sheet6(p_6)'!$L23+'Sheet6(p_6)'!$M23)</f>
        <v>432.2299990880364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4724.16</v>
      </c>
      <c r="L24" s="5">
        <f>($K24)*Partcipation!$E81*Title_RESULTS!$C$12/100</f>
        <v>167.73607999291175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281.79373751967034</v>
      </c>
      <c r="N24" s="5">
        <f>'Sheet2(F_12)'!$I24*('Sheet6(p_6)'!$L24+'Sheet6(p_6)'!$M24)</f>
        <v>449.5298175125821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4724.16</v>
      </c>
      <c r="L25" s="5">
        <f>($K25)*Partcipation!$E82*Title_RESULTS!$C$12/100</f>
        <v>176.2818555709108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284.61167489486706</v>
      </c>
      <c r="N25" s="5">
        <f>'Sheet2(F_12)'!$I25*('Sheet6(p_6)'!$L25+'Sheet6(p_6)'!$M25)</f>
        <v>460.89353046577787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4724.16</v>
      </c>
      <c r="L26" s="5">
        <f>($K26)*Partcipation!$E83*Title_RESULTS!$C$12/100</f>
        <v>192.06824604817055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287.45779164381577</v>
      </c>
      <c r="N26" s="5">
        <f>'Sheet2(F_12)'!$I26*('Sheet6(p_6)'!$L26+'Sheet6(p_6)'!$M26)</f>
        <v>479.5260376919863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4724.16</v>
      </c>
      <c r="L27" s="5">
        <f>($K27)*Partcipation!$E84*Title_RESULTS!$C$12/100</f>
        <v>198.6892383945216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290.3323695602538</v>
      </c>
      <c r="N27" s="5">
        <f>'Sheet2(F_12)'!$I27*('Sheet6(p_6)'!$L27+'Sheet6(p_6)'!$M27)</f>
        <v>489.0216079547754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4724.16</v>
      </c>
      <c r="L28" s="5">
        <f>($K28)*Partcipation!$E85*Title_RESULTS!$C$12/100</f>
        <v>212.86592374902935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293.2356932558564</v>
      </c>
      <c r="N28" s="5">
        <f>'Sheet2(F_12)'!$I28*('Sheet6(p_6)'!$L28+'Sheet6(p_6)'!$M28)</f>
        <v>506.1016170048857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4724.16</v>
      </c>
      <c r="L29" s="5">
        <f>($K29)*Partcipation!$E86*Title_RESULTS!$C$12/100</f>
        <v>217.33086819936614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296.16805018841495</v>
      </c>
      <c r="N29" s="5">
        <f>'Sheet2(F_12)'!$I29*('Sheet6(p_6)'!$L29+'Sheet6(p_6)'!$M29)</f>
        <v>513.498918387781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4724.16</v>
      </c>
      <c r="L30" s="5">
        <f>($K30)*Partcipation!$E87*Title_RESULTS!$C$12/100</f>
        <v>231.68443436438764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299.12973069029914</v>
      </c>
      <c r="N30" s="5">
        <f>'Sheet2(F_12)'!$I30*('Sheet6(p_6)'!$L30+'Sheet6(p_6)'!$M30)</f>
        <v>530.8141650546868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87</v>
      </c>
      <c r="B32" s="5">
        <f aca="true" t="shared" si="4" ref="B32:R32">SUM(B16:B31)</f>
        <v>384.072</v>
      </c>
      <c r="C32" s="5">
        <f t="shared" si="4"/>
        <v>0</v>
      </c>
      <c r="D32" s="5">
        <f t="shared" si="4"/>
        <v>384.072</v>
      </c>
      <c r="E32" s="5">
        <f t="shared" si="4"/>
        <v>334.43205842353217</v>
      </c>
      <c r="F32" s="5">
        <f t="shared" si="4"/>
        <v>0</v>
      </c>
      <c r="G32" s="5">
        <f t="shared" si="4"/>
        <v>334.43205842353217</v>
      </c>
      <c r="H32" s="5">
        <f t="shared" si="4"/>
        <v>3071.30932682</v>
      </c>
      <c r="I32" s="5">
        <f t="shared" si="4"/>
        <v>0</v>
      </c>
      <c r="J32" s="5">
        <f t="shared" si="4"/>
        <v>3071.30932682</v>
      </c>
      <c r="K32" s="5">
        <f t="shared" si="4"/>
        <v>63776.16000000002</v>
      </c>
      <c r="L32" s="5">
        <f t="shared" si="4"/>
        <v>2271.388651152046</v>
      </c>
      <c r="M32" s="5">
        <f t="shared" si="4"/>
        <v>3796.4033010837284</v>
      </c>
      <c r="N32" s="5">
        <f t="shared" si="4"/>
        <v>6067.791952235774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89</v>
      </c>
      <c r="B34" s="5">
        <f>NPV(Title_RESULTS!$C$37,'Sheet6(p_6)'!B17:B31)+'Sheet6(p_6)'!B16</f>
        <v>358.8491576370552</v>
      </c>
      <c r="C34" s="5">
        <f>NPV(Title_RESULTS!$C$37,'Sheet6(p_6)'!C17:C31)+'Sheet6(p_6)'!C16</f>
        <v>0</v>
      </c>
      <c r="D34" s="5">
        <f>NPV(Title_RESULTS!$C$37,'Sheet6(p_6)'!D17:D31)+'Sheet6(p_6)'!D16</f>
        <v>358.8491576370552</v>
      </c>
      <c r="E34" s="5">
        <f>NPV(Title_RESULTS!$C$37,'Sheet6(p_6)'!E17:E31)+'Sheet6(p_6)'!E16</f>
        <v>312.80716040047923</v>
      </c>
      <c r="F34" s="5">
        <f>NPV(Title_RESULTS!$C$37,'Sheet6(p_6)'!F17:F31)+'Sheet6(p_6)'!F16</f>
        <v>0</v>
      </c>
      <c r="G34" s="5">
        <f>NPV(Title_RESULTS!$C$37,'Sheet6(p_6)'!G17:G31)+'Sheet6(p_6)'!G16</f>
        <v>312.80716040047923</v>
      </c>
      <c r="H34" s="5">
        <f>NPV(Title_RESULTS!$C$37,'Sheet6(p_6)'!H17:H31)+'Sheet6(p_6)'!H16</f>
        <v>2869.737604343172</v>
      </c>
      <c r="I34" s="5">
        <f>NPV(Title_RESULTS!$C$37,'Sheet6(p_6)'!I17:I31)+'Sheet6(p_6)'!I16</f>
        <v>0</v>
      </c>
      <c r="J34" s="5">
        <f>NPV(Title_RESULTS!$C$37,'Sheet6(p_6)'!J17:J31)+'Sheet6(p_6)'!J16</f>
        <v>2869.737604343172</v>
      </c>
      <c r="K34" s="5"/>
      <c r="L34" s="5">
        <f>NPV(Title_RESULTS!$C$37,'Sheet6(p_6)'!L17:L31)+'Sheet6(p_6)'!L16</f>
        <v>1310.7046428598744</v>
      </c>
      <c r="M34" s="5">
        <f>NPV(Title_RESULTS!$C$37,'Sheet6(p_6)'!M17:M31)+'Sheet6(p_6)'!M16</f>
        <v>2297.9447764153633</v>
      </c>
      <c r="N34" s="5">
        <f>NPV(Title_RESULTS!$C$37,'Sheet6(p_6)'!N17:N31)+'Sheet6(p_6)'!N16</f>
        <v>3608.649419275237</v>
      </c>
      <c r="O34" s="5"/>
      <c r="P34" s="5">
        <f>NPV(Title_RESULTS!$C$37,'Sheet6(p_6)'!P17:P31)+'Sheet6(p_6)'!P16</f>
        <v>0</v>
      </c>
      <c r="Q34" s="5">
        <f>NPV(Title_RESULTS!$C$37,'Sheet6(p_6)'!Q17:Q31)+'Sheet6(p_6)'!Q16</f>
        <v>0</v>
      </c>
      <c r="R34" s="5">
        <f>NPV(Title_RESULTS!$C$37,'Sheet6(p_6)'!R17:R31)+'Sheet6(p_6)'!R16</f>
        <v>0</v>
      </c>
    </row>
    <row r="36" ht="12.75">
      <c r="A3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Dedicated Outdoor Air on VRF</v>
      </c>
      <c r="M2" t="s">
        <v>55</v>
      </c>
    </row>
    <row r="3" ht="12.75">
      <c r="M3" s="35">
        <f>+Title_RESULTS!I4</f>
        <v>43599.318632407405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1000.58</v>
      </c>
      <c r="E16" s="5">
        <f>IF(A16&gt;=(Title_RESULTS!$H$7+Title_RESULTS!$C$17),0,(+'f-11B'!$N15))</f>
        <v>0</v>
      </c>
      <c r="F16" s="5">
        <f>IF(A16&gt;=(Title_RESULTS!$H$7+Title_RESULTS!$C$17),0,(SUM(B16:E16)))</f>
        <v>1125.58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24.09180094097695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24.09180094097695</v>
      </c>
      <c r="L16" s="23">
        <f>IF(A16&gt;=(Title_RESULTS!$H$7+Title_RESULTS!$C$17),0,(+$K16-$F16))</f>
        <v>-1101.488199059023</v>
      </c>
      <c r="M16" s="23">
        <f>IF(A16&gt;=(Title_RESULTS!$H$7+Title_RESULTS!$C$17),0,(+$L16/(1+Title_RESULTS!$C$37)^('Sheet7(F_23)'!$A16-Title_RESULTS!$H$7)))</f>
        <v>-1101.488199059023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1023.5933399999999</v>
      </c>
      <c r="E17" s="5">
        <f>IF(A17&gt;=(Title_RESULTS!$H$7+Title_RESULTS!$C$17),0,(+'f-11B'!$N16))</f>
        <v>0</v>
      </c>
      <c r="F17" s="5">
        <f>IF(A17&gt;=(Title_RESULTS!$H$7+Title_RESULTS!$C$17),0,(SUM(B17:E17)))</f>
        <v>1151.59334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38.94865417239081</v>
      </c>
      <c r="I17" s="5">
        <f>IF(A17&gt;=(Title_RESULTS!$H$7+Title_RESULTS!$C$17),0,(+'Sheet4(F_22)'!$H17))</f>
        <v>71.68752530682235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110.63617947921315</v>
      </c>
      <c r="L17" s="23">
        <f>IF(A17&gt;=(Title_RESULTS!$H$7+Title_RESULTS!$C$17),0,(+$K17-$F17))</f>
        <v>-1040.9571605207868</v>
      </c>
      <c r="M17" s="23">
        <f>IF(A17&gt;=(Title_RESULTS!$H$7+Title_RESULTS!$C$17),0,(+M16+$L17/(1+Title_RESULTS!$C$37)^('Sheet7(F_23)'!$A17-Title_RESULTS!$H$7)))</f>
        <v>-2073.6185320070867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1047.13598682</v>
      </c>
      <c r="E18" s="5">
        <f>IF(A18&gt;=(Title_RESULTS!$H$7+Title_RESULTS!$C$17),0,(+'f-11B'!$N17))</f>
        <v>0</v>
      </c>
      <c r="F18" s="5">
        <f>IF(A18&gt;=(Title_RESULTS!$H$7+Title_RESULTS!$C$17),0,(SUM(B18:E18)))</f>
        <v>1178.2079868199999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39.88342187252819</v>
      </c>
      <c r="I18" s="5">
        <f>IF(A18&gt;=(Title_RESULTS!$H$7+Title_RESULTS!$C$17),0,(+'Sheet4(F_22)'!$H18))</f>
        <v>123.31054055963368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163.19396243216187</v>
      </c>
      <c r="L18" s="23">
        <f>IF(A18&gt;=(Title_RESULTS!$H$7+Title_RESULTS!$C$17),0,(+$K18-$F18))</f>
        <v>-1015.0140243878379</v>
      </c>
      <c r="M18" s="23">
        <f>IF(A18&gt;=(Title_RESULTS!$H$7+Title_RESULTS!$C$17),0,(+M17+$L18/(1+Title_RESULTS!$C$37)^('Sheet7(F_23)'!$A18-Title_RESULTS!$H$7)))</f>
        <v>-2958.8468898488754</v>
      </c>
    </row>
    <row r="19" spans="1:13" ht="12.75">
      <c r="A19">
        <f aca="true" t="shared" si="0" ref="A19:A3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124.20295674001221</v>
      </c>
      <c r="H19" s="5">
        <f>IF(A19&gt;=(Title_RESULTS!$H$7+Title_RESULTS!$C$17),0,(+'Sheet4(F_22)'!$D19+'Sheet4(F_22)'!$G19))</f>
        <v>40.84062399746887</v>
      </c>
      <c r="I19" s="5">
        <f>IF(A19&gt;=(Title_RESULTS!$H$7+Title_RESULTS!$C$17),0,(+'Sheet4(F_22)'!$H19))</f>
        <v>154.04304818603939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319.0866289235205</v>
      </c>
      <c r="L19" s="23">
        <f>IF(A19&gt;=(Title_RESULTS!$H$7+Title_RESULTS!$C$17),0,(+$K19-$F19))</f>
        <v>319.0866289235205</v>
      </c>
      <c r="M19" s="23">
        <f>IF(A19&gt;=(Title_RESULTS!$H$7+Title_RESULTS!$C$17),0,(+M18+$L19/(1+Title_RESULTS!$C$37)^('Sheet7(F_23)'!$A19-Title_RESULTS!$H$7)))</f>
        <v>-2698.9605107724587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127.51478241510245</v>
      </c>
      <c r="H20" s="5">
        <f>IF(A20&gt;=(Title_RESULTS!$H$7+Title_RESULTS!$C$17),0,(+'Sheet4(F_22)'!$D20+'Sheet4(F_22)'!$G20))</f>
        <v>41.82079897340812</v>
      </c>
      <c r="I20" s="5">
        <f>IF(A20&gt;=(Title_RESULTS!$H$7+Title_RESULTS!$C$17),0,(+'Sheet4(F_22)'!$H20))</f>
        <v>160.09635935686674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329.4319407453773</v>
      </c>
      <c r="L20" s="23">
        <f>IF(A20&gt;=(Title_RESULTS!$H$7+Title_RESULTS!$C$17),0,(+$K20-$F20))</f>
        <v>329.4319407453773</v>
      </c>
      <c r="M20" s="23">
        <f>IF(A20&gt;=(Title_RESULTS!$H$7+Title_RESULTS!$C$17),0,(+M19+$L20/(1+Title_RESULTS!$C$37)^('Sheet7(F_23)'!$A20-Title_RESULTS!$H$7)))</f>
        <v>-2448.3886750347397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131.13792930378344</v>
      </c>
      <c r="H21" s="5">
        <f>IF(A21&gt;=(Title_RESULTS!$H$7+Title_RESULTS!$C$17),0,(+'Sheet4(F_22)'!$D21+'Sheet4(F_22)'!$G21))</f>
        <v>42.82449814876991</v>
      </c>
      <c r="I21" s="5">
        <f>IF(A21&gt;=(Title_RESULTS!$H$7+Title_RESULTS!$C$17),0,(+'Sheet4(F_22)'!$H21))</f>
        <v>171.8952904841724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345.85771793672575</v>
      </c>
      <c r="L21" s="23">
        <f>IF(A21&gt;=(Title_RESULTS!$H$7+Title_RESULTS!$C$17),0,(+$K21-$F21))</f>
        <v>345.85771793672575</v>
      </c>
      <c r="M21" s="23">
        <f>IF(A21&gt;=(Title_RESULTS!$H$7+Title_RESULTS!$C$17),0,(+M20+$L21/(1+Title_RESULTS!$C$37)^('Sheet7(F_23)'!$A21-Title_RESULTS!$H$7)))</f>
        <v>-2202.7166764085177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135.19565129182953</v>
      </c>
      <c r="H22" s="5">
        <f>IF(A22&gt;=(Title_RESULTS!$H$7+Title_RESULTS!$C$17),0,(+'Sheet4(F_22)'!$D22+'Sheet4(F_22)'!$G22))</f>
        <v>43.85228610434038</v>
      </c>
      <c r="I22" s="5">
        <f>IF(A22&gt;=(Title_RESULTS!$H$7+Title_RESULTS!$C$17),0,(+'Sheet4(F_22)'!$H22))</f>
        <v>177.40876739302158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356.45670478919146</v>
      </c>
      <c r="L22" s="23">
        <f>IF(A22&gt;=(Title_RESULTS!$H$7+Title_RESULTS!$C$17),0,(+$K22-$F22))</f>
        <v>356.45670478919146</v>
      </c>
      <c r="M22" s="23">
        <f>IF(A22&gt;=(Title_RESULTS!$H$7+Title_RESULTS!$C$17),0,(+M21+$L22/(1+Title_RESULTS!$C$37)^('Sheet7(F_23)'!$A22-Title_RESULTS!$H$7)))</f>
        <v>-1966.2572602586674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138.83508434485893</v>
      </c>
      <c r="H23" s="5">
        <f>IF(A23&gt;=(Title_RESULTS!$H$7+Title_RESULTS!$C$17),0,(+'Sheet4(F_22)'!$D23+'Sheet4(F_22)'!$G23))</f>
        <v>44.904740970844564</v>
      </c>
      <c r="I23" s="5">
        <f>IF(A23&gt;=(Title_RESULTS!$H$7+Title_RESULTS!$C$17),0,(+'Sheet4(F_22)'!$H23))</f>
        <v>188.49602130898023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372.23584662468375</v>
      </c>
      <c r="L23" s="23">
        <f>IF(A23&gt;=(Title_RESULTS!$H$7+Title_RESULTS!$C$17),0,(+$K23-$F23))</f>
        <v>372.23584662468375</v>
      </c>
      <c r="M23" s="23">
        <f>IF(A23&gt;=(Title_RESULTS!$H$7+Title_RESULTS!$C$17),0,(+M22+$L23/(1+Title_RESULTS!$C$37)^('Sheet7(F_23)'!$A23-Title_RESULTS!$H$7)))</f>
        <v>-1735.6570727342266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141.08418382212574</v>
      </c>
      <c r="H24" s="5">
        <f>IF(A24&gt;=(Title_RESULTS!$H$7+Title_RESULTS!$C$17),0,(+'Sheet4(F_22)'!$D24+'Sheet4(F_22)'!$G24))</f>
        <v>45.982454754144825</v>
      </c>
      <c r="I24" s="5">
        <f>IF(A24&gt;=(Title_RESULTS!$H$7+Title_RESULTS!$C$17),0,(+'Sheet4(F_22)'!$H24))</f>
        <v>208.87538939229748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395.942027968568</v>
      </c>
      <c r="L24" s="23">
        <f>IF(A24&gt;=(Title_RESULTS!$H$7+Title_RESULTS!$C$17),0,(+$K24-$F24))</f>
        <v>395.942027968568</v>
      </c>
      <c r="M24" s="23">
        <f>IF(A24&gt;=(Title_RESULTS!$H$7+Title_RESULTS!$C$17),0,(+M23+$L24/(1+Title_RESULTS!$C$37)^('Sheet7(F_23)'!$A24-Title_RESULTS!$H$7)))</f>
        <v>-1506.5889255580319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144.91647357574368</v>
      </c>
      <c r="H25" s="5">
        <f>IF(A25&gt;=(Title_RESULTS!$H$7+Title_RESULTS!$C$17),0,(+'Sheet4(F_22)'!$D25+'Sheet4(F_22)'!$G25))</f>
        <v>47.0860336682443</v>
      </c>
      <c r="I25" s="5">
        <f>IF(A25&gt;=(Title_RESULTS!$H$7+Title_RESULTS!$C$17),0,(+'Sheet4(F_22)'!$H25))</f>
        <v>223.78162880758336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415.7841360515713</v>
      </c>
      <c r="L25" s="23">
        <f>IF(A25&gt;=(Title_RESULTS!$H$7+Title_RESULTS!$C$17),0,(+$K25-$F25))</f>
        <v>415.7841360515713</v>
      </c>
      <c r="M25" s="23">
        <f>IF(A25&gt;=(Title_RESULTS!$H$7+Title_RESULTS!$C$17),0,(+M24+$L25/(1+Title_RESULTS!$C$37)^('Sheet7(F_23)'!$A25-Title_RESULTS!$H$7)))</f>
        <v>-1281.946048564355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147.23691169696957</v>
      </c>
      <c r="H26" s="5">
        <f>IF(A26&gt;=(Title_RESULTS!$H$7+Title_RESULTS!$C$17),0,(+'Sheet4(F_22)'!$D26+'Sheet4(F_22)'!$G26))</f>
        <v>48.21609847628217</v>
      </c>
      <c r="I26" s="5">
        <f>IF(A26&gt;=(Title_RESULTS!$H$7+Title_RESULTS!$C$17),0,(+'Sheet4(F_22)'!$H26))</f>
        <v>249.9516818295668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445.4046920028186</v>
      </c>
      <c r="L26" s="23">
        <f>IF(A26&gt;=(Title_RESULTS!$H$7+Title_RESULTS!$C$17),0,(+$K26-$F26))</f>
        <v>445.4046920028186</v>
      </c>
      <c r="M26" s="23">
        <f>IF(A26&gt;=(Title_RESULTS!$H$7+Title_RESULTS!$C$17),0,(+M25+$L26/(1+Title_RESULTS!$C$37)^('Sheet7(F_23)'!$A26-Title_RESULTS!$H$7)))</f>
        <v>-1057.2108165965153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152.3194140685701</v>
      </c>
      <c r="H27" s="5">
        <f>IF(A27&gt;=(Title_RESULTS!$H$7+Title_RESULTS!$C$17),0,(+'Sheet4(F_22)'!$D27+'Sheet4(F_22)'!$G27))</f>
        <v>49.37328483971295</v>
      </c>
      <c r="I27" s="5">
        <f>IF(A27&gt;=(Title_RESULTS!$H$7+Title_RESULTS!$C$17),0,(+'Sheet4(F_22)'!$H27))</f>
        <v>249.02215012619698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450.71484903448004</v>
      </c>
      <c r="L27" s="23">
        <f>IF(A27&gt;=(Title_RESULTS!$H$7+Title_RESULTS!$C$17),0,(+$K27-$F27))</f>
        <v>450.71484903448004</v>
      </c>
      <c r="M27" s="23">
        <f>IF(A27&gt;=(Title_RESULTS!$H$7+Title_RESULTS!$C$17),0,(+M26+$L27/(1+Title_RESULTS!$C$37)^('Sheet7(F_23)'!$A27-Title_RESULTS!$H$7)))</f>
        <v>-844.8326444418686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155.5306187539249</v>
      </c>
      <c r="H28" s="5">
        <f>IF(A28&gt;=(Title_RESULTS!$H$7+Title_RESULTS!$C$17),0,(+'Sheet4(F_22)'!$D28+'Sheet4(F_22)'!$G28))</f>
        <v>50.55824367586605</v>
      </c>
      <c r="I28" s="5">
        <f>IF(A28&gt;=(Title_RESULTS!$H$7+Title_RESULTS!$C$17),0,(+'Sheet4(F_22)'!$H28))</f>
        <v>272.1581944924795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478.2470569222704</v>
      </c>
      <c r="L28" s="23">
        <f>IF(A28&gt;=(Title_RESULTS!$H$7+Title_RESULTS!$C$17),0,(+$K28-$F28))</f>
        <v>478.2470569222704</v>
      </c>
      <c r="M28" s="23">
        <f>IF(A28&gt;=(Title_RESULTS!$H$7+Title_RESULTS!$C$17),0,(+M27+$L28/(1+Title_RESULTS!$C$37)^('Sheet7(F_23)'!$A28-Title_RESULTS!$H$7)))</f>
        <v>-634.3811781751505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161.08457856412736</v>
      </c>
      <c r="H29" s="5">
        <f>IF(A29&gt;=(Title_RESULTS!$H$7+Title_RESULTS!$C$17),0,(+'Sheet4(F_22)'!$D29+'Sheet4(F_22)'!$G29))</f>
        <v>51.77164152408684</v>
      </c>
      <c r="I29" s="5">
        <f>IF(A29&gt;=(Title_RESULTS!$H$7+Title_RESULTS!$C$17),0,(+'Sheet4(F_22)'!$H29))</f>
        <v>290.23195784444056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503.08817793265473</v>
      </c>
      <c r="L29" s="23">
        <f>IF(A29&gt;=(Title_RESULTS!$H$7+Title_RESULTS!$C$17),0,(+$K29-$F29))</f>
        <v>503.08817793265473</v>
      </c>
      <c r="M29" s="23">
        <f>IF(A29&gt;=(Title_RESULTS!$H$7+Title_RESULTS!$C$17),0,(+M28+$L29/(1+Title_RESULTS!$C$37)^('Sheet7(F_23)'!$A29-Title_RESULTS!$H$7)))</f>
        <v>-427.6359953443572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164.19550420538644</v>
      </c>
      <c r="H30" s="5">
        <f>IF(A30&gt;=(Title_RESULTS!$H$7+Title_RESULTS!$C$17),0,(+'Sheet4(F_22)'!$D30+'Sheet4(F_22)'!$G30))</f>
        <v>53.01416092066492</v>
      </c>
      <c r="I30" s="5">
        <f>IF(A30&gt;=(Title_RESULTS!$H$7+Title_RESULTS!$C$17),0,(+'Sheet4(F_22)'!$H30))</f>
        <v>303.7458166579966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520.955481784048</v>
      </c>
      <c r="L30" s="23">
        <f>IF(A30&gt;=(Title_RESULTS!$H$7+Title_RESULTS!$C$17),0,(+$K30-$F30))</f>
        <v>520.955481784048</v>
      </c>
      <c r="M30" s="23">
        <f>IF(A30&gt;=(Title_RESULTS!$H$7+Title_RESULTS!$C$17),0,(+M29+$L30/(1+Title_RESULTS!$C$37)^('Sheet7(F_23)'!$A30-Title_RESULTS!$H$7)))</f>
        <v>-227.7034306477521</v>
      </c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L32">SUM(B16:B31)</f>
        <v>0</v>
      </c>
      <c r="C32" s="5">
        <f t="shared" si="1"/>
        <v>384.072</v>
      </c>
      <c r="D32" s="5">
        <f t="shared" si="1"/>
        <v>3071.30932682</v>
      </c>
      <c r="E32" s="5">
        <f t="shared" si="1"/>
        <v>0</v>
      </c>
      <c r="F32" s="5">
        <f t="shared" si="1"/>
        <v>3455.3813268199997</v>
      </c>
      <c r="G32" s="5">
        <f t="shared" si="1"/>
        <v>1723.2540887824343</v>
      </c>
      <c r="H32" s="5">
        <f t="shared" si="1"/>
        <v>639.076942098753</v>
      </c>
      <c r="I32" s="5">
        <f t="shared" si="1"/>
        <v>2868.796172687075</v>
      </c>
      <c r="J32" s="5">
        <f t="shared" si="1"/>
        <v>0</v>
      </c>
      <c r="K32" s="5">
        <f t="shared" si="1"/>
        <v>5231.127203568261</v>
      </c>
      <c r="L32" s="5">
        <f t="shared" si="1"/>
        <v>1775.7458767482626</v>
      </c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t="s">
        <v>118</v>
      </c>
      <c r="B34" s="5">
        <f>NPV(Title_RESULTS!$C$37,'Sheet7(F_23)'!B17:B31)+'Sheet7(F_23)'!B16</f>
        <v>0</v>
      </c>
      <c r="C34" s="5">
        <f>NPV(Title_RESULTS!$C$37,'Sheet7(F_23)'!C17:C31)+'Sheet7(F_23)'!C16</f>
        <v>358.8491576370552</v>
      </c>
      <c r="D34" s="5">
        <f>NPV(Title_RESULTS!$C$37,'Sheet7(F_23)'!D17:D31)+'Sheet7(F_23)'!D16</f>
        <v>2869.737604343172</v>
      </c>
      <c r="E34" s="5">
        <f>NPV(Title_RESULTS!$C$37,'Sheet7(F_23)'!E17:E31)+'Sheet7(F_23)'!E16</f>
        <v>0</v>
      </c>
      <c r="F34" s="5">
        <f>NPV(Title_RESULTS!$C$37,'Sheet7(F_23)'!F17:F31)+'Sheet7(F_23)'!F16</f>
        <v>3228.586761980227</v>
      </c>
      <c r="G34" s="5">
        <f>NPV(Title_RESULTS!$C$37,'Sheet7(F_23)'!G17:G31)+'Sheet7(F_23)'!G16</f>
        <v>970.6293231609523</v>
      </c>
      <c r="H34" s="5">
        <f>NPV(Title_RESULTS!$C$37,'Sheet7(F_23)'!H17:H31)+'Sheet7(F_23)'!H16</f>
        <v>387.0630935285898</v>
      </c>
      <c r="I34" s="5">
        <f>NPV(Title_RESULTS!$C$37,'Sheet7(F_23)'!I17:I31)+'Sheet7(F_23)'!I16</f>
        <v>1643.190914642932</v>
      </c>
      <c r="J34" s="5">
        <f>NPV(Title_RESULTS!$C$37,'Sheet7(F_23)'!J17:J31)+'Sheet7(F_23)'!J16</f>
        <v>0</v>
      </c>
      <c r="K34" s="5">
        <f>NPV(Title_RESULTS!$C$37,'Sheet7(F_23)'!K17:K31)+'Sheet7(F_23)'!K16</f>
        <v>3000.8833313324744</v>
      </c>
      <c r="L34" s="5">
        <f>NPV(Title_RESULTS!$C$37,'Sheet7(F_23)'!L17:L31)+'Sheet7(F_23)'!L16</f>
        <v>-227.70343064775273</v>
      </c>
      <c r="M34" s="5"/>
    </row>
    <row r="36" spans="1:8" ht="12.75">
      <c r="A36" t="s">
        <v>162</v>
      </c>
      <c r="C36">
        <f>+Title_RESULTS!C37</f>
        <v>0.0708</v>
      </c>
      <c r="D36" t="s">
        <v>163</v>
      </c>
      <c r="H36" s="10">
        <f>+K34/F34</f>
        <v>0.9294727236916215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Dedicated Outdoor Air on VRF</v>
      </c>
      <c r="L2" t="s">
        <v>55</v>
      </c>
    </row>
    <row r="3" ht="12.75">
      <c r="L3" s="35">
        <f>+Title_RESULTS!I4</f>
        <v>43599.318632407405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62.54113010724005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111.47735280784406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174.01848291508412</v>
      </c>
      <c r="G16" s="5">
        <f>IF(A16&gt;=(Title_RESULTS!$H$7+Title_RESULTS!$C$17),0,(+'Sheet6(p_6)'!$H16))</f>
        <v>1000.58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1000.58</v>
      </c>
      <c r="K16" s="23">
        <f>IF(A16&gt;=(Title_RESULTS!$H$7+Title_RESULTS!$C$17),0,(+F16-J16))</f>
        <v>-826.561517084916</v>
      </c>
      <c r="L16" s="23">
        <f>IF(A16&gt;=(Title_RESULTS!$H$7+Title_RESULTS!$C$17),0,(+$K16/((1+Title_RESULTS!$C$37)^('Sheet8(F_24)'!$A16-Title_RESULTS!$H$7))))</f>
        <v>-826.561517084916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191.66153134123078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111.47735280784406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303.13888414907484</v>
      </c>
      <c r="G17" s="5">
        <f>IF(A17&gt;=(Title_RESULTS!$H$7+Title_RESULTS!$C$17),0,(+'Sheet6(p_6)'!$H17))</f>
        <v>1023.5933399999999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1023.5933399999999</v>
      </c>
      <c r="K17" s="23">
        <f>IF(A17&gt;=(Title_RESULTS!$H$7+Title_RESULTS!$C$17),0,(+F17-J17))</f>
        <v>-720.4544558509251</v>
      </c>
      <c r="L17" s="23">
        <f>IF(A16&gt;=(Title_RESULTS!$H$7+Title_RESULTS!$C$17),0,(+$K17/((1+Title_RESULTS!$C$37)^('Sheet8(F_24)'!$A17-Title_RESULTS!$H$7))+L16))</f>
        <v>-1499.3803962882453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325.32471766893946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111.47735280784406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436.8020704767835</v>
      </c>
      <c r="G18" s="5">
        <f>IF(A18&gt;=(Title_RESULTS!$H$7+Title_RESULTS!$C$17),0,(+'Sheet6(p_6)'!$H18))</f>
        <v>1047.13598682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1047.13598682</v>
      </c>
      <c r="K18" s="23">
        <f>IF(A18&gt;=(Title_RESULTS!$H$7+Title_RESULTS!$C$17),0,(+F18-J18))</f>
        <v>-610.3339163432165</v>
      </c>
      <c r="L18" s="23">
        <f>IF(A17&gt;=(Title_RESULTS!$H$7+Title_RESULTS!$C$17),0,(+$K18/((1+Title_RESULTS!$C$37)^('Sheet8(F_24)'!$A18-Title_RESULTS!$H$7))+L17))</f>
        <v>-2031.6734262545087</v>
      </c>
      <c r="M18" s="5"/>
    </row>
    <row r="19" spans="1:13" ht="12.75">
      <c r="A19">
        <f aca="true" t="shared" si="0" ref="A19:A30">+A18+1</f>
        <v>2023</v>
      </c>
      <c r="B19" s="5">
        <f>IF(A19&gt;=(Title_RESULTS!$H$7+Title_RESULTS!$C$17),0,(+'Sheet6(p_6)'!N19-'Sheet6(p_6)'!R19))</f>
        <v>392.02020878017606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392.02020878017606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392.02020878017606</v>
      </c>
      <c r="L19" s="23">
        <f>IF(A18&gt;=(Title_RESULTS!$H$7+Title_RESULTS!$C$17),0,(+$K19/((1+Title_RESULTS!$C$37)^('Sheet8(F_24)'!$A19-Title_RESULTS!$H$7))+L18))</f>
        <v>-1712.3848589824536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401.7291323929071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401.7291323929071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401.7291323929071</v>
      </c>
      <c r="L20" s="23">
        <f>IF(A19&gt;=(Title_RESULTS!$H$7+Title_RESULTS!$C$17),0,(+$K20/((1+Title_RESULTS!$C$37)^('Sheet8(F_24)'!$A20-Title_RESULTS!$H$7))+L19))</f>
        <v>-1406.8224841099607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411.95237464610807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411.95237464610807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411.95237464610807</v>
      </c>
      <c r="L21" s="23">
        <f>IF(A20&gt;=(Title_RESULTS!$H$7+Title_RESULTS!$C$17),0,(+$K21/((1+Title_RESULTS!$C$37)^('Sheet8(F_24)'!$A21-Title_RESULTS!$H$7))+L20))</f>
        <v>-1114.2016809025479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420.94716413866126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420.94716413866126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420.94716413866126</v>
      </c>
      <c r="L22" s="23">
        <f>IF(A21&gt;=(Title_RESULTS!$H$7+Title_RESULTS!$C$17),0,(+$K22/((1+Title_RESULTS!$C$37)^('Sheet8(F_24)'!$A22-Title_RESULTS!$H$7))+L21))</f>
        <v>-834.9618200026689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432.2299990880364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432.2299990880364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432.2299990880364</v>
      </c>
      <c r="L23" s="23">
        <f>IF(A22&gt;=(Title_RESULTS!$H$7+Title_RESULTS!$C$17),0,(+$K23/((1+Title_RESULTS!$C$37)^('Sheet8(F_24)'!$A23-Title_RESULTS!$H$7))+L22))</f>
        <v>-567.195242046282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449.5298175125821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449.5298175125821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449.5298175125821</v>
      </c>
      <c r="L24" s="23">
        <f>IF(A23&gt;=(Title_RESULTS!$H$7+Title_RESULTS!$C$17),0,(+$K24/((1+Title_RESULTS!$C$37)^('Sheet8(F_24)'!$A24-Title_RESULTS!$H$7))+L23))</f>
        <v>-307.12443590737246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460.89353046577787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460.89353046577787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460.89353046577787</v>
      </c>
      <c r="L25" s="23">
        <f>IF(A24&gt;=(Title_RESULTS!$H$7+Title_RESULTS!$C$17),0,(+$K25/((1+Title_RESULTS!$C$37)^('Sheet8(F_24)'!$A25-Title_RESULTS!$H$7))+L24))</f>
        <v>-58.10952722224843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479.5260376919863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479.5260376919863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479.5260376919863</v>
      </c>
      <c r="L26" s="23">
        <f>IF(A25&gt;=(Title_RESULTS!$H$7+Title_RESULTS!$C$17),0,(+$K26/((1+Title_RESULTS!$C$37)^('Sheet8(F_24)'!$A26-Title_RESULTS!$H$7))+L25))</f>
        <v>183.84211192807632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489.0216079547754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489.0216079547754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489.0216079547754</v>
      </c>
      <c r="L27" s="23">
        <f>IF(A26&gt;=(Title_RESULTS!$H$7+Title_RESULTS!$C$17),0,(+$K27/((1+Title_RESULTS!$C$37)^('Sheet8(F_24)'!$A27-Title_RESULTS!$H$7))+L26))</f>
        <v>414.2705423737221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506.1016170048857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506.1016170048857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506.1016170048857</v>
      </c>
      <c r="L28" s="23">
        <f>IF(A27&gt;=(Title_RESULTS!$H$7+Title_RESULTS!$C$17),0,(+$K28/((1+Title_RESULTS!$C$37)^('Sheet8(F_24)'!$A28-Title_RESULTS!$H$7))+L27))</f>
        <v>636.9793407593779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513.498918387781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513.498918387781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513.498918387781</v>
      </c>
      <c r="L29" s="23">
        <f>IF(A28&gt;=(Title_RESULTS!$H$7+Title_RESULTS!$C$17),0,(+$K29/((1+Title_RESULTS!$C$37)^('Sheet8(F_24)'!$A29-Title_RESULTS!$H$7))+L28))</f>
        <v>848.0028400627303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530.8141650546868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530.8141650546868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530.8141650546868</v>
      </c>
      <c r="L30" s="23">
        <f>IF(A29&gt;=(Title_RESULTS!$H$7+Title_RESULTS!$C$17),0,(+$K30/((1+Title_RESULTS!$C$37)^('Sheet8(F_24)'!$A30-Title_RESULTS!$H$7))+L29))</f>
        <v>1051.718975332545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K32">SUM(B16:B31)</f>
        <v>6067.791952235774</v>
      </c>
      <c r="C32" s="5">
        <f t="shared" si="1"/>
        <v>0</v>
      </c>
      <c r="D32" s="5">
        <f t="shared" si="1"/>
        <v>334.43205842353217</v>
      </c>
      <c r="E32" s="5">
        <f t="shared" si="1"/>
        <v>0</v>
      </c>
      <c r="F32" s="5">
        <f t="shared" si="1"/>
        <v>6402.224010659306</v>
      </c>
      <c r="G32" s="5">
        <f t="shared" si="1"/>
        <v>3071.30932682</v>
      </c>
      <c r="H32" s="5">
        <f t="shared" si="1"/>
        <v>0</v>
      </c>
      <c r="I32" s="5">
        <f t="shared" si="1"/>
        <v>0</v>
      </c>
      <c r="J32" s="5">
        <f t="shared" si="1"/>
        <v>3071.30932682</v>
      </c>
      <c r="K32" s="5">
        <f t="shared" si="1"/>
        <v>3330.9146838393062</v>
      </c>
      <c r="L32" s="5"/>
      <c r="M32" s="5"/>
    </row>
    <row r="33" ht="12.75">
      <c r="M33" s="5"/>
    </row>
    <row r="34" spans="1:13" ht="12.75">
      <c r="A34" t="s">
        <v>118</v>
      </c>
      <c r="B34" s="5">
        <f>NPV(Title_RESULTS!$C$37,'Sheet8(F_24)'!B17:B31)+'Sheet8(F_24)'!B16</f>
        <v>3608.649419275237</v>
      </c>
      <c r="C34" s="5">
        <f>NPV(Title_RESULTS!$C$37,'Sheet8(F_24)'!C17:C31)+'Sheet8(F_24)'!C16</f>
        <v>0</v>
      </c>
      <c r="D34" s="5">
        <f>NPV(Title_RESULTS!$C$37,'Sheet8(F_24)'!D17:D31)+'Sheet8(F_24)'!D16</f>
        <v>312.80716040047923</v>
      </c>
      <c r="E34" s="5">
        <f>NPV(Title_RESULTS!$C$37,'Sheet8(F_24)'!E17:E31)+'Sheet8(F_24)'!E16</f>
        <v>0</v>
      </c>
      <c r="F34" s="5">
        <f>NPV(Title_RESULTS!$C$37,'Sheet8(F_24)'!F17:F31)+'Sheet8(F_24)'!F16</f>
        <v>3921.4565796757165</v>
      </c>
      <c r="G34" s="5">
        <f>NPV(Title_RESULTS!$C$37,'Sheet8(F_24)'!G17:G31)+'Sheet8(F_24)'!G16</f>
        <v>2869.737604343172</v>
      </c>
      <c r="H34" s="5">
        <f>NPV(Title_RESULTS!$C$37,'Sheet8(F_24)'!H17:H31)+'Sheet8(F_24)'!H16</f>
        <v>0</v>
      </c>
      <c r="I34" s="5">
        <f>NPV(Title_RESULTS!$C$37,'Sheet8(F_24)'!I17:I31)+'Sheet8(F_24)'!I16</f>
        <v>0</v>
      </c>
      <c r="J34" s="5">
        <f>NPV(Title_RESULTS!$C$37,'Sheet8(F_24)'!J17:J31)+'Sheet8(F_24)'!J16</f>
        <v>2869.737604343172</v>
      </c>
      <c r="K34" s="5">
        <f>NPV(Title_RESULTS!$C$37,'Sheet8(F_24)'!K17:K31)+'Sheet8(F_24)'!K16</f>
        <v>1051.7189753325445</v>
      </c>
      <c r="L34" s="5"/>
      <c r="M34" s="5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1" ht="12.75">
      <c r="A36" t="s">
        <v>174</v>
      </c>
      <c r="D36">
        <f>+Title_RESULTS!H8</f>
        <v>2023</v>
      </c>
      <c r="F36">
        <f>+F34/J34</f>
        <v>1.3664861113924955</v>
      </c>
      <c r="K36" s="10"/>
    </row>
    <row r="37" spans="1:10" ht="12.75">
      <c r="A37" t="s">
        <v>175</v>
      </c>
      <c r="D37">
        <f>+Title_RESULTS!C37</f>
        <v>0.0708</v>
      </c>
      <c r="J3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Dedicated Outdoor Air on VRF</v>
      </c>
      <c r="N2" t="s">
        <v>55</v>
      </c>
    </row>
    <row r="3" ht="12.75">
      <c r="N3" s="35">
        <f>+Title_RESULTS!I4</f>
        <v>43599.318632407405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111.47735280784406</v>
      </c>
      <c r="E16" s="5">
        <f>+'Sheet6(p_6)'!M16</f>
        <v>43.3719648</v>
      </c>
      <c r="F16">
        <f>IF(A16&gt;=(Title_RESULTS!$H$7+Title_RESULTS!$C$17),0,(+'f-11B'!$R15))</f>
        <v>0</v>
      </c>
      <c r="G16" s="5">
        <f>IF(A16&gt;=(Title_RESULTS!$H$7+Title_RESULTS!$C$17),0,(SUM(B16:F16)))</f>
        <v>279.84931760784406</v>
      </c>
      <c r="H16" s="5">
        <f>IF(A16&gt;=(Title_RESULTS!$H$7+Title_RESULTS!$C$17),0,(+'Sheet3(F_21)'!$J16+'Sheet4(F_22)'!$H16))</f>
        <v>24.09180094097695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24.09180094097695</v>
      </c>
      <c r="M16" s="23">
        <f>IF(A16&gt;=(Title_RESULTS!$H$7+Title_RESULTS!$C$17),0,(+L16-G16))</f>
        <v>-255.7575166668671</v>
      </c>
      <c r="N16" s="24">
        <f>IF(A16&gt;=(Title_RESULTS!$H$7+Title_RESULTS!$C$17),0,(+$M16/((1+Title_RESULTS!$C$37)^('Sheet9(F_25)'!$A16-Title_RESULTS!$H$7))))</f>
        <v>-255.7575166668671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111.47735280784406</v>
      </c>
      <c r="E17" s="5">
        <f>+'Sheet6(p_6)'!M17</f>
        <v>131.417053344</v>
      </c>
      <c r="F17">
        <f>IF(A17&gt;=(Title_RESULTS!$H$7+Title_RESULTS!$C$17),0,(+'f-11B'!$R16))</f>
        <v>0</v>
      </c>
      <c r="G17" s="5">
        <f>IF(A17&gt;=(Title_RESULTS!$H$7+Title_RESULTS!$C$17),0,(SUM(B17:F17)))</f>
        <v>370.89440615184407</v>
      </c>
      <c r="H17" s="5">
        <f>IF(A17&gt;=(Title_RESULTS!$H$7+Title_RESULTS!$C$17),0,(+'Sheet3(F_21)'!$J17+'Sheet4(F_22)'!$H17))</f>
        <v>71.68752530682235</v>
      </c>
      <c r="I17" s="5">
        <f>IF(A17&gt;=(Title_RESULTS!$H$7+Title_RESULTS!$C$17),0,(+'Sheet4(F_22)'!$D17+'Sheet4(F_22)'!$G17))</f>
        <v>38.94865417239081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110.63617947921315</v>
      </c>
      <c r="M17" s="23">
        <f>IF(A17&gt;=(Title_RESULTS!$H$7+Title_RESULTS!$C$17),0,(+L17-G17))</f>
        <v>-260.25822667263094</v>
      </c>
      <c r="N17" s="24">
        <f>(IF(A16&gt;=(Title_RESULTS!$H$7+Title_RESULTS!$C$17),0,(+$M17/((1+Title_RESULTS!$C$37)^('Sheet9(F_25)'!$A17-Title_RESULTS!$H$7))+N16)))</f>
        <v>-498.8077843850507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111.47735280784406</v>
      </c>
      <c r="E18" s="5">
        <f>+'Sheet6(p_6)'!M18</f>
        <v>221.2187064624</v>
      </c>
      <c r="F18">
        <f>IF(A18&gt;=(Title_RESULTS!$H$7+Title_RESULTS!$C$17),0,(+'f-11B'!$R17))</f>
        <v>0</v>
      </c>
      <c r="G18" s="5">
        <f>IF(A18&gt;=(Title_RESULTS!$H$7+Title_RESULTS!$C$17),0,(SUM(B18:F18)))</f>
        <v>463.76805927024407</v>
      </c>
      <c r="H18" s="5">
        <f>IF(A18&gt;=(Title_RESULTS!$H$7+Title_RESULTS!$C$17),0,(+'Sheet3(F_21)'!$J18+'Sheet4(F_22)'!$H18))</f>
        <v>123.31054055963368</v>
      </c>
      <c r="I18" s="5">
        <f>IF(A18&gt;=(Title_RESULTS!$H$7+Title_RESULTS!$C$17),0,(+'Sheet4(F_22)'!$D18+'Sheet4(F_22)'!$G18))</f>
        <v>39.88342187252819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163.19396243216187</v>
      </c>
      <c r="M18" s="23">
        <f>IF(A18&gt;=(Title_RESULTS!$H$7+Title_RESULTS!$C$17),0,(+L18-G18))</f>
        <v>-300.5740968380822</v>
      </c>
      <c r="N18" s="24">
        <f>(IF(A17&gt;=(Title_RESULTS!$H$7+Title_RESULTS!$C$17),0,(+$M18/((1+Title_RESULTS!$C$37)^('Sheet9(F_25)'!$A18-Title_RESULTS!$H$7))+N17)))</f>
        <v>-760.948708313887</v>
      </c>
    </row>
    <row r="19" spans="1:14" ht="12.75">
      <c r="A19">
        <f aca="true" t="shared" si="0" ref="A19:A3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268.11707223242877</v>
      </c>
      <c r="F19">
        <f>IF(A19&gt;=(Title_RESULTS!$H$7+Title_RESULTS!$C$17),0,(+'f-11B'!$R18))</f>
        <v>0</v>
      </c>
      <c r="G19" s="5">
        <f>IF(A19&gt;=(Title_RESULTS!$H$7+Title_RESULTS!$C$17),0,(SUM(B19:F19)))</f>
        <v>268.11707223242877</v>
      </c>
      <c r="H19" s="5">
        <f>IF(A19&gt;=(Title_RESULTS!$H$7+Title_RESULTS!$C$17),0,(+'Sheet3(F_21)'!$J19+'Sheet4(F_22)'!$H19))</f>
        <v>278.24600492605157</v>
      </c>
      <c r="I19" s="5">
        <f>IF(A19&gt;=(Title_RESULTS!$H$7+Title_RESULTS!$C$17),0,(+'Sheet4(F_22)'!$D19+'Sheet4(F_22)'!$G19))</f>
        <v>40.84062399746887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319.08662892352044</v>
      </c>
      <c r="M19" s="23">
        <f>IF(A19&gt;=(Title_RESULTS!$H$7+Title_RESULTS!$C$17),0,(+L19-G19))</f>
        <v>50.96955669109167</v>
      </c>
      <c r="N19" s="24">
        <f>(IF(A18&gt;=(Title_RESULTS!$H$7+Title_RESULTS!$C$17),0,(+$M19/((1+Title_RESULTS!$C$37)^('Sheet9(F_25)'!$A19-Title_RESULTS!$H$7))+N18)))</f>
        <v>-719.4355506605374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270.79824295475305</v>
      </c>
      <c r="F20">
        <f>IF(A20&gt;=(Title_RESULTS!$H$7+Title_RESULTS!$C$17),0,(+'f-11B'!$R19))</f>
        <v>0</v>
      </c>
      <c r="G20" s="5">
        <f>IF(A20&gt;=(Title_RESULTS!$H$7+Title_RESULTS!$C$17),0,(SUM(B20:F20)))</f>
        <v>270.79824295475305</v>
      </c>
      <c r="H20" s="5">
        <f>IF(A20&gt;=(Title_RESULTS!$H$7+Title_RESULTS!$C$17),0,(+'Sheet3(F_21)'!$J20+'Sheet4(F_22)'!$H20))</f>
        <v>287.6111417719692</v>
      </c>
      <c r="I20" s="5">
        <f>IF(A20&gt;=(Title_RESULTS!$H$7+Title_RESULTS!$C$17),0,(+'Sheet4(F_22)'!$D20+'Sheet4(F_22)'!$G20))</f>
        <v>41.82079897340812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329.4319407453773</v>
      </c>
      <c r="M20" s="23">
        <f>IF(A20&gt;=(Title_RESULTS!$H$7+Title_RESULTS!$C$17),0,(+L20-G20))</f>
        <v>58.63369779062424</v>
      </c>
      <c r="N20" s="24">
        <f>(IF(A19&gt;=(Title_RESULTS!$H$7+Title_RESULTS!$C$17),0,(+$M20/((1+Title_RESULTS!$C$37)^('Sheet9(F_25)'!$A20-Title_RESULTS!$H$7))+N19)))</f>
        <v>-674.8377097279152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273.5062253843006</v>
      </c>
      <c r="F21">
        <f>IF(A21&gt;=(Title_RESULTS!$H$7+Title_RESULTS!$C$17),0,(+'f-11B'!$R20))</f>
        <v>0</v>
      </c>
      <c r="G21" s="5">
        <f>IF(A21&gt;=(Title_RESULTS!$H$7+Title_RESULTS!$C$17),0,(SUM(B21:F21)))</f>
        <v>273.5062253843006</v>
      </c>
      <c r="H21" s="5">
        <f>IF(A21&gt;=(Title_RESULTS!$H$7+Title_RESULTS!$C$17),0,(+'Sheet3(F_21)'!$J21+'Sheet4(F_22)'!$H21))</f>
        <v>303.03321978795583</v>
      </c>
      <c r="I21" s="5">
        <f>IF(A21&gt;=(Title_RESULTS!$H$7+Title_RESULTS!$C$17),0,(+'Sheet4(F_22)'!$D21+'Sheet4(F_22)'!$G21))</f>
        <v>42.82449814876991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345.85771793672575</v>
      </c>
      <c r="M21" s="23">
        <f>IF(A21&gt;=(Title_RESULTS!$H$7+Title_RESULTS!$C$17),0,(+L21-G21))</f>
        <v>72.35149255242516</v>
      </c>
      <c r="N21" s="24">
        <f>(IF(A20&gt;=(Title_RESULTS!$H$7+Title_RESULTS!$C$17),0,(+$M21/((1+Title_RESULTS!$C$37)^('Sheet9(F_25)'!$A21-Title_RESULTS!$H$7))+N20)))</f>
        <v>-623.4445070982825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276.24128763814366</v>
      </c>
      <c r="F22">
        <f>IF(A22&gt;=(Title_RESULTS!$H$7+Title_RESULTS!$C$17),0,(+'f-11B'!$R21))</f>
        <v>0</v>
      </c>
      <c r="G22" s="5">
        <f>IF(A22&gt;=(Title_RESULTS!$H$7+Title_RESULTS!$C$17),0,(SUM(B22:F22)))</f>
        <v>276.24128763814366</v>
      </c>
      <c r="H22" s="5">
        <f>IF(A22&gt;=(Title_RESULTS!$H$7+Title_RESULTS!$C$17),0,(+'Sheet3(F_21)'!$J22+'Sheet4(F_22)'!$H22))</f>
        <v>312.6044186848511</v>
      </c>
      <c r="I22" s="5">
        <f>IF(A22&gt;=(Title_RESULTS!$H$7+Title_RESULTS!$C$17),0,(+'Sheet4(F_22)'!$D22+'Sheet4(F_22)'!$G22))</f>
        <v>43.85228610434038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356.45670478919146</v>
      </c>
      <c r="M22" s="23">
        <f>IF(A22&gt;=(Title_RESULTS!$H$7+Title_RESULTS!$C$17),0,(+L22-G22))</f>
        <v>80.2154171510478</v>
      </c>
      <c r="N22" s="24">
        <f>(IF(A21&gt;=(Title_RESULTS!$H$7+Title_RESULTS!$C$17),0,(+$M22/((1+Title_RESULTS!$C$37)^('Sheet9(F_25)'!$A22-Title_RESULTS!$H$7))+N21)))</f>
        <v>-570.2327412627347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279.003700514525</v>
      </c>
      <c r="F23">
        <f>IF(A23&gt;=(Title_RESULTS!$H$7+Title_RESULTS!$C$17),0,(+'f-11B'!$R22))</f>
        <v>0</v>
      </c>
      <c r="G23" s="5">
        <f>IF(A23&gt;=(Title_RESULTS!$H$7+Title_RESULTS!$C$17),0,(SUM(B23:F23)))</f>
        <v>279.003700514525</v>
      </c>
      <c r="H23" s="5">
        <f>IF(A23&gt;=(Title_RESULTS!$H$7+Title_RESULTS!$C$17),0,(+'Sheet3(F_21)'!$J23+'Sheet4(F_22)'!$H23))</f>
        <v>327.33110565383913</v>
      </c>
      <c r="I23" s="5">
        <f>IF(A23&gt;=(Title_RESULTS!$H$7+Title_RESULTS!$C$17),0,(+'Sheet4(F_22)'!$D23+'Sheet4(F_22)'!$G23))</f>
        <v>44.904740970844564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372.2358466246837</v>
      </c>
      <c r="M23" s="23">
        <f>IF(A23&gt;=(Title_RESULTS!$H$7+Title_RESULTS!$C$17),0,(+L23-G23))</f>
        <v>93.23214611015868</v>
      </c>
      <c r="N23" s="24">
        <f>(IF(A22&gt;=(Title_RESULTS!$H$7+Title_RESULTS!$C$17),0,(+$M23/((1+Title_RESULTS!$C$37)^('Sheet9(F_25)'!$A23-Title_RESULTS!$H$7))+N22)))</f>
        <v>-512.4754065749073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281.79373751967034</v>
      </c>
      <c r="F24">
        <f>IF(A24&gt;=(Title_RESULTS!$H$7+Title_RESULTS!$C$17),0,(+'f-11B'!$R23))</f>
        <v>0</v>
      </c>
      <c r="G24" s="5">
        <f>IF(A24&gt;=(Title_RESULTS!$H$7+Title_RESULTS!$C$17),0,(SUM(B24:F24)))</f>
        <v>281.79373751967034</v>
      </c>
      <c r="H24" s="5">
        <f>IF(A24&gt;=(Title_RESULTS!$H$7+Title_RESULTS!$C$17),0,(+'Sheet3(F_21)'!$J24+'Sheet4(F_22)'!$H24))</f>
        <v>349.95957321442324</v>
      </c>
      <c r="I24" s="5">
        <f>IF(A24&gt;=(Title_RESULTS!$H$7+Title_RESULTS!$C$17),0,(+'Sheet4(F_22)'!$D24+'Sheet4(F_22)'!$G24))</f>
        <v>45.982454754144825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395.9420279685681</v>
      </c>
      <c r="M24" s="23">
        <f>IF(A24&gt;=(Title_RESULTS!$H$7+Title_RESULTS!$C$17),0,(+L24-G24))</f>
        <v>114.14829044889774</v>
      </c>
      <c r="N24" s="24">
        <f>(IF(A23&gt;=(Title_RESULTS!$H$7+Title_RESULTS!$C$17),0,(+$M24/((1+Title_RESULTS!$C$37)^('Sheet9(F_25)'!$A24-Title_RESULTS!$H$7))+N23)))</f>
        <v>-446.4360989252155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284.61167489486706</v>
      </c>
      <c r="F25">
        <f>IF(A25&gt;=(Title_RESULTS!$H$7+Title_RESULTS!$C$17),0,(+'f-11B'!$R24))</f>
        <v>0</v>
      </c>
      <c r="G25" s="5">
        <f>IF(A25&gt;=(Title_RESULTS!$H$7+Title_RESULTS!$C$17),0,(SUM(B25:F25)))</f>
        <v>284.61167489486706</v>
      </c>
      <c r="H25" s="5">
        <f>IF(A25&gt;=(Title_RESULTS!$H$7+Title_RESULTS!$C$17),0,(+'Sheet3(F_21)'!$J25+'Sheet4(F_22)'!$H25))</f>
        <v>368.69810238332707</v>
      </c>
      <c r="I25" s="5">
        <f>IF(A25&gt;=(Title_RESULTS!$H$7+Title_RESULTS!$C$17),0,(+'Sheet4(F_22)'!$D25+'Sheet4(F_22)'!$G25))</f>
        <v>47.0860336682443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415.78413605157135</v>
      </c>
      <c r="M25" s="23">
        <f>IF(A25&gt;=(Title_RESULTS!$H$7+Title_RESULTS!$C$17),0,(+L25-G25))</f>
        <v>131.1724611567043</v>
      </c>
      <c r="N25" s="24">
        <f>(IF(A24&gt;=(Title_RESULTS!$H$7+Title_RESULTS!$C$17),0,(+$M25/((1+Title_RESULTS!$C$37)^('Sheet9(F_25)'!$A25-Title_RESULTS!$H$7))+N24)))</f>
        <v>-375.5652876037165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287.45779164381577</v>
      </c>
      <c r="F26">
        <f>IF(A26&gt;=(Title_RESULTS!$H$7+Title_RESULTS!$C$17),0,(+'f-11B'!$R25))</f>
        <v>0</v>
      </c>
      <c r="G26" s="5">
        <f>IF(A26&gt;=(Title_RESULTS!$H$7+Title_RESULTS!$C$17),0,(SUM(B26:F26)))</f>
        <v>287.45779164381577</v>
      </c>
      <c r="H26" s="5">
        <f>IF(A26&gt;=(Title_RESULTS!$H$7+Title_RESULTS!$C$17),0,(+'Sheet3(F_21)'!$J26+'Sheet4(F_22)'!$H26))</f>
        <v>397.18859352653635</v>
      </c>
      <c r="I26" s="5">
        <f>IF(A26&gt;=(Title_RESULTS!$H$7+Title_RESULTS!$C$17),0,(+'Sheet4(F_22)'!$D26+'Sheet4(F_22)'!$G26))</f>
        <v>48.21609847628217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445.40469200281854</v>
      </c>
      <c r="M26" s="23">
        <f>IF(A26&gt;=(Title_RESULTS!$H$7+Title_RESULTS!$C$17),0,(+L26-G26))</f>
        <v>157.94690035900277</v>
      </c>
      <c r="N26" s="24">
        <f>(IF(A25&gt;=(Title_RESULTS!$H$7+Title_RESULTS!$C$17),0,(+$M26/((1+Title_RESULTS!$C$37)^('Sheet9(F_25)'!$A26-Title_RESULTS!$H$7))+N25)))</f>
        <v>-295.8709468657049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290.3323695602538</v>
      </c>
      <c r="F27">
        <f>IF(A27&gt;=(Title_RESULTS!$H$7+Title_RESULTS!$C$17),0,(+'f-11B'!$R26))</f>
        <v>0</v>
      </c>
      <c r="G27" s="5">
        <f>IF(A27&gt;=(Title_RESULTS!$H$7+Title_RESULTS!$C$17),0,(SUM(B27:F27)))</f>
        <v>290.3323695602538</v>
      </c>
      <c r="H27" s="5">
        <f>IF(A27&gt;=(Title_RESULTS!$H$7+Title_RESULTS!$C$17),0,(+'Sheet3(F_21)'!$J27+'Sheet4(F_22)'!$H27))</f>
        <v>401.3415641947671</v>
      </c>
      <c r="I27" s="5">
        <f>IF(A27&gt;=(Title_RESULTS!$H$7+Title_RESULTS!$C$17),0,(+'Sheet4(F_22)'!$D27+'Sheet4(F_22)'!$G27))</f>
        <v>49.37328483971295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450.71484903448004</v>
      </c>
      <c r="M27" s="23">
        <f>IF(A27&gt;=(Title_RESULTS!$H$7+Title_RESULTS!$C$17),0,(+L27-G27))</f>
        <v>160.38247947422622</v>
      </c>
      <c r="N27" s="24">
        <f>(IF(A26&gt;=(Title_RESULTS!$H$7+Title_RESULTS!$C$17),0,(+$M27/((1+Title_RESULTS!$C$37)^('Sheet9(F_25)'!$A27-Title_RESULTS!$H$7))+N26)))</f>
        <v>-220.29824738767962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293.2356932558564</v>
      </c>
      <c r="F28">
        <f>IF(A28&gt;=(Title_RESULTS!$H$7+Title_RESULTS!$C$17),0,(+'f-11B'!$R27))</f>
        <v>0</v>
      </c>
      <c r="G28" s="5">
        <f>IF(A28&gt;=(Title_RESULTS!$H$7+Title_RESULTS!$C$17),0,(SUM(B28:F28)))</f>
        <v>293.2356932558564</v>
      </c>
      <c r="H28" s="5">
        <f>IF(A28&gt;=(Title_RESULTS!$H$7+Title_RESULTS!$C$17),0,(+'Sheet3(F_21)'!$J28+'Sheet4(F_22)'!$H28))</f>
        <v>427.6888132464044</v>
      </c>
      <c r="I28" s="5">
        <f>IF(A28&gt;=(Title_RESULTS!$H$7+Title_RESULTS!$C$17),0,(+'Sheet4(F_22)'!$D28+'Sheet4(F_22)'!$G28))</f>
        <v>50.55824367586605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478.2470569222704</v>
      </c>
      <c r="M28" s="23">
        <f>IF(A28&gt;=(Title_RESULTS!$H$7+Title_RESULTS!$C$17),0,(+L28-G28))</f>
        <v>185.011363666414</v>
      </c>
      <c r="N28" s="24">
        <f>(IF(A27&gt;=(Title_RESULTS!$H$7+Title_RESULTS!$C$17),0,(+$M28/((1+Title_RESULTS!$C$37)^('Sheet9(F_25)'!$A28-Title_RESULTS!$H$7))+N27)))</f>
        <v>-138.88444212524576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296.16805018841495</v>
      </c>
      <c r="F29">
        <f>IF(A29&gt;=(Title_RESULTS!$H$7+Title_RESULTS!$C$17),0,(+'f-11B'!$R28))</f>
        <v>0</v>
      </c>
      <c r="G29" s="5">
        <f>IF(A29&gt;=(Title_RESULTS!$H$7+Title_RESULTS!$C$17),0,(SUM(B29:F29)))</f>
        <v>296.16805018841495</v>
      </c>
      <c r="H29" s="5">
        <f>IF(A29&gt;=(Title_RESULTS!$H$7+Title_RESULTS!$C$17),0,(+'Sheet3(F_21)'!$J29+'Sheet4(F_22)'!$H29))</f>
        <v>451.3165364085679</v>
      </c>
      <c r="I29" s="5">
        <f>IF(A29&gt;=(Title_RESULTS!$H$7+Title_RESULTS!$C$17),0,(+'Sheet4(F_22)'!$D29+'Sheet4(F_22)'!$G29))</f>
        <v>51.77164152408684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503.08817793265473</v>
      </c>
      <c r="M29" s="23">
        <f>IF(A29&gt;=(Title_RESULTS!$H$7+Title_RESULTS!$C$17),0,(+L29-G29))</f>
        <v>206.92012774423978</v>
      </c>
      <c r="N29" s="24">
        <f>(IF(A28&gt;=(Title_RESULTS!$H$7+Title_RESULTS!$C$17),0,(+$M29/((1+Title_RESULTS!$C$37)^('Sheet9(F_25)'!$A29-Title_RESULTS!$H$7))+N28)))</f>
        <v>-53.85016479905383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299.12973069029914</v>
      </c>
      <c r="F30">
        <f>IF(A30&gt;=(Title_RESULTS!$H$7+Title_RESULTS!$C$17),0,(+'f-11B'!$R29))</f>
        <v>0</v>
      </c>
      <c r="G30" s="5">
        <f>IF(A30&gt;=(Title_RESULTS!$H$7+Title_RESULTS!$C$17),0,(SUM(B30:F30)))</f>
        <v>299.12973069029914</v>
      </c>
      <c r="H30" s="5">
        <f>IF(A30&gt;=(Title_RESULTS!$H$7+Title_RESULTS!$C$17),0,(+'Sheet3(F_21)'!$J30+'Sheet4(F_22)'!$H30))</f>
        <v>467.94132086338305</v>
      </c>
      <c r="I30" s="5">
        <f>IF(A30&gt;=(Title_RESULTS!$H$7+Title_RESULTS!$C$17),0,(+'Sheet4(F_22)'!$D30+'Sheet4(F_22)'!$G30))</f>
        <v>53.01416092066492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520.955481784048</v>
      </c>
      <c r="M30" s="23">
        <f>IF(A30&gt;=(Title_RESULTS!$H$7+Title_RESULTS!$C$17),0,(+L30-G30))</f>
        <v>221.8257510937488</v>
      </c>
      <c r="N30" s="24">
        <f>(IF(A29&gt;=(Title_RESULTS!$H$7+Title_RESULTS!$C$17),0,(+$M30/((1+Title_RESULTS!$C$37)^('Sheet9(F_25)'!$A30-Title_RESULTS!$H$7))+N29)))</f>
        <v>31.282236879576487</v>
      </c>
    </row>
    <row r="31" ht="12.75">
      <c r="E31" s="5"/>
    </row>
    <row r="32" spans="1:13" ht="12.75">
      <c r="A32" t="s">
        <v>87</v>
      </c>
      <c r="B32" s="5">
        <f aca="true" t="shared" si="1" ref="B32:M32">SUM(B16:B31)</f>
        <v>0</v>
      </c>
      <c r="C32" s="5">
        <f t="shared" si="1"/>
        <v>384.072</v>
      </c>
      <c r="D32" s="5">
        <f t="shared" si="1"/>
        <v>334.43205842353217</v>
      </c>
      <c r="E32" s="5">
        <f t="shared" si="1"/>
        <v>3796.4033010837284</v>
      </c>
      <c r="F32" s="5">
        <f t="shared" si="1"/>
        <v>0</v>
      </c>
      <c r="G32" s="5">
        <f t="shared" si="1"/>
        <v>4514.9073595072605</v>
      </c>
      <c r="H32" s="5">
        <f t="shared" si="1"/>
        <v>4592.050261469509</v>
      </c>
      <c r="I32" s="5">
        <f t="shared" si="1"/>
        <v>639.076942098753</v>
      </c>
      <c r="J32" s="5">
        <f t="shared" si="1"/>
        <v>0</v>
      </c>
      <c r="K32" s="9">
        <f t="shared" si="1"/>
        <v>0</v>
      </c>
      <c r="L32" s="5">
        <f t="shared" si="1"/>
        <v>5231.127203568262</v>
      </c>
      <c r="M32" s="5">
        <f t="shared" si="1"/>
        <v>716.2198440610007</v>
      </c>
    </row>
    <row r="34" spans="1:13" ht="12.75">
      <c r="A34" t="s">
        <v>118</v>
      </c>
      <c r="B34" s="5">
        <f>NPV(Title_RESULTS!$C$37,'Sheet9(F_25)'!B17:B31)+'Sheet9(F_25)'!B16</f>
        <v>0</v>
      </c>
      <c r="C34" s="5">
        <f>NPV(Title_RESULTS!$C$37,'Sheet9(F_25)'!C17:C31)+'Sheet9(F_25)'!C16</f>
        <v>358.8491576370552</v>
      </c>
      <c r="D34" s="5">
        <f>NPV(Title_RESULTS!$C$37,'Sheet9(F_25)'!D17:D31)+'Sheet9(F_25)'!D16</f>
        <v>312.80716040047923</v>
      </c>
      <c r="E34" s="5">
        <f>NPV(Title_RESULTS!$C$37,'Sheet9(F_25)'!E17:E31)+'Sheet9(F_25)'!E16</f>
        <v>2297.9447764153633</v>
      </c>
      <c r="F34" s="5">
        <f>NPV(Title_RESULTS!$C$37,'Sheet9(F_25)'!F17:F31)+'Sheet9(F_25)'!F16</f>
        <v>0</v>
      </c>
      <c r="G34" s="5">
        <f>NPV(Title_RESULTS!$C$37,'Sheet9(F_25)'!G17:G31)+'Sheet9(F_25)'!G16</f>
        <v>2969.6010944528975</v>
      </c>
      <c r="H34" s="5">
        <f>NPV(Title_RESULTS!$C$37,'Sheet9(F_25)'!H17:H31)+'Sheet9(F_25)'!H16</f>
        <v>2613.8202378038845</v>
      </c>
      <c r="I34" s="5">
        <f>NPV(Title_RESULTS!$C$37,'Sheet9(F_25)'!I17:I31)+'Sheet9(F_25)'!I16</f>
        <v>387.0630935285898</v>
      </c>
      <c r="J34" s="5">
        <f>NPV(Title_RESULTS!$C$37,'Sheet9(F_25)'!J17:J31)+'Sheet9(F_25)'!J16</f>
        <v>0</v>
      </c>
      <c r="K34" s="9">
        <f>NPV(Title_RESULTS!$C$37,'Sheet9(F_25)'!K17:K31)+'Sheet9(F_25)'!K16</f>
        <v>0</v>
      </c>
      <c r="L34" s="5">
        <f>NPV(Title_RESULTS!$C$37,'Sheet9(F_25)'!L17:L31)+'Sheet9(F_25)'!L16</f>
        <v>3000.8833313324744</v>
      </c>
      <c r="M34" s="5">
        <f>NPV(Title_RESULTS!$C$37,'Sheet9(F_25)'!M17:M31)+'Sheet9(F_25)'!M16</f>
        <v>31.28223687957643</v>
      </c>
    </row>
    <row r="36" spans="1:10" ht="12.75">
      <c r="A36" t="s">
        <v>175</v>
      </c>
      <c r="D36">
        <f>+Title_RESULTS!C37</f>
        <v>0.0708</v>
      </c>
      <c r="F36" t="s">
        <v>183</v>
      </c>
      <c r="J36" s="10">
        <f>+L34/G34</f>
        <v>1.0105341545495827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982.0767029702969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57.2873728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121.45950719999999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5.661270144682474</v>
      </c>
      <c r="P24" s="48">
        <f aca="true" t="shared" si="4" ref="P24:P61">N24*$L$5</f>
        <v>12.00290829010064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5.797140628154853</v>
      </c>
      <c r="P25" s="48">
        <f t="shared" si="4"/>
        <v>12.290978089063055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135.12458395407063</v>
      </c>
      <c r="E26" s="11">
        <f>IF(B26=Title_RESULTS!$H$8,$F$16,+E25*(1+$F$7))</f>
        <v>0.09882230355451863</v>
      </c>
      <c r="F26" s="9">
        <f t="shared" si="1"/>
        <v>97.0510820547515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7.8822075628199375</v>
      </c>
      <c r="L26" s="5">
        <f t="shared" si="3"/>
        <v>16.711694033702006</v>
      </c>
      <c r="N26" s="11">
        <f>IF(+B26=Title_RESULTS!$H$9,'Value of Defferal'!$O$16,+'Value of Defferal'!N25*(1+'Value of Defferal'!$F$7))</f>
        <v>0.10362269577198292</v>
      </c>
      <c r="O26" s="5">
        <f t="shared" si="7"/>
        <v>5.936272003230569</v>
      </c>
      <c r="P26" s="48">
        <f t="shared" si="4"/>
        <v>12.585961563200568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131.13437064845516</v>
      </c>
      <c r="E27" s="11">
        <f>IF(B27=Title_RESULTS!$H$8,$F$16,+E26*(1+$F$7))</f>
        <v>0.10119403883982707</v>
      </c>
      <c r="F27" s="9">
        <f t="shared" si="1"/>
        <v>99.38030802406553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7.649446886898244</v>
      </c>
      <c r="L27" s="5">
        <f t="shared" si="3"/>
        <v>16.218199645476407</v>
      </c>
      <c r="N27" s="11">
        <f>IF(+B27=Title_RESULTS!$H$9,'Value of Defferal'!$O$16,+'Value of Defferal'!N26*(1+'Value of Defferal'!$F$7))</f>
        <v>0.10610964047051051</v>
      </c>
      <c r="O27" s="5">
        <f t="shared" si="7"/>
        <v>6.078742531308103</v>
      </c>
      <c r="P27" s="48">
        <f t="shared" si="4"/>
        <v>12.888024640717381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126.7292042600418</v>
      </c>
      <c r="E28" s="11">
        <f>IF(B28=Title_RESULTS!$H$8,$F$16,+E27*(1+$F$7))</f>
        <v>0.10362269577198292</v>
      </c>
      <c r="F28" s="9">
        <f t="shared" si="1"/>
        <v>101.76543541664311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7.392480798225332</v>
      </c>
      <c r="L28" s="5">
        <f t="shared" si="3"/>
        <v>15.673385439974505</v>
      </c>
      <c r="N28" s="11">
        <f>IF(+B28=Title_RESULTS!$H$9,'Value of Defferal'!$O$16,+'Value of Defferal'!N27*(1+'Value of Defferal'!$F$7))</f>
        <v>0.10865627184180277</v>
      </c>
      <c r="O28" s="5">
        <f t="shared" si="7"/>
        <v>6.224632352059498</v>
      </c>
      <c r="P28" s="48">
        <f t="shared" si="4"/>
        <v>13.197337232094599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122.53502105879751</v>
      </c>
      <c r="E29" s="11">
        <f>IF(B29=Title_RESULTS!$H$8,$F$16,+E28*(1+$F$7))</f>
        <v>0.10610964047051051</v>
      </c>
      <c r="F29" s="9">
        <f t="shared" si="1"/>
        <v>104.20780586664254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7.147821968711844</v>
      </c>
      <c r="L29" s="5">
        <f t="shared" si="3"/>
        <v>15.154664831707455</v>
      </c>
      <c r="N29" s="11">
        <f>IF(+B29=Title_RESULTS!$H$9,'Value of Defferal'!$O$16,+'Value of Defferal'!N28*(1+'Value of Defferal'!$F$7))</f>
        <v>0.11126402236600604</v>
      </c>
      <c r="O29" s="5">
        <f t="shared" si="7"/>
        <v>6.374023528508926</v>
      </c>
      <c r="P29" s="48">
        <f t="shared" si="4"/>
        <v>13.51407332566487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118.53066428190921</v>
      </c>
      <c r="E30" s="11">
        <f>IF(B30=Title_RESULTS!$H$8,$F$16,+E29*(1+$F$7))</f>
        <v>0.10865627184180277</v>
      </c>
      <c r="F30" s="9">
        <f t="shared" si="1"/>
        <v>106.70879320744197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6.914236263228771</v>
      </c>
      <c r="L30" s="5">
        <f t="shared" si="3"/>
        <v>14.659421232808496</v>
      </c>
      <c r="N30" s="11">
        <f>IF(+B30=Title_RESULTS!$H$9,'Value of Defferal'!$O$16,+'Value of Defferal'!N29*(1+'Value of Defferal'!$F$7))</f>
        <v>0.11393435890279018</v>
      </c>
      <c r="O30" s="5">
        <f t="shared" si="7"/>
        <v>6.52700009319314</v>
      </c>
      <c r="P30" s="48">
        <f t="shared" si="4"/>
        <v>13.838411085480827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114.69731493041053</v>
      </c>
      <c r="E31" s="11">
        <f>IF(B31=Title_RESULTS!$H$8,$F$16,+E30*(1+$F$7))</f>
        <v>0.11126402236600604</v>
      </c>
      <c r="F31" s="9">
        <f t="shared" si="1"/>
        <v>109.26980424442058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6.690625915169649</v>
      </c>
      <c r="L31" s="5">
        <f t="shared" si="3"/>
        <v>14.185327181141993</v>
      </c>
      <c r="N31" s="11">
        <f>IF(+B31=Title_RESULTS!$H$9,'Value of Defferal'!$O$16,+'Value of Defferal'!N30*(1+'Value of Defferal'!$F$7))</f>
        <v>0.11666878351645714</v>
      </c>
      <c r="O31" s="5">
        <f t="shared" si="7"/>
        <v>6.683648095429775</v>
      </c>
      <c r="P31" s="48">
        <f t="shared" si="4"/>
        <v>14.170532951532365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110.98330842328839</v>
      </c>
      <c r="E32" s="11">
        <f>IF(B32=Title_RESULTS!$H$8,$F$16,+E31*(1+$F$7))</f>
        <v>0.11393435890279018</v>
      </c>
      <c r="F32" s="9">
        <f t="shared" si="1"/>
        <v>111.89227954628667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6.473977180186301</v>
      </c>
      <c r="L32" s="5">
        <f t="shared" si="3"/>
        <v>13.72599299804989</v>
      </c>
      <c r="N32" s="11">
        <f>IF(+B32=Title_RESULTS!$H$9,'Value of Defferal'!$O$16,+'Value of Defferal'!N31*(1+'Value of Defferal'!$F$7))</f>
        <v>0.11946883432085212</v>
      </c>
      <c r="O32" s="5">
        <f t="shared" si="7"/>
        <v>6.84405564972009</v>
      </c>
      <c r="P32" s="48">
        <f t="shared" si="4"/>
        <v>14.510625742369143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107.30752435506061</v>
      </c>
      <c r="E33" s="11">
        <f>IF(B33=Title_RESULTS!$H$8,$F$16,+E32*(1+$F$7))</f>
        <v>0.11666878351645714</v>
      </c>
      <c r="F33" s="9">
        <f t="shared" si="1"/>
        <v>114.57769425539755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6.259558070546517</v>
      </c>
      <c r="L33" s="5">
        <f t="shared" si="3"/>
        <v>13.27138602066183</v>
      </c>
      <c r="N33" s="11">
        <f>IF(+B33=Title_RESULTS!$H$9,'Value of Defferal'!$O$16,+'Value of Defferal'!N32*(1+'Value of Defferal'!$F$7))</f>
        <v>0.12233608634455258</v>
      </c>
      <c r="O33" s="5">
        <f t="shared" si="7"/>
        <v>7.008312985313372</v>
      </c>
      <c r="P33" s="48">
        <f t="shared" si="4"/>
        <v>14.858880760186004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103.6317402868328</v>
      </c>
      <c r="E34" s="11">
        <f>IF(B34=Title_RESULTS!$H$8,$F$16,+E33*(1+$F$7))</f>
        <v>0.11946883432085212</v>
      </c>
      <c r="F34" s="9">
        <f t="shared" si="1"/>
        <v>117.3275589175271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6.045138960906732</v>
      </c>
      <c r="L34" s="5">
        <f t="shared" si="3"/>
        <v>12.816779043273767</v>
      </c>
      <c r="N34" s="11">
        <f>IF(+B34=Title_RESULTS!$H$9,'Value of Defferal'!$O$16,+'Value of Defferal'!N33*(1+'Value of Defferal'!$F$7))</f>
        <v>0.12527215241682185</v>
      </c>
      <c r="O34" s="5">
        <f t="shared" si="7"/>
        <v>7.176512496960894</v>
      </c>
      <c r="P34" s="48">
        <f t="shared" si="4"/>
        <v>15.21549389843047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99.95595621860501</v>
      </c>
      <c r="E35" s="11">
        <f>IF(B35=Title_RESULTS!$H$8,$F$16,+E34*(1+$F$7))</f>
        <v>0.12233608634455258</v>
      </c>
      <c r="F35" s="9">
        <f t="shared" si="1"/>
        <v>120.14342033154776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5.830719851266947</v>
      </c>
      <c r="L35" s="5">
        <f t="shared" si="3"/>
        <v>12.362172065885707</v>
      </c>
      <c r="N35" s="11">
        <f>IF(+B35=Title_RESULTS!$H$9,'Value of Defferal'!$O$16,+'Value of Defferal'!N34*(1+'Value of Defferal'!$F$7))</f>
        <v>0.12827868407482557</v>
      </c>
      <c r="O35" s="5">
        <f t="shared" si="7"/>
        <v>7.348748796887955</v>
      </c>
      <c r="P35" s="48">
        <f t="shared" si="4"/>
        <v>15.5806657519928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96.28017215037723</v>
      </c>
      <c r="E36" s="11">
        <f>IF(B36=Title_RESULTS!$H$8,$F$16,+E35*(1+$F$7))</f>
        <v>0.12527215241682185</v>
      </c>
      <c r="F36" s="9">
        <f t="shared" si="1"/>
        <v>123.02686241950491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5.616300741627163</v>
      </c>
      <c r="L36" s="5">
        <f t="shared" si="3"/>
        <v>11.907565088497646</v>
      </c>
      <c r="N36" s="11">
        <f>IF(+B36=Title_RESULTS!$H$9,'Value of Defferal'!$O$16,+'Value of Defferal'!N35*(1+'Value of Defferal'!$F$7))</f>
        <v>0.1313573724926214</v>
      </c>
      <c r="O36" s="5">
        <f t="shared" si="7"/>
        <v>7.525118768013266</v>
      </c>
      <c r="P36" s="48">
        <f t="shared" si="4"/>
        <v>15.954601730040627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92.60438808214941</v>
      </c>
      <c r="E37" s="11">
        <f>IF(B37&gt;Title_RESULTS!$H$8-1+Title_RESULTS!$C$18,0,+E36*(1+$F$7))</f>
        <v>0.12827868407482557</v>
      </c>
      <c r="F37" s="9">
        <f t="shared" si="1"/>
        <v>125.97950711757302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5.4018816319873775</v>
      </c>
      <c r="L37" s="5">
        <f t="shared" si="3"/>
        <v>11.452958111109584</v>
      </c>
      <c r="N37" s="11">
        <f>IF(+B37=Title_RESULTS!$H$9,'Value of Defferal'!$O$16,+'Value of Defferal'!N36*(1+'Value of Defferal'!$F$7))</f>
        <v>0.1345099494324443</v>
      </c>
      <c r="O37" s="5">
        <f t="shared" si="7"/>
        <v>7.705721618445585</v>
      </c>
      <c r="P37" s="48">
        <f t="shared" si="4"/>
        <v>16.337512171561603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88.9286040139216</v>
      </c>
      <c r="E38" s="11">
        <f>IF(B38&gt;Title_RESULTS!$H$8-1+Title_RESULTS!$C$18,0,+E37*(1+$F$7))</f>
        <v>0.1313573724926214</v>
      </c>
      <c r="F38" s="9">
        <f t="shared" si="1"/>
        <v>129.00301528839478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5.187462522347592</v>
      </c>
      <c r="L38" s="5">
        <f t="shared" si="3"/>
        <v>10.998351133721522</v>
      </c>
      <c r="N38" s="11">
        <f>IF(+B38=Title_RESULTS!$H$9,'Value of Defferal'!$O$16,+'Value of Defferal'!N37*(1+'Value of Defferal'!$F$7))</f>
        <v>0.13773818821882297</v>
      </c>
      <c r="O38" s="5">
        <f t="shared" si="7"/>
        <v>7.890658937288279</v>
      </c>
      <c r="P38" s="48">
        <f t="shared" si="4"/>
        <v>16.729612463679082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85.2528199456938</v>
      </c>
      <c r="E39" s="11">
        <f>IF(B39&gt;Title_RESULTS!$H$8-1+Title_RESULTS!$C$18,0,+E38*(1+$F$7))</f>
        <v>0.1345099494324443</v>
      </c>
      <c r="F39" s="9">
        <f t="shared" si="1"/>
        <v>132.09908765531625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4.973043412707807</v>
      </c>
      <c r="L39" s="5">
        <f t="shared" si="3"/>
        <v>10.54374415633346</v>
      </c>
      <c r="N39" s="11">
        <f>IF(+B39&gt;Title_RESULTS!$H$9+Title_RESULTS!$C$19-1,0,+'Value of Defferal'!N38*(1+'Value of Defferal'!$F$7))</f>
        <v>0.14104390473607473</v>
      </c>
      <c r="O39" s="5">
        <f t="shared" si="7"/>
        <v>8.080034751783199</v>
      </c>
      <c r="P39" s="48">
        <f t="shared" si="4"/>
        <v>17.13112316280738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81.57703587746603</v>
      </c>
      <c r="E40" s="11">
        <f>IF(B40&gt;Title_RESULTS!$H$8-1+Title_RESULTS!$C$18,0,+E39*(1+$F$7))</f>
        <v>0.13773818821882297</v>
      </c>
      <c r="F40" s="9">
        <f t="shared" si="1"/>
        <v>135.26946575904384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4.758624303068023</v>
      </c>
      <c r="L40" s="5">
        <f t="shared" si="3"/>
        <v>10.089137178945402</v>
      </c>
      <c r="N40" s="11">
        <f>IF(+B40&gt;Title_RESULTS!$H$9+Title_RESULTS!$C$19-1,0,+'Value of Defferal'!N39*(1+'Value of Defferal'!$F$7))</f>
        <v>0.14442895844974052</v>
      </c>
      <c r="O40" s="5">
        <f t="shared" si="7"/>
        <v>8.273955585825995</v>
      </c>
      <c r="P40" s="48">
        <f t="shared" si="4"/>
        <v>17.542270118714757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78.24642264121064</v>
      </c>
      <c r="E41" s="11">
        <f>IF(B41&gt;Title_RESULTS!$H$8-1+Title_RESULTS!$C$18,0,+E40*(1+$F$7))</f>
        <v>0.14104390473607473</v>
      </c>
      <c r="F41" s="9">
        <f t="shared" si="1"/>
        <v>138.5159329372609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4.564340005781575</v>
      </c>
      <c r="L41" s="5">
        <f t="shared" si="3"/>
        <v>9.67721961575929</v>
      </c>
      <c r="N41" s="11">
        <f>IF(+B41&gt;Title_RESULTS!$H$9+Title_RESULTS!$C$19-1,0,+'Value of Defferal'!N40*(1+'Value of Defferal'!$F$7))</f>
        <v>0.1478952534525343</v>
      </c>
      <c r="O41" s="5">
        <f t="shared" si="7"/>
        <v>8.472530519885819</v>
      </c>
      <c r="P41" s="48">
        <f t="shared" si="4"/>
        <v>17.963284601563913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75.6060341807078</v>
      </c>
      <c r="E42" s="11">
        <f>IF(B42&gt;Title_RESULTS!$H$8-1+Title_RESULTS!$C$18,0,+E41*(1+$F$7))</f>
        <v>0.14442895844974052</v>
      </c>
      <c r="F42" s="9">
        <f t="shared" si="1"/>
        <v>141.84031532775518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4.410318514775673</v>
      </c>
      <c r="L42" s="5">
        <f t="shared" si="3"/>
        <v>9.350666424690523</v>
      </c>
      <c r="N42" s="11">
        <f>IF(+B42&gt;Title_RESULTS!$H$9+Title_RESULTS!$C$19-1,0,+'Value of Defferal'!N41*(1+'Value of Defferal'!$F$7))</f>
        <v>0.1514447395353951</v>
      </c>
      <c r="O42" s="5">
        <f t="shared" si="7"/>
        <v>8.675871252363079</v>
      </c>
      <c r="P42" s="48">
        <f t="shared" si="4"/>
        <v>18.394403432001447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73.31069966398503</v>
      </c>
      <c r="E43" s="11">
        <f>IF(B43&gt;Title_RESULTS!$H$8-1+Title_RESULTS!$C$18,0,+E42*(1+$F$7))</f>
        <v>0.1478952534525343</v>
      </c>
      <c r="F43" s="9">
        <f t="shared" si="1"/>
        <v>145.2444828956213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4.276425017696981</v>
      </c>
      <c r="L43" s="5">
        <f t="shared" si="3"/>
        <v>9.066788191537151</v>
      </c>
      <c r="N43" s="11">
        <f>IF(+B43&gt;Title_RESULTS!$H$9+Title_RESULTS!$C$19-1,0,+'Value of Defferal'!N42*(1+'Value of Defferal'!$F$7))</f>
        <v>0.1550794132842446</v>
      </c>
      <c r="O43" s="5">
        <f t="shared" si="7"/>
        <v>8.884092162419792</v>
      </c>
      <c r="P43" s="48">
        <f t="shared" si="4"/>
        <v>18.83586911436948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71.01536514726229</v>
      </c>
      <c r="E44" s="11">
        <f>IF(B44&gt;Title_RESULTS!$H$8-1+Title_RESULTS!$C$18,0,+E43*(1+$F$7))</f>
        <v>0.1514447395353951</v>
      </c>
      <c r="F44" s="9">
        <f t="shared" si="1"/>
        <v>148.7303504851162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4.142531520618291</v>
      </c>
      <c r="L44" s="5">
        <f t="shared" si="3"/>
        <v>8.782909958383781</v>
      </c>
      <c r="N44" s="11">
        <f>IF(+B44&gt;Title_RESULTS!$H$9+Title_RESULTS!$C$19-1,0,+'Value of Defferal'!N43*(1+'Value of Defferal'!$F$7))</f>
        <v>0.15880131920306648</v>
      </c>
      <c r="O44" s="5">
        <f t="shared" si="7"/>
        <v>9.097310374317868</v>
      </c>
      <c r="P44" s="48">
        <f t="shared" si="4"/>
        <v>19.28792997311435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68.7200306305395</v>
      </c>
      <c r="E45" s="11">
        <f>IF(B45&gt;Title_RESULTS!$H$8-1+Title_RESULTS!$C$18,0,+E44*(1+$F$7))</f>
        <v>0.1550794132842446</v>
      </c>
      <c r="F45" s="9">
        <f t="shared" si="1"/>
        <v>152.299878896759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4.008638023539597</v>
      </c>
      <c r="L45" s="5">
        <f t="shared" si="3"/>
        <v>8.499031725230408</v>
      </c>
      <c r="N45" s="11">
        <f>IF(+B45&gt;Title_RESULTS!$H$9+Title_RESULTS!$C$19-1,0,+'Value of Defferal'!N44*(1+'Value of Defferal'!$F$7))</f>
        <v>0.16261255086394008</v>
      </c>
      <c r="O45" s="5">
        <f t="shared" si="7"/>
        <v>9.315645823301498</v>
      </c>
      <c r="P45" s="48">
        <f t="shared" si="4"/>
        <v>19.750840292469096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66.42469611381674</v>
      </c>
      <c r="E46" s="11">
        <f>IF(B46&gt;Title_RESULTS!$H$8-1+Title_RESULTS!$C$18,0,+E45*(1+$F$7))</f>
        <v>0.15880131920306648</v>
      </c>
      <c r="F46" s="9">
        <f t="shared" si="1"/>
        <v>155.95507599028122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3.874744526460906</v>
      </c>
      <c r="L46" s="5">
        <f t="shared" si="3"/>
        <v>8.215153492077036</v>
      </c>
      <c r="N46" s="11">
        <f>IF(+B46&gt;Title_RESULTS!$H$9+Title_RESULTS!$C$19-1,0,+'Value of Defferal'!N45*(1+'Value of Defferal'!$F$7))</f>
        <v>0.16651525208467466</v>
      </c>
      <c r="O46" s="5">
        <f t="shared" si="7"/>
        <v>9.539221323060735</v>
      </c>
      <c r="P46" s="48">
        <f t="shared" si="4"/>
        <v>20.224860459488355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64.12936159709399</v>
      </c>
      <c r="E47" s="11">
        <f>IF(B47&gt;Title_RESULTS!$H$8-1+Title_RESULTS!$C$18,0,+E46*(1+$F$7))</f>
        <v>0.16261255086394008</v>
      </c>
      <c r="F47" s="9">
        <f t="shared" si="1"/>
        <v>159.69799781404797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3.7408510293822155</v>
      </c>
      <c r="L47" s="5">
        <f t="shared" si="3"/>
        <v>7.931275258923665</v>
      </c>
      <c r="N47" s="11">
        <f>IF(+B47&gt;Title_RESULTS!$H$9+Title_RESULTS!$C$19-1,0,+'Value of Defferal'!N46*(1+'Value of Defferal'!$F$7))</f>
        <v>0.17051161813470686</v>
      </c>
      <c r="O47" s="5">
        <f t="shared" si="7"/>
        <v>9.768162634814193</v>
      </c>
      <c r="P47" s="48">
        <f t="shared" si="4"/>
        <v>20.71025711051608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61.834027080371236</v>
      </c>
      <c r="E48" s="11">
        <f>IF(B48&gt;Title_RESULTS!$H$8-1+Title_RESULTS!$C$18,0,+E47*(1+$F$7))</f>
        <v>0.16651525208467466</v>
      </c>
      <c r="F48" s="9">
        <f t="shared" si="1"/>
        <v>163.53074976158516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3.606957532303524</v>
      </c>
      <c r="L48" s="5">
        <f t="shared" si="3"/>
        <v>7.647397025770294</v>
      </c>
      <c r="N48" s="11">
        <f>IF(+B48&gt;Title_RESULTS!$H$9+Title_RESULTS!$C$19-1,0,+'Value of Defferal'!N47*(1+'Value of Defferal'!$F$7))</f>
        <v>0.17460389696993983</v>
      </c>
      <c r="O48" s="5">
        <f t="shared" si="7"/>
        <v>10.002598538049734</v>
      </c>
      <c r="P48" s="48">
        <f t="shared" si="4"/>
        <v>21.207303281168464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59.53869256364846</v>
      </c>
      <c r="E49" s="11">
        <f>IF(B49&gt;Title_RESULTS!$H$8-1+Title_RESULTS!$C$18,0,+E48*(1+$F$7))</f>
        <v>0.17051161813470686</v>
      </c>
      <c r="F49" s="9">
        <f t="shared" si="1"/>
        <v>167.4554877558632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3.473064035224831</v>
      </c>
      <c r="L49" s="5">
        <f t="shared" si="3"/>
        <v>7.36351879261692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57.2433580469257</v>
      </c>
      <c r="E50" s="11">
        <f>IF(B50&gt;Title_RESULTS!$H$8-1+Title_RESULTS!$C$18,0,+E49*(1+$F$7))</f>
        <v>0.17460389696993983</v>
      </c>
      <c r="F50" s="9">
        <f t="shared" si="1"/>
        <v>171.4744194620039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3.3391705381461394</v>
      </c>
      <c r="L50" s="5">
        <f t="shared" si="3"/>
        <v>7.079640559463548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54.948023530202946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3.2052770410674483</v>
      </c>
      <c r="L51" s="5">
        <f t="shared" si="3"/>
        <v>6.795762326310178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2346.289419682844</v>
      </c>
      <c r="F63" s="9">
        <f>SUM(F23:F61)</f>
        <v>3272.4468114308506</v>
      </c>
      <c r="J63" t="s">
        <v>87</v>
      </c>
      <c r="K63" s="9">
        <f>SUM(K23:K61)</f>
        <v>136.8658438546954</v>
      </c>
      <c r="O63" s="9">
        <f>SUM(O23:O61)</f>
        <v>190.89128159501868</v>
      </c>
    </row>
    <row r="64" spans="3:15" ht="12.75">
      <c r="C64" t="s">
        <v>89</v>
      </c>
      <c r="D64" s="9">
        <f>NPV(+Title_RESULTS!$C$37,'Value of Defferal'!D24:D61)+'Value of Defferal'!D23</f>
        <v>1047.6324160044296</v>
      </c>
      <c r="F64" s="9">
        <f>NPV(+Title_RESULTS!$C$37,'Value of Defferal'!F24:F61)+'Value of Defferal'!F23</f>
        <v>1216.8447885368964</v>
      </c>
      <c r="J64" t="s">
        <v>89</v>
      </c>
      <c r="K64" s="9">
        <f>NPV(+Title_RESULTS!$C$37,'Value of Defferal'!K24:K61)+'Value of Defferal'!K23</f>
        <v>61.111427031607015</v>
      </c>
      <c r="O64" s="9">
        <f>NPV(+Title_RESULTS!$C$37,'Value of Defferal'!O24:O61)+'Value of Defferal'!O23</f>
        <v>81.38894307119912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0.5360241746902785</v>
      </c>
      <c r="C25" t="s">
        <v>372</v>
      </c>
    </row>
    <row r="26" spans="2:3" ht="18">
      <c r="B26" s="15">
        <f>+((Input!$C$6*'EUE_Line Losses'!C4)+(Input!$C$7*'EUE_Line Losses'!C3))/'EUE_Line Losses'!C22</f>
        <v>0.5342950644493423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0" sqref="C40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0.48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0.48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1574.72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1000.58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111.47735280784406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Dedicated Outdoor Air on VRF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43599.318632407405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0.48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0.5342950644493423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1661.0970464135023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1574.72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1000.58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111.47735280784406</v>
      </c>
      <c r="D39" s="13" t="s">
        <v>189</v>
      </c>
      <c r="G39" s="20" t="s">
        <v>346</v>
      </c>
      <c r="H39" s="79">
        <f>+'Sheet7(F_23)'!H36</f>
        <v>0.9294727236916215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+'Sheet8(F_24)'!K34</f>
        <v>1051.7189753325445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+'Sheet9(F_25)'!J36</f>
        <v>1.0105341545495827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2019-05-14T11:38:51Z</dcterms:created>
  <dcterms:modified xsi:type="dcterms:W3CDTF">2019-05-14T11:38:53Z</dcterms:modified>
  <cp:category/>
  <cp:version/>
  <cp:contentType/>
  <cp:contentStatus/>
</cp:coreProperties>
</file>