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<sst xmlns="http://schemas.openxmlformats.org/spreadsheetml/2006/main" count="1258" uniqueCount="468">
  <si>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</si>
  <si>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</si>
  <si>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</si>
  <si>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</si>
  <si>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</si>
  <si>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</si>
  <si>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</si>
  <si>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</si>
  <si>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</si>
  <si>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</si>
  <si>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</si>
  <si>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</si>
  <si>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</si>
  <si>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</si>
  <si>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</si>
  <si>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</si>
  <si>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</si>
  <si>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</si>
  <si>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</si>
  <si>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</si>
  <si>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</si>
  <si>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</si>
  <si>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</si>
  <si>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</si>
  <si>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</si>
  <si>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</si>
  <si>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</si>
  <si>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</si>
  <si>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</si>
  <si>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</si>
  <si>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</si>
  <si>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</si>
  <si>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</si>
  <si>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</si>
  <si>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</si>
  <si>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</si>
  <si>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</si>
  <si>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</si>
  <si>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</si>
  <si>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</si>
  <si>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</si>
  <si>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</si>
  <si>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</si>
  <si>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</si>
  <si>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</si>
  <si>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</si>
  <si>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</si>
  <si>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</si>
  <si>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</si>
  <si>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</si>
  <si>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</si>
  <si>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</si>
  <si>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</si>
  <si>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</si>
  <si>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</si>
  <si>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</si>
  <si>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</si>
  <si>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</si>
  <si>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</si>
  <si>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</si>
  <si>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</si>
  <si>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</si>
  <si>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</si>
  <si>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</si>
  <si>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</si>
  <si>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</si>
  <si>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</si>
  <si>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</si>
  <si>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</si>
  <si>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</si>
  <si>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</si>
  <si>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</si>
  <si>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</si>
  <si>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</si>
  <si>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</si>
  <si>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</si>
  <si>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</si>
  <si>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</si>
  <si>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</si>
  <si>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</si>
  <si>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</si>
  <si>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</si>
  <si>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</si>
  <si>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</si>
  <si>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</si>
  <si>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</si>
  <si>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</si>
  <si>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</si>
  <si>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</si>
  <si>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</si>
  <si>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</si>
  <si>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</si>
  <si>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</si>
  <si>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</si>
  <si>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</si>
  <si>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</si>
  <si>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</si>
  <si>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</si>
  <si>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</si>
  <si>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</si>
  <si>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</si>
  <si>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</si>
  <si>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</si>
  <si>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</si>
  <si>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</si>
  <si>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</si>
  <si>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</si>
  <si>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</si>
  <si>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</si>
  <si>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</si>
  <si>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</si>
  <si>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</si>
  <si>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</si>
  <si>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</si>
  <si>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</si>
  <si>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</si>
  <si>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</si>
  <si>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</si>
  <si>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</si>
  <si>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</si>
  <si>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</si>
  <si>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</si>
  <si>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</si>
  <si>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</si>
  <si>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</si>
  <si>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</si>
  <si>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</si>
  <si>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</si>
  <si>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</si>
  <si>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</si>
  <si>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</si>
  <si>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</si>
  <si>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</si>
  <si>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</si>
  <si>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</si>
  <si>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</si>
  <si>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</si>
  <si>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</si>
  <si>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</si>
  <si>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</si>
  <si>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</si>
  <si>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</si>
  <si>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</si>
  <si>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</si>
  <si>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</si>
  <si>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</si>
  <si>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</si>
  <si>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</si>
  <si>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</si>
  <si>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</si>
  <si>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</si>
  <si>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</si>
  <si>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</si>
  <si>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</si>
  <si>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</si>
  <si>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</si>
  <si>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</si>
  <si>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</si>
  <si>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</si>
  <si>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</si>
  <si>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</si>
  <si>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</si>
  <si>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</si>
  <si>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</si>
  <si>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</si>
  <si>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</si>
  <si>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</si>
  <si>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</si>
  <si>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</si>
  <si>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</si>
  <si>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</si>
  <si>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</si>
  <si>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</si>
  <si>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</si>
  <si>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</si>
  <si>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</si>
  <si>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</si>
  <si>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</si>
  <si>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</si>
  <si>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</si>
  <si>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</si>
  <si>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</si>
  <si>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</si>
  <si>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</si>
  <si>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</si>
  <si>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</si>
  <si>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</si>
  <si>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</si>
  <si>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</si>
  <si>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</si>
  <si>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</si>
  <si>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</si>
  <si>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</si>
  <si>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</si>
  <si>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</si>
  <si>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</si>
  <si>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</si>
  <si>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</si>
  <si>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</si>
  <si>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</si>
  <si>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</si>
  <si>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</si>
  <si>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</si>
  <si>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</si>
  <si>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</si>
  <si>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</si>
  <si>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</si>
  <si>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</si>
  <si>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</si>
  <si>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</si>
  <si>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</si>
  <si>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</si>
  <si>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</si>
  <si>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</si>
  <si>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</si>
  <si>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</si>
  <si>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</si>
  <si>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</si>
  <si>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</si>
  <si>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</si>
  <si>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</si>
  <si>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</si>
  <si>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</si>
  <si>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</si>
  <si>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</si>
  <si>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</si>
  <si>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</si>
  <si>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</si>
  <si>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</si>
  <si>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</si>
  <si>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</si>
  <si>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</si>
  <si>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</si>
  <si>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</si>
  <si>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</si>
  <si>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</si>
  <si>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</si>
  <si>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</si>
  <si>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</si>
  <si>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</si>
  <si>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</si>
  <si>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</si>
  <si>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</si>
  <si>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</si>
  <si>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</si>
  <si>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</si>
  <si>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</si>
  <si>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</si>
  <si>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</si>
  <si>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</si>
  <si>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</si>
  <si>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</si>
  <si>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</si>
  <si>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</si>
  <si>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</si>
  <si>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</si>
  <si>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</si>
  <si>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</si>
  <si>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</si>
  <si>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</si>
  <si>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</si>
  <si>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</si>
  <si>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</si>
  <si>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</si>
  <si>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</si>
  <si>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</si>
  <si>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</si>
  <si>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</si>
  <si>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</si>
  <si>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</si>
  <si>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</si>
  <si>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</si>
  <si>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</si>
  <si>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</si>
  <si>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</si>
  <si>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</si>
  <si>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</si>
  <si>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</si>
  <si>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</si>
  <si>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</si>
  <si>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</si>
  <si>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</si>
  <si>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</si>
  <si>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</si>
  <si>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</si>
  <si>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</si>
  <si>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</si>
  <si>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</si>
  <si>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</si>
  <si>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</si>
  <si>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</si>
  <si>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</si>
  <si>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</si>
  <si>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</si>
  <si>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</si>
  <si>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</si>
  <si>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</si>
  <si>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</si>
  <si>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</si>
  <si>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</si>
  <si>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</si>
  <si>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</si>
  <si>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</si>
  <si>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</si>
  <si>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</si>
  <si>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</si>
  <si>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</si>
  <si>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</si>
  <si>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</si>
  <si>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</si>
  <si>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</si>
  <si>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</si>
  <si>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</si>
  <si>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</si>
  <si>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</si>
  <si>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</si>
  <si>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</si>
  <si>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</si>
  <si>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</si>
  <si>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</si>
  <si>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</si>
  <si>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</si>
  <si>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</si>
  <si>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</si>
  <si>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</si>
  <si>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</si>
  <si>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</si>
  <si>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</si>
  <si>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</si>
  <si>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</si>
  <si>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</si>
  <si>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</si>
  <si>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</si>
  <si>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</si>
  <si>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</si>
  <si>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</si>
  <si>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</si>
  <si>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</si>
  <si>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</si>
  <si>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</si>
  <si>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</si>
  <si>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</si>
  <si>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</si>
  <si>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</si>
  <si>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</si>
  <si>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</si>
  <si>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</si>
  <si>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</si>
  <si>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</si>
  <si>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</si>
  <si>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</si>
  <si>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</si>
  <si>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</si>
  <si>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</si>
  <si>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</si>
  <si>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</si>
  <si>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</si>
  <si>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</si>
  <si>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</si>
  <si>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</si>
  <si>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</si>
  <si>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</si>
  <si>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</si>
  <si>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</si>
  <si>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</si>
  <si>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</si>
  <si>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</si>
  <si>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</si>
  <si>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</si>
  <si>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</si>
  <si>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</si>
  <si>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</si>
  <si>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</si>
  <si>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</si>
  <si>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</si>
  <si>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</si>
  <si>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</si>
  <si>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</si>
  <si>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</si>
  <si>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</si>
  <si>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</si>
  <si>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</si>
  <si>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</si>
  <si>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</si>
  <si>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</si>
  <si>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</si>
  <si>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</si>
  <si>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</si>
  <si>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</si>
  <si>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</si>
  <si>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</si>
  <si>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</si>
  <si>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</si>
  <si>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</si>
  <si>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</si>
  <si>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</si>
  <si>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</si>
  <si>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</si>
  <si>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</si>
  <si>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</si>
  <si>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</si>
  <si>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</si>
  <si>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</si>
  <si>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</si>
  <si>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</si>
  <si>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</si>
  <si>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</si>
  <si>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</si>
  <si>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</si>
  <si>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</si>
  <si>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</si>
  <si>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</si>
  <si>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</si>
  <si>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</si>
  <si>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</si>
  <si>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</si>
  <si>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</si>
  <si>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</si>
  <si>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</si>
  <si>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</si>
  <si>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</si>
  <si>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</si>
  <si>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</si>
  <si>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</si>
  <si>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</si>
  <si>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</si>
  <si>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</si>
  <si>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</si>
  <si>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</si>
  <si>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</si>
  <si>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</si>
  <si>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</si>
  <si>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</si>
  <si>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</si>
  <si>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</si>
  <si>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</si>
  <si>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</si>
  <si>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</si>
  <si>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</si>
  <si>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</si>
  <si>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</si>
  <si>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</si>
  <si>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</si>
  <si>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</si>
  <si>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</si>
  <si>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</si>
  <si>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</si>
  <si>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</si>
  <si>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</si>
  <si>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</si>
  <si>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</si>
  <si>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</si>
  <si>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</si>
  <si>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</si>
  <si>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</si>
  <si>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</si>
  <si>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</si>
  <si>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</si>
  <si>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</si>
  <si>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</si>
  <si>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</si>
  <si>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</si>
  <si>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</si>
  <si>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</si>
  <si>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</si>
  <si>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</si>
  <si>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</si>
  <si>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Efficient Exhaust Hood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</si>
</sst>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43599.31870011574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5148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43599.31870011574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Efficient Exhaust Hood</v>
      </c>
      <c r="J2" t="s">
        <v>55</v>
      </c>
    </row>
    <row r="3" ht="12.75">
      <c r="J3" s="35">
        <f>+Title_RESULTS!I4</f>
        <v>43599.31870011574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5148</v>
      </c>
      <c r="H5" t="s">
        <v>59</v>
      </c>
    </row>
    <row r="6" spans="3:7" ht="12.75">
      <c r="C6" t="s">
        <v>61</v>
      </c>
      <c r="G6" s="36">
        <f>+'Value of Defferal'!E3</f>
        <v>3153.9181951909472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311.6774612712793</v>
      </c>
      <c r="D19" s="5">
        <f>IF((Title_RESULTS!$H$8-Title_RESULTS!$H$7)&lt;=('Sheet3(F_21)'!A19-Title_RESULTS!$H$7),((Title_RESULTS!$C$8*Partcipation!$C$26*8760*Title_RESULTS!$H$21/100000)),0)</f>
        <v>4103.760833099579</v>
      </c>
      <c r="E19" s="5">
        <f>IF($G19=0,0,((Title_RESULTS!$H$14*((1+Title_RESULTS!$H$15/100)^($A19-Title_RESULTS!$H$7))*'EUE_Line Losses'!$B$25*Partcipation!$C$26))/1000)</f>
        <v>32.330184482314266</v>
      </c>
      <c r="F19" s="5">
        <f>IF($G19=0,0,(Title_RESULTS!$H$19/100*((1+Title_RESULTS!$H$20/100)^($A19-Title_RESULTS!$H$7))*$D19*1000)/1000)</f>
        <v>9.253397248603413</v>
      </c>
      <c r="G19" s="5">
        <f>(+Title_RESULTS!$H$22/100*((1+Title_RESULTS!$H$23/100)^(+'Sheet4(F_22)'!A19-Title_RESULTS!$H$7)))*'Sheet3(F_21)'!D19</f>
        <v>175.81697241947296</v>
      </c>
      <c r="H19" s="5">
        <f>IF($G19=0,0,(($D19))*(Partcipation!$G19/100))</f>
        <v>130.19704792295565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398.8809674987142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319.15772034179</v>
      </c>
      <c r="D20" s="5">
        <f>IF((Title_RESULTS!$H$8-Title_RESULTS!$H$7)&lt;=('Sheet3(F_21)'!A20-Title_RESULTS!$H$7),((Title_RESULTS!$C$8*Partcipation!$C$26*8760*Title_RESULTS!$H$21/100000)),0)</f>
        <v>4103.760833099579</v>
      </c>
      <c r="E20" s="5">
        <f>IF($G20=0,0,((Title_RESULTS!$H$14*((1+Title_RESULTS!$H$15/100)^($A20-Title_RESULTS!$H$7))*'EUE_Line Losses'!$B$25*Partcipation!$C$26))/1000)</f>
        <v>33.1061089098898</v>
      </c>
      <c r="F20" s="5">
        <f>IF($G20=0,0,(Title_RESULTS!$H$19/100*((1+Title_RESULTS!$H$20/100)^($A20-Title_RESULTS!$H$7))*$D20*1000)/1000)</f>
        <v>9.475478782569896</v>
      </c>
      <c r="G20" s="5">
        <f>(+Title_RESULTS!$H$22/100*((1+Title_RESULTS!$H$23/100)^(+'Sheet4(F_22)'!A20-Title_RESULTS!$H$7)))*'Sheet3(F_21)'!D20</f>
        <v>183.79906296731707</v>
      </c>
      <c r="H20" s="5">
        <f>IF($G20=0,0,(($D20))*(Partcipation!$G20/100))</f>
        <v>136.0213350985484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409.5170359030184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326.817505629993</v>
      </c>
      <c r="D21" s="5">
        <f>IF((Title_RESULTS!$H$8-Title_RESULTS!$H$7)&lt;=('Sheet3(F_21)'!A21-Title_RESULTS!$H$7),((Title_RESULTS!$C$8*Partcipation!$C$26*8760*Title_RESULTS!$H$21/100000)),0)</f>
        <v>4103.760833099579</v>
      </c>
      <c r="E21" s="5">
        <f>IF($G21=0,0,((Title_RESULTS!$H$14*((1+Title_RESULTS!$H$15/100)^($A21-Title_RESULTS!$H$7))*'EUE_Line Losses'!$B$25*Partcipation!$C$26))/1000)</f>
        <v>33.90065552372716</v>
      </c>
      <c r="F21" s="5">
        <f>IF($G21=0,0,(Title_RESULTS!$H$19/100*((1+Title_RESULTS!$H$20/100)^($A21-Title_RESULTS!$H$7))*$D21*1000)/1000)</f>
        <v>9.702890273351573</v>
      </c>
      <c r="G21" s="5">
        <f>(+Title_RESULTS!$H$22/100*((1+Title_RESULTS!$H$23/100)^(+'Sheet4(F_22)'!A21-Title_RESULTS!$H$7)))*'Sheet3(F_21)'!D21</f>
        <v>192.1435404260333</v>
      </c>
      <c r="H21" s="5">
        <f>IF($G21=0,0,(($D21))*(Partcipation!$G21/100))</f>
        <v>141.4116311838704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421.15296066923463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334.6611257651128</v>
      </c>
      <c r="D22" s="5">
        <f>IF((Title_RESULTS!$H$8-Title_RESULTS!$H$7)&lt;=('Sheet3(F_21)'!A22-Title_RESULTS!$H$7),((Title_RESULTS!$C$8*Partcipation!$C$26*8760*Title_RESULTS!$H$21/100000)),0)</f>
        <v>4103.760833099579</v>
      </c>
      <c r="E22" s="5">
        <f>IF($G22=0,0,((Title_RESULTS!$H$14*((1+Title_RESULTS!$H$15/100)^($A22-Title_RESULTS!$H$7))*'EUE_Line Losses'!$B$25*Partcipation!$C$26))/1000)</f>
        <v>34.714271256296605</v>
      </c>
      <c r="F22" s="5">
        <f>IF($G22=0,0,(Title_RESULTS!$H$19/100*((1+Title_RESULTS!$H$20/100)^($A22-Title_RESULTS!$H$7))*$D22*1000)/1000)</f>
        <v>9.935759639912009</v>
      </c>
      <c r="G22" s="5">
        <f>(+Title_RESULTS!$H$22/100*((1+Title_RESULTS!$H$23/100)^(+'Sheet4(F_22)'!A22-Title_RESULTS!$H$7)))*'Sheet3(F_21)'!D22</f>
        <v>200.8668571613752</v>
      </c>
      <c r="H22" s="5">
        <f>IF($G22=0,0,(($D22))*(Partcipation!$G22/100))</f>
        <v>145.99341857954465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434.18459524315193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342.6929927834755</v>
      </c>
      <c r="D23" s="5">
        <f>IF((Title_RESULTS!$H$8-Title_RESULTS!$H$7)&lt;=('Sheet3(F_21)'!A23-Title_RESULTS!$H$7),((Title_RESULTS!$C$8*Partcipation!$C$26*8760*Title_RESULTS!$H$21/100000)),0)</f>
        <v>4103.760833099579</v>
      </c>
      <c r="E23" s="5">
        <f>IF($G23=0,0,((Title_RESULTS!$H$14*((1+Title_RESULTS!$H$15/100)^($A23-Title_RESULTS!$H$7))*'EUE_Line Losses'!$B$25*Partcipation!$C$26))/1000)</f>
        <v>35.54741376644773</v>
      </c>
      <c r="F23" s="5">
        <f>IF($G23=0,0,(Title_RESULTS!$H$19/100*((1+Title_RESULTS!$H$20/100)^($A23-Title_RESULTS!$H$7))*$D23*1000)/1000)</f>
        <v>10.174217871269898</v>
      </c>
      <c r="G23" s="5">
        <f>(+Title_RESULTS!$H$22/100*((1+Title_RESULTS!$H$23/100)^(+'Sheet4(F_22)'!A23-Title_RESULTS!$H$7)))*'Sheet3(F_21)'!D23</f>
        <v>209.9862124765017</v>
      </c>
      <c r="H23" s="5">
        <f>IF($G23=0,0,(($D23))*(Partcipation!$G23/100))</f>
        <v>152.52803565749682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445.872801240198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350.91762461027895</v>
      </c>
      <c r="D24" s="5">
        <f>IF((Title_RESULTS!$H$8-Title_RESULTS!$H$7)&lt;=('Sheet3(F_21)'!A24-Title_RESULTS!$H$7),((Title_RESULTS!$C$8*Partcipation!$C$26*8760*Title_RESULTS!$H$21/100000)),0)</f>
        <v>4103.760833099579</v>
      </c>
      <c r="E24" s="5">
        <f>IF($G24=0,0,((Title_RESULTS!$H$14*((1+Title_RESULTS!$H$15/100)^($A24-Title_RESULTS!$H$7))*'EUE_Line Losses'!$B$25*Partcipation!$C$26))/1000)</f>
        <v>36.40055169684247</v>
      </c>
      <c r="F24" s="5">
        <f>IF($G24=0,0,(Title_RESULTS!$H$19/100*((1+Title_RESULTS!$H$20/100)^($A24-Title_RESULTS!$H$7))*$D24*1000)/1000)</f>
        <v>10.418399100180375</v>
      </c>
      <c r="G24" s="5">
        <f>(+Title_RESULTS!$H$22/100*((1+Title_RESULTS!$H$23/100)^(+'Sheet4(F_22)'!A24-Title_RESULTS!$H$7)))*'Sheet3(F_21)'!D24</f>
        <v>219.51958652293487</v>
      </c>
      <c r="H24" s="5">
        <f>IF($G24=0,0,(($D24))*(Partcipation!$G24/100))</f>
        <v>164.16049327011456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453.0956686601222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359.3396476009256</v>
      </c>
      <c r="D25" s="5">
        <f>IF((Title_RESULTS!$H$8-Title_RESULTS!$H$7)&lt;=('Sheet3(F_21)'!A25-Title_RESULTS!$H$7),((Title_RESULTS!$C$8*Partcipation!$C$26*8760*Title_RESULTS!$H$21/100000)),0)</f>
        <v>4103.760833099579</v>
      </c>
      <c r="E25" s="5">
        <f>IF($G25=0,0,((Title_RESULTS!$H$14*((1+Title_RESULTS!$H$15/100)^($A25-Title_RESULTS!$H$7))*'EUE_Line Losses'!$B$25*Partcipation!$C$26))/1000)</f>
        <v>37.27416493756669</v>
      </c>
      <c r="F25" s="5">
        <f>IF($G25=0,0,(Title_RESULTS!$H$19/100*((1+Title_RESULTS!$H$20/100)^($A25-Title_RESULTS!$H$7))*$D25*1000)/1000)</f>
        <v>10.668440678584703</v>
      </c>
      <c r="G25" s="5">
        <f>(+Title_RESULTS!$H$22/100*((1+Title_RESULTS!$H$23/100)^(+'Sheet4(F_22)'!A25-Title_RESULTS!$H$7)))*'Sheet3(F_21)'!D25</f>
        <v>229.48577575107615</v>
      </c>
      <c r="H25" s="5">
        <f>IF($G25=0,0,(($D25))*(Partcipation!$G25/100))</f>
        <v>171.36478380403318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465.4032451641199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367.96379914334784</v>
      </c>
      <c r="D26" s="5">
        <f>IF((Title_RESULTS!$H$8-Title_RESULTS!$H$7)&lt;=('Sheet3(F_21)'!A26-Title_RESULTS!$H$7),((Title_RESULTS!$C$8*Partcipation!$C$26*8760*Title_RESULTS!$H$21/100000)),0)</f>
        <v>4103.760833099579</v>
      </c>
      <c r="E26" s="5">
        <f>IF($G26=0,0,((Title_RESULTS!$H$14*((1+Title_RESULTS!$H$15/100)^($A26-Title_RESULTS!$H$7))*'EUE_Line Losses'!$B$25*Partcipation!$C$26))/1000)</f>
        <v>38.16874489606829</v>
      </c>
      <c r="F26" s="5">
        <f>IF($G26=0,0,(Title_RESULTS!$H$19/100*((1+Title_RESULTS!$H$20/100)^($A26-Title_RESULTS!$H$7))*$D26*1000)/1000)</f>
        <v>10.924483254870736</v>
      </c>
      <c r="G26" s="5">
        <f>(+Title_RESULTS!$H$22/100*((1+Title_RESULTS!$H$23/100)^(+'Sheet4(F_22)'!A26-Title_RESULTS!$H$7)))*'Sheet3(F_21)'!D26</f>
        <v>239.90442997017502</v>
      </c>
      <c r="H26" s="5">
        <f>IF($G26=0,0,(($D26))*(Partcipation!$G26/100))</f>
        <v>184.10625358412614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472.8552036803358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376.7949303227882</v>
      </c>
      <c r="D27" s="5">
        <f>IF((Title_RESULTS!$H$8-Title_RESULTS!$H$7)&lt;=('Sheet3(F_21)'!A27-Title_RESULTS!$H$7),((Title_RESULTS!$C$8*Partcipation!$C$26*8760*Title_RESULTS!$H$21/100000)),0)</f>
        <v>4103.760833099579</v>
      </c>
      <c r="E27" s="5">
        <f>IF($G27=0,0,((Title_RESULTS!$H$14*((1+Title_RESULTS!$H$15/100)^($A27-Title_RESULTS!$H$7))*'EUE_Line Losses'!$B$25*Partcipation!$C$26))/1000)</f>
        <v>39.08479477357394</v>
      </c>
      <c r="F27" s="5">
        <f>IF($G27=0,0,(Title_RESULTS!$H$19/100*((1+Title_RESULTS!$H$20/100)^($A27-Title_RESULTS!$H$7))*$D27*1000)/1000)</f>
        <v>11.186670852987636</v>
      </c>
      <c r="G27" s="5">
        <f>(+Title_RESULTS!$H$22/100*((1+Title_RESULTS!$H$23/100)^(+'Sheet4(F_22)'!A27-Title_RESULTS!$H$7)))*'Sheet3(F_21)'!D27</f>
        <v>250.796091090821</v>
      </c>
      <c r="H27" s="5">
        <f>IF($G27=0,0,(($D27))*(Partcipation!$G27/100))</f>
        <v>188.6844342278725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489.1780528122983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385.83800865053513</v>
      </c>
      <c r="D28" s="5">
        <f>IF((Title_RESULTS!$H$8-Title_RESULTS!$H$7)&lt;=('Sheet3(F_21)'!A28-Title_RESULTS!$H$7),((Title_RESULTS!$C$8*Partcipation!$C$26*8760*Title_RESULTS!$H$21/100000)),0)</f>
        <v>4103.760833099579</v>
      </c>
      <c r="E28" s="5">
        <f>IF($G28=0,0,((Title_RESULTS!$H$14*((1+Title_RESULTS!$H$15/100)^($A28-Title_RESULTS!$H$7))*'EUE_Line Losses'!$B$25*Partcipation!$C$26))/1000)</f>
        <v>40.02282984813971</v>
      </c>
      <c r="F28" s="5">
        <f>IF($G28=0,0,(Title_RESULTS!$H$19/100*((1+Title_RESULTS!$H$20/100)^($A28-Title_RESULTS!$H$7))*$D28*1000)/1000)</f>
        <v>11.45515095345934</v>
      </c>
      <c r="G28" s="5">
        <f>(+Title_RESULTS!$H$22/100*((1+Title_RESULTS!$H$23/100)^(+'Sheet4(F_22)'!A28-Title_RESULTS!$H$7)))*'Sheet3(F_21)'!D28</f>
        <v>262.18223362634427</v>
      </c>
      <c r="H28" s="5">
        <f>IF($G28=0,0,(($D28))*(Partcipation!$G28/100))</f>
        <v>200.00737042478474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499.49085265369365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395.09812085814804</v>
      </c>
      <c r="D29" s="5">
        <f>IF((Title_RESULTS!$H$8-Title_RESULTS!$H$7)&lt;=('Sheet3(F_21)'!A29-Title_RESULTS!$H$7),((Title_RESULTS!$C$8*Partcipation!$C$26*8760*Title_RESULTS!$H$21/100000)),0)</f>
        <v>4103.760833099579</v>
      </c>
      <c r="E29" s="5">
        <f>IF($G29=0,0,((Title_RESULTS!$H$14*((1+Title_RESULTS!$H$15/100)^($A29-Title_RESULTS!$H$7))*'EUE_Line Losses'!$B$25*Partcipation!$C$26))/1000)</f>
        <v>40.98337776449506</v>
      </c>
      <c r="F29" s="5">
        <f>IF($G29=0,0,(Title_RESULTS!$H$19/100*((1+Title_RESULTS!$H$20/100)^($A29-Title_RESULTS!$H$7))*$D29*1000)/1000)</f>
        <v>11.730074576342362</v>
      </c>
      <c r="G29" s="5">
        <f>(+Title_RESULTS!$H$22/100*((1+Title_RESULTS!$H$23/100)^(+'Sheet4(F_22)'!A29-Title_RESULTS!$H$7)))*'Sheet3(F_21)'!D29</f>
        <v>274.0853070329803</v>
      </c>
      <c r="H29" s="5">
        <f>IF($G29=0,0,(($D29))*(Partcipation!$G29/100))</f>
        <v>204.56903029285974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517.327849939106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404.58047575874355</v>
      </c>
      <c r="D30" s="5">
        <f>IF((Title_RESULTS!$H$8-Title_RESULTS!$H$7)&lt;=('Sheet3(F_21)'!A30-Title_RESULTS!$H$7),((Title_RESULTS!$C$8*Partcipation!$C$26*8760*Title_RESULTS!$H$21/100000)),0)</f>
        <v>4103.760833099579</v>
      </c>
      <c r="E30" s="5">
        <f>IF($G30=0,0,((Title_RESULTS!$H$14*((1+Title_RESULTS!$H$15/100)^($A30-Title_RESULTS!$H$7))*'EUE_Line Losses'!$B$25*Partcipation!$C$26))/1000)</f>
        <v>41.96697883084293</v>
      </c>
      <c r="F30" s="5">
        <f>IF($G30=0,0,(Title_RESULTS!$H$19/100*((1+Title_RESULTS!$H$20/100)^($A30-Title_RESULTS!$H$7))*$D30*1000)/1000)</f>
        <v>12.011596366174578</v>
      </c>
      <c r="G30" s="5">
        <f>(+Title_RESULTS!$H$22/100*((1+Title_RESULTS!$H$23/100)^(+'Sheet4(F_22)'!A30-Title_RESULTS!$H$7)))*'Sheet3(F_21)'!D30</f>
        <v>286.5287799722777</v>
      </c>
      <c r="H30" s="5">
        <f>IF($G30=0,0,(($D30))*(Partcipation!$G30/100))</f>
        <v>217.76927617234665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527.318554755692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4275.539412736419</v>
      </c>
      <c r="D32" s="9">
        <f t="shared" si="1"/>
        <v>49245.12999719495</v>
      </c>
      <c r="E32" s="9">
        <f t="shared" si="1"/>
        <v>443.5000766862047</v>
      </c>
      <c r="F32" s="9">
        <f t="shared" si="1"/>
        <v>126.9365595983065</v>
      </c>
      <c r="G32" s="9">
        <f t="shared" si="1"/>
        <v>2725.1148494173094</v>
      </c>
      <c r="H32" s="9">
        <f t="shared" si="1"/>
        <v>2036.8131102185534</v>
      </c>
      <c r="I32" s="9">
        <f t="shared" si="1"/>
        <v>0</v>
      </c>
      <c r="J32" s="9">
        <f t="shared" si="1"/>
        <v>5534.277788219685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2410.853840583489</v>
      </c>
      <c r="D34" s="5"/>
      <c r="E34" s="5">
        <f>NPV(Title_RESULTS!$C$37,E17:E31)+'Sheet3(F_21)'!E16</f>
        <v>250.07695169243996</v>
      </c>
      <c r="F34" s="5">
        <f>NPV(Title_RESULTS!$C$37,F17:F31)+'Sheet3(F_21)'!F16</f>
        <v>71.57587912917185</v>
      </c>
      <c r="G34" s="5">
        <f>NPV(Title_RESULTS!$C$37,G17:G31)+'Sheet3(F_21)'!G16</f>
        <v>1511.001692370561</v>
      </c>
      <c r="H34" s="5">
        <f>NPV(Title_RESULTS!$C$37,H17:H31)+'Sheet3(F_21)'!H16</f>
        <v>1126.3058376082543</v>
      </c>
      <c r="I34" s="5">
        <f>NPV(Title_RESULTS!$C$37,I17:I31)+'Sheet3(F_21)'!I16</f>
        <v>0</v>
      </c>
      <c r="J34" s="5">
        <f>NPV(Title_RESULTS!$C$37,J17:J31)+'Sheet3(F_21)'!J16</f>
        <v>3117.2025261674075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Efficient Exhaust Hood</v>
      </c>
      <c r="F2" t="s">
        <v>55</v>
      </c>
    </row>
    <row r="3" spans="6:7" ht="12.75">
      <c r="F3" s="35">
        <f>+Title_RESULTS!I4</f>
        <v>43599.31870011574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4254.48312236287</v>
      </c>
      <c r="C16" s="5">
        <f>$B16*'Sheet2(F_12)'!$E16/100</f>
        <v>123.41020136302997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123.41020136302997</v>
      </c>
      <c r="G16" s="5">
        <f>+$F16*'Sheet2(F_12)'!$I16</f>
        <v>123.41020136302997</v>
      </c>
    </row>
    <row r="17" spans="1:7" ht="12.75">
      <c r="A17">
        <f>+A16+1</f>
        <v>2021</v>
      </c>
      <c r="B17" s="5">
        <f>(+Partcipation!$C16+(Partcipation!$C17-Partcipation!$C16)/2)*Title_RESULTS!$C$10/1000</f>
        <v>12763.44936708861</v>
      </c>
      <c r="C17" s="5">
        <f>$B17*'Sheet2(F_12)'!$E17/100</f>
        <v>367.2192027074543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367.2192027074543</v>
      </c>
      <c r="G17" s="5">
        <f>+$F17*'Sheet2(F_12)'!$I17</f>
        <v>367.2192027074543</v>
      </c>
    </row>
    <row r="18" spans="1:7" ht="12.75">
      <c r="A18">
        <f>+A17+1</f>
        <v>2022</v>
      </c>
      <c r="B18" s="5">
        <f>(+Partcipation!$C17+(Partcipation!$C18-Partcipation!$C17)/2)*Title_RESULTS!$C$10/1000</f>
        <v>21272.41561181435</v>
      </c>
      <c r="C18" s="5">
        <f>$B18*'Sheet2(F_12)'!$E18/100</f>
        <v>631.6579934364746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631.6579934364746</v>
      </c>
      <c r="G18" s="5">
        <f>+$F18*'Sheet2(F_12)'!$I18</f>
        <v>631.6579934364746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25526.89873417722</v>
      </c>
      <c r="C19" s="5">
        <f>$B19*'Sheet2(F_12)'!$E19/100</f>
        <v>789.0852013009847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789.0852013009847</v>
      </c>
      <c r="G19" s="5">
        <f>+$F19*'Sheet2(F_12)'!$I19</f>
        <v>789.0852013009847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25526.89873417722</v>
      </c>
      <c r="C20" s="5">
        <f>$B20*'Sheet2(F_12)'!$E20/100</f>
        <v>820.0932754725702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820.0932754725702</v>
      </c>
      <c r="G20" s="5">
        <f>+$F20*'Sheet2(F_12)'!$I20</f>
        <v>820.0932754725702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25526.89873417722</v>
      </c>
      <c r="C21" s="5">
        <f>$B21*'Sheet2(F_12)'!$E21/100</f>
        <v>880.5332761954993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880.5332761954993</v>
      </c>
      <c r="G21" s="5">
        <f>+$F21*'Sheet2(F_12)'!$I21</f>
        <v>880.5332761954993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25526.89873417722</v>
      </c>
      <c r="C22" s="5">
        <f>$B22*'Sheet2(F_12)'!$E22/100</f>
        <v>908.7760504571027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908.7760504571027</v>
      </c>
      <c r="G22" s="5">
        <f>+$F22*'Sheet2(F_12)'!$I22</f>
        <v>908.7760504571027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25526.89873417722</v>
      </c>
      <c r="C23" s="5">
        <f>$B23*'Sheet2(F_12)'!$E23/100</f>
        <v>965.5704861111112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965.5704861111112</v>
      </c>
      <c r="G23" s="5">
        <f>+$F23*'Sheet2(F_12)'!$I23</f>
        <v>965.5704861111112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25526.89873417722</v>
      </c>
      <c r="C24" s="5">
        <f>$B24*'Sheet2(F_12)'!$E24/100</f>
        <v>1069.9637577048413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1069.9637577048413</v>
      </c>
      <c r="G24" s="5">
        <f>+$F24*'Sheet2(F_12)'!$I24</f>
        <v>1069.9637577048413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25526.89873417722</v>
      </c>
      <c r="C25" s="5">
        <f>$B25*'Sheet2(F_12)'!$E25/100</f>
        <v>1146.3209388185655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1146.3209388185655</v>
      </c>
      <c r="G25" s="5">
        <f>+$F25*'Sheet2(F_12)'!$I25</f>
        <v>1146.3209388185655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25526.89873417722</v>
      </c>
      <c r="C26" s="5">
        <f>$B26*'Sheet2(F_12)'!$E26/100</f>
        <v>1280.3769822433198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1280.3769822433198</v>
      </c>
      <c r="G26" s="5">
        <f>+$F26*'Sheet2(F_12)'!$I26</f>
        <v>1280.3769822433198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25526.89873417722</v>
      </c>
      <c r="C27" s="5">
        <f>$B27*'Sheet2(F_12)'!$E27/100</f>
        <v>1275.6154579817162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1275.6154579817162</v>
      </c>
      <c r="G27" s="5">
        <f>+$F27*'Sheet2(F_12)'!$I27</f>
        <v>1275.6154579817162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25526.89873417722</v>
      </c>
      <c r="C28" s="5">
        <f>$B28*'Sheet2(F_12)'!$E28/100</f>
        <v>1394.1297982330736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1394.1297982330736</v>
      </c>
      <c r="G28" s="5">
        <f>+$F28*'Sheet2(F_12)'!$I28</f>
        <v>1394.1297982330736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25526.89873417722</v>
      </c>
      <c r="C29" s="5">
        <f>$B29*'Sheet2(F_12)'!$E29/100</f>
        <v>1486.712614275668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1486.712614275668</v>
      </c>
      <c r="G29" s="5">
        <f>+$F29*'Sheet2(F_12)'!$I29</f>
        <v>1486.712614275668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25526.89873417722</v>
      </c>
      <c r="C30" s="5">
        <f>$B30*'Sheet2(F_12)'!$E30/100</f>
        <v>1555.937328586498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1555.937328586498</v>
      </c>
      <c r="G30" s="5">
        <f>+$F30*'Sheet2(F_12)'!$I30</f>
        <v>1555.937328586498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344613.13291139255</v>
      </c>
      <c r="C32" s="5">
        <f t="shared" si="2"/>
        <v>14695.402564887912</v>
      </c>
      <c r="D32" s="5">
        <f t="shared" si="2"/>
        <v>0</v>
      </c>
      <c r="E32" s="5">
        <f t="shared" si="2"/>
        <v>0</v>
      </c>
      <c r="F32" s="5">
        <f t="shared" si="2"/>
        <v>14695.402564887912</v>
      </c>
      <c r="G32" s="5">
        <f t="shared" si="2"/>
        <v>14695.402564887912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8417.242121118175</v>
      </c>
      <c r="D34" s="5"/>
      <c r="E34" s="5">
        <f>NPV(+Title_RESULTS!$C$37,E17:E31)+E16</f>
        <v>0</v>
      </c>
      <c r="F34" s="5">
        <f>NPV(+Title_RESULTS!$C$37,F17:F31)+F16</f>
        <v>8417.242121118175</v>
      </c>
      <c r="G34" s="5">
        <f>NPV(+Title_RESULTS!$C$37,G17:G31)+G16</f>
        <v>8417.242121118175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Efficient Exhaust Hood</v>
      </c>
      <c r="J2" t="s">
        <v>42</v>
      </c>
    </row>
    <row r="3" spans="9:10" ht="12.75">
      <c r="I3" s="4"/>
      <c r="J3" s="35">
        <f>+Title_RESULTS!I4</f>
        <v>43599.31870011574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Efficient Exhaust Hood</v>
      </c>
      <c r="H2" t="s">
        <v>108</v>
      </c>
    </row>
    <row r="3" ht="12.75">
      <c r="H3" s="35">
        <f>+Title_RESULTS!I4</f>
        <v>43599.31870011574</v>
      </c>
    </row>
    <row r="5" spans="3:6" ht="12.75">
      <c r="C5" t="s">
        <v>60</v>
      </c>
      <c r="F5" s="38">
        <f>+'Value of Defferal'!L4</f>
        <v>183.97716479999997</v>
      </c>
    </row>
    <row r="6" spans="3:6" ht="12.75">
      <c r="C6" t="s">
        <v>62</v>
      </c>
      <c r="F6" s="38">
        <f>+'Value of Defferal'!L5</f>
        <v>445.35152640000007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123.41020136302997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18.181047226965298</v>
      </c>
      <c r="C17" s="5">
        <f>IF(+Title_RESULTS!$H$9&lt;='Sheet4(F_22)'!$A17,(+Title_RESULTS!$H$16*((1+Title_RESULTS!$H$18/100)^('Sheet4(F_22)'!$A17-Title_RESULTS!$H$7))*Title_RESULTS!$C$8*Partcipation!$C$26/1000),0)</f>
        <v>14.65484725626127</v>
      </c>
      <c r="D17" s="5">
        <f>(+B17+C17)*+Partcipation!$H17</f>
        <v>32.83589448322657</v>
      </c>
      <c r="E17" s="5">
        <f>VLOOKUP(A17,'Value of Defferal'!$I24:$P$58,'Value of Defferal'!$K$13)</f>
        <v>44.010663730369025</v>
      </c>
      <c r="F17" s="5">
        <f>IF(+'Value of Defferal'!P24=0,0,Title_RESULTS!$H$17*Title_RESULTS!$C$7*Partcipation!$C$26*(1+Title_RESULTS!$H$18/100)^('Sheet4(F_22)'!A17-Title_RESULTS!$H$7))/1000</f>
        <v>61.3122048</v>
      </c>
      <c r="G17" s="5">
        <f>(+E17+F17)*Partcipation!$H17</f>
        <v>105.32286853036902</v>
      </c>
      <c r="H17" s="5">
        <f>+'Sheet5(p_5)'!$F17*'Sheet2(F_12)'!$I17</f>
        <v>367.2192027074543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18.617392360412463</v>
      </c>
      <c r="C18" s="5">
        <f>IF(+Title_RESULTS!$H$9&lt;='Sheet4(F_22)'!$A18,(+Title_RESULTS!$H$16*((1+Title_RESULTS!$H$18/100)^('Sheet4(F_22)'!$A18-Title_RESULTS!$H$7))*Title_RESULTS!$C$8*Partcipation!$C$26/1000),0)</f>
        <v>15.006563590411538</v>
      </c>
      <c r="D18" s="5">
        <f>(+B18+C18)*+Partcipation!$H18</f>
        <v>33.623955950824</v>
      </c>
      <c r="E18" s="5">
        <f>VLOOKUP(A18,'Value of Defferal'!$I25:$P$58,'Value of Defferal'!$K$13)</f>
        <v>45.06691965989788</v>
      </c>
      <c r="F18" s="5">
        <f>IF(+'Value of Defferal'!P25=0,0,Title_RESULTS!$H$17*Title_RESULTS!$C$7*Partcipation!$C$26*(1+Title_RESULTS!$H$18/100)^('Sheet4(F_22)'!A18-Title_RESULTS!$H$7))/1000</f>
        <v>62.783697715200006</v>
      </c>
      <c r="G18" s="5">
        <f>(+E18+F18)*Partcipation!$H18</f>
        <v>107.85061737509788</v>
      </c>
      <c r="H18" s="5">
        <f>+'Sheet5(p_5)'!$F18*'Sheet2(F_12)'!$I18</f>
        <v>631.6579934364746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19.064209777062363</v>
      </c>
      <c r="C19" s="5">
        <f>IF(+Title_RESULTS!$H$9&lt;='Sheet4(F_22)'!$A19,(+Title_RESULTS!$H$16*((1+Title_RESULTS!$H$18/100)^('Sheet4(F_22)'!$A19-Title_RESULTS!$H$7))*Title_RESULTS!$C$8*Partcipation!$C$26/1000),0)</f>
        <v>15.366721116581418</v>
      </c>
      <c r="D19" s="5">
        <f>(+B19+C19)*+Partcipation!$H19</f>
        <v>34.43093089364378</v>
      </c>
      <c r="E19" s="5">
        <f>VLOOKUP(A19,'Value of Defferal'!$I26:$P$58,'Value of Defferal'!$K$13)</f>
        <v>46.148525731735425</v>
      </c>
      <c r="F19" s="5">
        <f>IF(+'Value of Defferal'!P26=0,0,Title_RESULTS!$H$17*Title_RESULTS!$C$7*Partcipation!$C$26*(1+Title_RESULTS!$H$18/100)^('Sheet4(F_22)'!A19-Title_RESULTS!$H$7))/1000</f>
        <v>64.29050646036481</v>
      </c>
      <c r="G19" s="5">
        <f>(+E19+F19)*Partcipation!$H19</f>
        <v>110.43903219210023</v>
      </c>
      <c r="H19" s="5">
        <f>+'Sheet5(p_5)'!$F19*'Sheet2(F_12)'!$I19</f>
        <v>789.0852013009847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19.521750811711858</v>
      </c>
      <c r="C20" s="5">
        <f>IF(+Title_RESULTS!$H$9&lt;='Sheet4(F_22)'!$A20,(+Title_RESULTS!$H$16*((1+Title_RESULTS!$H$18/100)^('Sheet4(F_22)'!$A20-Title_RESULTS!$H$7))*Title_RESULTS!$C$8*Partcipation!$C$26/1000),0)</f>
        <v>15.73552242337937</v>
      </c>
      <c r="D20" s="5">
        <f>(+B20+C20)*+Partcipation!$H20</f>
        <v>35.257273235091226</v>
      </c>
      <c r="E20" s="5">
        <f>VLOOKUP(A20,'Value of Defferal'!$I27:$P$58,'Value of Defferal'!$K$13)</f>
        <v>47.256090349297075</v>
      </c>
      <c r="F20" s="5">
        <f>IF(+'Value of Defferal'!P27=0,0,Title_RESULTS!$H$17*Title_RESULTS!$C$7*Partcipation!$C$26*(1+Title_RESULTS!$H$18/100)^('Sheet4(F_22)'!A20-Title_RESULTS!$H$7))/1000</f>
        <v>65.83347861541357</v>
      </c>
      <c r="G20" s="5">
        <f>(+E20+F20)*Partcipation!$H20</f>
        <v>113.08956896471065</v>
      </c>
      <c r="H20" s="5">
        <f>+'Sheet5(p_5)'!$F20*'Sheet2(F_12)'!$I20</f>
        <v>820.0932754725702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19.990272831192943</v>
      </c>
      <c r="C21" s="5">
        <f>IF(+Title_RESULTS!$H$9&lt;='Sheet4(F_22)'!$A21,(+Title_RESULTS!$H$16*((1+Title_RESULTS!$H$18/100)^('Sheet4(F_22)'!$A21-Title_RESULTS!$H$7))*Title_RESULTS!$C$8*Partcipation!$C$26/1000),0)</f>
        <v>16.11317496154048</v>
      </c>
      <c r="D21" s="5">
        <f>(+B21+C21)*+Partcipation!$H21</f>
        <v>36.10344779273342</v>
      </c>
      <c r="E21" s="5">
        <f>VLOOKUP(A21,'Value of Defferal'!$I28:$P$58,'Value of Defferal'!$K$13)</f>
        <v>48.39023651768021</v>
      </c>
      <c r="F21" s="5">
        <f>IF(+'Value of Defferal'!P28=0,0,Title_RESULTS!$H$17*Title_RESULTS!$C$7*Partcipation!$C$26*(1+Title_RESULTS!$H$18/100)^('Sheet4(F_22)'!A21-Title_RESULTS!$H$7))/1000</f>
        <v>67.4134821021835</v>
      </c>
      <c r="G21" s="5">
        <f>(+E21+F21)*Partcipation!$H21</f>
        <v>115.8037186198637</v>
      </c>
      <c r="H21" s="5">
        <f>+'Sheet5(p_5)'!$F21*'Sheet2(F_12)'!$I21</f>
        <v>880.5332761954993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20.470039379141575</v>
      </c>
      <c r="C22" s="5">
        <f>IF(+Title_RESULTS!$H$9&lt;='Sheet4(F_22)'!$A22,(+Title_RESULTS!$H$16*((1+Title_RESULTS!$H$18/100)^('Sheet4(F_22)'!$A22-Title_RESULTS!$H$7))*Title_RESULTS!$C$8*Partcipation!$C$26/1000),0)</f>
        <v>16.499891160617445</v>
      </c>
      <c r="D22" s="5">
        <f>(+B22+C22)*+Partcipation!$H22</f>
        <v>36.96993053975902</v>
      </c>
      <c r="E22" s="5">
        <f>VLOOKUP(A22,'Value of Defferal'!$I29:$P$58,'Value of Defferal'!$K$13)</f>
        <v>49.55160219410453</v>
      </c>
      <c r="F22" s="5">
        <f>IF(+'Value of Defferal'!P29=0,0,Title_RESULTS!$H$17*Title_RESULTS!$C$7*Partcipation!$C$26*(1+Title_RESULTS!$H$18/100)^('Sheet4(F_22)'!A22-Title_RESULTS!$H$7))/1000</f>
        <v>69.03140567263588</v>
      </c>
      <c r="G22" s="5">
        <f>(+E22+F22)*Partcipation!$H22</f>
        <v>118.58300786674042</v>
      </c>
      <c r="H22" s="5">
        <f>+'Sheet5(p_5)'!$F22*'Sheet2(F_12)'!$I22</f>
        <v>908.7760504571027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20.961320324240972</v>
      </c>
      <c r="C23" s="5">
        <f>IF(+Title_RESULTS!$H$9&lt;='Sheet4(F_22)'!$A23,(+Title_RESULTS!$H$16*((1+Title_RESULTS!$H$18/100)^('Sheet4(F_22)'!$A23-Title_RESULTS!$H$7))*Title_RESULTS!$C$8*Partcipation!$C$26/1000),0)</f>
        <v>16.895888548472268</v>
      </c>
      <c r="D23" s="5">
        <f>(+B23+C23)*+Partcipation!$H23</f>
        <v>37.857208872713244</v>
      </c>
      <c r="E23" s="5">
        <f>VLOOKUP(A23,'Value of Defferal'!$I30:$P$58,'Value of Defferal'!$K$13)</f>
        <v>50.74084064676304</v>
      </c>
      <c r="F23" s="5">
        <f>IF(+'Value of Defferal'!P30=0,0,Title_RESULTS!$H$17*Title_RESULTS!$C$7*Partcipation!$C$26*(1+Title_RESULTS!$H$18/100)^('Sheet4(F_22)'!A23-Title_RESULTS!$H$7))/1000</f>
        <v>70.68815940877916</v>
      </c>
      <c r="G23" s="5">
        <f>(+E23+F23)*Partcipation!$H23</f>
        <v>121.42900005554219</v>
      </c>
      <c r="H23" s="5">
        <f>+'Sheet5(p_5)'!$F23*'Sheet2(F_12)'!$I23</f>
        <v>965.5704861111112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21.464392012022756</v>
      </c>
      <c r="C24" s="5">
        <f>IF(+Title_RESULTS!$H$9&lt;='Sheet4(F_22)'!$A24,(+Title_RESULTS!$H$16*((1+Title_RESULTS!$H$18/100)^('Sheet4(F_22)'!$A24-Title_RESULTS!$H$7))*Title_RESULTS!$C$8*Partcipation!$C$26/1000),0)</f>
        <v>17.3013898736356</v>
      </c>
      <c r="D24" s="5">
        <f>(+B24+C24)*+Partcipation!$H24</f>
        <v>38.765781885658356</v>
      </c>
      <c r="E24" s="5">
        <f>VLOOKUP(A24,'Value of Defferal'!$I31:$P$58,'Value of Defferal'!$K$13)</f>
        <v>51.958620822285354</v>
      </c>
      <c r="F24" s="5">
        <f>IF(+'Value of Defferal'!P31=0,0,Title_RESULTS!$H$17*Title_RESULTS!$C$7*Partcipation!$C$26*(1+Title_RESULTS!$H$18/100)^('Sheet4(F_22)'!A24-Title_RESULTS!$H$7))/1000</f>
        <v>72.38467523458984</v>
      </c>
      <c r="G24" s="5">
        <f>(+E24+F24)*Partcipation!$H24</f>
        <v>124.34329605687519</v>
      </c>
      <c r="H24" s="5">
        <f>+'Sheet5(p_5)'!$F24*'Sheet2(F_12)'!$I24</f>
        <v>1069.9637577048413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21.979537420311303</v>
      </c>
      <c r="C25" s="5">
        <f>IF(+Title_RESULTS!$H$9&lt;='Sheet4(F_22)'!$A25,(+Title_RESULTS!$H$16*((1+Title_RESULTS!$H$18/100)^('Sheet4(F_22)'!$A25-Title_RESULTS!$H$7))*Title_RESULTS!$C$8*Partcipation!$C$26/1000),0)</f>
        <v>17.716623230602853</v>
      </c>
      <c r="D25" s="5">
        <f>(+B25+C25)*+Partcipation!$H25</f>
        <v>39.69616065091415</v>
      </c>
      <c r="E25" s="5">
        <f>VLOOKUP(A25,'Value of Defferal'!$I32:$P$58,'Value of Defferal'!$K$13)</f>
        <v>53.2056277220202</v>
      </c>
      <c r="F25" s="5">
        <f>IF(+'Value of Defferal'!P32=0,0,Title_RESULTS!$H$17*Title_RESULTS!$C$7*Partcipation!$C$26*(1+Title_RESULTS!$H$18/100)^('Sheet4(F_22)'!A25-Title_RESULTS!$H$7))/1000</f>
        <v>74.12190744021999</v>
      </c>
      <c r="G25" s="5">
        <f>(+E25+F25)*Partcipation!$H25</f>
        <v>127.3275351622402</v>
      </c>
      <c r="H25" s="5">
        <f>+'Sheet5(p_5)'!$F25*'Sheet2(F_12)'!$I25</f>
        <v>1146.3209388185655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22.507046318398775</v>
      </c>
      <c r="C26" s="5">
        <f>IF(+Title_RESULTS!$H$9&lt;='Sheet4(F_22)'!$A26,(+Title_RESULTS!$H$16*((1+Title_RESULTS!$H$18/100)^('Sheet4(F_22)'!$A26-Title_RESULTS!$H$7))*Title_RESULTS!$C$8*Partcipation!$C$26/1000),0)</f>
        <v>18.141822188137322</v>
      </c>
      <c r="D26" s="5">
        <f>(+B26+C26)*+Partcipation!$H26</f>
        <v>40.6488685065361</v>
      </c>
      <c r="E26" s="5">
        <f>VLOOKUP(A26,'Value of Defferal'!$I33:$P$58,'Value of Defferal'!$K$13)</f>
        <v>54.4825627873487</v>
      </c>
      <c r="F26" s="5">
        <f>IF(+'Value of Defferal'!P33=0,0,Title_RESULTS!$H$17*Title_RESULTS!$C$7*Partcipation!$C$26*(1+Title_RESULTS!$H$18/100)^('Sheet4(F_22)'!A26-Title_RESULTS!$H$7))/1000</f>
        <v>75.90083321878528</v>
      </c>
      <c r="G26" s="5">
        <f>(+E26+F26)*Partcipation!$H26</f>
        <v>130.38339600613398</v>
      </c>
      <c r="H26" s="5">
        <f>+'Sheet5(p_5)'!$F26*'Sheet2(F_12)'!$I26</f>
        <v>1280.3769822433198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23.04721543004035</v>
      </c>
      <c r="C27" s="5">
        <f>IF(+Title_RESULTS!$H$9&lt;='Sheet4(F_22)'!$A27,(+Title_RESULTS!$H$16*((1+Title_RESULTS!$H$18/100)^('Sheet4(F_22)'!$A27-Title_RESULTS!$H$7))*Title_RESULTS!$C$8*Partcipation!$C$26/1000),0)</f>
        <v>18.57722592065262</v>
      </c>
      <c r="D27" s="5">
        <f>(+B27+C27)*+Partcipation!$H27</f>
        <v>41.62444135069297</v>
      </c>
      <c r="E27" s="5">
        <f>VLOOKUP(A27,'Value of Defferal'!$I34:$P$58,'Value of Defferal'!$K$13)</f>
        <v>55.79014429424507</v>
      </c>
      <c r="F27" s="5">
        <f>IF(+'Value of Defferal'!P34=0,0,Title_RESULTS!$H$17*Title_RESULTS!$C$7*Partcipation!$C$26*(1+Title_RESULTS!$H$18/100)^('Sheet4(F_22)'!A27-Title_RESULTS!$H$7))/1000</f>
        <v>77.72245321603614</v>
      </c>
      <c r="G27" s="5">
        <f>(+E27+F27)*Partcipation!$H27</f>
        <v>133.5125975102812</v>
      </c>
      <c r="H27" s="5">
        <f>+'Sheet5(p_5)'!$F27*'Sheet2(F_12)'!$I27</f>
        <v>1275.6154579817162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23.600348600361315</v>
      </c>
      <c r="C28" s="5">
        <f>IF(+Title_RESULTS!$H$9&lt;='Sheet4(F_22)'!$A28,(+Title_RESULTS!$H$16*((1+Title_RESULTS!$H$18/100)^('Sheet4(F_22)'!$A28-Title_RESULTS!$H$7))*Title_RESULTS!$C$8*Partcipation!$C$26/1000),0)</f>
        <v>19.023079342748282</v>
      </c>
      <c r="D28" s="5">
        <f>(+B28+C28)*+Partcipation!$H28</f>
        <v>42.6234279431096</v>
      </c>
      <c r="E28" s="5">
        <f>VLOOKUP(A28,'Value of Defferal'!$I35:$P$58,'Value of Defferal'!$K$13)</f>
        <v>57.12910775730695</v>
      </c>
      <c r="F28" s="5">
        <f>IF(+'Value of Defferal'!P35=0,0,Title_RESULTS!$H$17*Title_RESULTS!$C$7*Partcipation!$C$26*(1+Title_RESULTS!$H$18/100)^('Sheet4(F_22)'!A28-Title_RESULTS!$H$7))/1000</f>
        <v>79.587792093221</v>
      </c>
      <c r="G28" s="5">
        <f>(+E28+F28)*Partcipation!$H28</f>
        <v>136.71689985052794</v>
      </c>
      <c r="H28" s="5">
        <f>+'Sheet5(p_5)'!$F28*'Sheet2(F_12)'!$I28</f>
        <v>1394.1297982330736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24.166756966769988</v>
      </c>
      <c r="C29" s="5">
        <f>IF(+Title_RESULTS!$H$9&lt;='Sheet4(F_22)'!$A29,(+Title_RESULTS!$H$16*((1+Title_RESULTS!$H$18/100)^('Sheet4(F_22)'!$A29-Title_RESULTS!$H$7))*Title_RESULTS!$C$8*Partcipation!$C$26/1000),0)</f>
        <v>19.47963324697424</v>
      </c>
      <c r="D29" s="5">
        <f>(+B29+C29)*+Partcipation!$H29</f>
        <v>43.646390213744226</v>
      </c>
      <c r="E29" s="5">
        <f>VLOOKUP(A29,'Value of Defferal'!$I36:$P$58,'Value of Defferal'!$K$13)</f>
        <v>58.50020634348232</v>
      </c>
      <c r="F29" s="5">
        <f>IF(+'Value of Defferal'!P36=0,0,Title_RESULTS!$H$17*Title_RESULTS!$C$7*Partcipation!$C$26*(1+Title_RESULTS!$H$18/100)^('Sheet4(F_22)'!A29-Title_RESULTS!$H$7))/1000</f>
        <v>81.4978991034583</v>
      </c>
      <c r="G29" s="5">
        <f>(+E29+F29)*Partcipation!$H29</f>
        <v>139.9981054469406</v>
      </c>
      <c r="H29" s="5">
        <f>+'Sheet5(p_5)'!$F29*'Sheet2(F_12)'!$I29</f>
        <v>1486.712614275668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24.746759133972464</v>
      </c>
      <c r="C30" s="5">
        <f>IF(+Title_RESULTS!$H$9&lt;='Sheet4(F_22)'!$A30,(+Title_RESULTS!$H$16*((1+Title_RESULTS!$H$18/100)^('Sheet4(F_22)'!$A30-Title_RESULTS!$H$7))*Title_RESULTS!$C$8*Partcipation!$C$26/1000),0)</f>
        <v>19.94714444490162</v>
      </c>
      <c r="D30" s="5">
        <f>(+B30+C30)*+Partcipation!$H30</f>
        <v>44.693903578874085</v>
      </c>
      <c r="E30" s="5">
        <f>VLOOKUP(A30,'Value of Defferal'!$I37:$P$58,'Value of Defferal'!$K$13)</f>
        <v>59.90421129572589</v>
      </c>
      <c r="F30" s="5">
        <f>IF(+'Value of Defferal'!P37=0,0,Title_RESULTS!$H$17*Title_RESULTS!$C$7*Partcipation!$C$26*(1+Title_RESULTS!$H$18/100)^('Sheet4(F_22)'!A30-Title_RESULTS!$H$7))/1000</f>
        <v>83.4538486819413</v>
      </c>
      <c r="G30" s="5">
        <f>(+E30+F30)*Partcipation!$H30</f>
        <v>143.35805997766718</v>
      </c>
      <c r="H30" s="5">
        <f>+'Sheet5(p_5)'!$F30*'Sheet2(F_12)'!$I30</f>
        <v>1555.937328586498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298.31808859260445</v>
      </c>
      <c r="C32" s="5">
        <f t="shared" si="1"/>
        <v>240.45952730491632</v>
      </c>
      <c r="D32" s="5">
        <f t="shared" si="1"/>
        <v>538.7776158975207</v>
      </c>
      <c r="E32" s="5">
        <f t="shared" si="1"/>
        <v>722.1353598522617</v>
      </c>
      <c r="F32" s="5">
        <f t="shared" si="1"/>
        <v>1006.0223437628285</v>
      </c>
      <c r="G32" s="5">
        <f t="shared" si="1"/>
        <v>1728.1577036150904</v>
      </c>
      <c r="H32" s="5">
        <f t="shared" si="1"/>
        <v>14695.402564887912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180.6792181344993</v>
      </c>
      <c r="C34" s="5">
        <f>NPV(Title_RESULTS!$C$37,'Sheet4(F_22)'!C17:C31)+'Sheet4(F_22)'!C16</f>
        <v>145.6366242872228</v>
      </c>
      <c r="D34" s="5">
        <f>NPV(Title_RESULTS!$C$37,'Sheet4(F_22)'!D17:D31)+'Sheet4(F_22)'!D16</f>
        <v>326.3158424217221</v>
      </c>
      <c r="E34" s="5">
        <f>NPV(Title_RESULTS!$C$37,'Sheet4(F_22)'!E17:E31)+'Sheet4(F_22)'!E16</f>
        <v>437.36822269454746</v>
      </c>
      <c r="F34" s="5">
        <f>NPV(Title_RESULTS!$C$37,'Sheet4(F_22)'!F17:F31)+'Sheet4(F_22)'!F16</f>
        <v>609.3071035499073</v>
      </c>
      <c r="G34" s="5">
        <f>NPV(Title_RESULTS!$C$37,'Sheet4(F_22)'!G17:G31)+'Sheet4(F_22)'!G16</f>
        <v>1046.6753262444547</v>
      </c>
      <c r="H34" s="5">
        <f>NPV(Title_RESULTS!$C$37,'Sheet4(F_22)'!H17:H31)+'Sheet4(F_22)'!H16</f>
        <v>8417.242121118175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Efficient Exhaust Hood</v>
      </c>
      <c r="P2" t="s">
        <v>121</v>
      </c>
    </row>
    <row r="3" ht="12.75">
      <c r="P3" s="35">
        <f>+Title_RESULTS!I4</f>
        <v>43599.31870011574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40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40</v>
      </c>
      <c r="E16" s="5">
        <f>IF(+'Sheet9(F_25)'!$A16&gt;=Title_RESULTS!$H$8,0,((Partcipation!$B16-Partcipation!$B15)*(Title_RESULTS!$C$39*((1+Title_RESULTS!$C$41/100)^('Sheet9(F_25)'!$A16-Title_RESULTS!$H$7)))/1000))</f>
        <v>937.11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937.11</v>
      </c>
      <c r="H16" s="5">
        <f>IF(Partcipation!$B17&lt;Partcipation!$B16,0,IF(Partcipation!$B16=0,0,(Partcipation!$B16-Partcipation!$B15)*(+Title_RESULTS!$C$29*(1+Title_RESULTS!$C$30/100)^(+'Sheet8(F_24)'!$A16-Title_RESULTS!$H$7))/1000))</f>
        <v>1988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1988</v>
      </c>
      <c r="K16" s="5">
        <f>(+Partcipation!$B15+(Partcipation!$B16-Partcipation!$B15)/2)*(+Title_RESULTS!$C$14)/1000</f>
        <v>4033.25</v>
      </c>
      <c r="L16" s="5">
        <f>($K16)*Partcipation!$E73*Title_RESULTS!$C$12/100</f>
        <v>98.19401033253648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179.86960499999998</v>
      </c>
      <c r="N16" s="5">
        <f>'Sheet2(F_12)'!$I16*('Sheet6(p_6)'!$L16+'Sheet6(p_6)'!$M16)</f>
        <v>278.0636153325365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40.96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40.96</v>
      </c>
      <c r="E17" s="5">
        <f>IF(+'Sheet9(F_25)'!$A17&gt;=Title_RESULTS!$H$8,0,((Partcipation!$B17-Partcipation!$B16)*(Title_RESULTS!$C$39*((1+Title_RESULTS!$C$41/100)^('Sheet9(F_25)'!$A17-Title_RESULTS!$H$7)))/1000))</f>
        <v>937.11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937.11</v>
      </c>
      <c r="H17" s="5">
        <f>IF(Partcipation!$B18&lt;Partcipation!$B17,0,IF(Partcipation!$B17=0,0,(Partcipation!$B17-Partcipation!$B16)*(+Title_RESULTS!$C$29*(1+Title_RESULTS!$C$30/100)^(+'Sheet8(F_24)'!$A17-Title_RESULTS!$H$7))/1000))</f>
        <v>2033.724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2033.724</v>
      </c>
      <c r="K17" s="5">
        <f>(+Partcipation!$B16+(Partcipation!$B17-Partcipation!$B16)/2)*(+Title_RESULTS!$C$14)/1000</f>
        <v>12099.75</v>
      </c>
      <c r="L17" s="5">
        <f>($K17)*Partcipation!$E74*Title_RESULTS!$C$12/100</f>
        <v>308.60221611757134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545.00490315</v>
      </c>
      <c r="N17" s="5">
        <f>'Sheet2(F_12)'!$I17*('Sheet6(p_6)'!$L17+'Sheet6(p_6)'!$M17)</f>
        <v>853.6071192675713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41.943039999999996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41.943039999999996</v>
      </c>
      <c r="E18" s="5">
        <f>IF(+'Sheet9(F_25)'!$A18&gt;=Title_RESULTS!$H$8,0,((Partcipation!$B18-Partcipation!$B17)*(Title_RESULTS!$C$39*((1+Title_RESULTS!$C$41/100)^('Sheet9(F_25)'!$A18-Title_RESULTS!$H$7)))/1000))</f>
        <v>937.11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937.11</v>
      </c>
      <c r="H18" s="5">
        <f>IF(Partcipation!$B19&lt;Partcipation!$B18,0,IF(Partcipation!$B18=0,0,(Partcipation!$B18-Partcipation!$B17)*(+Title_RESULTS!$C$29*(1+Title_RESULTS!$C$30/100)^(+'Sheet8(F_24)'!$A18-Title_RESULTS!$H$7))/1000))</f>
        <v>2080.4996519999995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2080.4996519999995</v>
      </c>
      <c r="K18" s="5">
        <f>(+Partcipation!$B17+(Partcipation!$B18-Partcipation!$B17)/2)*(+Title_RESULTS!$C$14)/1000</f>
        <v>20166.25</v>
      </c>
      <c r="L18" s="5">
        <f>($K18)*Partcipation!$E75*Title_RESULTS!$C$12/100</f>
        <v>533.2828308509136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917.4249203024999</v>
      </c>
      <c r="N18" s="5">
        <f>'Sheet2(F_12)'!$I18*('Sheet6(p_6)'!$L18+'Sheet6(p_6)'!$M18)</f>
        <v>1450.7077511534135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24199.5</v>
      </c>
      <c r="L19" s="5">
        <f>($K19)*Partcipation!$E76*Title_RESULTS!$C$12/100</f>
        <v>634.6935651813678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1111.9190034066298</v>
      </c>
      <c r="N19" s="5">
        <f>'Sheet2(F_12)'!$I19*('Sheet6(p_6)'!$L19+'Sheet6(p_6)'!$M19)</f>
        <v>1746.6125685879977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24199.5</v>
      </c>
      <c r="L20" s="5">
        <f>($K20)*Partcipation!$E77*Title_RESULTS!$C$12/100</f>
        <v>670.6932150813286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1123.0381934406962</v>
      </c>
      <c r="N20" s="5">
        <f>'Sheet2(F_12)'!$I20*('Sheet6(p_6)'!$L20+'Sheet6(p_6)'!$M20)</f>
        <v>1793.7314085220248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24199.5</v>
      </c>
      <c r="L21" s="5">
        <f>($K21)*Partcipation!$E78*Title_RESULTS!$C$12/100</f>
        <v>709.1901182561792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1134.2685753751032</v>
      </c>
      <c r="N21" s="5">
        <f>'Sheet2(F_12)'!$I21*('Sheet6(p_6)'!$L21+'Sheet6(p_6)'!$M21)</f>
        <v>1843.4586936312824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24199.5</v>
      </c>
      <c r="L22" s="5">
        <f>($K22)*Partcipation!$E79*Title_RESULTS!$C$12/100</f>
        <v>741.2555583160342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1145.6112611288543</v>
      </c>
      <c r="N22" s="5">
        <f>'Sheet2(F_12)'!$I22*('Sheet6(p_6)'!$L22+'Sheet6(p_6)'!$M22)</f>
        <v>1886.8668194448885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24199.5</v>
      </c>
      <c r="L23" s="5">
        <f>($K23)*Partcipation!$E80*Title_RESULTS!$C$12/100</f>
        <v>784.901403070533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1157.0673737401426</v>
      </c>
      <c r="N23" s="5">
        <f>'Sheet2(F_12)'!$I23*('Sheet6(p_6)'!$L23+'Sheet6(p_6)'!$M23)</f>
        <v>1941.9687768106755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24199.5</v>
      </c>
      <c r="L24" s="5">
        <f>($K24)*Partcipation!$E81*Title_RESULTS!$C$12/100</f>
        <v>859.2277289059788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1168.6380474775444</v>
      </c>
      <c r="N24" s="5">
        <f>'Sheet2(F_12)'!$I24*('Sheet6(p_6)'!$L24+'Sheet6(p_6)'!$M24)</f>
        <v>2027.865776383523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24199.5</v>
      </c>
      <c r="L25" s="5">
        <f>($K25)*Partcipation!$E82*Title_RESULTS!$C$12/100</f>
        <v>903.003446938346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1180.3244279523199</v>
      </c>
      <c r="N25" s="5">
        <f>'Sheet2(F_12)'!$I25*('Sheet6(p_6)'!$L25+'Sheet6(p_6)'!$M25)</f>
        <v>2083.327874890666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24199.5</v>
      </c>
      <c r="L26" s="5">
        <f>($K26)*Partcipation!$E83*Title_RESULTS!$C$12/100</f>
        <v>983.8692000784697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1192.127672231843</v>
      </c>
      <c r="N26" s="5">
        <f>'Sheet2(F_12)'!$I26*('Sheet6(p_6)'!$L26+'Sheet6(p_6)'!$M26)</f>
        <v>2175.996872310313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24199.5</v>
      </c>
      <c r="L27" s="5">
        <f>($K27)*Partcipation!$E84*Title_RESULTS!$C$12/100</f>
        <v>1017.7852199180861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1204.0489489541612</v>
      </c>
      <c r="N27" s="5">
        <f>'Sheet2(F_12)'!$I27*('Sheet6(p_6)'!$L27+'Sheet6(p_6)'!$M27)</f>
        <v>2221.8341688722476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24199.5</v>
      </c>
      <c r="L28" s="5">
        <f>($K28)*Partcipation!$E85*Title_RESULTS!$C$12/100</f>
        <v>1090.4052618380065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1216.0894384437029</v>
      </c>
      <c r="N28" s="5">
        <f>'Sheet2(F_12)'!$I28*('Sheet6(p_6)'!$L28+'Sheet6(p_6)'!$M28)</f>
        <v>2306.4947002817094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24199.5</v>
      </c>
      <c r="L29" s="5">
        <f>($K29)*Partcipation!$E86*Title_RESULTS!$C$12/100</f>
        <v>1113.2769307116102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1228.25033282814</v>
      </c>
      <c r="N29" s="5">
        <f>'Sheet2(F_12)'!$I29*('Sheet6(p_6)'!$L29+'Sheet6(p_6)'!$M29)</f>
        <v>2341.5272635397505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24199.5</v>
      </c>
      <c r="L30" s="5">
        <f>($K30)*Partcipation!$E87*Title_RESULTS!$C$12/100</f>
        <v>1186.8030442239465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1240.5328361564216</v>
      </c>
      <c r="N30" s="5">
        <f>'Sheet2(F_12)'!$I30*('Sheet6(p_6)'!$L30+'Sheet6(p_6)'!$M30)</f>
        <v>2427.335880380368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122.90304</v>
      </c>
      <c r="C32" s="5">
        <f t="shared" si="4"/>
        <v>0</v>
      </c>
      <c r="D32" s="5">
        <f t="shared" si="4"/>
        <v>122.90304</v>
      </c>
      <c r="E32" s="5">
        <f t="shared" si="4"/>
        <v>2811.33</v>
      </c>
      <c r="F32" s="5">
        <f t="shared" si="4"/>
        <v>0</v>
      </c>
      <c r="G32" s="5">
        <f t="shared" si="4"/>
        <v>2811.33</v>
      </c>
      <c r="H32" s="5">
        <f t="shared" si="4"/>
        <v>6102.223652</v>
      </c>
      <c r="I32" s="5">
        <f t="shared" si="4"/>
        <v>0</v>
      </c>
      <c r="J32" s="5">
        <f t="shared" si="4"/>
        <v>6102.223652</v>
      </c>
      <c r="K32" s="5">
        <f t="shared" si="4"/>
        <v>326693.25</v>
      </c>
      <c r="L32" s="5">
        <f t="shared" si="4"/>
        <v>11635.183749820908</v>
      </c>
      <c r="M32" s="5">
        <f t="shared" si="4"/>
        <v>15744.215539588062</v>
      </c>
      <c r="N32" s="5">
        <f t="shared" si="4"/>
        <v>27379.399289408964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114.83173044385765</v>
      </c>
      <c r="C34" s="5">
        <f>NPV(Title_RESULTS!$C$37,'Sheet6(p_6)'!C17:C31)+'Sheet6(p_6)'!C16</f>
        <v>0</v>
      </c>
      <c r="D34" s="5">
        <f>NPV(Title_RESULTS!$C$37,'Sheet6(p_6)'!D17:D31)+'Sheet6(p_6)'!D16</f>
        <v>114.83173044385765</v>
      </c>
      <c r="E34" s="5">
        <f>NPV(Title_RESULTS!$C$37,'Sheet6(p_6)'!E17:E31)+'Sheet6(p_6)'!E16</f>
        <v>2629.5450214733373</v>
      </c>
      <c r="F34" s="5">
        <f>NPV(Title_RESULTS!$C$37,'Sheet6(p_6)'!F17:F31)+'Sheet6(p_6)'!F16</f>
        <v>0</v>
      </c>
      <c r="G34" s="5">
        <f>NPV(Title_RESULTS!$C$37,'Sheet6(p_6)'!G17:G31)+'Sheet6(p_6)'!G16</f>
        <v>2629.5450214733373</v>
      </c>
      <c r="H34" s="5">
        <f>NPV(Title_RESULTS!$C$37,'Sheet6(p_6)'!H17:H31)+'Sheet6(p_6)'!H16</f>
        <v>5701.731353249341</v>
      </c>
      <c r="I34" s="5">
        <f>NPV(Title_RESULTS!$C$37,'Sheet6(p_6)'!I17:I31)+'Sheet6(p_6)'!I16</f>
        <v>0</v>
      </c>
      <c r="J34" s="5">
        <f>NPV(Title_RESULTS!$C$37,'Sheet6(p_6)'!J17:J31)+'Sheet6(p_6)'!J16</f>
        <v>5701.731353249341</v>
      </c>
      <c r="K34" s="5"/>
      <c r="L34" s="5">
        <f>NPV(Title_RESULTS!$C$37,'Sheet6(p_6)'!L17:L31)+'Sheet6(p_6)'!L16</f>
        <v>6714.081869557242</v>
      </c>
      <c r="M34" s="5">
        <f>NPV(Title_RESULTS!$C$37,'Sheet6(p_6)'!M17:M31)+'Sheet6(p_6)'!M16</f>
        <v>9529.898429818071</v>
      </c>
      <c r="N34" s="5">
        <f>NPV(Title_RESULTS!$C$37,'Sheet6(p_6)'!N17:N31)+'Sheet6(p_6)'!N16</f>
        <v>16243.980299375315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Efficient Exhaust Hood</v>
      </c>
      <c r="M2" t="s">
        <v>55</v>
      </c>
    </row>
    <row r="3" ht="12.75">
      <c r="M3" s="35">
        <f>+Title_RESULTS!I4</f>
        <v>43599.31870011574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IF(A16&gt;=(Title_RESULTS!$H$7+Title_RESULTS!$C$17),0,(+'Sheet6(p_6)'!$J16))</f>
        <v>1988</v>
      </c>
      <c r="E16" s="5">
        <f>IF(A16&gt;=(Title_RESULTS!$H$7+Title_RESULTS!$C$17),0,(+'f-11B'!$N15))</f>
        <v>0</v>
      </c>
      <c r="F16" s="5">
        <f>IF(A16&gt;=(Title_RESULTS!$H$7+Title_RESULTS!$C$17),0,(SUM(B16:E16)))</f>
        <v>2028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123.41020136302997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123.41020136302997</v>
      </c>
      <c r="L16" s="23">
        <f>IF(A16&gt;=(Title_RESULTS!$H$7+Title_RESULTS!$C$17),0,(+$K16-$F16))</f>
        <v>-1904.58979863697</v>
      </c>
      <c r="M16" s="23">
        <f>IF(A16&gt;=(Title_RESULTS!$H$7+Title_RESULTS!$C$17),0,(+$L16/(1+Title_RESULTS!$C$37)^('Sheet7(F_23)'!$A16-Title_RESULTS!$H$7)))</f>
        <v>-1904.58979863697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IF(A17&gt;=(Title_RESULTS!$H$7+Title_RESULTS!$C$17),0,(+'Sheet6(p_6)'!$J17))</f>
        <v>2033.724</v>
      </c>
      <c r="E17" s="5">
        <f>IF(A17&gt;=(Title_RESULTS!$H$7+Title_RESULTS!$C$17),0,(+'f-11B'!$N16))</f>
        <v>0</v>
      </c>
      <c r="F17" s="5">
        <f>IF(A17&gt;=(Title_RESULTS!$H$7+Title_RESULTS!$C$17),0,(SUM(B17:E17)))</f>
        <v>2074.6839999999997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138.1587630135956</v>
      </c>
      <c r="I17" s="5">
        <f>IF(A17&gt;=(Title_RESULTS!$H$7+Title_RESULTS!$C$17),0,(+'Sheet4(F_22)'!$H17))</f>
        <v>367.2192027074543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505.3779657210499</v>
      </c>
      <c r="L17" s="23">
        <f>IF(A17&gt;=(Title_RESULTS!$H$7+Title_RESULTS!$C$17),0,(+$K17-$F17))</f>
        <v>-1569.30603427895</v>
      </c>
      <c r="M17" s="23">
        <f>IF(A17&gt;=(Title_RESULTS!$H$7+Title_RESULTS!$C$17),0,(+M16+$L17/(1+Title_RESULTS!$C$37)^('Sheet7(F_23)'!$A17-Title_RESULTS!$H$7)))</f>
        <v>-3370.135217276258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IF(A18&gt;=(Title_RESULTS!$H$7+Title_RESULTS!$C$17),0,(+'Sheet6(p_6)'!$J18))</f>
        <v>2080.4996519999995</v>
      </c>
      <c r="E18" s="5">
        <f>IF(A18&gt;=(Title_RESULTS!$H$7+Title_RESULTS!$C$17),0,(+'f-11B'!$N17))</f>
        <v>0</v>
      </c>
      <c r="F18" s="5">
        <f>IF(A18&gt;=(Title_RESULTS!$H$7+Title_RESULTS!$C$17),0,(SUM(B18:E18)))</f>
        <v>2122.4426919999996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141.47457332592188</v>
      </c>
      <c r="I18" s="5">
        <f>IF(A18&gt;=(Title_RESULTS!$H$7+Title_RESULTS!$C$17),0,(+'Sheet4(F_22)'!$H18))</f>
        <v>631.6579934364746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773.1325667623964</v>
      </c>
      <c r="L18" s="23">
        <f>IF(A18&gt;=(Title_RESULTS!$H$7+Title_RESULTS!$C$17),0,(+$K18-$F18))</f>
        <v>-1349.3101252376032</v>
      </c>
      <c r="M18" s="23">
        <f>IF(A18&gt;=(Title_RESULTS!$H$7+Title_RESULTS!$C$17),0,(+M17+$L18/(1+Title_RESULTS!$C$37)^('Sheet7(F_23)'!$A18-Title_RESULTS!$H$7)))</f>
        <v>-4546.9146091706325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398.8809674987142</v>
      </c>
      <c r="H19" s="5">
        <f>IF(A19&gt;=(Title_RESULTS!$H$7+Title_RESULTS!$C$17),0,(+'Sheet4(F_22)'!$D19+'Sheet4(F_22)'!$G19))</f>
        <v>144.86996308574402</v>
      </c>
      <c r="I19" s="5">
        <f>IF(A19&gt;=(Title_RESULTS!$H$7+Title_RESULTS!$C$17),0,(+'Sheet4(F_22)'!$H19))</f>
        <v>789.0852013009847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1332.8361318854431</v>
      </c>
      <c r="L19" s="23">
        <f>IF(A19&gt;=(Title_RESULTS!$H$7+Title_RESULTS!$C$17),0,(+$K19-$F19))</f>
        <v>1332.8361318854431</v>
      </c>
      <c r="M19" s="23">
        <f>IF(A19&gt;=(Title_RESULTS!$H$7+Title_RESULTS!$C$17),0,(+M18+$L19/(1+Title_RESULTS!$C$37)^('Sheet7(F_23)'!$A19-Title_RESULTS!$H$7)))</f>
        <v>-3461.36001421157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409.5170359030184</v>
      </c>
      <c r="H20" s="5">
        <f>IF(A20&gt;=(Title_RESULTS!$H$7+Title_RESULTS!$C$17),0,(+'Sheet4(F_22)'!$D20+'Sheet4(F_22)'!$G20))</f>
        <v>148.34684219980187</v>
      </c>
      <c r="I20" s="5">
        <f>IF(A20&gt;=(Title_RESULTS!$H$7+Title_RESULTS!$C$17),0,(+'Sheet4(F_22)'!$H20))</f>
        <v>820.0932754725702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1377.9571535753905</v>
      </c>
      <c r="L20" s="23">
        <f>IF(A20&gt;=(Title_RESULTS!$H$7+Title_RESULTS!$C$17),0,(+$K20-$F20))</f>
        <v>1377.9571535753905</v>
      </c>
      <c r="M20" s="23">
        <f>IF(A20&gt;=(Title_RESULTS!$H$7+Title_RESULTS!$C$17),0,(+M19+$L20/(1+Title_RESULTS!$C$37)^('Sheet7(F_23)'!$A20-Title_RESULTS!$H$7)))</f>
        <v>-2413.2611177958843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421.15296066923463</v>
      </c>
      <c r="H21" s="5">
        <f>IF(A21&gt;=(Title_RESULTS!$H$7+Title_RESULTS!$C$17),0,(+'Sheet4(F_22)'!$D21+'Sheet4(F_22)'!$G21))</f>
        <v>151.90716641259712</v>
      </c>
      <c r="I21" s="5">
        <f>IF(A21&gt;=(Title_RESULTS!$H$7+Title_RESULTS!$C$17),0,(+'Sheet4(F_22)'!$H21))</f>
        <v>880.5332761954993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1453.5934032773312</v>
      </c>
      <c r="L21" s="23">
        <f>IF(A21&gt;=(Title_RESULTS!$H$7+Title_RESULTS!$C$17),0,(+$K21-$F21))</f>
        <v>1453.5934032773312</v>
      </c>
      <c r="M21" s="23">
        <f>IF(A21&gt;=(Title_RESULTS!$H$7+Title_RESULTS!$C$17),0,(+M20+$L21/(1+Title_RESULTS!$C$37)^('Sheet7(F_23)'!$A21-Title_RESULTS!$H$7)))</f>
        <v>-1380.7347982925385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434.18459524315193</v>
      </c>
      <c r="H22" s="5">
        <f>IF(A22&gt;=(Title_RESULTS!$H$7+Title_RESULTS!$C$17),0,(+'Sheet4(F_22)'!$D22+'Sheet4(F_22)'!$G22))</f>
        <v>155.55293840649944</v>
      </c>
      <c r="I22" s="5">
        <f>IF(A22&gt;=(Title_RESULTS!$H$7+Title_RESULTS!$C$17),0,(+'Sheet4(F_22)'!$H22))</f>
        <v>908.7760504571027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1498.513584106754</v>
      </c>
      <c r="L22" s="23">
        <f>IF(A22&gt;=(Title_RESULTS!$H$7+Title_RESULTS!$C$17),0,(+$K22-$F22))</f>
        <v>1498.513584106754</v>
      </c>
      <c r="M22" s="23">
        <f>IF(A22&gt;=(Title_RESULTS!$H$7+Title_RESULTS!$C$17),0,(+M21+$L22/(1+Title_RESULTS!$C$37)^('Sheet7(F_23)'!$A22-Title_RESULTS!$H$7)))</f>
        <v>-386.6795808431765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445.872801240198</v>
      </c>
      <c r="H23" s="5">
        <f>IF(A23&gt;=(Title_RESULTS!$H$7+Title_RESULTS!$C$17),0,(+'Sheet4(F_22)'!$D23+'Sheet4(F_22)'!$G23))</f>
        <v>159.28620892825543</v>
      </c>
      <c r="I23" s="5">
        <f>IF(A23&gt;=(Title_RESULTS!$H$7+Title_RESULTS!$C$17),0,(+'Sheet4(F_22)'!$H23))</f>
        <v>965.5704861111112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1570.7294962795645</v>
      </c>
      <c r="L23" s="23">
        <f>IF(A23&gt;=(Title_RESULTS!$H$7+Title_RESULTS!$C$17),0,(+$K23-$F23))</f>
        <v>1570.7294962795645</v>
      </c>
      <c r="M23" s="23">
        <f>IF(A23&gt;=(Title_RESULTS!$H$7+Title_RESULTS!$C$17),0,(+M22+$L23/(1+Title_RESULTS!$C$37)^('Sheet7(F_23)'!$A23-Title_RESULTS!$H$7)))</f>
        <v>586.3876819598224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453.0956686601222</v>
      </c>
      <c r="H24" s="5">
        <f>IF(A24&gt;=(Title_RESULTS!$H$7+Title_RESULTS!$C$17),0,(+'Sheet4(F_22)'!$D24+'Sheet4(F_22)'!$G24))</f>
        <v>163.10907794253353</v>
      </c>
      <c r="I24" s="5">
        <f>IF(A24&gt;=(Title_RESULTS!$H$7+Title_RESULTS!$C$17),0,(+'Sheet4(F_22)'!$H24))</f>
        <v>1069.9637577048413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1686.1685043074972</v>
      </c>
      <c r="L24" s="23">
        <f>IF(A24&gt;=(Title_RESULTS!$H$7+Title_RESULTS!$C$17),0,(+$K24-$F24))</f>
        <v>1686.1685043074972</v>
      </c>
      <c r="M24" s="23">
        <f>IF(A24&gt;=(Title_RESULTS!$H$7+Title_RESULTS!$C$17),0,(+M23+$L24/(1+Title_RESULTS!$C$37)^('Sheet7(F_23)'!$A24-Title_RESULTS!$H$7)))</f>
        <v>1561.9029539562484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465.4032451641199</v>
      </c>
      <c r="H25" s="5">
        <f>IF(A25&gt;=(Title_RESULTS!$H$7+Title_RESULTS!$C$17),0,(+'Sheet4(F_22)'!$D25+'Sheet4(F_22)'!$G25))</f>
        <v>167.02369581315435</v>
      </c>
      <c r="I25" s="5">
        <f>IF(A25&gt;=(Title_RESULTS!$H$7+Title_RESULTS!$C$17),0,(+'Sheet4(F_22)'!$H25))</f>
        <v>1146.3209388185655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1778.7478797958397</v>
      </c>
      <c r="L25" s="23">
        <f>IF(A25&gt;=(Title_RESULTS!$H$7+Title_RESULTS!$C$17),0,(+$K25-$F25))</f>
        <v>1778.7478797958397</v>
      </c>
      <c r="M25" s="23">
        <f>IF(A25&gt;=(Title_RESULTS!$H$7+Title_RESULTS!$C$17),0,(+M24+$L25/(1+Title_RESULTS!$C$37)^('Sheet7(F_23)'!$A25-Title_RESULTS!$H$7)))</f>
        <v>2522.9377951561028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472.8552036803358</v>
      </c>
      <c r="H26" s="5">
        <f>IF(A26&gt;=(Title_RESULTS!$H$7+Title_RESULTS!$C$17),0,(+'Sheet4(F_22)'!$D26+'Sheet4(F_22)'!$G26))</f>
        <v>171.03226451267008</v>
      </c>
      <c r="I26" s="5">
        <f>IF(A26&gt;=(Title_RESULTS!$H$7+Title_RESULTS!$C$17),0,(+'Sheet4(F_22)'!$H26))</f>
        <v>1280.3769822433198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1924.2644504363257</v>
      </c>
      <c r="L26" s="23">
        <f>IF(A26&gt;=(Title_RESULTS!$H$7+Title_RESULTS!$C$17),0,(+$K26-$F26))</f>
        <v>1924.2644504363257</v>
      </c>
      <c r="M26" s="23">
        <f>IF(A26&gt;=(Title_RESULTS!$H$7+Title_RESULTS!$C$17),0,(+M25+$L26/(1+Title_RESULTS!$C$37)^('Sheet7(F_23)'!$A26-Title_RESULTS!$H$7)))</f>
        <v>3493.852618014633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489.1780528122983</v>
      </c>
      <c r="H27" s="5">
        <f>IF(A27&gt;=(Title_RESULTS!$H$7+Title_RESULTS!$C$17),0,(+'Sheet4(F_22)'!$D27+'Sheet4(F_22)'!$G27))</f>
        <v>175.13703886097417</v>
      </c>
      <c r="I27" s="5">
        <f>IF(A27&gt;=(Title_RESULTS!$H$7+Title_RESULTS!$C$17),0,(+'Sheet4(F_22)'!$H27))</f>
        <v>1275.6154579817162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1939.9305496549887</v>
      </c>
      <c r="L27" s="23">
        <f>IF(A27&gt;=(Title_RESULTS!$H$7+Title_RESULTS!$C$17),0,(+$K27-$F27))</f>
        <v>1939.9305496549887</v>
      </c>
      <c r="M27" s="23">
        <f>IF(A27&gt;=(Title_RESULTS!$H$7+Title_RESULTS!$C$17),0,(+M26+$L27/(1+Title_RESULTS!$C$37)^('Sheet7(F_23)'!$A27-Title_RESULTS!$H$7)))</f>
        <v>4407.953640258006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499.49085265369365</v>
      </c>
      <c r="H28" s="5">
        <f>IF(A28&gt;=(Title_RESULTS!$H$7+Title_RESULTS!$C$17),0,(+'Sheet4(F_22)'!$D28+'Sheet4(F_22)'!$G28))</f>
        <v>179.34032779363753</v>
      </c>
      <c r="I28" s="5">
        <f>IF(A28&gt;=(Title_RESULTS!$H$7+Title_RESULTS!$C$17),0,(+'Sheet4(F_22)'!$H28))</f>
        <v>1394.1297982330736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2072.960978680405</v>
      </c>
      <c r="L28" s="23">
        <f>IF(A28&gt;=(Title_RESULTS!$H$7+Title_RESULTS!$C$17),0,(+$K28-$F28))</f>
        <v>2072.960978680405</v>
      </c>
      <c r="M28" s="23">
        <f>IF(A28&gt;=(Title_RESULTS!$H$7+Title_RESULTS!$C$17),0,(+M27+$L28/(1+Title_RESULTS!$C$37)^('Sheet7(F_23)'!$A28-Title_RESULTS!$H$7)))</f>
        <v>5320.155129347122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517.327849939106</v>
      </c>
      <c r="H29" s="5">
        <f>IF(A29&gt;=(Title_RESULTS!$H$7+Title_RESULTS!$C$17),0,(+'Sheet4(F_22)'!$D29+'Sheet4(F_22)'!$G29))</f>
        <v>183.6444956606848</v>
      </c>
      <c r="I29" s="5">
        <f>IF(A29&gt;=(Title_RESULTS!$H$7+Title_RESULTS!$C$17),0,(+'Sheet4(F_22)'!$H29))</f>
        <v>1486.712614275668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2187.684959875459</v>
      </c>
      <c r="L29" s="23">
        <f>IF(A29&gt;=(Title_RESULTS!$H$7+Title_RESULTS!$C$17),0,(+$K29-$F29))</f>
        <v>2187.684959875459</v>
      </c>
      <c r="M29" s="23">
        <f>IF(A29&gt;=(Title_RESULTS!$H$7+Title_RESULTS!$C$17),0,(+M28+$L29/(1+Title_RESULTS!$C$37)^('Sheet7(F_23)'!$A29-Title_RESULTS!$H$7)))</f>
        <v>6219.189030052645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527.318554755692</v>
      </c>
      <c r="H30" s="5">
        <f>IF(A30&gt;=(Title_RESULTS!$H$7+Title_RESULTS!$C$17),0,(+'Sheet4(F_22)'!$D30+'Sheet4(F_22)'!$G30))</f>
        <v>188.05196355654127</v>
      </c>
      <c r="I30" s="5">
        <f>IF(A30&gt;=(Title_RESULTS!$H$7+Title_RESULTS!$C$17),0,(+'Sheet4(F_22)'!$H30))</f>
        <v>1555.937328586498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2271.3078468987314</v>
      </c>
      <c r="L30" s="23">
        <f>IF(A30&gt;=(Title_RESULTS!$H$7+Title_RESULTS!$C$17),0,(+$K30-$F30))</f>
        <v>2271.3078468987314</v>
      </c>
      <c r="M30" s="23">
        <f>IF(A30&gt;=(Title_RESULTS!$H$7+Title_RESULTS!$C$17),0,(+M29+$L30/(1+Title_RESULTS!$C$37)^('Sheet7(F_23)'!$A30-Title_RESULTS!$H$7)))</f>
        <v>7090.872732258565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122.90304</v>
      </c>
      <c r="D32" s="5">
        <f t="shared" si="1"/>
        <v>6102.223652</v>
      </c>
      <c r="E32" s="5">
        <f t="shared" si="1"/>
        <v>0</v>
      </c>
      <c r="F32" s="5">
        <f t="shared" si="1"/>
        <v>6225.126691999999</v>
      </c>
      <c r="G32" s="5">
        <f t="shared" si="1"/>
        <v>5534.277788219685</v>
      </c>
      <c r="H32" s="5">
        <f t="shared" si="1"/>
        <v>2266.935319512611</v>
      </c>
      <c r="I32" s="5">
        <f t="shared" si="1"/>
        <v>14695.402564887912</v>
      </c>
      <c r="J32" s="5">
        <f t="shared" si="1"/>
        <v>0</v>
      </c>
      <c r="K32" s="5">
        <f t="shared" si="1"/>
        <v>22496.61567262021</v>
      </c>
      <c r="L32" s="5">
        <f t="shared" si="1"/>
        <v>16271.488980620206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114.83173044385765</v>
      </c>
      <c r="D34" s="5">
        <f>NPV(Title_RESULTS!$C$37,'Sheet7(F_23)'!D17:D31)+'Sheet7(F_23)'!D16</f>
        <v>5701.731353249341</v>
      </c>
      <c r="E34" s="5">
        <f>NPV(Title_RESULTS!$C$37,'Sheet7(F_23)'!E17:E31)+'Sheet7(F_23)'!E16</f>
        <v>0</v>
      </c>
      <c r="F34" s="5">
        <f>NPV(Title_RESULTS!$C$37,'Sheet7(F_23)'!F17:F31)+'Sheet7(F_23)'!F16</f>
        <v>5816.5630836932</v>
      </c>
      <c r="G34" s="5">
        <f>NPV(Title_RESULTS!$C$37,'Sheet7(F_23)'!G17:G31)+'Sheet7(F_23)'!G16</f>
        <v>3117.2025261674075</v>
      </c>
      <c r="H34" s="5">
        <f>NPV(Title_RESULTS!$C$37,'Sheet7(F_23)'!H17:H31)+'Sheet7(F_23)'!H16</f>
        <v>1372.991168666177</v>
      </c>
      <c r="I34" s="5">
        <f>NPV(Title_RESULTS!$C$37,'Sheet7(F_23)'!I17:I31)+'Sheet7(F_23)'!I16</f>
        <v>8417.242121118175</v>
      </c>
      <c r="J34" s="5">
        <f>NPV(Title_RESULTS!$C$37,'Sheet7(F_23)'!J17:J31)+'Sheet7(F_23)'!J16</f>
        <v>0</v>
      </c>
      <c r="K34" s="5">
        <f>NPV(Title_RESULTS!$C$37,'Sheet7(F_23)'!K17:K31)+'Sheet7(F_23)'!K16</f>
        <v>12907.435815951763</v>
      </c>
      <c r="L34" s="5">
        <f>NPV(Title_RESULTS!$C$37,'Sheet7(F_23)'!L17:L31)+'Sheet7(F_23)'!L16</f>
        <v>7090.872732258561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2.219082924096174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Efficient Exhaust Hood</v>
      </c>
      <c r="L2" t="s">
        <v>55</v>
      </c>
    </row>
    <row r="3" ht="12.75">
      <c r="L3" s="35">
        <f>+Title_RESULTS!I4</f>
        <v>43599.31870011574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278.0636153325365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937.11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1215.1736153325364</v>
      </c>
      <c r="G16" s="5">
        <f>IF(A16&gt;=(Title_RESULTS!$H$7+Title_RESULTS!$C$17),0,(+'Sheet6(p_6)'!$H16))</f>
        <v>1988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1988</v>
      </c>
      <c r="K16" s="23">
        <f>IF(A16&gt;=(Title_RESULTS!$H$7+Title_RESULTS!$C$17),0,(+F16-J16))</f>
        <v>-772.8263846674636</v>
      </c>
      <c r="L16" s="23">
        <f>IF(A16&gt;=(Title_RESULTS!$H$7+Title_RESULTS!$C$17),0,(+$K16/((1+Title_RESULTS!$C$37)^('Sheet8(F_24)'!$A16-Title_RESULTS!$H$7))))</f>
        <v>-772.8263846674636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853.6071192675713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937.11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1790.7171192675714</v>
      </c>
      <c r="G17" s="5">
        <f>IF(A17&gt;=(Title_RESULTS!$H$7+Title_RESULTS!$C$17),0,(+'Sheet6(p_6)'!$H17))</f>
        <v>2033.724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2033.724</v>
      </c>
      <c r="K17" s="23">
        <f>IF(A17&gt;=(Title_RESULTS!$H$7+Title_RESULTS!$C$17),0,(+F17-J17))</f>
        <v>-243.0068807324285</v>
      </c>
      <c r="L17" s="23">
        <f>IF(A16&gt;=(Title_RESULTS!$H$7+Title_RESULTS!$C$17),0,(+$K17/((1+Title_RESULTS!$C$37)^('Sheet8(F_24)'!$A17-Title_RESULTS!$H$7))+L16))</f>
        <v>-999.7659445595335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1450.7077511534135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937.11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2387.8177511534136</v>
      </c>
      <c r="G18" s="5">
        <f>IF(A18&gt;=(Title_RESULTS!$H$7+Title_RESULTS!$C$17),0,(+'Sheet6(p_6)'!$H18))</f>
        <v>2080.4996519999995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2080.4996519999995</v>
      </c>
      <c r="K18" s="23">
        <f>IF(A18&gt;=(Title_RESULTS!$H$7+Title_RESULTS!$C$17),0,(+F18-J18))</f>
        <v>307.3180991534141</v>
      </c>
      <c r="L18" s="23">
        <f>IF(A17&gt;=(Title_RESULTS!$H$7+Title_RESULTS!$C$17),0,(+$K18/((1+Title_RESULTS!$C$37)^('Sheet8(F_24)'!$A18-Title_RESULTS!$H$7))+L17))</f>
        <v>-731.7433461400585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1746.6125685879977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1746.6125685879977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1746.6125685879977</v>
      </c>
      <c r="L19" s="23">
        <f>IF(A18&gt;=(Title_RESULTS!$H$7+Title_RESULTS!$C$17),0,(+$K19/((1+Title_RESULTS!$C$37)^('Sheet8(F_24)'!$A19-Title_RESULTS!$H$7))+L18))</f>
        <v>690.8196037116909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1793.7314085220248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1793.7314085220248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1793.7314085220248</v>
      </c>
      <c r="L20" s="23">
        <f>IF(A19&gt;=(Title_RESULTS!$H$7+Title_RESULTS!$C$17),0,(+$K20/((1+Title_RESULTS!$C$37)^('Sheet8(F_24)'!$A20-Title_RESULTS!$H$7))+L19))</f>
        <v>2055.163846825509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1843.4586936312824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1843.4586936312824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1843.4586936312824</v>
      </c>
      <c r="L21" s="23">
        <f>IF(A20&gt;=(Title_RESULTS!$H$7+Title_RESULTS!$C$17),0,(+$K21/((1+Title_RESULTS!$C$37)^('Sheet8(F_24)'!$A21-Title_RESULTS!$H$7))+L20))</f>
        <v>3364.621922102974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1886.8668194448885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1886.8668194448885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1886.8668194448885</v>
      </c>
      <c r="L22" s="23">
        <f>IF(A21&gt;=(Title_RESULTS!$H$7+Title_RESULTS!$C$17),0,(+$K22/((1+Title_RESULTS!$C$37)^('Sheet8(F_24)'!$A22-Title_RESULTS!$H$7))+L21))</f>
        <v>4616.295464735107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1941.9687768106755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1941.9687768106755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1941.9687768106755</v>
      </c>
      <c r="L23" s="23">
        <f>IF(A22&gt;=(Title_RESULTS!$H$7+Title_RESULTS!$C$17),0,(+$K23/((1+Title_RESULTS!$C$37)^('Sheet8(F_24)'!$A23-Title_RESULTS!$H$7))+L22))</f>
        <v>5819.345542151952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2027.865776383523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2027.865776383523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2027.865776383523</v>
      </c>
      <c r="L24" s="23">
        <f>IF(A23&gt;=(Title_RESULTS!$H$7+Title_RESULTS!$C$17),0,(+$K24/((1+Title_RESULTS!$C$37)^('Sheet8(F_24)'!$A24-Title_RESULTS!$H$7))+L23))</f>
        <v>6992.546221305582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2083.327874890666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2083.327874890666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2083.327874890666</v>
      </c>
      <c r="L25" s="23">
        <f>IF(A24&gt;=(Title_RESULTS!$H$7+Title_RESULTS!$C$17),0,(+$K25/((1+Title_RESULTS!$C$37)^('Sheet8(F_24)'!$A25-Title_RESULTS!$H$7))+L24))</f>
        <v>8118.141757443386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2175.996872310313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2175.996872310313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2175.996872310313</v>
      </c>
      <c r="L26" s="23">
        <f>IF(A25&gt;=(Title_RESULTS!$H$7+Title_RESULTS!$C$17),0,(+$K26/((1+Title_RESULTS!$C$37)^('Sheet8(F_24)'!$A26-Title_RESULTS!$H$7))+L25))</f>
        <v>9216.071731330721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2221.8341688722476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2221.8341688722476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2221.8341688722476</v>
      </c>
      <c r="L27" s="23">
        <f>IF(A26&gt;=(Title_RESULTS!$H$7+Title_RESULTS!$C$17),0,(+$K27/((1+Title_RESULTS!$C$37)^('Sheet8(F_24)'!$A27-Title_RESULTS!$H$7))+L26))</f>
        <v>10263.006574118048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2306.4947002817094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2306.4947002817094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2306.4947002817094</v>
      </c>
      <c r="L28" s="23">
        <f>IF(A27&gt;=(Title_RESULTS!$H$7+Title_RESULTS!$C$17),0,(+$K28/((1+Title_RESULTS!$C$37)^('Sheet8(F_24)'!$A28-Title_RESULTS!$H$7))+L27))</f>
        <v>11277.974015286418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2341.5272635397505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2341.5272635397505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2341.5272635397505</v>
      </c>
      <c r="L29" s="23">
        <f>IF(A28&gt;=(Title_RESULTS!$H$7+Title_RESULTS!$C$17),0,(+$K29/((1+Title_RESULTS!$C$37)^('Sheet8(F_24)'!$A29-Title_RESULTS!$H$7))+L28))</f>
        <v>12240.229745868535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2427.335880380368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2427.335880380368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2427.335880380368</v>
      </c>
      <c r="L30" s="23">
        <f>IF(A29&gt;=(Title_RESULTS!$H$7+Title_RESULTS!$C$17),0,(+$K30/((1+Title_RESULTS!$C$37)^('Sheet8(F_24)'!$A30-Title_RESULTS!$H$7))+L29))</f>
        <v>13171.793967599313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27379.399289408964</v>
      </c>
      <c r="C32" s="5">
        <f t="shared" si="1"/>
        <v>0</v>
      </c>
      <c r="D32" s="5">
        <f t="shared" si="1"/>
        <v>2811.33</v>
      </c>
      <c r="E32" s="5">
        <f t="shared" si="1"/>
        <v>0</v>
      </c>
      <c r="F32" s="5">
        <f t="shared" si="1"/>
        <v>30190.729289408966</v>
      </c>
      <c r="G32" s="5">
        <f t="shared" si="1"/>
        <v>6102.223652</v>
      </c>
      <c r="H32" s="5">
        <f t="shared" si="1"/>
        <v>0</v>
      </c>
      <c r="I32" s="5">
        <f t="shared" si="1"/>
        <v>0</v>
      </c>
      <c r="J32" s="5">
        <f t="shared" si="1"/>
        <v>6102.223652</v>
      </c>
      <c r="K32" s="5">
        <f t="shared" si="1"/>
        <v>24088.505637408965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16243.980299375315</v>
      </c>
      <c r="C34" s="5">
        <f>NPV(Title_RESULTS!$C$37,'Sheet8(F_24)'!C17:C31)+'Sheet8(F_24)'!C16</f>
        <v>0</v>
      </c>
      <c r="D34" s="5">
        <f>NPV(Title_RESULTS!$C$37,'Sheet8(F_24)'!D17:D31)+'Sheet8(F_24)'!D16</f>
        <v>2629.5450214733373</v>
      </c>
      <c r="E34" s="5">
        <f>NPV(Title_RESULTS!$C$37,'Sheet8(F_24)'!E17:E31)+'Sheet8(F_24)'!E16</f>
        <v>0</v>
      </c>
      <c r="F34" s="5">
        <f>NPV(Title_RESULTS!$C$37,'Sheet8(F_24)'!F17:F31)+'Sheet8(F_24)'!F16</f>
        <v>18873.52532084865</v>
      </c>
      <c r="G34" s="5">
        <f>NPV(Title_RESULTS!$C$37,'Sheet8(F_24)'!G17:G31)+'Sheet8(F_24)'!G16</f>
        <v>5701.731353249341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5701.731353249341</v>
      </c>
      <c r="K34" s="5">
        <f>NPV(Title_RESULTS!$C$37,'Sheet8(F_24)'!K17:K31)+'Sheet8(F_24)'!K16</f>
        <v>13171.79396759931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3.3101393509346733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Efficient Exhaust Hood</v>
      </c>
      <c r="N2" t="s">
        <v>55</v>
      </c>
    </row>
    <row r="3" ht="12.75">
      <c r="N3" s="35">
        <f>+Title_RESULTS!I4</f>
        <v>43599.31870011574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IF(A16&gt;=(Title_RESULTS!$H$7+Title_RESULTS!$C$17),0,(+'Sheet6(p_6)'!$G16))</f>
        <v>937.11</v>
      </c>
      <c r="E16" s="5">
        <f>+'Sheet6(p_6)'!M16</f>
        <v>179.86960499999998</v>
      </c>
      <c r="F16">
        <f>IF(A16&gt;=(Title_RESULTS!$H$7+Title_RESULTS!$C$17),0,(+'f-11B'!$R15))</f>
        <v>0</v>
      </c>
      <c r="G16" s="5">
        <f>IF(A16&gt;=(Title_RESULTS!$H$7+Title_RESULTS!$C$17),0,(SUM(B16:F16)))</f>
        <v>1156.979605</v>
      </c>
      <c r="H16" s="5">
        <f>IF(A16&gt;=(Title_RESULTS!$H$7+Title_RESULTS!$C$17),0,(+'Sheet3(F_21)'!$J16+'Sheet4(F_22)'!$H16))</f>
        <v>123.41020136302997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123.41020136302997</v>
      </c>
      <c r="M16" s="23">
        <f>IF(A16&gt;=(Title_RESULTS!$H$7+Title_RESULTS!$C$17),0,(+L16-G16))</f>
        <v>-1033.56940363697</v>
      </c>
      <c r="N16" s="24">
        <f>IF(A16&gt;=(Title_RESULTS!$H$7+Title_RESULTS!$C$17),0,(+$M16/((1+Title_RESULTS!$C$37)^('Sheet9(F_25)'!$A16-Title_RESULTS!$H$7))))</f>
        <v>-1033.56940363697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IF(A17&gt;=(Title_RESULTS!$H$7+Title_RESULTS!$C$17),0,(+'Sheet6(p_6)'!$G17))</f>
        <v>937.11</v>
      </c>
      <c r="E17" s="5">
        <f>+'Sheet6(p_6)'!M17</f>
        <v>545.00490315</v>
      </c>
      <c r="F17">
        <f>IF(A17&gt;=(Title_RESULTS!$H$7+Title_RESULTS!$C$17),0,(+'f-11B'!$R16))</f>
        <v>0</v>
      </c>
      <c r="G17" s="5">
        <f>IF(A17&gt;=(Title_RESULTS!$H$7+Title_RESULTS!$C$17),0,(SUM(B17:F17)))</f>
        <v>1523.07490315</v>
      </c>
      <c r="H17" s="5">
        <f>IF(A17&gt;=(Title_RESULTS!$H$7+Title_RESULTS!$C$17),0,(+'Sheet3(F_21)'!$J17+'Sheet4(F_22)'!$H17))</f>
        <v>367.2192027074543</v>
      </c>
      <c r="I17" s="5">
        <f>IF(A17&gt;=(Title_RESULTS!$H$7+Title_RESULTS!$C$17),0,(+'Sheet4(F_22)'!$D17+'Sheet4(F_22)'!$G17))</f>
        <v>138.1587630135956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505.3779657210499</v>
      </c>
      <c r="M17" s="23">
        <f>IF(A17&gt;=(Title_RESULTS!$H$7+Title_RESULTS!$C$17),0,(+L17-G17))</f>
        <v>-1017.69693742895</v>
      </c>
      <c r="N17" s="24">
        <f>(IF(A16&gt;=(Title_RESULTS!$H$7+Title_RESULTS!$C$17),0,(+$M17/((1+Title_RESULTS!$C$37)^('Sheet9(F_25)'!$A17-Title_RESULTS!$H$7))+N16)))</f>
        <v>-1983.9774512919475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IF(A18&gt;=(Title_RESULTS!$H$7+Title_RESULTS!$C$17),0,(+'Sheet6(p_6)'!$G18))</f>
        <v>937.11</v>
      </c>
      <c r="E18" s="5">
        <f>+'Sheet6(p_6)'!M18</f>
        <v>917.4249203024999</v>
      </c>
      <c r="F18">
        <f>IF(A18&gt;=(Title_RESULTS!$H$7+Title_RESULTS!$C$17),0,(+'f-11B'!$R17))</f>
        <v>0</v>
      </c>
      <c r="G18" s="5">
        <f>IF(A18&gt;=(Title_RESULTS!$H$7+Title_RESULTS!$C$17),0,(SUM(B18:F18)))</f>
        <v>1896.4779603025</v>
      </c>
      <c r="H18" s="5">
        <f>IF(A18&gt;=(Title_RESULTS!$H$7+Title_RESULTS!$C$17),0,(+'Sheet3(F_21)'!$J18+'Sheet4(F_22)'!$H18))</f>
        <v>631.6579934364746</v>
      </c>
      <c r="I18" s="5">
        <f>IF(A18&gt;=(Title_RESULTS!$H$7+Title_RESULTS!$C$17),0,(+'Sheet4(F_22)'!$D18+'Sheet4(F_22)'!$G18))</f>
        <v>141.47457332592188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773.1325667623964</v>
      </c>
      <c r="M18" s="23">
        <f>IF(A18&gt;=(Title_RESULTS!$H$7+Title_RESULTS!$C$17),0,(+L18-G18))</f>
        <v>-1123.3453935401035</v>
      </c>
      <c r="N18" s="24">
        <f>(IF(A17&gt;=(Title_RESULTS!$H$7+Title_RESULTS!$C$17),0,(+$M18/((1+Title_RESULTS!$C$37)^('Sheet9(F_25)'!$A18-Title_RESULTS!$H$7))+N17)))</f>
        <v>-2963.6852918928535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1111.9190034066298</v>
      </c>
      <c r="F19">
        <f>IF(A19&gt;=(Title_RESULTS!$H$7+Title_RESULTS!$C$17),0,(+'f-11B'!$R18))</f>
        <v>0</v>
      </c>
      <c r="G19" s="5">
        <f>IF(A19&gt;=(Title_RESULTS!$H$7+Title_RESULTS!$C$17),0,(SUM(B19:F19)))</f>
        <v>1111.9190034066298</v>
      </c>
      <c r="H19" s="5">
        <f>IF(A19&gt;=(Title_RESULTS!$H$7+Title_RESULTS!$C$17),0,(+'Sheet3(F_21)'!$J19+'Sheet4(F_22)'!$H19))</f>
        <v>1187.966168799699</v>
      </c>
      <c r="I19" s="5">
        <f>IF(A19&gt;=(Title_RESULTS!$H$7+Title_RESULTS!$C$17),0,(+'Sheet4(F_22)'!$D19+'Sheet4(F_22)'!$G19))</f>
        <v>144.86996308574402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1332.8361318854431</v>
      </c>
      <c r="M19" s="23">
        <f>IF(A19&gt;=(Title_RESULTS!$H$7+Title_RESULTS!$C$17),0,(+L19-G19))</f>
        <v>220.9171284788133</v>
      </c>
      <c r="N19" s="24">
        <f>(IF(A18&gt;=(Title_RESULTS!$H$7+Title_RESULTS!$C$17),0,(+$M19/((1+Title_RESULTS!$C$37)^('Sheet9(F_25)'!$A19-Title_RESULTS!$H$7))+N18)))</f>
        <v>-2783.7549927449086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1123.0381934406962</v>
      </c>
      <c r="F20">
        <f>IF(A20&gt;=(Title_RESULTS!$H$7+Title_RESULTS!$C$17),0,(+'f-11B'!$R19))</f>
        <v>0</v>
      </c>
      <c r="G20" s="5">
        <f>IF(A20&gt;=(Title_RESULTS!$H$7+Title_RESULTS!$C$17),0,(SUM(B20:F20)))</f>
        <v>1123.0381934406962</v>
      </c>
      <c r="H20" s="5">
        <f>IF(A20&gt;=(Title_RESULTS!$H$7+Title_RESULTS!$C$17),0,(+'Sheet3(F_21)'!$J20+'Sheet4(F_22)'!$H20))</f>
        <v>1229.6103113755885</v>
      </c>
      <c r="I20" s="5">
        <f>IF(A20&gt;=(Title_RESULTS!$H$7+Title_RESULTS!$C$17),0,(+'Sheet4(F_22)'!$D20+'Sheet4(F_22)'!$G20))</f>
        <v>148.34684219980187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1377.9571535753903</v>
      </c>
      <c r="M20" s="23">
        <f>IF(A20&gt;=(Title_RESULTS!$H$7+Title_RESULTS!$C$17),0,(+L20-G20))</f>
        <v>254.9189601346941</v>
      </c>
      <c r="N20" s="24">
        <f>(IF(A19&gt;=(Title_RESULTS!$H$7+Title_RESULTS!$C$17),0,(+$M20/((1+Title_RESULTS!$C$37)^('Sheet9(F_25)'!$A20-Title_RESULTS!$H$7))+N19)))</f>
        <v>-2589.859064922078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1134.2685753751032</v>
      </c>
      <c r="F21">
        <f>IF(A21&gt;=(Title_RESULTS!$H$7+Title_RESULTS!$C$17),0,(+'f-11B'!$R20))</f>
        <v>0</v>
      </c>
      <c r="G21" s="5">
        <f>IF(A21&gt;=(Title_RESULTS!$H$7+Title_RESULTS!$C$17),0,(SUM(B21:F21)))</f>
        <v>1134.2685753751032</v>
      </c>
      <c r="H21" s="5">
        <f>IF(A21&gt;=(Title_RESULTS!$H$7+Title_RESULTS!$C$17),0,(+'Sheet3(F_21)'!$J21+'Sheet4(F_22)'!$H21))</f>
        <v>1301.686236864734</v>
      </c>
      <c r="I21" s="5">
        <f>IF(A21&gt;=(Title_RESULTS!$H$7+Title_RESULTS!$C$17),0,(+'Sheet4(F_22)'!$D21+'Sheet4(F_22)'!$G21))</f>
        <v>151.90716641259712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1453.5934032773312</v>
      </c>
      <c r="M21" s="23">
        <f>IF(A21&gt;=(Title_RESULTS!$H$7+Title_RESULTS!$C$17),0,(+L21-G21))</f>
        <v>319.324827902228</v>
      </c>
      <c r="N21" s="24">
        <f>(IF(A20&gt;=(Title_RESULTS!$H$7+Title_RESULTS!$C$17),0,(+$M21/((1+Title_RESULTS!$C$37)^('Sheet9(F_25)'!$A21-Title_RESULTS!$H$7))+N20)))</f>
        <v>-2363.034088600263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1145.6112611288543</v>
      </c>
      <c r="F22">
        <f>IF(A22&gt;=(Title_RESULTS!$H$7+Title_RESULTS!$C$17),0,(+'f-11B'!$R21))</f>
        <v>0</v>
      </c>
      <c r="G22" s="5">
        <f>IF(A22&gt;=(Title_RESULTS!$H$7+Title_RESULTS!$C$17),0,(SUM(B22:F22)))</f>
        <v>1145.6112611288543</v>
      </c>
      <c r="H22" s="5">
        <f>IF(A22&gt;=(Title_RESULTS!$H$7+Title_RESULTS!$C$17),0,(+'Sheet3(F_21)'!$J22+'Sheet4(F_22)'!$H22))</f>
        <v>1342.9606457002546</v>
      </c>
      <c r="I22" s="5">
        <f>IF(A22&gt;=(Title_RESULTS!$H$7+Title_RESULTS!$C$17),0,(+'Sheet4(F_22)'!$D22+'Sheet4(F_22)'!$G22))</f>
        <v>155.55293840649944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1498.513584106754</v>
      </c>
      <c r="M22" s="23">
        <f>IF(A22&gt;=(Title_RESULTS!$H$7+Title_RESULTS!$C$17),0,(+L22-G22))</f>
        <v>352.90232297789976</v>
      </c>
      <c r="N22" s="24">
        <f>(IF(A21&gt;=(Title_RESULTS!$H$7+Title_RESULTS!$C$17),0,(+$M22/((1+Title_RESULTS!$C$37)^('Sheet9(F_25)'!$A22-Title_RESULTS!$H$7))+N21)))</f>
        <v>-2128.932510124889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1157.0673737401426</v>
      </c>
      <c r="F23">
        <f>IF(A23&gt;=(Title_RESULTS!$H$7+Title_RESULTS!$C$17),0,(+'f-11B'!$R22))</f>
        <v>0</v>
      </c>
      <c r="G23" s="5">
        <f>IF(A23&gt;=(Title_RESULTS!$H$7+Title_RESULTS!$C$17),0,(SUM(B23:F23)))</f>
        <v>1157.0673737401426</v>
      </c>
      <c r="H23" s="5">
        <f>IF(A23&gt;=(Title_RESULTS!$H$7+Title_RESULTS!$C$17),0,(+'Sheet3(F_21)'!$J23+'Sheet4(F_22)'!$H23))</f>
        <v>1411.4432873513092</v>
      </c>
      <c r="I23" s="5">
        <f>IF(A23&gt;=(Title_RESULTS!$H$7+Title_RESULTS!$C$17),0,(+'Sheet4(F_22)'!$D23+'Sheet4(F_22)'!$G23))</f>
        <v>159.28620892825543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1570.7294962795647</v>
      </c>
      <c r="M23" s="23">
        <f>IF(A23&gt;=(Title_RESULTS!$H$7+Title_RESULTS!$C$17),0,(+L23-G23))</f>
        <v>413.66212253942217</v>
      </c>
      <c r="N23" s="24">
        <f>(IF(A22&gt;=(Title_RESULTS!$H$7+Title_RESULTS!$C$17),0,(+$M23/((1+Title_RESULTS!$C$37)^('Sheet9(F_25)'!$A23-Title_RESULTS!$H$7))+N22)))</f>
        <v>-1872.6687357078893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1168.6380474775444</v>
      </c>
      <c r="F24">
        <f>IF(A24&gt;=(Title_RESULTS!$H$7+Title_RESULTS!$C$17),0,(+'f-11B'!$R23))</f>
        <v>0</v>
      </c>
      <c r="G24" s="5">
        <f>IF(A24&gt;=(Title_RESULTS!$H$7+Title_RESULTS!$C$17),0,(SUM(B24:F24)))</f>
        <v>1168.6380474775444</v>
      </c>
      <c r="H24" s="5">
        <f>IF(A24&gt;=(Title_RESULTS!$H$7+Title_RESULTS!$C$17),0,(+'Sheet3(F_21)'!$J24+'Sheet4(F_22)'!$H24))</f>
        <v>1523.0594263649637</v>
      </c>
      <c r="I24" s="5">
        <f>IF(A24&gt;=(Title_RESULTS!$H$7+Title_RESULTS!$C$17),0,(+'Sheet4(F_22)'!$D24+'Sheet4(F_22)'!$G24))</f>
        <v>163.10907794253353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1686.1685043074972</v>
      </c>
      <c r="M24" s="23">
        <f>IF(A24&gt;=(Title_RESULTS!$H$7+Title_RESULTS!$C$17),0,(+L24-G24))</f>
        <v>517.5304568299528</v>
      </c>
      <c r="N24" s="24">
        <f>(IF(A23&gt;=(Title_RESULTS!$H$7+Title_RESULTS!$C$17),0,(+$M24/((1+Title_RESULTS!$C$37)^('Sheet9(F_25)'!$A24-Title_RESULTS!$H$7))+N23)))</f>
        <v>-1573.256866092729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1180.3244279523199</v>
      </c>
      <c r="F25">
        <f>IF(A25&gt;=(Title_RESULTS!$H$7+Title_RESULTS!$C$17),0,(+'f-11B'!$R24))</f>
        <v>0</v>
      </c>
      <c r="G25" s="5">
        <f>IF(A25&gt;=(Title_RESULTS!$H$7+Title_RESULTS!$C$17),0,(SUM(B25:F25)))</f>
        <v>1180.3244279523199</v>
      </c>
      <c r="H25" s="5">
        <f>IF(A25&gt;=(Title_RESULTS!$H$7+Title_RESULTS!$C$17),0,(+'Sheet3(F_21)'!$J25+'Sheet4(F_22)'!$H25))</f>
        <v>1611.7241839826854</v>
      </c>
      <c r="I25" s="5">
        <f>IF(A25&gt;=(Title_RESULTS!$H$7+Title_RESULTS!$C$17),0,(+'Sheet4(F_22)'!$D25+'Sheet4(F_22)'!$G25))</f>
        <v>167.02369581315435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1778.7478797958397</v>
      </c>
      <c r="M25" s="23">
        <f>IF(A25&gt;=(Title_RESULTS!$H$7+Title_RESULTS!$C$17),0,(+L25-G25))</f>
        <v>598.4234518435198</v>
      </c>
      <c r="N25" s="24">
        <f>(IF(A24&gt;=(Title_RESULTS!$H$7+Title_RESULTS!$C$17),0,(+$M25/((1+Title_RESULTS!$C$37)^('Sheet9(F_25)'!$A25-Title_RESULTS!$H$7))+N24)))</f>
        <v>-1249.9362912405386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1192.127672231843</v>
      </c>
      <c r="F26">
        <f>IF(A26&gt;=(Title_RESULTS!$H$7+Title_RESULTS!$C$17),0,(+'f-11B'!$R25))</f>
        <v>0</v>
      </c>
      <c r="G26" s="5">
        <f>IF(A26&gt;=(Title_RESULTS!$H$7+Title_RESULTS!$C$17),0,(SUM(B26:F26)))</f>
        <v>1192.127672231843</v>
      </c>
      <c r="H26" s="5">
        <f>IF(A26&gt;=(Title_RESULTS!$H$7+Title_RESULTS!$C$17),0,(+'Sheet3(F_21)'!$J26+'Sheet4(F_22)'!$H26))</f>
        <v>1753.2321859236556</v>
      </c>
      <c r="I26" s="5">
        <f>IF(A26&gt;=(Title_RESULTS!$H$7+Title_RESULTS!$C$17),0,(+'Sheet4(F_22)'!$D26+'Sheet4(F_22)'!$G26))</f>
        <v>171.03226451267008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1924.2644504363257</v>
      </c>
      <c r="M26" s="23">
        <f>IF(A26&gt;=(Title_RESULTS!$H$7+Title_RESULTS!$C$17),0,(+L26-G26))</f>
        <v>732.1367782044827</v>
      </c>
      <c r="N26" s="24">
        <f>(IF(A25&gt;=(Title_RESULTS!$H$7+Title_RESULTS!$C$17),0,(+$M26/((1+Title_RESULTS!$C$37)^('Sheet9(F_25)'!$A26-Title_RESULTS!$H$7))+N25)))</f>
        <v>-880.5263329796367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1204.0489489541612</v>
      </c>
      <c r="F27">
        <f>IF(A27&gt;=(Title_RESULTS!$H$7+Title_RESULTS!$C$17),0,(+'f-11B'!$R26))</f>
        <v>0</v>
      </c>
      <c r="G27" s="5">
        <f>IF(A27&gt;=(Title_RESULTS!$H$7+Title_RESULTS!$C$17),0,(SUM(B27:F27)))</f>
        <v>1204.0489489541612</v>
      </c>
      <c r="H27" s="5">
        <f>IF(A27&gt;=(Title_RESULTS!$H$7+Title_RESULTS!$C$17),0,(+'Sheet3(F_21)'!$J27+'Sheet4(F_22)'!$H27))</f>
        <v>1764.7935107940145</v>
      </c>
      <c r="I27" s="5">
        <f>IF(A27&gt;=(Title_RESULTS!$H$7+Title_RESULTS!$C$17),0,(+'Sheet4(F_22)'!$D27+'Sheet4(F_22)'!$G27))</f>
        <v>175.13703886097417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1939.9305496549887</v>
      </c>
      <c r="M27" s="23">
        <f>IF(A27&gt;=(Title_RESULTS!$H$7+Title_RESULTS!$C$17),0,(+L27-G27))</f>
        <v>735.8816007008274</v>
      </c>
      <c r="N27" s="24">
        <f>(IF(A26&gt;=(Title_RESULTS!$H$7+Title_RESULTS!$C$17),0,(+$M27/((1+Title_RESULTS!$C$37)^('Sheet9(F_25)'!$A27-Title_RESULTS!$H$7))+N26)))</f>
        <v>-533.7767426036573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1216.0894384437029</v>
      </c>
      <c r="F28">
        <f>IF(A28&gt;=(Title_RESULTS!$H$7+Title_RESULTS!$C$17),0,(+'f-11B'!$R27))</f>
        <v>0</v>
      </c>
      <c r="G28" s="5">
        <f>IF(A28&gt;=(Title_RESULTS!$H$7+Title_RESULTS!$C$17),0,(SUM(B28:F28)))</f>
        <v>1216.0894384437029</v>
      </c>
      <c r="H28" s="5">
        <f>IF(A28&gt;=(Title_RESULTS!$H$7+Title_RESULTS!$C$17),0,(+'Sheet3(F_21)'!$J28+'Sheet4(F_22)'!$H28))</f>
        <v>1893.6206508867672</v>
      </c>
      <c r="I28" s="5">
        <f>IF(A28&gt;=(Title_RESULTS!$H$7+Title_RESULTS!$C$17),0,(+'Sheet4(F_22)'!$D28+'Sheet4(F_22)'!$G28))</f>
        <v>179.34032779363753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2072.960978680405</v>
      </c>
      <c r="M28" s="23">
        <f>IF(A28&gt;=(Title_RESULTS!$H$7+Title_RESULTS!$C$17),0,(+L28-G28))</f>
        <v>856.871540236702</v>
      </c>
      <c r="N28" s="24">
        <f>(IF(A27&gt;=(Title_RESULTS!$H$7+Title_RESULTS!$C$17),0,(+$M28/((1+Title_RESULTS!$C$37)^('Sheet9(F_25)'!$A28-Title_RESULTS!$H$7))+N27)))</f>
        <v>-156.71248379663626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1228.25033282814</v>
      </c>
      <c r="F29">
        <f>IF(A29&gt;=(Title_RESULTS!$H$7+Title_RESULTS!$C$17),0,(+'f-11B'!$R28))</f>
        <v>0</v>
      </c>
      <c r="G29" s="5">
        <f>IF(A29&gt;=(Title_RESULTS!$H$7+Title_RESULTS!$C$17),0,(SUM(B29:F29)))</f>
        <v>1228.25033282814</v>
      </c>
      <c r="H29" s="5">
        <f>IF(A29&gt;=(Title_RESULTS!$H$7+Title_RESULTS!$C$17),0,(+'Sheet3(F_21)'!$J29+'Sheet4(F_22)'!$H29))</f>
        <v>2004.0404642147741</v>
      </c>
      <c r="I29" s="5">
        <f>IF(A29&gt;=(Title_RESULTS!$H$7+Title_RESULTS!$C$17),0,(+'Sheet4(F_22)'!$D29+'Sheet4(F_22)'!$G29))</f>
        <v>183.6444956606848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2187.684959875459</v>
      </c>
      <c r="M29" s="23">
        <f>IF(A29&gt;=(Title_RESULTS!$H$7+Title_RESULTS!$C$17),0,(+L29-G29))</f>
        <v>959.4346270473188</v>
      </c>
      <c r="N29" s="24">
        <f>(IF(A28&gt;=(Title_RESULTS!$H$7+Title_RESULTS!$C$17),0,(+$M29/((1+Title_RESULTS!$C$37)^('Sheet9(F_25)'!$A29-Title_RESULTS!$H$7))+N28)))</f>
        <v>237.56926656809782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1240.5328361564216</v>
      </c>
      <c r="F30">
        <f>IF(A30&gt;=(Title_RESULTS!$H$7+Title_RESULTS!$C$17),0,(+'f-11B'!$R29))</f>
        <v>0</v>
      </c>
      <c r="G30" s="5">
        <f>IF(A30&gt;=(Title_RESULTS!$H$7+Title_RESULTS!$C$17),0,(SUM(B30:F30)))</f>
        <v>1240.5328361564216</v>
      </c>
      <c r="H30" s="5">
        <f>IF(A30&gt;=(Title_RESULTS!$H$7+Title_RESULTS!$C$17),0,(+'Sheet3(F_21)'!$J30+'Sheet4(F_22)'!$H30))</f>
        <v>2083.25588334219</v>
      </c>
      <c r="I30" s="5">
        <f>IF(A30&gt;=(Title_RESULTS!$H$7+Title_RESULTS!$C$17),0,(+'Sheet4(F_22)'!$D30+'Sheet4(F_22)'!$G30))</f>
        <v>188.05196355654127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2271.307846898731</v>
      </c>
      <c r="M30" s="23">
        <f>IF(A30&gt;=(Title_RESULTS!$H$7+Title_RESULTS!$C$17),0,(+L30-G30))</f>
        <v>1030.7750107423094</v>
      </c>
      <c r="N30" s="24">
        <f>(IF(A29&gt;=(Title_RESULTS!$H$7+Title_RESULTS!$C$17),0,(+$M30/((1+Title_RESULTS!$C$37)^('Sheet9(F_25)'!$A30-Title_RESULTS!$H$7))+N29)))</f>
        <v>633.1606342164938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122.90304</v>
      </c>
      <c r="D32" s="5">
        <f t="shared" si="1"/>
        <v>2811.33</v>
      </c>
      <c r="E32" s="5">
        <f t="shared" si="1"/>
        <v>15744.215539588062</v>
      </c>
      <c r="F32" s="5">
        <f t="shared" si="1"/>
        <v>0</v>
      </c>
      <c r="G32" s="5">
        <f t="shared" si="1"/>
        <v>18678.44857958806</v>
      </c>
      <c r="H32" s="5">
        <f t="shared" si="1"/>
        <v>20229.680353107597</v>
      </c>
      <c r="I32" s="5">
        <f t="shared" si="1"/>
        <v>2266.935319512611</v>
      </c>
      <c r="J32" s="5">
        <f t="shared" si="1"/>
        <v>0</v>
      </c>
      <c r="K32" s="9">
        <f t="shared" si="1"/>
        <v>0</v>
      </c>
      <c r="L32" s="5">
        <f t="shared" si="1"/>
        <v>22496.615672620206</v>
      </c>
      <c r="M32" s="5">
        <f t="shared" si="1"/>
        <v>3818.1670930321475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114.83173044385765</v>
      </c>
      <c r="D34" s="5">
        <f>NPV(Title_RESULTS!$C$37,'Sheet9(F_25)'!D17:D31)+'Sheet9(F_25)'!D16</f>
        <v>2629.5450214733373</v>
      </c>
      <c r="E34" s="5">
        <f>NPV(Title_RESULTS!$C$37,'Sheet9(F_25)'!E17:E31)+'Sheet9(F_25)'!E16</f>
        <v>9529.898429818071</v>
      </c>
      <c r="F34" s="5">
        <f>NPV(Title_RESULTS!$C$37,'Sheet9(F_25)'!F17:F31)+'Sheet9(F_25)'!F16</f>
        <v>0</v>
      </c>
      <c r="G34" s="5">
        <f>NPV(Title_RESULTS!$C$37,'Sheet9(F_25)'!G17:G31)+'Sheet9(F_25)'!G16</f>
        <v>12274.275181735267</v>
      </c>
      <c r="H34" s="5">
        <f>NPV(Title_RESULTS!$C$37,'Sheet9(F_25)'!H17:H31)+'Sheet9(F_25)'!H16</f>
        <v>11534.444647285585</v>
      </c>
      <c r="I34" s="5">
        <f>NPV(Title_RESULTS!$C$37,'Sheet9(F_25)'!I17:I31)+'Sheet9(F_25)'!I16</f>
        <v>1372.991168666177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12907.435815951761</v>
      </c>
      <c r="M34" s="5">
        <f>NPV(Title_RESULTS!$C$37,'Sheet9(F_25)'!M17:M31)+'Sheet9(F_25)'!M16</f>
        <v>633.1606342164932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1.0515843603668482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3153.9181951909472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183.97716479999997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445.35152640000007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18.181047226965298</v>
      </c>
      <c r="P24" s="48">
        <f aca="true" t="shared" si="4" ref="P24:P61">N24*$L$5</f>
        <v>44.010663730369025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18.617392360412463</v>
      </c>
      <c r="P25" s="48">
        <f t="shared" si="4"/>
        <v>45.06691965989788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433.949693197477</v>
      </c>
      <c r="E26" s="11">
        <f>IF(B26=Title_RESULTS!$H$8,$F$16,+E25*(1+$F$7))</f>
        <v>0.09882230355451863</v>
      </c>
      <c r="F26" s="9">
        <f t="shared" si="1"/>
        <v>311.6774612712793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25.31353994597444</v>
      </c>
      <c r="L26" s="5">
        <f t="shared" si="3"/>
        <v>61.27621145690737</v>
      </c>
      <c r="N26" s="11">
        <f>IF(+B26=Title_RESULTS!$H$9,'Value of Defferal'!$O$16,+'Value of Defferal'!N25*(1+'Value of Defferal'!$F$7))</f>
        <v>0.10362269577198292</v>
      </c>
      <c r="O26" s="5">
        <f t="shared" si="7"/>
        <v>19.064209777062363</v>
      </c>
      <c r="P26" s="48">
        <f t="shared" si="4"/>
        <v>46.148525731735425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421.1352090444462</v>
      </c>
      <c r="E27" s="11">
        <f>IF(B27=Title_RESULTS!$H$8,$F$16,+E26*(1+$F$7))</f>
        <v>0.10119403883982707</v>
      </c>
      <c r="F27" s="9">
        <f t="shared" si="1"/>
        <v>319.15772034179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24.566034044761167</v>
      </c>
      <c r="L27" s="5">
        <f t="shared" si="3"/>
        <v>59.46673203341351</v>
      </c>
      <c r="N27" s="11">
        <f>IF(+B27=Title_RESULTS!$H$9,'Value of Defferal'!$O$16,+'Value of Defferal'!N26*(1+'Value of Defferal'!$F$7))</f>
        <v>0.10610964047051051</v>
      </c>
      <c r="O27" s="5">
        <f t="shared" si="7"/>
        <v>19.521750811711858</v>
      </c>
      <c r="P27" s="48">
        <f t="shared" si="4"/>
        <v>47.256090349297075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406.9881119966907</v>
      </c>
      <c r="E28" s="11">
        <f>IF(B28=Title_RESULTS!$H$8,$F$16,+E27*(1+$F$7))</f>
        <v>0.10362269577198292</v>
      </c>
      <c r="F28" s="9">
        <f t="shared" si="1"/>
        <v>326.817505629993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23.740792981449786</v>
      </c>
      <c r="L28" s="5">
        <f t="shared" si="3"/>
        <v>57.469079946573196</v>
      </c>
      <c r="N28" s="11">
        <f>IF(+B28=Title_RESULTS!$H$9,'Value of Defferal'!$O$16,+'Value of Defferal'!N27*(1+'Value of Defferal'!$F$7))</f>
        <v>0.10865627184180277</v>
      </c>
      <c r="O28" s="5">
        <f t="shared" si="7"/>
        <v>19.990272831192943</v>
      </c>
      <c r="P28" s="48">
        <f t="shared" si="4"/>
        <v>48.39023651768021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393.5185829137178</v>
      </c>
      <c r="E29" s="11">
        <f>IF(B29=Title_RESULTS!$H$8,$F$16,+E28*(1+$F$7))</f>
        <v>0.10610964047051051</v>
      </c>
      <c r="F29" s="9">
        <f t="shared" si="1"/>
        <v>334.6611257651128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22.955076416050257</v>
      </c>
      <c r="L29" s="5">
        <f t="shared" si="3"/>
        <v>55.567104382927354</v>
      </c>
      <c r="N29" s="11">
        <f>IF(+B29=Title_RESULTS!$H$9,'Value of Defferal'!$O$16,+'Value of Defferal'!N28*(1+'Value of Defferal'!$F$7))</f>
        <v>0.11126402236600604</v>
      </c>
      <c r="O29" s="5">
        <f t="shared" si="7"/>
        <v>20.470039379141575</v>
      </c>
      <c r="P29" s="48">
        <f t="shared" si="4"/>
        <v>49.55160219410453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380.6586773070921</v>
      </c>
      <c r="E30" s="11">
        <f>IF(B30=Title_RESULTS!$H$8,$F$16,+E29*(1+$F$7))</f>
        <v>0.10865627184180277</v>
      </c>
      <c r="F30" s="9">
        <f t="shared" si="1"/>
        <v>342.6929927834755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22.20492095015702</v>
      </c>
      <c r="L30" s="5">
        <f t="shared" si="3"/>
        <v>53.7512111869645</v>
      </c>
      <c r="N30" s="11">
        <f>IF(+B30=Title_RESULTS!$H$9,'Value of Defferal'!$O$16,+'Value of Defferal'!N29*(1+'Value of Defferal'!$F$7))</f>
        <v>0.11393435890279018</v>
      </c>
      <c r="O30" s="5">
        <f t="shared" si="7"/>
        <v>20.961320324240972</v>
      </c>
      <c r="P30" s="48">
        <f t="shared" si="4"/>
        <v>50.74084064676304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368.3479583666584</v>
      </c>
      <c r="E31" s="11">
        <f>IF(B31=Title_RESULTS!$H$8,$F$16,+E30*(1+$F$7))</f>
        <v>0.11126402236600604</v>
      </c>
      <c r="F31" s="9">
        <f t="shared" si="1"/>
        <v>350.91762461027895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21.486801129939703</v>
      </c>
      <c r="L31" s="5">
        <f t="shared" si="3"/>
        <v>52.01286633085399</v>
      </c>
      <c r="N31" s="11">
        <f>IF(+B31=Title_RESULTS!$H$9,'Value of Defferal'!$O$16,+'Value of Defferal'!N30*(1+'Value of Defferal'!$F$7))</f>
        <v>0.11666878351645714</v>
      </c>
      <c r="O31" s="5">
        <f t="shared" si="7"/>
        <v>21.464392012022756</v>
      </c>
      <c r="P31" s="48">
        <f t="shared" si="4"/>
        <v>51.958620822285354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356.4205064024259</v>
      </c>
      <c r="E32" s="11">
        <f>IF(B32=Title_RESULTS!$H$8,$F$16,+E31*(1+$F$7))</f>
        <v>0.11393435890279018</v>
      </c>
      <c r="F32" s="9">
        <f t="shared" si="1"/>
        <v>359.3396476009256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20.791038380286384</v>
      </c>
      <c r="L32" s="5">
        <f t="shared" si="3"/>
        <v>50.32864099284961</v>
      </c>
      <c r="N32" s="11">
        <f>IF(+B32=Title_RESULTS!$H$9,'Value of Defferal'!$O$16,+'Value of Defferal'!N31*(1+'Value of Defferal'!$F$7))</f>
        <v>0.11946883432085212</v>
      </c>
      <c r="O32" s="5">
        <f t="shared" si="7"/>
        <v>21.979537420311303</v>
      </c>
      <c r="P32" s="48">
        <f t="shared" si="4"/>
        <v>53.2056277220202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344.61580497807364</v>
      </c>
      <c r="E33" s="11">
        <f>IF(B33=Title_RESULTS!$H$8,$F$16,+E32*(1+$F$7))</f>
        <v>0.11666878351645714</v>
      </c>
      <c r="F33" s="9">
        <f t="shared" si="1"/>
        <v>367.96379914334784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20.102436024437594</v>
      </c>
      <c r="L33" s="5">
        <f t="shared" si="3"/>
        <v>48.661748742426724</v>
      </c>
      <c r="N33" s="11">
        <f>IF(+B33=Title_RESULTS!$H$9,'Value of Defferal'!$O$16,+'Value of Defferal'!N32*(1+'Value of Defferal'!$F$7))</f>
        <v>0.12233608634455258</v>
      </c>
      <c r="O33" s="5">
        <f t="shared" si="7"/>
        <v>22.507046318398775</v>
      </c>
      <c r="P33" s="48">
        <f t="shared" si="4"/>
        <v>54.4825627873487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332.8111035537213</v>
      </c>
      <c r="E34" s="11">
        <f>IF(B34=Title_RESULTS!$H$8,$F$16,+E33*(1+$F$7))</f>
        <v>0.11946883432085212</v>
      </c>
      <c r="F34" s="9">
        <f t="shared" si="1"/>
        <v>376.7949303227882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19.4138336685888</v>
      </c>
      <c r="L34" s="5">
        <f t="shared" si="3"/>
        <v>46.99485649200383</v>
      </c>
      <c r="N34" s="11">
        <f>IF(+B34=Title_RESULTS!$H$9,'Value of Defferal'!$O$16,+'Value of Defferal'!N33*(1+'Value of Defferal'!$F$7))</f>
        <v>0.12527215241682185</v>
      </c>
      <c r="O34" s="5">
        <f t="shared" si="7"/>
        <v>23.04721543004035</v>
      </c>
      <c r="P34" s="48">
        <f t="shared" si="4"/>
        <v>55.79014429424507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321.00640212936906</v>
      </c>
      <c r="E35" s="11">
        <f>IF(B35=Title_RESULTS!$H$8,$F$16,+E34*(1+$F$7))</f>
        <v>0.12233608634455258</v>
      </c>
      <c r="F35" s="9">
        <f t="shared" si="1"/>
        <v>385.83800865053513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18.72523131274001</v>
      </c>
      <c r="L35" s="5">
        <f t="shared" si="3"/>
        <v>45.327964241580936</v>
      </c>
      <c r="N35" s="11">
        <f>IF(+B35=Title_RESULTS!$H$9,'Value of Defferal'!$O$16,+'Value of Defferal'!N34*(1+'Value of Defferal'!$F$7))</f>
        <v>0.12827868407482557</v>
      </c>
      <c r="O35" s="5">
        <f t="shared" si="7"/>
        <v>23.600348600361315</v>
      </c>
      <c r="P35" s="48">
        <f t="shared" si="4"/>
        <v>57.12910775730695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309.20170070501683</v>
      </c>
      <c r="E36" s="11">
        <f>IF(B36=Title_RESULTS!$H$8,$F$16,+E35*(1+$F$7))</f>
        <v>0.12527215241682185</v>
      </c>
      <c r="F36" s="9">
        <f t="shared" si="1"/>
        <v>395.09812085814804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18.036628956891224</v>
      </c>
      <c r="L36" s="5">
        <f t="shared" si="3"/>
        <v>43.66107199115805</v>
      </c>
      <c r="N36" s="11">
        <f>IF(+B36=Title_RESULTS!$H$9,'Value of Defferal'!$O$16,+'Value of Defferal'!N35*(1+'Value of Defferal'!$F$7))</f>
        <v>0.1313573724926214</v>
      </c>
      <c r="O36" s="5">
        <f t="shared" si="7"/>
        <v>24.166756966769988</v>
      </c>
      <c r="P36" s="48">
        <f t="shared" si="4"/>
        <v>58.50020634348232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297.3969992806645</v>
      </c>
      <c r="E37" s="11">
        <f>IF(B37&gt;Title_RESULTS!$H$8-1+Title_RESULTS!$C$18,0,+E36*(1+$F$7))</f>
        <v>0.12827868407482557</v>
      </c>
      <c r="F37" s="9">
        <f t="shared" si="1"/>
        <v>404.58047575874355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17.34802660104243</v>
      </c>
      <c r="L37" s="5">
        <f t="shared" si="3"/>
        <v>41.994179740735156</v>
      </c>
      <c r="N37" s="11">
        <f>IF(+B37=Title_RESULTS!$H$9,'Value of Defferal'!$O$16,+'Value of Defferal'!N36*(1+'Value of Defferal'!$F$7))</f>
        <v>0.1345099494324443</v>
      </c>
      <c r="O37" s="5">
        <f t="shared" si="7"/>
        <v>24.746759133972464</v>
      </c>
      <c r="P37" s="48">
        <f t="shared" si="4"/>
        <v>59.90421129572589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285.5922978563122</v>
      </c>
      <c r="E38" s="11">
        <f>IF(B38&gt;Title_RESULTS!$H$8-1+Title_RESULTS!$C$18,0,+E37*(1+$F$7))</f>
        <v>0.1313573724926214</v>
      </c>
      <c r="F38" s="9">
        <f t="shared" si="1"/>
        <v>414.2904071769534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16.659424245193637</v>
      </c>
      <c r="L38" s="5">
        <f t="shared" si="3"/>
        <v>40.32728749031226</v>
      </c>
      <c r="N38" s="11">
        <f>IF(+B38=Title_RESULTS!$H$9,'Value of Defferal'!$O$16,+'Value of Defferal'!N37*(1+'Value of Defferal'!$F$7))</f>
        <v>0.13773818821882297</v>
      </c>
      <c r="O38" s="5">
        <f t="shared" si="7"/>
        <v>25.340681353187808</v>
      </c>
      <c r="P38" s="48">
        <f t="shared" si="4"/>
        <v>61.341912366823315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273.78759643195986</v>
      </c>
      <c r="E39" s="11">
        <f>IF(B39&gt;Title_RESULTS!$H$8-1+Title_RESULTS!$C$18,0,+E38*(1+$F$7))</f>
        <v>0.1345099494324443</v>
      </c>
      <c r="F39" s="9">
        <f t="shared" si="1"/>
        <v>424.2333769492003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15.970821889344844</v>
      </c>
      <c r="L39" s="5">
        <f t="shared" si="3"/>
        <v>38.66039523988936</v>
      </c>
      <c r="N39" s="11">
        <f>IF(+B39&gt;Title_RESULTS!$H$9+Title_RESULTS!$C$19-1,0,+'Value of Defferal'!N38*(1+'Value of Defferal'!$F$7))</f>
        <v>0.14104390473607473</v>
      </c>
      <c r="O39" s="5">
        <f t="shared" si="7"/>
        <v>25.948857705664317</v>
      </c>
      <c r="P39" s="48">
        <f t="shared" si="4"/>
        <v>62.81411826362708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261.9828950076077</v>
      </c>
      <c r="E40" s="11">
        <f>IF(B40&gt;Title_RESULTS!$H$8-1+Title_RESULTS!$C$18,0,+E39*(1+$F$7))</f>
        <v>0.13773818821882297</v>
      </c>
      <c r="F40" s="9">
        <f t="shared" si="1"/>
        <v>434.41497799598113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15.282219533496058</v>
      </c>
      <c r="L40" s="5">
        <f t="shared" si="3"/>
        <v>36.993502989466485</v>
      </c>
      <c r="N40" s="11">
        <f>IF(+B40&gt;Title_RESULTS!$H$9+Title_RESULTS!$C$19-1,0,+'Value of Defferal'!N39*(1+'Value of Defferal'!$F$7))</f>
        <v>0.14442895844974052</v>
      </c>
      <c r="O40" s="5">
        <f t="shared" si="7"/>
        <v>26.57163029060026</v>
      </c>
      <c r="P40" s="48">
        <f t="shared" si="4"/>
        <v>64.32165710195413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251.2867022813178</v>
      </c>
      <c r="E41" s="11">
        <f>IF(B41&gt;Title_RESULTS!$H$8-1+Title_RESULTS!$C$18,0,+E40*(1+$F$7))</f>
        <v>0.14104390473607473</v>
      </c>
      <c r="F41" s="9">
        <f t="shared" si="1"/>
        <v>444.8409374678847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14.658279694175635</v>
      </c>
      <c r="L41" s="5">
        <f t="shared" si="3"/>
        <v>35.4831385911174</v>
      </c>
      <c r="N41" s="11">
        <f>IF(+B41&gt;Title_RESULTS!$H$9+Title_RESULTS!$C$19-1,0,+'Value of Defferal'!N40*(1+'Value of Defferal'!$F$7))</f>
        <v>0.1478952534525343</v>
      </c>
      <c r="O41" s="5">
        <f t="shared" si="7"/>
        <v>27.209349417574664</v>
      </c>
      <c r="P41" s="48">
        <f t="shared" si="4"/>
        <v>65.86537687240103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242.80715156723875</v>
      </c>
      <c r="E42" s="11">
        <f>IF(B42&gt;Title_RESULTS!$H$8-1+Title_RESULTS!$C$18,0,+E41*(1+$F$7))</f>
        <v>0.14442895844974052</v>
      </c>
      <c r="F42" s="9">
        <f t="shared" si="1"/>
        <v>455.5171199671139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14.163642990683195</v>
      </c>
      <c r="L42" s="5">
        <f t="shared" si="3"/>
        <v>34.28577689053193</v>
      </c>
      <c r="N42" s="11">
        <f>IF(+B42&gt;Title_RESULTS!$H$9+Title_RESULTS!$C$19-1,0,+'Value of Defferal'!N41*(1+'Value of Defferal'!$F$7))</f>
        <v>0.1514447395353951</v>
      </c>
      <c r="O42" s="5">
        <f t="shared" si="7"/>
        <v>27.86237380359646</v>
      </c>
      <c r="P42" s="48">
        <f t="shared" si="4"/>
        <v>67.44614591733865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235.43573416730814</v>
      </c>
      <c r="E43" s="11">
        <f>IF(B43&gt;Title_RESULTS!$H$8-1+Title_RESULTS!$C$18,0,+E42*(1+$F$7))</f>
        <v>0.1478952534525343</v>
      </c>
      <c r="F43" s="9">
        <f t="shared" si="1"/>
        <v>466.44953084632465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13.733646906490366</v>
      </c>
      <c r="L43" s="5">
        <f t="shared" si="3"/>
        <v>33.24489003563623</v>
      </c>
      <c r="N43" s="11">
        <f>IF(+B43&gt;Title_RESULTS!$H$9+Title_RESULTS!$C$19-1,0,+'Value of Defferal'!N42*(1+'Value of Defferal'!$F$7))</f>
        <v>0.1550794132842446</v>
      </c>
      <c r="O43" s="5">
        <f t="shared" si="7"/>
        <v>28.531070774882775</v>
      </c>
      <c r="P43" s="48">
        <f t="shared" si="4"/>
        <v>69.06485341935478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228.06431676737756</v>
      </c>
      <c r="E44" s="11">
        <f>IF(B44&gt;Title_RESULTS!$H$8-1+Title_RESULTS!$C$18,0,+E43*(1+$F$7))</f>
        <v>0.1514447395353951</v>
      </c>
      <c r="F44" s="9">
        <f t="shared" si="1"/>
        <v>477.64431958663647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13.30365082229754</v>
      </c>
      <c r="L44" s="5">
        <f t="shared" si="3"/>
        <v>32.20400318074054</v>
      </c>
      <c r="N44" s="11">
        <f>IF(+B44&gt;Title_RESULTS!$H$9+Title_RESULTS!$C$19-1,0,+'Value of Defferal'!N43*(1+'Value of Defferal'!$F$7))</f>
        <v>0.15880131920306648</v>
      </c>
      <c r="O44" s="5">
        <f t="shared" si="7"/>
        <v>29.21581647347996</v>
      </c>
      <c r="P44" s="48">
        <f t="shared" si="4"/>
        <v>70.7224099014193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220.69289936744687</v>
      </c>
      <c r="E45" s="11">
        <f>IF(B45&gt;Title_RESULTS!$H$8-1+Title_RESULTS!$C$18,0,+E44*(1+$F$7))</f>
        <v>0.1550794132842446</v>
      </c>
      <c r="F45" s="9">
        <f t="shared" si="1"/>
        <v>489.1077832567157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12.873654738104706</v>
      </c>
      <c r="L45" s="5">
        <f t="shared" si="3"/>
        <v>31.163116325844832</v>
      </c>
      <c r="N45" s="11">
        <f>IF(+B45&gt;Title_RESULTS!$H$9+Title_RESULTS!$C$19-1,0,+'Value of Defferal'!N44*(1+'Value of Defferal'!$F$7))</f>
        <v>0.16261255086394008</v>
      </c>
      <c r="O45" s="5">
        <f t="shared" si="7"/>
        <v>29.91699606884348</v>
      </c>
      <c r="P45" s="48">
        <f t="shared" si="4"/>
        <v>72.41974773905336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213.32148196751626</v>
      </c>
      <c r="E46" s="11">
        <f>IF(B46&gt;Title_RESULTS!$H$8-1+Title_RESULTS!$C$18,0,+E45*(1+$F$7))</f>
        <v>0.15880131920306648</v>
      </c>
      <c r="F46" s="9">
        <f t="shared" si="1"/>
        <v>500.84637005487696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12.443658653911879</v>
      </c>
      <c r="L46" s="5">
        <f t="shared" si="3"/>
        <v>30.122229470949136</v>
      </c>
      <c r="N46" s="11">
        <f>IF(+B46&gt;Title_RESULTS!$H$9+Title_RESULTS!$C$19-1,0,+'Value of Defferal'!N45*(1+'Value of Defferal'!$F$7))</f>
        <v>0.16651525208467466</v>
      </c>
      <c r="O46" s="5">
        <f t="shared" si="7"/>
        <v>30.635003974495728</v>
      </c>
      <c r="P46" s="48">
        <f t="shared" si="4"/>
        <v>74.15782168479065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205.9500645675857</v>
      </c>
      <c r="E47" s="11">
        <f>IF(B47&gt;Title_RESULTS!$H$8-1+Title_RESULTS!$C$18,0,+E46*(1+$F$7))</f>
        <v>0.16261255086394008</v>
      </c>
      <c r="F47" s="9">
        <f t="shared" si="1"/>
        <v>512.866682936194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12.013662569719052</v>
      </c>
      <c r="L47" s="5">
        <f t="shared" si="3"/>
        <v>29.081342616053448</v>
      </c>
      <c r="N47" s="11">
        <f>IF(+B47&gt;Title_RESULTS!$H$9+Title_RESULTS!$C$19-1,0,+'Value of Defferal'!N46*(1+'Value of Defferal'!$F$7))</f>
        <v>0.17051161813470686</v>
      </c>
      <c r="O47" s="5">
        <f t="shared" si="7"/>
        <v>31.370244069883626</v>
      </c>
      <c r="P47" s="48">
        <f t="shared" si="4"/>
        <v>75.93760940522563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198.5786471676551</v>
      </c>
      <c r="E48" s="11">
        <f>IF(B48&gt;Title_RESULTS!$H$8-1+Title_RESULTS!$C$18,0,+E47*(1+$F$7))</f>
        <v>0.16651525208467466</v>
      </c>
      <c r="F48" s="9">
        <f t="shared" si="1"/>
        <v>525.1754833266627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11.583666485526225</v>
      </c>
      <c r="L48" s="5">
        <f t="shared" si="3"/>
        <v>28.04045576115775</v>
      </c>
      <c r="N48" s="11">
        <f>IF(+B48&gt;Title_RESULTS!$H$9+Title_RESULTS!$C$19-1,0,+'Value of Defferal'!N47*(1+'Value of Defferal'!$F$7))</f>
        <v>0.17460389696993983</v>
      </c>
      <c r="O48" s="5">
        <f t="shared" si="7"/>
        <v>32.12312992756083</v>
      </c>
      <c r="P48" s="48">
        <f t="shared" si="4"/>
        <v>77.76011203095105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191.20722976772444</v>
      </c>
      <c r="E49" s="11">
        <f>IF(B49&gt;Title_RESULTS!$H$8-1+Title_RESULTS!$C$18,0,+E48*(1+$F$7))</f>
        <v>0.17051161813470686</v>
      </c>
      <c r="F49" s="9">
        <f t="shared" si="1"/>
        <v>537.7796949265027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11.153670401333391</v>
      </c>
      <c r="L49" s="5">
        <f t="shared" si="3"/>
        <v>26.999568906262045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183.83581236779384</v>
      </c>
      <c r="E50" s="11">
        <f>IF(B50&gt;Title_RESULTS!$H$8-1+Title_RESULTS!$C$18,0,+E49*(1+$F$7))</f>
        <v>0.17460389696993983</v>
      </c>
      <c r="F50" s="9">
        <f t="shared" si="1"/>
        <v>550.6864076047387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10.723674317140564</v>
      </c>
      <c r="L50" s="5">
        <f t="shared" si="3"/>
        <v>25.95868205136635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176.46439496786326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10.293678232947736</v>
      </c>
      <c r="L51" s="5">
        <f t="shared" si="3"/>
        <v>24.917795196470657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7535.05797412806</v>
      </c>
      <c r="F63" s="9">
        <f>SUM(F23:F61)</f>
        <v>10509.392504832203</v>
      </c>
      <c r="J63" t="s">
        <v>87</v>
      </c>
      <c r="K63" s="9">
        <f>SUM(K23:K61)</f>
        <v>439.5417118926837</v>
      </c>
      <c r="O63" s="9">
        <f>SUM(O23:O61)</f>
        <v>613.0432424523743</v>
      </c>
    </row>
    <row r="64" spans="3:15" ht="12.75">
      <c r="C64" t="s">
        <v>89</v>
      </c>
      <c r="D64" s="9">
        <f>NPV(+Title_RESULTS!$C$37,'Value of Defferal'!D24:D61)+'Value of Defferal'!D23</f>
        <v>3364.448956700441</v>
      </c>
      <c r="F64" s="9">
        <f>NPV(+Title_RESULTS!$C$37,'Value of Defferal'!F24:F61)+'Value of Defferal'!F23</f>
        <v>3907.870849275073</v>
      </c>
      <c r="J64" t="s">
        <v>89</v>
      </c>
      <c r="K64" s="9">
        <f>NPV(+Title_RESULTS!$C$37,'Value of Defferal'!K24:K61)+'Value of Defferal'!K23</f>
        <v>196.25803266295236</v>
      </c>
      <c r="O64" s="9">
        <f>NPV(+Title_RESULTS!$C$37,'Value of Defferal'!O24:O61)+'Value of Defferal'!O23</f>
        <v>261.37883900844236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1.7215454917016757</v>
      </c>
      <c r="C25" t="s">
        <v>372</v>
      </c>
    </row>
    <row r="26" spans="2:3" ht="18">
      <c r="B26" s="15">
        <f>+((Input!$C$6*'EUE_Line Losses'!C4)+(Input!$C$7*'EUE_Line Losses'!C3))/'EUE_Line Losses'!C22</f>
        <v>1.7159921191477994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0.69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1.76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8066.5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40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1988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937.11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7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Efficient Exhaust Hood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43599.31870011574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1.76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1.7159921191477994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8508.96624472574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8066.5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40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1988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937.11</v>
      </c>
      <c r="D39" s="13" t="s">
        <v>189</v>
      </c>
      <c r="G39" s="20" t="s">
        <v>346</v>
      </c>
      <c r="H39" s="79">
        <f>+'Sheet7(F_23)'!H36</f>
        <v>2.219082924096174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+'Sheet8(F_24)'!K34</f>
        <v>13171.79396759931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1.0515843603668482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2019-05-14T11:38:57Z</dcterms:created>
  <dcterms:modified xsi:type="dcterms:W3CDTF">2019-05-14T11:38:58Z</dcterms:modified>
  <cp:category/>
  <cp:version/>
  <cp:contentType/>
  <cp:contentStatus/>
</cp:coreProperties>
</file>