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'Sheet2(F_12)'!$A$1:$K$44</definedName>
    <definedName name="_xlnm.Print_Area" localSheetId="11">'Sheet3(F_21)'!$A$1:$J$33</definedName>
    <definedName name="_xlnm.Print_Area" localSheetId="14">'Sheet4(F_22)'!$A$1:$J$33</definedName>
    <definedName name="_xlnm.Print_Area" localSheetId="12">'Sheet5(p_5)'!$A$1:$H$33</definedName>
    <definedName name="_xlnm.Print_Area" localSheetId="15">'Sheet6(p_6)'!$A$1:$R$33</definedName>
    <definedName name="_xlnm.Print_Area" localSheetId="16">'Sheet7(F_23)'!$A$1:$M$33</definedName>
    <definedName name="_xlnm.Print_Area" localSheetId="17">'Sheet8(F_24)'!$A$1:$M$33</definedName>
    <definedName name="_xlnm.Print_Area" localSheetId="18">'Sheet9(F_25)'!$A$1:$N$33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<sst xmlns="http://schemas.openxmlformats.org/spreadsheetml/2006/main" count="1258" uniqueCount="468">
  <si>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</si>
  <si>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</si>
  <si>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</si>
  <si>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</si>
  <si>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</si>
  <si>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</si>
  <si>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</si>
  <si>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</si>
  <si>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</si>
  <si>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</si>
  <si>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</si>
  <si>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</si>
  <si>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</si>
  <si>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</si>
  <si>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</si>
  <si>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</si>
  <si>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</si>
  <si>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</si>
  <si>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</si>
  <si>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</si>
  <si>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</si>
  <si>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</si>
  <si>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</si>
  <si>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</si>
  <si>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</si>
  <si>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</si>
  <si>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</si>
  <si>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</si>
  <si>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</si>
  <si>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</si>
  <si>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</si>
  <si>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</si>
  <si>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</si>
  <si>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</si>
  <si>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</si>
  <si>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</si>
  <si>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</si>
  <si>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</si>
  <si>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</si>
  <si>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</si>
  <si>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</si>
  <si>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</si>
  <si>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</si>
  <si>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</si>
  <si>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</si>
  <si>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</si>
  <si>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</si>
  <si>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</si>
  <si>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</si>
  <si>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</si>
  <si>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</si>
  <si>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</si>
  <si>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</si>
  <si>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</si>
  <si>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</si>
  <si>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</si>
  <si>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</si>
  <si>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</si>
  <si>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</si>
  <si>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</si>
  <si>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</si>
  <si>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</si>
  <si>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</si>
  <si>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</si>
  <si>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</si>
  <si>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</si>
  <si>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</si>
  <si>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</si>
  <si>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</si>
  <si>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</si>
  <si>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</si>
  <si>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</si>
  <si>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</si>
  <si>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</si>
  <si>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</si>
  <si>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</si>
  <si>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</si>
  <si>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</si>
  <si>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</si>
  <si>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</si>
  <si>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</si>
  <si>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</si>
  <si>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</si>
  <si>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</si>
  <si>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</si>
  <si>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</si>
  <si>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</si>
  <si>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</si>
  <si>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</si>
  <si>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</si>
  <si>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</si>
  <si>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</si>
  <si>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</si>
  <si>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</si>
  <si>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</si>
  <si>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</si>
  <si>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</si>
  <si>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</si>
  <si>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</si>
  <si>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</si>
  <si>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</si>
  <si>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</si>
  <si>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</si>
  <si>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</si>
  <si>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</si>
  <si>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</si>
  <si>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</si>
  <si>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</si>
  <si>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</si>
  <si>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</si>
  <si>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</si>
  <si>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</si>
  <si>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</si>
  <si>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</si>
  <si>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</si>
  <si>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</si>
  <si>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</si>
  <si>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</si>
  <si>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</si>
  <si>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</si>
  <si>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</si>
  <si>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</si>
  <si>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</si>
  <si>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</si>
  <si>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</si>
  <si>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</si>
  <si>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</si>
  <si>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</si>
  <si>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</si>
  <si>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</si>
  <si>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</si>
  <si>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</si>
  <si>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</si>
  <si>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</si>
  <si>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</si>
  <si>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</si>
  <si>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</si>
  <si>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</si>
  <si>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</si>
  <si>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</si>
  <si>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</si>
  <si>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</si>
  <si>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</si>
  <si>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</si>
  <si>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</si>
  <si>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</si>
  <si>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</si>
  <si>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</si>
  <si>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</si>
  <si>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</si>
  <si>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</si>
  <si>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</si>
  <si>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</si>
  <si>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</si>
  <si>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</si>
  <si>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</si>
  <si>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</si>
  <si>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</si>
  <si>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</si>
  <si>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</si>
  <si>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</si>
  <si>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</si>
  <si>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</si>
  <si>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</si>
  <si>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</si>
  <si>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</si>
  <si>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</si>
  <si>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</si>
  <si>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</si>
  <si>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</si>
  <si>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</si>
  <si>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</si>
  <si>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</si>
  <si>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</si>
  <si>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</si>
  <si>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</si>
  <si>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</si>
  <si>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</si>
  <si>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</si>
  <si>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</si>
  <si>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</si>
  <si>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</si>
  <si>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</si>
  <si>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</si>
  <si>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</si>
  <si>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</si>
  <si>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</si>
  <si>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</si>
  <si>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</si>
  <si>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</si>
  <si>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</si>
  <si>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</si>
  <si>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</si>
  <si>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</si>
  <si>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</si>
  <si>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</si>
  <si>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</si>
  <si>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</si>
  <si>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</si>
  <si>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</si>
  <si>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</si>
  <si>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</si>
  <si>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</si>
  <si>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</si>
  <si>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</si>
  <si>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</si>
  <si>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</si>
  <si>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</si>
  <si>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</si>
  <si>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</si>
  <si>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</si>
  <si>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</si>
  <si>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</si>
  <si>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</si>
  <si>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</si>
  <si>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</si>
  <si>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</si>
  <si>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</si>
  <si>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</si>
  <si>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</si>
  <si>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</si>
  <si>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</si>
  <si>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</si>
  <si>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</si>
  <si>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</si>
  <si>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</si>
  <si>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</si>
  <si>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</si>
  <si>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</si>
  <si>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</si>
  <si>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</si>
  <si>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</si>
  <si>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</si>
  <si>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</si>
  <si>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</si>
  <si>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</si>
  <si>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</si>
  <si>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</si>
  <si>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</si>
  <si>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</si>
  <si>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</si>
  <si>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</si>
  <si>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</si>
  <si>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</si>
  <si>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</si>
  <si>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</si>
  <si>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</si>
  <si>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</si>
  <si>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</si>
  <si>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</si>
  <si>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</si>
  <si>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</si>
  <si>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</si>
  <si>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</si>
  <si>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</si>
  <si>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</si>
  <si>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</si>
  <si>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</si>
  <si>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</si>
  <si>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</si>
  <si>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</si>
  <si>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</si>
  <si>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</si>
  <si>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</si>
  <si>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</si>
  <si>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</si>
  <si>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</si>
  <si>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</si>
  <si>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</si>
  <si>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</si>
  <si>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</si>
  <si>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</si>
  <si>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</si>
  <si>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</si>
  <si>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</si>
  <si>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</si>
  <si>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</si>
  <si>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</si>
  <si>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</si>
  <si>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</si>
  <si>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</si>
  <si>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</si>
  <si>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</si>
  <si>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</si>
  <si>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</si>
  <si>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</si>
  <si>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</si>
  <si>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</si>
  <si>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</si>
  <si>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</si>
  <si>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</si>
  <si>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</si>
  <si>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</si>
  <si>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</si>
  <si>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</si>
  <si>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</si>
  <si>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</si>
  <si>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</si>
  <si>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</si>
  <si>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</si>
  <si>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</si>
  <si>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</si>
  <si>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</si>
  <si>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</si>
  <si>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</si>
  <si>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</si>
  <si>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</si>
  <si>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</si>
  <si>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</si>
  <si>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</si>
  <si>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</si>
  <si>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</si>
  <si>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</si>
  <si>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</si>
  <si>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</si>
  <si>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</si>
  <si>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</si>
  <si>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</si>
  <si>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</si>
  <si>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</si>
  <si>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</si>
  <si>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</si>
  <si>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</si>
  <si>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</si>
  <si>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</si>
  <si>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</si>
  <si>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</si>
  <si>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</si>
  <si>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</si>
  <si>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</si>
  <si>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</si>
  <si>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</si>
  <si>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</si>
  <si>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</si>
  <si>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</si>
  <si>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</si>
  <si>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</si>
  <si>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</si>
  <si>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</si>
  <si>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</si>
  <si>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</si>
  <si>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</si>
  <si>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</si>
  <si>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</si>
  <si>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</si>
  <si>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</si>
  <si>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</si>
  <si>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</si>
  <si>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</si>
  <si>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</si>
  <si>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</si>
  <si>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</si>
  <si>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</si>
  <si>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</si>
  <si>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</si>
  <si>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</si>
  <si>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</si>
  <si>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</si>
  <si>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</si>
  <si>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</si>
  <si>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</si>
  <si>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</si>
  <si>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</si>
  <si>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</si>
  <si>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</si>
  <si>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</si>
  <si>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</si>
  <si>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</si>
  <si>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</si>
  <si>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</si>
  <si>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</si>
  <si>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</si>
  <si>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</si>
  <si>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</si>
  <si>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</si>
  <si>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</si>
  <si>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</si>
  <si>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</si>
  <si>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</si>
  <si>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</si>
  <si>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</si>
  <si>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</si>
  <si>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</si>
  <si>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</si>
  <si>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</si>
  <si>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</si>
  <si>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</si>
  <si>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</si>
  <si>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</si>
  <si>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</si>
  <si>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</si>
  <si>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</si>
  <si>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</si>
  <si>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</si>
  <si>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</si>
  <si>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</si>
  <si>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</si>
  <si>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</si>
  <si>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</si>
  <si>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</si>
  <si>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</si>
  <si>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</si>
  <si>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</si>
  <si>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</si>
  <si>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</si>
  <si>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</si>
  <si>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</si>
  <si>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</si>
  <si>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</si>
  <si>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</si>
  <si>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</si>
  <si>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</si>
  <si>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</si>
  <si>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</si>
  <si>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</si>
  <si>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</si>
  <si>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</si>
  <si>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</si>
  <si>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</si>
  <si>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</si>
  <si>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</si>
  <si>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</si>
  <si>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</si>
  <si>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</si>
  <si>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</si>
  <si>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</si>
  <si>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</si>
  <si>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</si>
  <si>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</si>
  <si>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</si>
  <si>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</si>
  <si>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</si>
  <si>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</si>
  <si>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</si>
  <si>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</si>
  <si>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</si>
  <si>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</si>
  <si>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</si>
  <si>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</si>
  <si>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</si>
  <si>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</si>
  <si>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</si>
  <si>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</si>
  <si>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</si>
  <si>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</si>
  <si>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</si>
  <si>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</si>
  <si>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</si>
  <si>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</si>
  <si>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</si>
  <si>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</si>
  <si>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</si>
  <si>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</si>
  <si>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</si>
  <si>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</si>
  <si>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</si>
  <si>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</si>
  <si>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</si>
  <si>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</si>
  <si>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</si>
  <si>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</si>
  <si>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</si>
  <si>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</si>
  <si>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</si>
  <si>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</si>
  <si>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</si>
  <si>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</si>
  <si>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ENERGY STAR Holding Cabinet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</si>
</sst>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43599.31889398148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953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43599.31889398148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ENERGY STAR Holding Cabinet</v>
      </c>
      <c r="J2" t="s">
        <v>55</v>
      </c>
    </row>
    <row r="3" ht="12.75">
      <c r="J3" s="35">
        <f>+Title_RESULTS!I4</f>
        <v>43599.31889398148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953</v>
      </c>
      <c r="H5" t="s">
        <v>59</v>
      </c>
    </row>
    <row r="6" spans="3:7" ht="12.75">
      <c r="C6" t="s">
        <v>61</v>
      </c>
      <c r="G6" s="36">
        <f>+'Value of Defferal'!E3</f>
        <v>583.8547086280056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7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57.697867247771796</v>
      </c>
      <c r="D19" s="5">
        <f>IF((Title_RESULTS!$H$8-Title_RESULTS!$H$7)&lt;=('Sheet3(F_21)'!A19-Title_RESULTS!$H$7),((Title_RESULTS!$C$8*Partcipation!$C$26*8760*Title_RESULTS!$H$21/100000)),0)</f>
        <v>759.4741851332399</v>
      </c>
      <c r="E19" s="5">
        <f>IF($G19=0,0,((Title_RESULTS!$H$14*((1+Title_RESULTS!$H$15/100)^($A19-Title_RESULTS!$H$7))*'EUE_Line Losses'!$B$25*Partcipation!$C$26))/1000)</f>
        <v>5.983277660059761</v>
      </c>
      <c r="F19" s="5">
        <f>IF($G19=0,0,(Title_RESULTS!$H$19/100*((1+Title_RESULTS!$H$20/100)^($A19-Title_RESULTS!$H$7))*$D19*1000)/1000)</f>
        <v>1.7125063133343452</v>
      </c>
      <c r="G19" s="5">
        <f>(+Title_RESULTS!$H$22/100*((1+Title_RESULTS!$H$23/100)^(+'Sheet4(F_22)'!A19-Title_RESULTS!$H$7)))*'Sheet3(F_21)'!D19</f>
        <v>32.53806868662427</v>
      </c>
      <c r="H19" s="5">
        <f>IF($G19=0,0,(($D19))*(Partcipation!$G19/100))</f>
        <v>24.09528744474977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73.8364324630404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59.08261606171831</v>
      </c>
      <c r="D20" s="5">
        <f>IF((Title_RESULTS!$H$8-Title_RESULTS!$H$7)&lt;=('Sheet3(F_21)'!A20-Title_RESULTS!$H$7),((Title_RESULTS!$C$8*Partcipation!$C$26*8760*Title_RESULTS!$H$21/100000)),0)</f>
        <v>759.4741851332399</v>
      </c>
      <c r="E20" s="5">
        <f>IF($G20=0,0,((Title_RESULTS!$H$14*((1+Title_RESULTS!$H$15/100)^($A20-Title_RESULTS!$H$7))*'EUE_Line Losses'!$B$25*Partcipation!$C$26))/1000)</f>
        <v>6.126876323901194</v>
      </c>
      <c r="F20" s="5">
        <f>IF($G20=0,0,(Title_RESULTS!$H$19/100*((1+Title_RESULTS!$H$20/100)^($A20-Title_RESULTS!$H$7))*$D20*1000)/1000)</f>
        <v>1.7536064648543692</v>
      </c>
      <c r="G20" s="5">
        <f>(+Title_RESULTS!$H$22/100*((1+Title_RESULTS!$H$23/100)^(+'Sheet4(F_22)'!A20-Title_RESULTS!$H$7)))*'Sheet3(F_21)'!D20</f>
        <v>34.01529700499702</v>
      </c>
      <c r="H20" s="5">
        <f>IF($G20=0,0,(($D20))*(Partcipation!$G20/100))</f>
        <v>25.17317573711506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75.80522011835585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60.500598847199555</v>
      </c>
      <c r="D21" s="5">
        <f>IF((Title_RESULTS!$H$8-Title_RESULTS!$H$7)&lt;=('Sheet3(F_21)'!A21-Title_RESULTS!$H$7),((Title_RESULTS!$C$8*Partcipation!$C$26*8760*Title_RESULTS!$H$21/100000)),0)</f>
        <v>759.4741851332399</v>
      </c>
      <c r="E21" s="5">
        <f>IF($G21=0,0,((Title_RESULTS!$H$14*((1+Title_RESULTS!$H$15/100)^($A21-Title_RESULTS!$H$7))*'EUE_Line Losses'!$B$25*Partcipation!$C$26))/1000)</f>
        <v>6.273921355674823</v>
      </c>
      <c r="F21" s="5">
        <f>IF($G21=0,0,(Title_RESULTS!$H$19/100*((1+Title_RESULTS!$H$20/100)^($A21-Title_RESULTS!$H$7))*$D21*1000)/1000)</f>
        <v>1.7956930200108743</v>
      </c>
      <c r="G21" s="5">
        <f>(+Title_RESULTS!$H$22/100*((1+Title_RESULTS!$H$23/100)^(+'Sheet4(F_22)'!A21-Title_RESULTS!$H$7)))*'Sheet3(F_21)'!D21</f>
        <v>35.55959148902389</v>
      </c>
      <c r="H21" s="5">
        <f>IF($G21=0,0,(($D21))*(Partcipation!$G21/100))</f>
        <v>26.170746232453787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77.95905847945536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61.952613219532346</v>
      </c>
      <c r="D22" s="5">
        <f>IF((Title_RESULTS!$H$8-Title_RESULTS!$H$7)&lt;=('Sheet3(F_21)'!A22-Title_RESULTS!$H$7),((Title_RESULTS!$C$8*Partcipation!$C$26*8760*Title_RESULTS!$H$21/100000)),0)</f>
        <v>759.4741851332399</v>
      </c>
      <c r="E22" s="5">
        <f>IF($G22=0,0,((Title_RESULTS!$H$14*((1+Title_RESULTS!$H$15/100)^($A22-Title_RESULTS!$H$7))*'EUE_Line Losses'!$B$25*Partcipation!$C$26))/1000)</f>
        <v>6.424495468211018</v>
      </c>
      <c r="F22" s="5">
        <f>IF($G22=0,0,(Title_RESULTS!$H$19/100*((1+Title_RESULTS!$H$20/100)^($A22-Title_RESULTS!$H$7))*$D22*1000)/1000)</f>
        <v>1.8387896524911351</v>
      </c>
      <c r="G22" s="5">
        <f>(+Title_RESULTS!$H$22/100*((1+Title_RESULTS!$H$23/100)^(+'Sheet4(F_22)'!A22-Title_RESULTS!$H$7)))*'Sheet3(F_21)'!D22</f>
        <v>37.17399694262557</v>
      </c>
      <c r="H22" s="5">
        <f>IF($G22=0,0,(($D22))*(Partcipation!$G22/100))</f>
        <v>27.018687764698296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80.37120751816177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63.439475936801124</v>
      </c>
      <c r="D23" s="5">
        <f>IF((Title_RESULTS!$H$8-Title_RESULTS!$H$7)&lt;=('Sheet3(F_21)'!A23-Title_RESULTS!$H$7),((Title_RESULTS!$C$8*Partcipation!$C$26*8760*Title_RESULTS!$H$21/100000)),0)</f>
        <v>759.4741851332399</v>
      </c>
      <c r="E23" s="5">
        <f>IF($G23=0,0,((Title_RESULTS!$H$14*((1+Title_RESULTS!$H$15/100)^($A23-Title_RESULTS!$H$7))*'EUE_Line Losses'!$B$25*Partcipation!$C$26))/1000)</f>
        <v>6.578683359448084</v>
      </c>
      <c r="F23" s="5">
        <f>IF($G23=0,0,(Title_RESULTS!$H$19/100*((1+Title_RESULTS!$H$20/100)^($A23-Title_RESULTS!$H$7))*$D23*1000)/1000)</f>
        <v>1.8829206041509225</v>
      </c>
      <c r="G23" s="5">
        <f>(+Title_RESULTS!$H$22/100*((1+Title_RESULTS!$H$23/100)^(+'Sheet4(F_22)'!A23-Title_RESULTS!$H$7)))*'Sheet3(F_21)'!D23</f>
        <v>38.86169640382078</v>
      </c>
      <c r="H23" s="5">
        <f>IF($G23=0,0,(($D23))*(Partcipation!$G23/100))</f>
        <v>28.22803528329796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82.53474102092295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64.96202335928434</v>
      </c>
      <c r="D24" s="5">
        <f>IF((Title_RESULTS!$H$8-Title_RESULTS!$H$7)&lt;=('Sheet3(F_21)'!A24-Title_RESULTS!$H$7),((Title_RESULTS!$C$8*Partcipation!$C$26*8760*Title_RESULTS!$H$21/100000)),0)</f>
        <v>759.4741851332399</v>
      </c>
      <c r="E24" s="5">
        <f>IF($G24=0,0,((Title_RESULTS!$H$14*((1+Title_RESULTS!$H$15/100)^($A24-Title_RESULTS!$H$7))*'EUE_Line Losses'!$B$25*Partcipation!$C$26))/1000)</f>
        <v>6.7365717600748365</v>
      </c>
      <c r="F24" s="5">
        <f>IF($G24=0,0,(Title_RESULTS!$H$19/100*((1+Title_RESULTS!$H$20/100)^($A24-Title_RESULTS!$H$7))*$D24*1000)/1000)</f>
        <v>1.9281106986505445</v>
      </c>
      <c r="G24" s="5">
        <f>(+Title_RESULTS!$H$22/100*((1+Title_RESULTS!$H$23/100)^(+'Sheet4(F_22)'!A24-Title_RESULTS!$H$7)))*'Sheet3(F_21)'!D24</f>
        <v>40.62601742055425</v>
      </c>
      <c r="H24" s="5">
        <f>IF($G24=0,0,(($D24))*(Partcipation!$G24/100))</f>
        <v>30.380829177908783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83.8718940606552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66.52111191990717</v>
      </c>
      <c r="D25" s="5">
        <f>IF((Title_RESULTS!$H$8-Title_RESULTS!$H$7)&lt;=('Sheet3(F_21)'!A25-Title_RESULTS!$H$7),((Title_RESULTS!$C$8*Partcipation!$C$26*8760*Title_RESULTS!$H$21/100000)),0)</f>
        <v>759.4741851332399</v>
      </c>
      <c r="E25" s="5">
        <f>IF($G25=0,0,((Title_RESULTS!$H$14*((1+Title_RESULTS!$H$15/100)^($A25-Title_RESULTS!$H$7))*'EUE_Line Losses'!$B$25*Partcipation!$C$26))/1000)</f>
        <v>6.898249482316632</v>
      </c>
      <c r="F25" s="5">
        <f>IF($G25=0,0,(Title_RESULTS!$H$19/100*((1+Title_RESULTS!$H$20/100)^($A25-Title_RESULTS!$H$7))*$D25*1000)/1000)</f>
        <v>1.9743853554181574</v>
      </c>
      <c r="G25" s="5">
        <f>(+Title_RESULTS!$H$22/100*((1+Title_RESULTS!$H$23/100)^(+'Sheet4(F_22)'!A25-Title_RESULTS!$H$7)))*'Sheet3(F_21)'!D25</f>
        <v>42.47043861144741</v>
      </c>
      <c r="H25" s="5">
        <f>IF($G25=0,0,(($D25))*(Partcipation!$G25/100))</f>
        <v>31.714111721711014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86.15007364737838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68.11761860598494</v>
      </c>
      <c r="D26" s="5">
        <f>IF((Title_RESULTS!$H$8-Title_RESULTS!$H$7)&lt;=('Sheet3(F_21)'!A26-Title_RESULTS!$H$7),((Title_RESULTS!$C$8*Partcipation!$C$26*8760*Title_RESULTS!$H$21/100000)),0)</f>
        <v>759.4741851332399</v>
      </c>
      <c r="E26" s="5">
        <f>IF($G26=0,0,((Title_RESULTS!$H$14*((1+Title_RESULTS!$H$15/100)^($A26-Title_RESULTS!$H$7))*'EUE_Line Losses'!$B$25*Partcipation!$C$26))/1000)</f>
        <v>7.0638074698922315</v>
      </c>
      <c r="F26" s="5">
        <f>IF($G26=0,0,(Title_RESULTS!$H$19/100*((1+Title_RESULTS!$H$20/100)^($A26-Title_RESULTS!$H$7))*$D26*1000)/1000)</f>
        <v>2.0217706039481933</v>
      </c>
      <c r="G26" s="5">
        <f>(+Title_RESULTS!$H$22/100*((1+Title_RESULTS!$H$23/100)^(+'Sheet4(F_22)'!A26-Title_RESULTS!$H$7)))*'Sheet3(F_21)'!D26</f>
        <v>44.39859652440713</v>
      </c>
      <c r="H26" s="5">
        <f>IF($G26=0,0,(($D26))*(Partcipation!$G26/100))</f>
        <v>34.072148111304166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87.52964509292835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69.75244145252859</v>
      </c>
      <c r="D27" s="5">
        <f>IF((Title_RESULTS!$H$8-Title_RESULTS!$H$7)&lt;=('Sheet3(F_21)'!A27-Title_RESULTS!$H$7),((Title_RESULTS!$C$8*Partcipation!$C$26*8760*Title_RESULTS!$H$21/100000)),0)</f>
        <v>759.4741851332399</v>
      </c>
      <c r="E27" s="5">
        <f>IF($G27=0,0,((Title_RESULTS!$H$14*((1+Title_RESULTS!$H$15/100)^($A27-Title_RESULTS!$H$7))*'EUE_Line Losses'!$B$25*Partcipation!$C$26))/1000)</f>
        <v>7.233338849169647</v>
      </c>
      <c r="F27" s="5">
        <f>IF($G27=0,0,(Title_RESULTS!$H$19/100*((1+Title_RESULTS!$H$20/100)^($A27-Title_RESULTS!$H$7))*$D27*1000)/1000)</f>
        <v>2.07029309844295</v>
      </c>
      <c r="G27" s="5">
        <f>(+Title_RESULTS!$H$22/100*((1+Title_RESULTS!$H$23/100)^(+'Sheet4(F_22)'!A27-Title_RESULTS!$H$7)))*'Sheet3(F_21)'!D27</f>
        <v>46.41429280661522</v>
      </c>
      <c r="H27" s="5">
        <f>IF($G27=0,0,(($D27))*(Partcipation!$G27/100))</f>
        <v>34.91942214973194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90.55094405702445</v>
      </c>
    </row>
    <row r="28" spans="3:10" ht="12.75"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87</v>
      </c>
      <c r="B29" s="9"/>
      <c r="C29" s="9">
        <f aca="true" t="shared" si="1" ref="C29:J29">SUM(C16:C28)</f>
        <v>572.0263666507282</v>
      </c>
      <c r="D29" s="9">
        <f t="shared" si="1"/>
        <v>6835.26766619916</v>
      </c>
      <c r="E29" s="9">
        <f t="shared" si="1"/>
        <v>59.319221728748225</v>
      </c>
      <c r="F29" s="9">
        <f t="shared" si="1"/>
        <v>16.97807581130149</v>
      </c>
      <c r="G29" s="9">
        <f t="shared" si="1"/>
        <v>352.05799589011554</v>
      </c>
      <c r="H29" s="9">
        <f t="shared" si="1"/>
        <v>261.7724436229708</v>
      </c>
      <c r="I29" s="9">
        <f t="shared" si="1"/>
        <v>0</v>
      </c>
      <c r="J29" s="9">
        <f t="shared" si="1"/>
        <v>738.6092164579228</v>
      </c>
    </row>
    <row r="30" spans="3:10" ht="12.75">
      <c r="C30" s="5"/>
      <c r="D30" s="5"/>
      <c r="E30" s="5"/>
      <c r="F30" s="5"/>
      <c r="G30" s="5"/>
      <c r="H30" s="5"/>
      <c r="I30" s="5"/>
      <c r="J30" s="5"/>
    </row>
    <row r="31" spans="1:10" ht="12.75">
      <c r="A31" t="s">
        <v>89</v>
      </c>
      <c r="C31" s="5">
        <f>NPV(Title_RESULTS!$C$37,C17:C28)+'Sheet3(F_21)'!C16</f>
        <v>356.0662383982718</v>
      </c>
      <c r="D31" s="5"/>
      <c r="E31" s="5">
        <f>NPV(Title_RESULTS!$C$37,E17:E28)+'Sheet3(F_21)'!E16</f>
        <v>36.924123391964145</v>
      </c>
      <c r="F31" s="5">
        <f>NPV(Title_RESULTS!$C$37,F17:F28)+'Sheet3(F_21)'!F16</f>
        <v>10.568253391476976</v>
      </c>
      <c r="G31" s="5">
        <f>NPV(Title_RESULTS!$C$37,G17:G28)+'Sheet3(F_21)'!G16</f>
        <v>217.08993644871038</v>
      </c>
      <c r="H31" s="5">
        <f>NPV(Title_RESULTS!$C$37,H17:H28)+'Sheet3(F_21)'!H16</f>
        <v>161.12920716246387</v>
      </c>
      <c r="I31" s="5">
        <f>NPV(Title_RESULTS!$C$37,I17:I28)+'Sheet3(F_21)'!I16</f>
        <v>0</v>
      </c>
      <c r="J31" s="5">
        <f>NPV(Title_RESULTS!$C$37,J17:J28)+'Sheet3(F_21)'!J16</f>
        <v>459.5193444679595</v>
      </c>
    </row>
    <row r="33" ht="12.75">
      <c r="A33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ENERGY STAR Holding Cabinet</v>
      </c>
      <c r="F2" t="s">
        <v>55</v>
      </c>
    </row>
    <row r="3" spans="6:7" ht="12.75">
      <c r="F3" s="35">
        <f>+Title_RESULTS!I4</f>
        <v>43599.31889398148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912.5</v>
      </c>
      <c r="C16" s="5">
        <f>$B16*'Sheet2(F_12)'!$E16/100</f>
        <v>26.468975314966606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26.468975314966606</v>
      </c>
      <c r="G16" s="5">
        <f>+$F16*'Sheet2(F_12)'!$I16</f>
        <v>26.468975314966606</v>
      </c>
    </row>
    <row r="17" spans="1:7" ht="12.75">
      <c r="A17">
        <f>+A16+1</f>
        <v>2021</v>
      </c>
      <c r="B17" s="5">
        <f>(+Partcipation!$C16+(Partcipation!$C17-Partcipation!$C16)/2)*Title_RESULTS!$C$10/1000</f>
        <v>2737.5</v>
      </c>
      <c r="C17" s="5">
        <f>$B17*'Sheet2(F_12)'!$E17/100</f>
        <v>78.76104166666667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78.76104166666667</v>
      </c>
      <c r="G17" s="5">
        <f>+$F17*'Sheet2(F_12)'!$I17</f>
        <v>78.76104166666667</v>
      </c>
    </row>
    <row r="18" spans="1:7" ht="12.75">
      <c r="A18">
        <f>+A17+1</f>
        <v>2022</v>
      </c>
      <c r="B18" s="5">
        <f>(+Partcipation!$C17+(Partcipation!$C18-Partcipation!$C17)/2)*Title_RESULTS!$C$10/1000</f>
        <v>4562.5</v>
      </c>
      <c r="C18" s="5">
        <f>$B18*'Sheet2(F_12)'!$E18/100</f>
        <v>135.4777777777778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135.4777777777778</v>
      </c>
      <c r="G18" s="5">
        <f>+$F18*'Sheet2(F_12)'!$I18</f>
        <v>135.4777777777778</v>
      </c>
    </row>
    <row r="19" spans="1:7" ht="12.75">
      <c r="A19">
        <f aca="true" t="shared" si="0" ref="A19:A27">+A18+1</f>
        <v>2023</v>
      </c>
      <c r="B19" s="5">
        <f>(+Partcipation!$C18+(Partcipation!$C19-Partcipation!$C18)/2)*Title_RESULTS!$C$10/1000</f>
        <v>5475</v>
      </c>
      <c r="C19" s="5">
        <f>$B19*'Sheet2(F_12)'!$E19/100</f>
        <v>169.24270833333335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7">+C19-E19</f>
        <v>169.24270833333335</v>
      </c>
      <c r="G19" s="5">
        <f>+$F19*'Sheet2(F_12)'!$I19</f>
        <v>169.24270833333335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5475</v>
      </c>
      <c r="C20" s="5">
        <f>$B20*'Sheet2(F_12)'!$E20/100</f>
        <v>175.89330885701278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175.89330885701278</v>
      </c>
      <c r="G20" s="5">
        <f>+$F20*'Sheet2(F_12)'!$I20</f>
        <v>175.89330885701278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5475</v>
      </c>
      <c r="C21" s="5">
        <f>$B21*'Sheet2(F_12)'!$E21/100</f>
        <v>188.8564583333333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188.8564583333333</v>
      </c>
      <c r="G21" s="5">
        <f>+$F21*'Sheet2(F_12)'!$I21</f>
        <v>188.8564583333333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5475</v>
      </c>
      <c r="C22" s="5">
        <f>$B22*'Sheet2(F_12)'!$E22/100</f>
        <v>194.9139583333333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194.9139583333333</v>
      </c>
      <c r="G22" s="5">
        <f>+$F22*'Sheet2(F_12)'!$I22</f>
        <v>194.9139583333333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5475</v>
      </c>
      <c r="C23" s="5">
        <f>$B23*'Sheet2(F_12)'!$E23/100</f>
        <v>207.09520833333332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207.09520833333332</v>
      </c>
      <c r="G23" s="5">
        <f>+$F23*'Sheet2(F_12)'!$I23</f>
        <v>207.09520833333332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5475</v>
      </c>
      <c r="C24" s="5">
        <f>$B24*'Sheet2(F_12)'!$E24/100</f>
        <v>229.48543943533696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229.48543943533696</v>
      </c>
      <c r="G24" s="5">
        <f>+$F24*'Sheet2(F_12)'!$I24</f>
        <v>229.48543943533696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5475</v>
      </c>
      <c r="C25" s="5">
        <f>$B25*'Sheet2(F_12)'!$E25/100</f>
        <v>245.86249999999995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245.86249999999995</v>
      </c>
      <c r="G25" s="5">
        <f>+$F25*'Sheet2(F_12)'!$I25</f>
        <v>245.86249999999995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5475</v>
      </c>
      <c r="C26" s="5">
        <f>$B26*'Sheet2(F_12)'!$E26/100</f>
        <v>274.6147916666668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274.6147916666668</v>
      </c>
      <c r="G26" s="5">
        <f>+$F26*'Sheet2(F_12)'!$I26</f>
        <v>274.6147916666668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5475</v>
      </c>
      <c r="C27" s="5">
        <f>$B27*'Sheet2(F_12)'!$E27/100</f>
        <v>273.5935416666667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273.5935416666667</v>
      </c>
      <c r="G27" s="5">
        <f>+$F27*'Sheet2(F_12)'!$I27</f>
        <v>273.5935416666667</v>
      </c>
    </row>
    <row r="28" spans="2:7" ht="12.75">
      <c r="B28" s="5"/>
      <c r="C28" s="5"/>
      <c r="D28" s="5"/>
      <c r="E28" s="5"/>
      <c r="F28" s="5"/>
      <c r="G28" s="5"/>
    </row>
    <row r="29" spans="1:7" ht="12.75">
      <c r="A29" t="s">
        <v>87</v>
      </c>
      <c r="B29" s="5">
        <f aca="true" t="shared" si="2" ref="B29:G29">SUM(B16:B28)</f>
        <v>57487.5</v>
      </c>
      <c r="C29" s="5">
        <f t="shared" si="2"/>
        <v>2200.265709718428</v>
      </c>
      <c r="D29" s="5">
        <f t="shared" si="2"/>
        <v>0</v>
      </c>
      <c r="E29" s="5">
        <f t="shared" si="2"/>
        <v>0</v>
      </c>
      <c r="F29" s="5">
        <f t="shared" si="2"/>
        <v>2200.265709718428</v>
      </c>
      <c r="G29" s="5">
        <f t="shared" si="2"/>
        <v>2200.265709718428</v>
      </c>
    </row>
    <row r="30" spans="2:7" ht="12.75">
      <c r="B30" s="5"/>
      <c r="C30" s="5"/>
      <c r="D30" s="5"/>
      <c r="E30" s="5"/>
      <c r="F30" s="5"/>
      <c r="G30" s="5"/>
    </row>
    <row r="31" spans="1:7" ht="12.75">
      <c r="A31" t="s">
        <v>118</v>
      </c>
      <c r="B31" s="5"/>
      <c r="C31" s="5">
        <f>NPV(+Title_RESULTS!$C$37,C17:C28)+C16</f>
        <v>1414.633147111312</v>
      </c>
      <c r="D31" s="5"/>
      <c r="E31" s="5">
        <f>NPV(+Title_RESULTS!$C$37,E17:E28)+E16</f>
        <v>0</v>
      </c>
      <c r="F31" s="5">
        <f>NPV(+Title_RESULTS!$C$37,F17:F28)+F16</f>
        <v>1414.633147111312</v>
      </c>
      <c r="G31" s="5">
        <f>NPV(+Title_RESULTS!$C$37,G17:G28)+G16</f>
        <v>1414.633147111312</v>
      </c>
    </row>
    <row r="32" spans="6:7" ht="12.75">
      <c r="F32" s="9"/>
      <c r="G32" s="9"/>
    </row>
    <row r="33" ht="12.75">
      <c r="A33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ENERGY STAR Holding Cabinet</v>
      </c>
      <c r="J2" t="s">
        <v>42</v>
      </c>
    </row>
    <row r="3" spans="9:10" ht="12.75">
      <c r="I3" s="4"/>
      <c r="J3" s="35">
        <f>+Title_RESULTS!I4</f>
        <v>43599.31889398148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7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ENERGY STAR Holding Cabinet</v>
      </c>
      <c r="H2" t="s">
        <v>108</v>
      </c>
    </row>
    <row r="3" ht="12.75">
      <c r="H3" s="35">
        <f>+Title_RESULTS!I4</f>
        <v>43599.31889398148</v>
      </c>
    </row>
    <row r="5" spans="3:6" ht="12.75">
      <c r="C5" t="s">
        <v>60</v>
      </c>
      <c r="F5" s="38">
        <f>+'Value of Defferal'!L4</f>
        <v>34.057932799999996</v>
      </c>
    </row>
    <row r="6" spans="3:6" ht="12.75">
      <c r="C6" t="s">
        <v>62</v>
      </c>
      <c r="F6" s="38">
        <f>+'Value of Defferal'!L5</f>
        <v>80.97300480000001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26.468975314966606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3.365683373600996</v>
      </c>
      <c r="C17" s="5">
        <f>IF(+Title_RESULTS!$H$9&lt;='Sheet4(F_22)'!$A17,(+Title_RESULTS!$H$16*((1+Title_RESULTS!$H$18/100)^('Sheet4(F_22)'!$A17-Title_RESULTS!$H$7))*Title_RESULTS!$C$8*Partcipation!$C$26/1000),0)</f>
        <v>2.7121410410739335</v>
      </c>
      <c r="D17" s="5">
        <f>(+B17+C17)*+Partcipation!$H17</f>
        <v>6.07782441467493</v>
      </c>
      <c r="E17" s="5">
        <f>VLOOKUP(A17,'Value of Defferal'!$I24:$P$58,'Value of Defferal'!$K$13)</f>
        <v>8.001938860067096</v>
      </c>
      <c r="F17" s="5">
        <f>IF(+'Value of Defferal'!P24=0,0,Title_RESULTS!$H$17*Title_RESULTS!$C$7*Partcipation!$C$26*(1+Title_RESULTS!$H$18/100)^('Sheet4(F_22)'!A17-Title_RESULTS!$H$7))/1000</f>
        <v>11.147673600000001</v>
      </c>
      <c r="G17" s="5">
        <f>(+E17+F17)*Partcipation!$H17</f>
        <v>19.149612460067097</v>
      </c>
      <c r="H17" s="5">
        <f>+'Sheet5(p_5)'!$F17*'Sheet2(F_12)'!$I17</f>
        <v>78.76104166666667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3.44645977456742</v>
      </c>
      <c r="C18" s="5">
        <f>IF(+Title_RESULTS!$H$9&lt;='Sheet4(F_22)'!$A18,(+Title_RESULTS!$H$16*((1+Title_RESULTS!$H$18/100)^('Sheet4(F_22)'!$A18-Title_RESULTS!$H$7))*Title_RESULTS!$C$8*Partcipation!$C$26/1000),0)</f>
        <v>2.7772324260597077</v>
      </c>
      <c r="D18" s="5">
        <f>(+B18+C18)*+Partcipation!$H18</f>
        <v>6.223692200627127</v>
      </c>
      <c r="E18" s="5">
        <f>VLOOKUP(A18,'Value of Defferal'!$I25:$P$58,'Value of Defferal'!$K$13)</f>
        <v>8.193985392708704</v>
      </c>
      <c r="F18" s="5">
        <f>IF(+'Value of Defferal'!P25=0,0,Title_RESULTS!$H$17*Title_RESULTS!$C$7*Partcipation!$C$26*(1+Title_RESULTS!$H$18/100)^('Sheet4(F_22)'!A18-Title_RESULTS!$H$7))/1000</f>
        <v>11.4152177664</v>
      </c>
      <c r="G18" s="5">
        <f>(+E18+F18)*Partcipation!$H18</f>
        <v>19.609203159108702</v>
      </c>
      <c r="H18" s="5">
        <f>+'Sheet5(p_5)'!$F18*'Sheet2(F_12)'!$I18</f>
        <v>135.4777777777778</v>
      </c>
      <c r="I18" s="5"/>
      <c r="J18" s="5"/>
    </row>
    <row r="19" spans="1:10" ht="12.75">
      <c r="A19">
        <f aca="true" t="shared" si="0" ref="A19:A27">+A18+1</f>
        <v>2023</v>
      </c>
      <c r="B19" s="5">
        <f>VLOOKUP(A19,'Value of Defferal'!$I26:$P$58,'Value of Defferal'!$K$9)</f>
        <v>3.529174809157038</v>
      </c>
      <c r="C19" s="5">
        <f>IF(+Title_RESULTS!$H$9&lt;='Sheet4(F_22)'!$A19,(+Title_RESULTS!$H$16*((1+Title_RESULTS!$H$18/100)^('Sheet4(F_22)'!$A19-Title_RESULTS!$H$7))*Title_RESULTS!$C$8*Partcipation!$C$26/1000),0)</f>
        <v>2.8438860042851406</v>
      </c>
      <c r="D19" s="5">
        <f>(+B19+C19)*+Partcipation!$H19</f>
        <v>6.373060813442178</v>
      </c>
      <c r="E19" s="5">
        <f>VLOOKUP(A19,'Value of Defferal'!$I26:$P$58,'Value of Defferal'!$K$13)</f>
        <v>8.390641042133714</v>
      </c>
      <c r="F19" s="5">
        <f>IF(+'Value of Defferal'!P26=0,0,Title_RESULTS!$H$17*Title_RESULTS!$C$7*Partcipation!$C$26*(1+Title_RESULTS!$H$18/100)^('Sheet4(F_22)'!A19-Title_RESULTS!$H$7))/1000</f>
        <v>11.689182992793599</v>
      </c>
      <c r="G19" s="5">
        <f>(+E19+F19)*Partcipation!$H19</f>
        <v>20.079824034927313</v>
      </c>
      <c r="H19" s="5">
        <f>+'Sheet5(p_5)'!$F19*'Sheet2(F_12)'!$I19</f>
        <v>169.24270833333335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3.613875004576807</v>
      </c>
      <c r="C20" s="5">
        <f>IF(+Title_RESULTS!$H$9&lt;='Sheet4(F_22)'!$A20,(+Title_RESULTS!$H$16*((1+Title_RESULTS!$H$18/100)^('Sheet4(F_22)'!$A20-Title_RESULTS!$H$7))*Title_RESULTS!$C$8*Partcipation!$C$26/1000),0)</f>
        <v>2.9121392683879845</v>
      </c>
      <c r="D20" s="5">
        <f>(+B20+C20)*+Partcipation!$H20</f>
        <v>6.526014272964792</v>
      </c>
      <c r="E20" s="5">
        <f>VLOOKUP(A20,'Value of Defferal'!$I27:$P$58,'Value of Defferal'!$K$13)</f>
        <v>8.592016427144923</v>
      </c>
      <c r="F20" s="5">
        <f>IF(+'Value of Defferal'!P27=0,0,Title_RESULTS!$H$17*Title_RESULTS!$C$7*Partcipation!$C$26*(1+Title_RESULTS!$H$18/100)^('Sheet4(F_22)'!A20-Title_RESULTS!$H$7))/1000</f>
        <v>11.969723384620645</v>
      </c>
      <c r="G20" s="5">
        <f>(+E20+F20)*Partcipation!$H20</f>
        <v>20.56173981176557</v>
      </c>
      <c r="H20" s="5">
        <f>+'Sheet5(p_5)'!$F20*'Sheet2(F_12)'!$I20</f>
        <v>175.89330885701278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3.7006080046866505</v>
      </c>
      <c r="C21" s="5">
        <f>IF(+Title_RESULTS!$H$9&lt;='Sheet4(F_22)'!$A21,(+Title_RESULTS!$H$16*((1+Title_RESULTS!$H$18/100)^('Sheet4(F_22)'!$A21-Title_RESULTS!$H$7))*Title_RESULTS!$C$8*Partcipation!$C$26/1000),0)</f>
        <v>2.982030610829296</v>
      </c>
      <c r="D21" s="5">
        <f>(+B21+C21)*+Partcipation!$H21</f>
        <v>6.6826386155159465</v>
      </c>
      <c r="E21" s="5">
        <f>VLOOKUP(A21,'Value of Defferal'!$I28:$P$58,'Value of Defferal'!$K$13)</f>
        <v>8.798224821396401</v>
      </c>
      <c r="F21" s="5">
        <f>IF(+'Value of Defferal'!P28=0,0,Title_RESULTS!$H$17*Title_RESULTS!$C$7*Partcipation!$C$26*(1+Title_RESULTS!$H$18/100)^('Sheet4(F_22)'!A21-Title_RESULTS!$H$7))/1000</f>
        <v>12.256996745851541</v>
      </c>
      <c r="G21" s="5">
        <f>(+E21+F21)*Partcipation!$H21</f>
        <v>21.05522156724794</v>
      </c>
      <c r="H21" s="5">
        <f>+'Sheet5(p_5)'!$F21*'Sheet2(F_12)'!$I21</f>
        <v>188.8564583333333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3.78942259679913</v>
      </c>
      <c r="C22" s="5">
        <f>IF(+Title_RESULTS!$H$9&lt;='Sheet4(F_22)'!$A22,(+Title_RESULTS!$H$16*((1+Title_RESULTS!$H$18/100)^('Sheet4(F_22)'!$A22-Title_RESULTS!$H$7))*Title_RESULTS!$C$8*Partcipation!$C$26/1000),0)</f>
        <v>3.0535993454891988</v>
      </c>
      <c r="D22" s="5">
        <f>(+B22+C22)*+Partcipation!$H22</f>
        <v>6.843021942288329</v>
      </c>
      <c r="E22" s="5">
        <f>VLOOKUP(A22,'Value of Defferal'!$I29:$P$58,'Value of Defferal'!$K$13)</f>
        <v>9.009382217109916</v>
      </c>
      <c r="F22" s="5">
        <f>IF(+'Value of Defferal'!P29=0,0,Title_RESULTS!$H$17*Title_RESULTS!$C$7*Partcipation!$C$26*(1+Title_RESULTS!$H$18/100)^('Sheet4(F_22)'!A22-Title_RESULTS!$H$7))/1000</f>
        <v>12.551164667751976</v>
      </c>
      <c r="G22" s="5">
        <f>(+E22+F22)*Partcipation!$H22</f>
        <v>21.560546884861893</v>
      </c>
      <c r="H22" s="5">
        <f>+'Sheet5(p_5)'!$F22*'Sheet2(F_12)'!$I22</f>
        <v>194.9139583333333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3.880368739122309</v>
      </c>
      <c r="C23" s="5">
        <f>IF(+Title_RESULTS!$H$9&lt;='Sheet4(F_22)'!$A23,(+Title_RESULTS!$H$16*((1+Title_RESULTS!$H$18/100)^('Sheet4(F_22)'!$A23-Title_RESULTS!$H$7))*Title_RESULTS!$C$8*Partcipation!$C$26/1000),0)</f>
        <v>3.1268857297809394</v>
      </c>
      <c r="D23" s="5">
        <f>(+B23+C23)*+Partcipation!$H23</f>
        <v>7.007254468903248</v>
      </c>
      <c r="E23" s="5">
        <f>VLOOKUP(A23,'Value of Defferal'!$I30:$P$58,'Value of Defferal'!$K$13)</f>
        <v>9.225607390320553</v>
      </c>
      <c r="F23" s="5">
        <f>IF(+'Value of Defferal'!P30=0,0,Title_RESULTS!$H$17*Title_RESULTS!$C$7*Partcipation!$C$26*(1+Title_RESULTS!$H$18/100)^('Sheet4(F_22)'!A23-Title_RESULTS!$H$7))/1000</f>
        <v>12.852392619778028</v>
      </c>
      <c r="G23" s="5">
        <f>(+E23+F23)*Partcipation!$H23</f>
        <v>22.07800001009858</v>
      </c>
      <c r="H23" s="5">
        <f>+'Sheet5(p_5)'!$F23*'Sheet2(F_12)'!$I23</f>
        <v>207.09520833333332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3.9734975888612443</v>
      </c>
      <c r="C24" s="5">
        <f>IF(+Title_RESULTS!$H$9&lt;='Sheet4(F_22)'!$A24,(+Title_RESULTS!$H$16*((1+Title_RESULTS!$H$18/100)^('Sheet4(F_22)'!$A24-Title_RESULTS!$H$7))*Title_RESULTS!$C$8*Partcipation!$C$26/1000),0)</f>
        <v>3.201930987295682</v>
      </c>
      <c r="D24" s="5">
        <f>(+B24+C24)*+Partcipation!$H24</f>
        <v>7.175428576156927</v>
      </c>
      <c r="E24" s="5">
        <f>VLOOKUP(A24,'Value of Defferal'!$I31:$P$58,'Value of Defferal'!$K$13)</f>
        <v>9.447021967688245</v>
      </c>
      <c r="F24" s="5">
        <f>IF(+'Value of Defferal'!P31=0,0,Title_RESULTS!$H$17*Title_RESULTS!$C$7*Partcipation!$C$26*(1+Title_RESULTS!$H$18/100)^('Sheet4(F_22)'!A24-Title_RESULTS!$H$7))/1000</f>
        <v>13.160850042652697</v>
      </c>
      <c r="G24" s="5">
        <f>(+E24+F24)*Partcipation!$H24</f>
        <v>22.60787201034094</v>
      </c>
      <c r="H24" s="5">
        <f>+'Sheet5(p_5)'!$F24*'Sheet2(F_12)'!$I24</f>
        <v>229.48543943533696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4.068861530993915</v>
      </c>
      <c r="C25" s="5">
        <f>IF(+Title_RESULTS!$H$9&lt;='Sheet4(F_22)'!$A25,(+Title_RESULTS!$H$16*((1+Title_RESULTS!$H$18/100)^('Sheet4(F_22)'!$A25-Title_RESULTS!$H$7))*Title_RESULTS!$C$8*Partcipation!$C$26/1000),0)</f>
        <v>3.278777330990778</v>
      </c>
      <c r="D25" s="5">
        <f>(+B25+C25)*+Partcipation!$H25</f>
        <v>7.347638861984693</v>
      </c>
      <c r="E25" s="5">
        <f>VLOOKUP(A25,'Value of Defferal'!$I32:$P$58,'Value of Defferal'!$K$13)</f>
        <v>9.673750494912765</v>
      </c>
      <c r="F25" s="5">
        <f>IF(+'Value of Defferal'!P32=0,0,Title_RESULTS!$H$17*Title_RESULTS!$C$7*Partcipation!$C$26*(1+Title_RESULTS!$H$18/100)^('Sheet4(F_22)'!A25-Title_RESULTS!$H$7))/1000</f>
        <v>13.476710443676362</v>
      </c>
      <c r="G25" s="5">
        <f>(+E25+F25)*Partcipation!$H25</f>
        <v>23.150460938589127</v>
      </c>
      <c r="H25" s="5">
        <f>+'Sheet5(p_5)'!$F25*'Sheet2(F_12)'!$I25</f>
        <v>245.86249999999995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4.166514207737769</v>
      </c>
      <c r="C26" s="5">
        <f>IF(+Title_RESULTS!$H$9&lt;='Sheet4(F_22)'!$A26,(+Title_RESULTS!$H$16*((1+Title_RESULTS!$H$18/100)^('Sheet4(F_22)'!$A26-Title_RESULTS!$H$7))*Title_RESULTS!$C$8*Partcipation!$C$26/1000),0)</f>
        <v>3.3574679869345574</v>
      </c>
      <c r="D26" s="5">
        <f>(+B26+C26)*+Partcipation!$H26</f>
        <v>7.523982194672326</v>
      </c>
      <c r="E26" s="5">
        <f>VLOOKUP(A26,'Value of Defferal'!$I33:$P$58,'Value of Defferal'!$K$13)</f>
        <v>9.905920506790672</v>
      </c>
      <c r="F26" s="5">
        <f>IF(+'Value of Defferal'!P33=0,0,Title_RESULTS!$H$17*Title_RESULTS!$C$7*Partcipation!$C$26*(1+Title_RESULTS!$H$18/100)^('Sheet4(F_22)'!A26-Title_RESULTS!$H$7))/1000</f>
        <v>13.800151494324595</v>
      </c>
      <c r="G26" s="5">
        <f>(+E26+F26)*Partcipation!$H26</f>
        <v>23.706072001115267</v>
      </c>
      <c r="H26" s="5">
        <f>+'Sheet5(p_5)'!$F26*'Sheet2(F_12)'!$I26</f>
        <v>274.6147916666668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4.266510548723476</v>
      </c>
      <c r="C27" s="5">
        <f>IF(+Title_RESULTS!$H$9&lt;='Sheet4(F_22)'!$A27,(+Title_RESULTS!$H$16*((1+Title_RESULTS!$H$18/100)^('Sheet4(F_22)'!$A27-Title_RESULTS!$H$7))*Title_RESULTS!$C$8*Partcipation!$C$26/1000),0)</f>
        <v>3.4380472186209867</v>
      </c>
      <c r="D27" s="5">
        <f>(+B27+C27)*+Partcipation!$H27</f>
        <v>7.704557767344463</v>
      </c>
      <c r="E27" s="5">
        <f>VLOOKUP(A27,'Value of Defferal'!$I34:$P$58,'Value of Defferal'!$K$13)</f>
        <v>10.143662598953648</v>
      </c>
      <c r="F27" s="5">
        <f>IF(+'Value of Defferal'!P34=0,0,Title_RESULTS!$H$17*Title_RESULTS!$C$7*Partcipation!$C$26*(1+Title_RESULTS!$H$18/100)^('Sheet4(F_22)'!A27-Title_RESULTS!$H$7))/1000</f>
        <v>14.131355130188387</v>
      </c>
      <c r="G27" s="5">
        <f>(+E27+F27)*Partcipation!$H27</f>
        <v>24.275017729142036</v>
      </c>
      <c r="H27" s="5">
        <f>+'Sheet5(p_5)'!$F27*'Sheet2(F_12)'!$I27</f>
        <v>273.5935416666667</v>
      </c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88</v>
      </c>
      <c r="B29" s="5">
        <f aca="true" t="shared" si="1" ref="B29:H29">SUM(B16:B28)</f>
        <v>41.80097617882675</v>
      </c>
      <c r="C29" s="5">
        <f t="shared" si="1"/>
        <v>33.684137949748205</v>
      </c>
      <c r="D29" s="5">
        <f t="shared" si="1"/>
        <v>75.48511412857496</v>
      </c>
      <c r="E29" s="5">
        <f t="shared" si="1"/>
        <v>99.38215171922664</v>
      </c>
      <c r="F29" s="5">
        <f t="shared" si="1"/>
        <v>138.45141888803784</v>
      </c>
      <c r="G29" s="5">
        <f t="shared" si="1"/>
        <v>237.83357060726448</v>
      </c>
      <c r="H29" s="5">
        <f t="shared" si="1"/>
        <v>2200.265709718428</v>
      </c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t="s">
        <v>90</v>
      </c>
      <c r="B31" s="5">
        <f>NPV(Title_RESULTS!$C$37,'Sheet4(F_22)'!B17:B28)+'Sheet4(F_22)'!B16</f>
        <v>27.92823814548013</v>
      </c>
      <c r="C31" s="5">
        <f>NPV(Title_RESULTS!$C$37,'Sheet4(F_22)'!C17:C28)+'Sheet4(F_22)'!C16</f>
        <v>22.505183189053856</v>
      </c>
      <c r="D31" s="5">
        <f>NPV(Title_RESULTS!$C$37,'Sheet4(F_22)'!D17:D28)+'Sheet4(F_22)'!D16</f>
        <v>50.433421334533996</v>
      </c>
      <c r="E31" s="5">
        <f>NPV(Title_RESULTS!$C$37,'Sheet4(F_22)'!E17:E28)+'Sheet4(F_22)'!E16</f>
        <v>66.39960724244268</v>
      </c>
      <c r="F31" s="5">
        <f>NPV(Title_RESULTS!$C$37,'Sheet4(F_22)'!F17:F28)+'Sheet4(F_22)'!F16</f>
        <v>92.5027248584527</v>
      </c>
      <c r="G31" s="5">
        <f>NPV(Title_RESULTS!$C$37,'Sheet4(F_22)'!G17:G28)+'Sheet4(F_22)'!G16</f>
        <v>158.90233210089536</v>
      </c>
      <c r="H31" s="5">
        <f>NPV(Title_RESULTS!$C$37,'Sheet4(F_22)'!H17:H28)+'Sheet4(F_22)'!H16</f>
        <v>1414.633147111312</v>
      </c>
      <c r="I31" s="5"/>
      <c r="J31" s="5"/>
    </row>
    <row r="32" spans="2:10" ht="12.75">
      <c r="B32" s="5"/>
      <c r="C32" s="5"/>
      <c r="D32" s="5"/>
      <c r="E32" s="5"/>
      <c r="F32" s="5"/>
      <c r="G32" s="5"/>
      <c r="H32" s="5"/>
      <c r="I32" s="5"/>
      <c r="J32" s="5"/>
    </row>
    <row r="33" ht="12.75">
      <c r="A33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ENERGY STAR Holding Cabinet</v>
      </c>
      <c r="P2" t="s">
        <v>121</v>
      </c>
    </row>
    <row r="3" ht="12.75">
      <c r="P3" s="35">
        <f>+Title_RESULTS!I4</f>
        <v>43599.31889398148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40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40</v>
      </c>
      <c r="E16" s="5">
        <f>IF(+'Sheet9(F_25)'!$A16&gt;=Title_RESULTS!$H$8,0,((Partcipation!$B16-Partcipation!$B15)*(Title_RESULTS!$C$39*((1+Title_RESULTS!$C$41/100)^('Sheet9(F_25)'!$A16-Title_RESULTS!$H$7)))/1000))</f>
        <v>136.7476657860054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136.7476657860054</v>
      </c>
      <c r="H16" s="5">
        <f>IF(Partcipation!$B17&lt;Partcipation!$B16,0,IF(Partcipation!$B16=0,0,(Partcipation!$B16-Partcipation!$B15)*(+Title_RESULTS!$C$29*(1+Title_RESULTS!$C$30/100)^(+'Sheet8(F_24)'!$A16-Title_RESULTS!$H$7))/1000))</f>
        <v>811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811</v>
      </c>
      <c r="K16" s="5">
        <f>(+Partcipation!$B15+(Partcipation!$B16-Partcipation!$B15)/2)*(+Title_RESULTS!$C$14)/1000</f>
        <v>865.05</v>
      </c>
      <c r="L16" s="5">
        <f>($K16)*Partcipation!$E73*Title_RESULTS!$C$12/100</f>
        <v>21.060615790779316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35.098449</v>
      </c>
      <c r="N16" s="5">
        <f>'Sheet2(F_12)'!$I16*('Sheet6(p_6)'!$L16+'Sheet6(p_6)'!$M16)</f>
        <v>56.15906479077932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40.96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40.96</v>
      </c>
      <c r="E17" s="5">
        <f>IF(+'Sheet9(F_25)'!$A17&gt;=Title_RESULTS!$H$8,0,((Partcipation!$B17-Partcipation!$B16)*(Title_RESULTS!$C$39*((1+Title_RESULTS!$C$41/100)^('Sheet9(F_25)'!$A17-Title_RESULTS!$H$7)))/1000))</f>
        <v>136.7476657860054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136.7476657860054</v>
      </c>
      <c r="H17" s="5">
        <f>IF(Partcipation!$B18&lt;Partcipation!$B17,0,IF(Partcipation!$B17=0,0,(Partcipation!$B17-Partcipation!$B16)*(+Title_RESULTS!$C$29*(1+Title_RESULTS!$C$30/100)^(+'Sheet8(F_24)'!$A17-Title_RESULTS!$H$7))/1000))</f>
        <v>829.6529999999999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829.6529999999999</v>
      </c>
      <c r="K17" s="5">
        <f>(+Partcipation!$B16+(Partcipation!$B17-Partcipation!$B16)/2)*(+Title_RESULTS!$C$14)/1000</f>
        <v>2595.15</v>
      </c>
      <c r="L17" s="5">
        <f>($K17)*Partcipation!$E74*Title_RESULTS!$C$12/100</f>
        <v>66.18889160168726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106.34830047</v>
      </c>
      <c r="N17" s="5">
        <f>'Sheet2(F_12)'!$I17*('Sheet6(p_6)'!$L17+'Sheet6(p_6)'!$M17)</f>
        <v>172.53719207168726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41.943039999999996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41.943039999999996</v>
      </c>
      <c r="E18" s="5">
        <f>IF(+'Sheet9(F_25)'!$A18&gt;=Title_RESULTS!$H$8,0,((Partcipation!$B18-Partcipation!$B17)*(Title_RESULTS!$C$39*((1+Title_RESULTS!$C$41/100)^('Sheet9(F_25)'!$A18-Title_RESULTS!$H$7)))/1000))</f>
        <v>136.7476657860054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136.7476657860054</v>
      </c>
      <c r="H18" s="5">
        <f>IF(Partcipation!$B19&lt;Partcipation!$B18,0,IF(Partcipation!$B18=0,0,(Partcipation!$B18-Partcipation!$B17)*(+Title_RESULTS!$C$29*(1+Title_RESULTS!$C$30/100)^(+'Sheet8(F_24)'!$A18-Title_RESULTS!$H$7))/1000))</f>
        <v>848.7350189999999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848.7350189999999</v>
      </c>
      <c r="K18" s="5">
        <f>(+Partcipation!$B17+(Partcipation!$B18-Partcipation!$B17)/2)*(+Title_RESULTS!$C$14)/1000</f>
        <v>4325.25</v>
      </c>
      <c r="L18" s="5">
        <f>($K18)*Partcipation!$E75*Title_RESULTS!$C$12/100</f>
        <v>114.37830851734526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179.01963912449997</v>
      </c>
      <c r="N18" s="5">
        <f>'Sheet2(F_12)'!$I18*('Sheet6(p_6)'!$L18+'Sheet6(p_6)'!$M18)</f>
        <v>293.39794764184524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7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7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7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7">SUM(H19:I19)</f>
        <v>0</v>
      </c>
      <c r="K19" s="5">
        <f>(+Partcipation!$B18+(Partcipation!$B19-Partcipation!$B18)/2)*(+Title_RESULTS!$C$14)/1000</f>
        <v>5190.3</v>
      </c>
      <c r="L19" s="5">
        <f>($K19)*Partcipation!$E76*Title_RESULTS!$C$12/100</f>
        <v>136.128846106773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216.971802618894</v>
      </c>
      <c r="N19" s="5">
        <f>'Sheet2(F_12)'!$I19*('Sheet6(p_6)'!$L19+'Sheet6(p_6)'!$M19)</f>
        <v>353.10064872566704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5190.3</v>
      </c>
      <c r="L20" s="5">
        <f>($K20)*Partcipation!$E77*Title_RESULTS!$C$12/100</f>
        <v>143.85003798576915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219.14152064508295</v>
      </c>
      <c r="N20" s="5">
        <f>'Sheet2(F_12)'!$I20*('Sheet6(p_6)'!$L20+'Sheet6(p_6)'!$M20)</f>
        <v>362.99155863085207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5190.3</v>
      </c>
      <c r="L21" s="5">
        <f>($K21)*Partcipation!$E78*Title_RESULTS!$C$12/100</f>
        <v>152.1068398431805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221.33293585153376</v>
      </c>
      <c r="N21" s="5">
        <f>'Sheet2(F_12)'!$I21*('Sheet6(p_6)'!$L21+'Sheet6(p_6)'!$M21)</f>
        <v>373.4397756947143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5190.3</v>
      </c>
      <c r="L22" s="5">
        <f>($K22)*Partcipation!$E79*Title_RESULTS!$C$12/100</f>
        <v>158.98422381981914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223.5462652100491</v>
      </c>
      <c r="N22" s="5">
        <f>'Sheet2(F_12)'!$I22*('Sheet6(p_6)'!$L22+'Sheet6(p_6)'!$M22)</f>
        <v>382.53048902986825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5190.3</v>
      </c>
      <c r="L23" s="5">
        <f>($K23)*Partcipation!$E80*Title_RESULTS!$C$12/100</f>
        <v>168.3453688033632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225.78172786214958</v>
      </c>
      <c r="N23" s="5">
        <f>'Sheet2(F_12)'!$I23*('Sheet6(p_6)'!$L23+'Sheet6(p_6)'!$M23)</f>
        <v>394.1270966655128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5190.3</v>
      </c>
      <c r="L24" s="5">
        <f>($K24)*Partcipation!$E81*Title_RESULTS!$C$12/100</f>
        <v>184.28685226309227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228.0395451407711</v>
      </c>
      <c r="N24" s="5">
        <f>'Sheet2(F_12)'!$I24*('Sheet6(p_6)'!$L24+'Sheet6(p_6)'!$M24)</f>
        <v>412.3263974038634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5190.3</v>
      </c>
      <c r="L25" s="5">
        <f>($K25)*Partcipation!$E82*Title_RESULTS!$C$12/100</f>
        <v>193.67585242026064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230.31994059217885</v>
      </c>
      <c r="N25" s="5">
        <f>'Sheet2(F_12)'!$I25*('Sheet6(p_6)'!$L25+'Sheet6(p_6)'!$M25)</f>
        <v>423.9957930124395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5190.3</v>
      </c>
      <c r="L26" s="5">
        <f>($K26)*Partcipation!$E83*Title_RESULTS!$C$12/100</f>
        <v>211.01990988108355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232.62313999810064</v>
      </c>
      <c r="N26" s="5">
        <f>'Sheet2(F_12)'!$I26*('Sheet6(p_6)'!$L26+'Sheet6(p_6)'!$M26)</f>
        <v>443.6430498791842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5190.3</v>
      </c>
      <c r="L27" s="5">
        <f>($K27)*Partcipation!$E84*Title_RESULTS!$C$12/100</f>
        <v>218.2942055389922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234.9493713980816</v>
      </c>
      <c r="N27" s="5">
        <f>'Sheet2(F_12)'!$I27*('Sheet6(p_6)'!$L27+'Sheet6(p_6)'!$M27)</f>
        <v>453.24357693707384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87</v>
      </c>
      <c r="B29" s="5">
        <f aca="true" t="shared" si="4" ref="B29:R29">SUM(B16:B28)</f>
        <v>122.90304</v>
      </c>
      <c r="C29" s="5">
        <f t="shared" si="4"/>
        <v>0</v>
      </c>
      <c r="D29" s="5">
        <f t="shared" si="4"/>
        <v>122.90304</v>
      </c>
      <c r="E29" s="5">
        <f t="shared" si="4"/>
        <v>410.24299735801617</v>
      </c>
      <c r="F29" s="5">
        <f t="shared" si="4"/>
        <v>0</v>
      </c>
      <c r="G29" s="5">
        <f t="shared" si="4"/>
        <v>410.24299735801617</v>
      </c>
      <c r="H29" s="5">
        <f t="shared" si="4"/>
        <v>2489.3880189999995</v>
      </c>
      <c r="I29" s="5">
        <f t="shared" si="4"/>
        <v>0</v>
      </c>
      <c r="J29" s="5">
        <f t="shared" si="4"/>
        <v>2489.3880189999995</v>
      </c>
      <c r="K29" s="5">
        <f t="shared" si="4"/>
        <v>54498.15000000001</v>
      </c>
      <c r="L29" s="5">
        <f t="shared" si="4"/>
        <v>1768.3199525721457</v>
      </c>
      <c r="M29" s="5">
        <f t="shared" si="4"/>
        <v>2353.1726379113416</v>
      </c>
      <c r="N29" s="5">
        <f t="shared" si="4"/>
        <v>4121.492590483487</v>
      </c>
      <c r="O29" s="5">
        <f t="shared" si="4"/>
        <v>0</v>
      </c>
      <c r="P29" s="5">
        <f t="shared" si="4"/>
        <v>0</v>
      </c>
      <c r="Q29" s="5">
        <f t="shared" si="4"/>
        <v>0</v>
      </c>
      <c r="R29" s="5">
        <f t="shared" si="4"/>
        <v>0</v>
      </c>
    </row>
    <row r="30" spans="2:18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t="s">
        <v>89</v>
      </c>
      <c r="B31" s="5">
        <f>NPV(Title_RESULTS!$C$37,'Sheet6(p_6)'!B17:B28)+'Sheet6(p_6)'!B16</f>
        <v>114.83173044385765</v>
      </c>
      <c r="C31" s="5">
        <f>NPV(Title_RESULTS!$C$37,'Sheet6(p_6)'!C17:C28)+'Sheet6(p_6)'!C16</f>
        <v>0</v>
      </c>
      <c r="D31" s="5">
        <f>NPV(Title_RESULTS!$C$37,'Sheet6(p_6)'!D17:D28)+'Sheet6(p_6)'!D16</f>
        <v>114.83173044385765</v>
      </c>
      <c r="E31" s="5">
        <f>NPV(Title_RESULTS!$C$37,'Sheet6(p_6)'!E17:E28)+'Sheet6(p_6)'!E16</f>
        <v>383.7160458918274</v>
      </c>
      <c r="F31" s="5">
        <f>NPV(Title_RESULTS!$C$37,'Sheet6(p_6)'!F17:F28)+'Sheet6(p_6)'!F16</f>
        <v>0</v>
      </c>
      <c r="G31" s="5">
        <f>NPV(Title_RESULTS!$C$37,'Sheet6(p_6)'!G17:G28)+'Sheet6(p_6)'!G16</f>
        <v>383.7160458918274</v>
      </c>
      <c r="H31" s="5">
        <f>NPV(Title_RESULTS!$C$37,'Sheet6(p_6)'!H17:H28)+'Sheet6(p_6)'!H16</f>
        <v>2326.00811241711</v>
      </c>
      <c r="I31" s="5">
        <f>NPV(Title_RESULTS!$C$37,'Sheet6(p_6)'!I17:I28)+'Sheet6(p_6)'!I16</f>
        <v>0</v>
      </c>
      <c r="J31" s="5">
        <f>NPV(Title_RESULTS!$C$37,'Sheet6(p_6)'!J17:J28)+'Sheet6(p_6)'!J16</f>
        <v>2326.00811241711</v>
      </c>
      <c r="K31" s="5"/>
      <c r="L31" s="5">
        <f>NPV(Title_RESULTS!$C$37,'Sheet6(p_6)'!L17:L28)+'Sheet6(p_6)'!L16</f>
        <v>1141.3053912468442</v>
      </c>
      <c r="M31" s="5">
        <f>NPV(Title_RESULTS!$C$37,'Sheet6(p_6)'!M17:M28)+'Sheet6(p_6)'!M16</f>
        <v>1563.7775326129045</v>
      </c>
      <c r="N31" s="5">
        <f>NPV(Title_RESULTS!$C$37,'Sheet6(p_6)'!N17:N28)+'Sheet6(p_6)'!N16</f>
        <v>2705.0829238597485</v>
      </c>
      <c r="O31" s="5"/>
      <c r="P31" s="5">
        <f>NPV(Title_RESULTS!$C$37,'Sheet6(p_6)'!P17:P28)+'Sheet6(p_6)'!P16</f>
        <v>0</v>
      </c>
      <c r="Q31" s="5">
        <f>NPV(Title_RESULTS!$C$37,'Sheet6(p_6)'!Q17:Q28)+'Sheet6(p_6)'!Q16</f>
        <v>0</v>
      </c>
      <c r="R31" s="5">
        <f>NPV(Title_RESULTS!$C$37,'Sheet6(p_6)'!R17:R28)+'Sheet6(p_6)'!R16</f>
        <v>0</v>
      </c>
    </row>
    <row r="33" ht="12.75">
      <c r="A33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ENERGY STAR Holding Cabinet</v>
      </c>
      <c r="M2" t="s">
        <v>55</v>
      </c>
    </row>
    <row r="3" ht="12.75">
      <c r="M3" s="35">
        <f>+Title_RESULTS!I4</f>
        <v>43599.31889398148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IF(A16&gt;=(Title_RESULTS!$H$7+Title_RESULTS!$C$17),0,(+'Sheet6(p_6)'!$J16))</f>
        <v>811</v>
      </c>
      <c r="E16" s="5">
        <f>IF(A16&gt;=(Title_RESULTS!$H$7+Title_RESULTS!$C$17),0,(+'f-11B'!$N15))</f>
        <v>0</v>
      </c>
      <c r="F16" s="5">
        <f>IF(A16&gt;=(Title_RESULTS!$H$7+Title_RESULTS!$C$17),0,(SUM(B16:E16)))</f>
        <v>851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26.468975314966606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26.468975314966606</v>
      </c>
      <c r="L16" s="23">
        <f>IF(A16&gt;=(Title_RESULTS!$H$7+Title_RESULTS!$C$17),0,(+$K16-$F16))</f>
        <v>-824.5310246850333</v>
      </c>
      <c r="M16" s="23">
        <f>IF(A16&gt;=(Title_RESULTS!$H$7+Title_RESULTS!$C$17),0,(+$L16/(1+Title_RESULTS!$C$37)^('Sheet7(F_23)'!$A16-Title_RESULTS!$H$7)))</f>
        <v>-824.5310246850333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IF(A17&gt;=(Title_RESULTS!$H$7+Title_RESULTS!$C$17),0,(+'Sheet6(p_6)'!$J17))</f>
        <v>829.6529999999999</v>
      </c>
      <c r="E17" s="5">
        <f>IF(A17&gt;=(Title_RESULTS!$H$7+Title_RESULTS!$C$17),0,(+'f-11B'!$N16))</f>
        <v>0</v>
      </c>
      <c r="F17" s="5">
        <f>IF(A17&gt;=(Title_RESULTS!$H$7+Title_RESULTS!$C$17),0,(SUM(B17:E17)))</f>
        <v>870.6129999999999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25.227436874742025</v>
      </c>
      <c r="I17" s="5">
        <f>IF(A17&gt;=(Title_RESULTS!$H$7+Title_RESULTS!$C$17),0,(+'Sheet4(F_22)'!$H17))</f>
        <v>78.76104166666667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103.9884785414087</v>
      </c>
      <c r="L17" s="23">
        <f>IF(A17&gt;=(Title_RESULTS!$H$7+Title_RESULTS!$C$17),0,(+$K17-$F17))</f>
        <v>-766.6245214585913</v>
      </c>
      <c r="M17" s="23">
        <f>IF(A17&gt;=(Title_RESULTS!$H$7+Title_RESULTS!$C$17),0,(+M16+$L17/(1+Title_RESULTS!$C$37)^('Sheet7(F_23)'!$A17-Title_RESULTS!$H$7)))</f>
        <v>-1540.4672606381444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IF(A18&gt;=(Title_RESULTS!$H$7+Title_RESULTS!$C$17),0,(+'Sheet6(p_6)'!$J18))</f>
        <v>848.7350189999999</v>
      </c>
      <c r="E18" s="5">
        <f>IF(A18&gt;=(Title_RESULTS!$H$7+Title_RESULTS!$C$17),0,(+'f-11B'!$N17))</f>
        <v>0</v>
      </c>
      <c r="F18" s="5">
        <f>IF(A18&gt;=(Title_RESULTS!$H$7+Title_RESULTS!$C$17),0,(SUM(B18:E18)))</f>
        <v>890.6780589999998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25.83289535973583</v>
      </c>
      <c r="I18" s="5">
        <f>IF(A18&gt;=(Title_RESULTS!$H$7+Title_RESULTS!$C$17),0,(+'Sheet4(F_22)'!$H18))</f>
        <v>135.4777777777778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161.31067313751362</v>
      </c>
      <c r="L18" s="23">
        <f>IF(A18&gt;=(Title_RESULTS!$H$7+Title_RESULTS!$C$17),0,(+$K18-$F18))</f>
        <v>-729.3673858624862</v>
      </c>
      <c r="M18" s="23">
        <f>IF(A18&gt;=(Title_RESULTS!$H$7+Title_RESULTS!$C$17),0,(+M17+$L18/(1+Title_RESULTS!$C$37)^('Sheet7(F_23)'!$A18-Title_RESULTS!$H$7)))</f>
        <v>-2176.573440195424</v>
      </c>
    </row>
    <row r="19" spans="1:13" ht="12.75">
      <c r="A19">
        <f aca="true" t="shared" si="0" ref="A19:A27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73.8364324630404</v>
      </c>
      <c r="H19" s="5">
        <f>IF(A19&gt;=(Title_RESULTS!$H$7+Title_RESULTS!$C$17),0,(+'Sheet4(F_22)'!$D19+'Sheet4(F_22)'!$G19))</f>
        <v>26.452884848369493</v>
      </c>
      <c r="I19" s="5">
        <f>IF(A19&gt;=(Title_RESULTS!$H$7+Title_RESULTS!$C$17),0,(+'Sheet4(F_22)'!$H19))</f>
        <v>169.24270833333335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269.53202564474327</v>
      </c>
      <c r="L19" s="23">
        <f>IF(A19&gt;=(Title_RESULTS!$H$7+Title_RESULTS!$C$17),0,(+$K19-$F19))</f>
        <v>269.53202564474327</v>
      </c>
      <c r="M19" s="23">
        <f>IF(A19&gt;=(Title_RESULTS!$H$7+Title_RESULTS!$C$17),0,(+M18+$L19/(1+Title_RESULTS!$C$37)^('Sheet7(F_23)'!$A19-Title_RESULTS!$H$7)))</f>
        <v>-1957.0477821436937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75.80522011835585</v>
      </c>
      <c r="H20" s="5">
        <f>IF(A20&gt;=(Title_RESULTS!$H$7+Title_RESULTS!$C$17),0,(+'Sheet4(F_22)'!$D20+'Sheet4(F_22)'!$G20))</f>
        <v>27.087754084730364</v>
      </c>
      <c r="I20" s="5">
        <f>IF(A20&gt;=(Title_RESULTS!$H$7+Title_RESULTS!$C$17),0,(+'Sheet4(F_22)'!$H20))</f>
        <v>175.89330885701278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278.786283060099</v>
      </c>
      <c r="L20" s="23">
        <f>IF(A20&gt;=(Title_RESULTS!$H$7+Title_RESULTS!$C$17),0,(+$K20-$F20))</f>
        <v>278.786283060099</v>
      </c>
      <c r="M20" s="23">
        <f>IF(A20&gt;=(Title_RESULTS!$H$7+Title_RESULTS!$C$17),0,(+M19+$L20/(1+Title_RESULTS!$C$37)^('Sheet7(F_23)'!$A20-Title_RESULTS!$H$7)))</f>
        <v>-1744.997940932768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77.95905847945536</v>
      </c>
      <c r="H21" s="5">
        <f>IF(A21&gt;=(Title_RESULTS!$H$7+Title_RESULTS!$C$17),0,(+'Sheet4(F_22)'!$D21+'Sheet4(F_22)'!$G21))</f>
        <v>27.73786018276389</v>
      </c>
      <c r="I21" s="5">
        <f>IF(A21&gt;=(Title_RESULTS!$H$7+Title_RESULTS!$C$17),0,(+'Sheet4(F_22)'!$H21))</f>
        <v>188.8564583333333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294.5533769955525</v>
      </c>
      <c r="L21" s="23">
        <f>IF(A21&gt;=(Title_RESULTS!$H$7+Title_RESULTS!$C$17),0,(+$K21-$F21))</f>
        <v>294.5533769955525</v>
      </c>
      <c r="M21" s="23">
        <f>IF(A21&gt;=(Title_RESULTS!$H$7+Title_RESULTS!$C$17),0,(+M20+$L21/(1+Title_RESULTS!$C$37)^('Sheet7(F_23)'!$A21-Title_RESULTS!$H$7)))</f>
        <v>-1535.768789534044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80.37120751816177</v>
      </c>
      <c r="H22" s="5">
        <f>IF(A22&gt;=(Title_RESULTS!$H$7+Title_RESULTS!$C$17),0,(+'Sheet4(F_22)'!$D22+'Sheet4(F_22)'!$G22))</f>
        <v>28.403568827150224</v>
      </c>
      <c r="I22" s="5">
        <f>IF(A22&gt;=(Title_RESULTS!$H$7+Title_RESULTS!$C$17),0,(+'Sheet4(F_22)'!$H22))</f>
        <v>194.9139583333333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303.6887346786453</v>
      </c>
      <c r="L22" s="23">
        <f>IF(A22&gt;=(Title_RESULTS!$H$7+Title_RESULTS!$C$17),0,(+$K22-$F22))</f>
        <v>303.6887346786453</v>
      </c>
      <c r="M22" s="23">
        <f>IF(A22&gt;=(Title_RESULTS!$H$7+Title_RESULTS!$C$17),0,(+M21+$L22/(1+Title_RESULTS!$C$37)^('Sheet7(F_23)'!$A22-Title_RESULTS!$H$7)))</f>
        <v>-1334.313577923232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82.53474102092295</v>
      </c>
      <c r="H23" s="5">
        <f>IF(A23&gt;=(Title_RESULTS!$H$7+Title_RESULTS!$C$17),0,(+'Sheet4(F_22)'!$D23+'Sheet4(F_22)'!$G23))</f>
        <v>29.08525447900183</v>
      </c>
      <c r="I23" s="5">
        <f>IF(A23&gt;=(Title_RESULTS!$H$7+Title_RESULTS!$C$17),0,(+'Sheet4(F_22)'!$H23))</f>
        <v>207.09520833333332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318.7152038332581</v>
      </c>
      <c r="L23" s="23">
        <f>IF(A23&gt;=(Title_RESULTS!$H$7+Title_RESULTS!$C$17),0,(+$K23-$F23))</f>
        <v>318.7152038332581</v>
      </c>
      <c r="M23" s="23">
        <f>IF(A23&gt;=(Title_RESULTS!$H$7+Title_RESULTS!$C$17),0,(+M22+$L23/(1+Title_RESULTS!$C$37)^('Sheet7(F_23)'!$A23-Title_RESULTS!$H$7)))</f>
        <v>-1136.8694401883092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83.8718940606552</v>
      </c>
      <c r="H24" s="5">
        <f>IF(A24&gt;=(Title_RESULTS!$H$7+Title_RESULTS!$C$17),0,(+'Sheet4(F_22)'!$D24+'Sheet4(F_22)'!$G24))</f>
        <v>29.783300586497866</v>
      </c>
      <c r="I24" s="5">
        <f>IF(A24&gt;=(Title_RESULTS!$H$7+Title_RESULTS!$C$17),0,(+'Sheet4(F_22)'!$H24))</f>
        <v>229.48543943533696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343.14063408249</v>
      </c>
      <c r="L24" s="23">
        <f>IF(A24&gt;=(Title_RESULTS!$H$7+Title_RESULTS!$C$17),0,(+$K24-$F24))</f>
        <v>343.14063408249</v>
      </c>
      <c r="M24" s="23">
        <f>IF(A24&gt;=(Title_RESULTS!$H$7+Title_RESULTS!$C$17),0,(+M23+$L24/(1+Title_RESULTS!$C$37)^('Sheet7(F_23)'!$A24-Title_RESULTS!$H$7)))</f>
        <v>-938.3489909361259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86.15007364737838</v>
      </c>
      <c r="H25" s="5">
        <f>IF(A25&gt;=(Title_RESULTS!$H$7+Title_RESULTS!$C$17),0,(+'Sheet4(F_22)'!$D25+'Sheet4(F_22)'!$G25))</f>
        <v>30.49809980057382</v>
      </c>
      <c r="I25" s="5">
        <f>IF(A25&gt;=(Title_RESULTS!$H$7+Title_RESULTS!$C$17),0,(+'Sheet4(F_22)'!$H25))</f>
        <v>245.86249999999995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362.5106734479522</v>
      </c>
      <c r="L25" s="23">
        <f>IF(A25&gt;=(Title_RESULTS!$H$7+Title_RESULTS!$C$17),0,(+$K25-$F25))</f>
        <v>362.5106734479522</v>
      </c>
      <c r="M25" s="23">
        <f>IF(A25&gt;=(Title_RESULTS!$H$7+Title_RESULTS!$C$17),0,(+M24+$L25/(1+Title_RESULTS!$C$37)^('Sheet7(F_23)'!$A25-Title_RESULTS!$H$7)))</f>
        <v>-742.4890877719452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87.52964509292835</v>
      </c>
      <c r="H26" s="5">
        <f>IF(A26&gt;=(Title_RESULTS!$H$7+Title_RESULTS!$C$17),0,(+'Sheet4(F_22)'!$D26+'Sheet4(F_22)'!$G26))</f>
        <v>31.230054195787595</v>
      </c>
      <c r="I26" s="5">
        <f>IF(A26&gt;=(Title_RESULTS!$H$7+Title_RESULTS!$C$17),0,(+'Sheet4(F_22)'!$H26))</f>
        <v>274.6147916666668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393.3744909553827</v>
      </c>
      <c r="L26" s="23">
        <f>IF(A26&gt;=(Title_RESULTS!$H$7+Title_RESULTS!$C$17),0,(+$K26-$F26))</f>
        <v>393.3744909553827</v>
      </c>
      <c r="M26" s="23">
        <f>IF(A26&gt;=(Title_RESULTS!$H$7+Title_RESULTS!$C$17),0,(+M25+$L26/(1+Title_RESULTS!$C$37)^('Sheet7(F_23)'!$A26-Title_RESULTS!$H$7)))</f>
        <v>-544.0064290519304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90.55094405702445</v>
      </c>
      <c r="H27" s="5">
        <f>IF(A27&gt;=(Title_RESULTS!$H$7+Title_RESULTS!$C$17),0,(+'Sheet4(F_22)'!$D27+'Sheet4(F_22)'!$G27))</f>
        <v>31.979575496486497</v>
      </c>
      <c r="I27" s="5">
        <f>IF(A27&gt;=(Title_RESULTS!$H$7+Title_RESULTS!$C$17),0,(+'Sheet4(F_22)'!$H27))</f>
        <v>273.5935416666667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396.1240612201776</v>
      </c>
      <c r="L27" s="23">
        <f>IF(A27&gt;=(Title_RESULTS!$H$7+Title_RESULTS!$C$17),0,(+$K27-$F27))</f>
        <v>396.1240612201776</v>
      </c>
      <c r="M27" s="23">
        <f>IF(A27&gt;=(Title_RESULTS!$H$7+Title_RESULTS!$C$17),0,(+M26+$L27/(1+Title_RESULTS!$C$37)^('Sheet7(F_23)'!$A27-Title_RESULTS!$H$7)))</f>
        <v>-357.3515978462675</v>
      </c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87</v>
      </c>
      <c r="B29" s="5">
        <f aca="true" t="shared" si="1" ref="B29:L29">SUM(B16:B28)</f>
        <v>0</v>
      </c>
      <c r="C29" s="5">
        <f t="shared" si="1"/>
        <v>122.90304</v>
      </c>
      <c r="D29" s="5">
        <f t="shared" si="1"/>
        <v>2489.3880189999995</v>
      </c>
      <c r="E29" s="5">
        <f t="shared" si="1"/>
        <v>0</v>
      </c>
      <c r="F29" s="5">
        <f t="shared" si="1"/>
        <v>2612.2910589999997</v>
      </c>
      <c r="G29" s="5">
        <f t="shared" si="1"/>
        <v>738.6092164579228</v>
      </c>
      <c r="H29" s="5">
        <f t="shared" si="1"/>
        <v>313.31868473583944</v>
      </c>
      <c r="I29" s="5">
        <f t="shared" si="1"/>
        <v>2200.265709718428</v>
      </c>
      <c r="J29" s="5">
        <f t="shared" si="1"/>
        <v>0</v>
      </c>
      <c r="K29" s="5">
        <f t="shared" si="1"/>
        <v>3252.1936109121893</v>
      </c>
      <c r="L29" s="5">
        <f t="shared" si="1"/>
        <v>639.9025519121896</v>
      </c>
      <c r="M29" s="5"/>
    </row>
    <row r="30" spans="2:13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t="s">
        <v>118</v>
      </c>
      <c r="B31" s="5">
        <f>NPV(Title_RESULTS!$C$37,'Sheet7(F_23)'!B17:B28)+'Sheet7(F_23)'!B16</f>
        <v>0</v>
      </c>
      <c r="C31" s="5">
        <f>NPV(Title_RESULTS!$C$37,'Sheet7(F_23)'!C17:C28)+'Sheet7(F_23)'!C16</f>
        <v>114.83173044385765</v>
      </c>
      <c r="D31" s="5">
        <f>NPV(Title_RESULTS!$C$37,'Sheet7(F_23)'!D17:D28)+'Sheet7(F_23)'!D16</f>
        <v>2326.00811241711</v>
      </c>
      <c r="E31" s="5">
        <f>NPV(Title_RESULTS!$C$37,'Sheet7(F_23)'!E17:E28)+'Sheet7(F_23)'!E16</f>
        <v>0</v>
      </c>
      <c r="F31" s="5">
        <f>NPV(Title_RESULTS!$C$37,'Sheet7(F_23)'!F17:F28)+'Sheet7(F_23)'!F16</f>
        <v>2440.839842860968</v>
      </c>
      <c r="G31" s="5">
        <f>NPV(Title_RESULTS!$C$37,'Sheet7(F_23)'!G17:G28)+'Sheet7(F_23)'!G16</f>
        <v>459.5193444679595</v>
      </c>
      <c r="H31" s="5">
        <f>NPV(Title_RESULTS!$C$37,'Sheet7(F_23)'!H17:H28)+'Sheet7(F_23)'!H16</f>
        <v>209.3357534354294</v>
      </c>
      <c r="I31" s="5">
        <f>NPV(Title_RESULTS!$C$37,'Sheet7(F_23)'!I17:I28)+'Sheet7(F_23)'!I16</f>
        <v>1414.633147111312</v>
      </c>
      <c r="J31" s="5">
        <f>NPV(Title_RESULTS!$C$37,'Sheet7(F_23)'!J17:J28)+'Sheet7(F_23)'!J16</f>
        <v>0</v>
      </c>
      <c r="K31" s="5">
        <f>NPV(Title_RESULTS!$C$37,'Sheet7(F_23)'!K17:K28)+'Sheet7(F_23)'!K16</f>
        <v>2083.4882450147006</v>
      </c>
      <c r="L31" s="5">
        <f>NPV(Title_RESULTS!$C$37,'Sheet7(F_23)'!L17:L28)+'Sheet7(F_23)'!L16</f>
        <v>-357.3515978462673</v>
      </c>
      <c r="M31" s="5"/>
    </row>
    <row r="33" spans="1:8" ht="12.75">
      <c r="A33" t="s">
        <v>162</v>
      </c>
      <c r="C33">
        <f>+Title_RESULTS!C37</f>
        <v>0.0708</v>
      </c>
      <c r="D33" t="s">
        <v>163</v>
      </c>
      <c r="H33" s="10">
        <f>+K31/F31</f>
        <v>0.8535948194669721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ENERGY STAR Holding Cabinet</v>
      </c>
      <c r="L2" t="s">
        <v>55</v>
      </c>
    </row>
    <row r="3" ht="12.75">
      <c r="L3" s="35">
        <f>+Title_RESULTS!I4</f>
        <v>43599.31889398148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56.15906479077932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136.7476657860054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192.90673057678472</v>
      </c>
      <c r="G16" s="5">
        <f>IF(A16&gt;=(Title_RESULTS!$H$7+Title_RESULTS!$C$17),0,(+'Sheet6(p_6)'!$H16))</f>
        <v>811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811</v>
      </c>
      <c r="K16" s="23">
        <f>IF(A16&gt;=(Title_RESULTS!$H$7+Title_RESULTS!$C$17),0,(+F16-J16))</f>
        <v>-618.0932694232152</v>
      </c>
      <c r="L16" s="23">
        <f>IF(A16&gt;=(Title_RESULTS!$H$7+Title_RESULTS!$C$17),0,(+$K16/((1+Title_RESULTS!$C$37)^('Sheet8(F_24)'!$A16-Title_RESULTS!$H$7))))</f>
        <v>-618.0932694232152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172.53719207168726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136.7476657860054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309.28485785769266</v>
      </c>
      <c r="G17" s="5">
        <f>IF(A17&gt;=(Title_RESULTS!$H$7+Title_RESULTS!$C$17),0,(+'Sheet6(p_6)'!$H17))</f>
        <v>829.6529999999999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829.6529999999999</v>
      </c>
      <c r="K17" s="23">
        <f>IF(A17&gt;=(Title_RESULTS!$H$7+Title_RESULTS!$C$17),0,(+F17-J17))</f>
        <v>-520.3681421423073</v>
      </c>
      <c r="L17" s="23">
        <f>IF(A16&gt;=(Title_RESULTS!$H$7+Title_RESULTS!$C$17),0,(+$K17/((1+Title_RESULTS!$C$37)^('Sheet8(F_24)'!$A17-Title_RESULTS!$H$7))+L16))</f>
        <v>-1104.0552998138646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293.39794764184524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136.7476657860054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430.14561342785066</v>
      </c>
      <c r="G18" s="5">
        <f>IF(A18&gt;=(Title_RESULTS!$H$7+Title_RESULTS!$C$17),0,(+'Sheet6(p_6)'!$H18))</f>
        <v>848.7350189999999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848.7350189999999</v>
      </c>
      <c r="K18" s="23">
        <f>IF(A18&gt;=(Title_RESULTS!$H$7+Title_RESULTS!$C$17),0,(+F18-J18))</f>
        <v>-418.5894055721492</v>
      </c>
      <c r="L18" s="23">
        <f>IF(A17&gt;=(Title_RESULTS!$H$7+Title_RESULTS!$C$17),0,(+$K18/((1+Title_RESULTS!$C$37)^('Sheet8(F_24)'!$A18-Title_RESULTS!$H$7))+L17))</f>
        <v>-1469.1214005784168</v>
      </c>
      <c r="M18" s="5"/>
    </row>
    <row r="19" spans="1:13" ht="12.75">
      <c r="A19">
        <f aca="true" t="shared" si="0" ref="A19:A27">+A18+1</f>
        <v>2023</v>
      </c>
      <c r="B19" s="5">
        <f>IF(A19&gt;=(Title_RESULTS!$H$7+Title_RESULTS!$C$17),0,(+'Sheet6(p_6)'!N19-'Sheet6(p_6)'!R19))</f>
        <v>353.10064872566704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353.10064872566704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353.10064872566704</v>
      </c>
      <c r="L19" s="23">
        <f>IF(A18&gt;=(Title_RESULTS!$H$7+Title_RESULTS!$C$17),0,(+$K19/((1+Title_RESULTS!$C$37)^('Sheet8(F_24)'!$A19-Title_RESULTS!$H$7))+L18))</f>
        <v>-1181.5316342618783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362.99155863085207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362.99155863085207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362.99155863085207</v>
      </c>
      <c r="L20" s="23">
        <f>IF(A19&gt;=(Title_RESULTS!$H$7+Title_RESULTS!$C$17),0,(+$K20/((1+Title_RESULTS!$C$37)^('Sheet8(F_24)'!$A20-Title_RESULTS!$H$7))+L19))</f>
        <v>-905.4337519568676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373.4397756947143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373.4397756947143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373.4397756947143</v>
      </c>
      <c r="L21" s="23">
        <f>IF(A20&gt;=(Title_RESULTS!$H$7+Title_RESULTS!$C$17),0,(+$K21/((1+Title_RESULTS!$C$37)^('Sheet8(F_24)'!$A21-Title_RESULTS!$H$7))+L20))</f>
        <v>-640.1694790970297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382.53048902986825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382.53048902986825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382.53048902986825</v>
      </c>
      <c r="L22" s="23">
        <f>IF(A21&gt;=(Title_RESULTS!$H$7+Title_RESULTS!$C$17),0,(+$K22/((1+Title_RESULTS!$C$37)^('Sheet8(F_24)'!$A22-Title_RESULTS!$H$7))+L21))</f>
        <v>-386.4137357480211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394.1270966655128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394.1270966655128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394.1270966655128</v>
      </c>
      <c r="L23" s="23">
        <f>IF(A22&gt;=(Title_RESULTS!$H$7+Title_RESULTS!$C$17),0,(+$K23/((1+Title_RESULTS!$C$37)^('Sheet8(F_24)'!$A23-Title_RESULTS!$H$7))+L22))</f>
        <v>-142.25191408669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412.3263974038634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412.3263974038634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412.3263974038634</v>
      </c>
      <c r="L24" s="23">
        <f>IF(A23&gt;=(Title_RESULTS!$H$7+Title_RESULTS!$C$17),0,(+$K24/((1+Title_RESULTS!$C$37)^('Sheet8(F_24)'!$A24-Title_RESULTS!$H$7))+L23))</f>
        <v>96.29523982301419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423.9957930124395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423.9957930124395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423.9957930124395</v>
      </c>
      <c r="L25" s="23">
        <f>IF(A24&gt;=(Title_RESULTS!$H$7+Title_RESULTS!$C$17),0,(+$K25/((1+Title_RESULTS!$C$37)^('Sheet8(F_24)'!$A25-Title_RESULTS!$H$7))+L24))</f>
        <v>325.37477056229187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443.6430498791842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443.6430498791842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443.6430498791842</v>
      </c>
      <c r="L26" s="23">
        <f>IF(A25&gt;=(Title_RESULTS!$H$7+Title_RESULTS!$C$17),0,(+$K26/((1+Title_RESULTS!$C$37)^('Sheet8(F_24)'!$A26-Title_RESULTS!$H$7))+L25))</f>
        <v>549.2211411004974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453.24357693707384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453.24357693707384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453.24357693707384</v>
      </c>
      <c r="L27" s="23">
        <f>IF(A26&gt;=(Title_RESULTS!$H$7+Title_RESULTS!$C$17),0,(+$K27/((1+Title_RESULTS!$C$37)^('Sheet8(F_24)'!$A27-Title_RESULTS!$H$7))+L26))</f>
        <v>762.7908573344656</v>
      </c>
      <c r="M27" s="5"/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87</v>
      </c>
      <c r="B29" s="5">
        <f aca="true" t="shared" si="1" ref="B29:K29">SUM(B16:B28)</f>
        <v>4121.492590483487</v>
      </c>
      <c r="C29" s="5">
        <f t="shared" si="1"/>
        <v>0</v>
      </c>
      <c r="D29" s="5">
        <f t="shared" si="1"/>
        <v>410.24299735801617</v>
      </c>
      <c r="E29" s="5">
        <f t="shared" si="1"/>
        <v>0</v>
      </c>
      <c r="F29" s="5">
        <f t="shared" si="1"/>
        <v>4531.735587841504</v>
      </c>
      <c r="G29" s="5">
        <f t="shared" si="1"/>
        <v>2489.3880189999995</v>
      </c>
      <c r="H29" s="5">
        <f t="shared" si="1"/>
        <v>0</v>
      </c>
      <c r="I29" s="5">
        <f t="shared" si="1"/>
        <v>0</v>
      </c>
      <c r="J29" s="5">
        <f t="shared" si="1"/>
        <v>2489.3880189999995</v>
      </c>
      <c r="K29" s="5">
        <f t="shared" si="1"/>
        <v>2042.3475688415035</v>
      </c>
      <c r="L29" s="5"/>
      <c r="M29" s="5"/>
    </row>
    <row r="30" ht="12.75">
      <c r="M30" s="5"/>
    </row>
    <row r="31" spans="1:13" ht="12.75">
      <c r="A31" t="s">
        <v>118</v>
      </c>
      <c r="B31" s="5">
        <f>NPV(Title_RESULTS!$C$37,'Sheet8(F_24)'!B17:B28)+'Sheet8(F_24)'!B16</f>
        <v>2705.0829238597485</v>
      </c>
      <c r="C31" s="5">
        <f>NPV(Title_RESULTS!$C$37,'Sheet8(F_24)'!C17:C28)+'Sheet8(F_24)'!C16</f>
        <v>0</v>
      </c>
      <c r="D31" s="5">
        <f>NPV(Title_RESULTS!$C$37,'Sheet8(F_24)'!D17:D28)+'Sheet8(F_24)'!D16</f>
        <v>383.7160458918274</v>
      </c>
      <c r="E31" s="5">
        <f>NPV(Title_RESULTS!$C$37,'Sheet8(F_24)'!E17:E28)+'Sheet8(F_24)'!E16</f>
        <v>0</v>
      </c>
      <c r="F31" s="5">
        <f>NPV(Title_RESULTS!$C$37,'Sheet8(F_24)'!F17:F28)+'Sheet8(F_24)'!F16</f>
        <v>3088.798969751576</v>
      </c>
      <c r="G31" s="5">
        <f>NPV(Title_RESULTS!$C$37,'Sheet8(F_24)'!G17:G28)+'Sheet8(F_24)'!G16</f>
        <v>2326.00811241711</v>
      </c>
      <c r="H31" s="5">
        <f>NPV(Title_RESULTS!$C$37,'Sheet8(F_24)'!H17:H28)+'Sheet8(F_24)'!H16</f>
        <v>0</v>
      </c>
      <c r="I31" s="5">
        <f>NPV(Title_RESULTS!$C$37,'Sheet8(F_24)'!I17:I28)+'Sheet8(F_24)'!I16</f>
        <v>0</v>
      </c>
      <c r="J31" s="5">
        <f>NPV(Title_RESULTS!$C$37,'Sheet8(F_24)'!J17:J28)+'Sheet8(F_24)'!J16</f>
        <v>2326.00811241711</v>
      </c>
      <c r="K31" s="5">
        <f>NPV(Title_RESULTS!$C$37,'Sheet8(F_24)'!K17:K28)+'Sheet8(F_24)'!K16</f>
        <v>762.7908573344652</v>
      </c>
      <c r="L31" s="5"/>
      <c r="M31" s="5"/>
    </row>
    <row r="32" spans="2:12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1" ht="12.75">
      <c r="A33" t="s">
        <v>174</v>
      </c>
      <c r="D33">
        <f>+Title_RESULTS!H8</f>
        <v>2023</v>
      </c>
      <c r="F33">
        <f>+F31/J31</f>
        <v>1.3279398955069845</v>
      </c>
      <c r="K33" s="10"/>
    </row>
    <row r="34" spans="1:10" ht="12.75">
      <c r="A34" t="s">
        <v>175</v>
      </c>
      <c r="D34">
        <f>+Title_RESULTS!C37</f>
        <v>0.0708</v>
      </c>
      <c r="J34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ENERGY STAR Holding Cabinet</v>
      </c>
      <c r="N2" t="s">
        <v>55</v>
      </c>
    </row>
    <row r="3" ht="12.75">
      <c r="N3" s="35">
        <f>+Title_RESULTS!I4</f>
        <v>43599.31889398148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IF(A16&gt;=(Title_RESULTS!$H$7+Title_RESULTS!$C$17),0,(+'Sheet6(p_6)'!$G16))</f>
        <v>136.7476657860054</v>
      </c>
      <c r="E16" s="5">
        <f>+'Sheet6(p_6)'!M16</f>
        <v>35.098449</v>
      </c>
      <c r="F16">
        <f>IF(A16&gt;=(Title_RESULTS!$H$7+Title_RESULTS!$C$17),0,(+'f-11B'!$R15))</f>
        <v>0</v>
      </c>
      <c r="G16" s="5">
        <f>IF(A16&gt;=(Title_RESULTS!$H$7+Title_RESULTS!$C$17),0,(SUM(B16:F16)))</f>
        <v>211.8461147860054</v>
      </c>
      <c r="H16" s="5">
        <f>IF(A16&gt;=(Title_RESULTS!$H$7+Title_RESULTS!$C$17),0,(+'Sheet3(F_21)'!$J16+'Sheet4(F_22)'!$H16))</f>
        <v>26.468975314966606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26.468975314966606</v>
      </c>
      <c r="M16" s="23">
        <f>IF(A16&gt;=(Title_RESULTS!$H$7+Title_RESULTS!$C$17),0,(+L16-G16))</f>
        <v>-185.3771394710388</v>
      </c>
      <c r="N16" s="24">
        <f>IF(A16&gt;=(Title_RESULTS!$H$7+Title_RESULTS!$C$17),0,(+$M16/((1+Title_RESULTS!$C$37)^('Sheet9(F_25)'!$A16-Title_RESULTS!$H$7))))</f>
        <v>-185.3771394710388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IF(A17&gt;=(Title_RESULTS!$H$7+Title_RESULTS!$C$17),0,(+'Sheet6(p_6)'!$G17))</f>
        <v>136.7476657860054</v>
      </c>
      <c r="E17" s="5">
        <f>+'Sheet6(p_6)'!M17</f>
        <v>106.34830047</v>
      </c>
      <c r="F17">
        <f>IF(A17&gt;=(Title_RESULTS!$H$7+Title_RESULTS!$C$17),0,(+'f-11B'!$R16))</f>
        <v>0</v>
      </c>
      <c r="G17" s="5">
        <f>IF(A17&gt;=(Title_RESULTS!$H$7+Title_RESULTS!$C$17),0,(SUM(B17:F17)))</f>
        <v>284.0559662560054</v>
      </c>
      <c r="H17" s="5">
        <f>IF(A17&gt;=(Title_RESULTS!$H$7+Title_RESULTS!$C$17),0,(+'Sheet3(F_21)'!$J17+'Sheet4(F_22)'!$H17))</f>
        <v>78.76104166666667</v>
      </c>
      <c r="I17" s="5">
        <f>IF(A17&gt;=(Title_RESULTS!$H$7+Title_RESULTS!$C$17),0,(+'Sheet4(F_22)'!$D17+'Sheet4(F_22)'!$G17))</f>
        <v>25.227436874742025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103.9884785414087</v>
      </c>
      <c r="M17" s="23">
        <f>IF(A17&gt;=(Title_RESULTS!$H$7+Title_RESULTS!$C$17),0,(+L17-G17))</f>
        <v>-180.06748771459667</v>
      </c>
      <c r="N17" s="24">
        <f>(IF(A16&gt;=(Title_RESULTS!$H$7+Title_RESULTS!$C$17),0,(+$M17/((1+Title_RESULTS!$C$37)^('Sheet9(F_25)'!$A17-Title_RESULTS!$H$7))+N16)))</f>
        <v>-353.5387828354361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IF(A18&gt;=(Title_RESULTS!$H$7+Title_RESULTS!$C$17),0,(+'Sheet6(p_6)'!$G18))</f>
        <v>136.7476657860054</v>
      </c>
      <c r="E18" s="5">
        <f>+'Sheet6(p_6)'!M18</f>
        <v>179.01963912449997</v>
      </c>
      <c r="F18">
        <f>IF(A18&gt;=(Title_RESULTS!$H$7+Title_RESULTS!$C$17),0,(+'f-11B'!$R17))</f>
        <v>0</v>
      </c>
      <c r="G18" s="5">
        <f>IF(A18&gt;=(Title_RESULTS!$H$7+Title_RESULTS!$C$17),0,(SUM(B18:F18)))</f>
        <v>357.71034491050534</v>
      </c>
      <c r="H18" s="5">
        <f>IF(A18&gt;=(Title_RESULTS!$H$7+Title_RESULTS!$C$17),0,(+'Sheet3(F_21)'!$J18+'Sheet4(F_22)'!$H18))</f>
        <v>135.4777777777778</v>
      </c>
      <c r="I18" s="5">
        <f>IF(A18&gt;=(Title_RESULTS!$H$7+Title_RESULTS!$C$17),0,(+'Sheet4(F_22)'!$D18+'Sheet4(F_22)'!$G18))</f>
        <v>25.83289535973583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161.31067313751362</v>
      </c>
      <c r="M18" s="23">
        <f>IF(A18&gt;=(Title_RESULTS!$H$7+Title_RESULTS!$C$17),0,(+L18-G18))</f>
        <v>-196.39967177299172</v>
      </c>
      <c r="N18" s="24">
        <f>(IF(A17&gt;=(Title_RESULTS!$H$7+Title_RESULTS!$C$17),0,(+$M18/((1+Title_RESULTS!$C$37)^('Sheet9(F_25)'!$A18-Title_RESULTS!$H$7))+N17)))</f>
        <v>-524.8256367576043</v>
      </c>
    </row>
    <row r="19" spans="1:14" ht="12.75">
      <c r="A19">
        <f aca="true" t="shared" si="0" ref="A19:A27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216.971802618894</v>
      </c>
      <c r="F19">
        <f>IF(A19&gt;=(Title_RESULTS!$H$7+Title_RESULTS!$C$17),0,(+'f-11B'!$R18))</f>
        <v>0</v>
      </c>
      <c r="G19" s="5">
        <f>IF(A19&gt;=(Title_RESULTS!$H$7+Title_RESULTS!$C$17),0,(SUM(B19:F19)))</f>
        <v>216.971802618894</v>
      </c>
      <c r="H19" s="5">
        <f>IF(A19&gt;=(Title_RESULTS!$H$7+Title_RESULTS!$C$17),0,(+'Sheet3(F_21)'!$J19+'Sheet4(F_22)'!$H19))</f>
        <v>243.07914079637374</v>
      </c>
      <c r="I19" s="5">
        <f>IF(A19&gt;=(Title_RESULTS!$H$7+Title_RESULTS!$C$17),0,(+'Sheet4(F_22)'!$D19+'Sheet4(F_22)'!$G19))</f>
        <v>26.452884848369493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269.5320256447432</v>
      </c>
      <c r="M19" s="23">
        <f>IF(A19&gt;=(Title_RESULTS!$H$7+Title_RESULTS!$C$17),0,(+L19-G19))</f>
        <v>52.56022302584921</v>
      </c>
      <c r="N19" s="24">
        <f>(IF(A18&gt;=(Title_RESULTS!$H$7+Title_RESULTS!$C$17),0,(+$M19/((1+Title_RESULTS!$C$37)^('Sheet9(F_25)'!$A19-Title_RESULTS!$H$7))+N18)))</f>
        <v>-482.01692963089226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219.14152064508295</v>
      </c>
      <c r="F20">
        <f>IF(A20&gt;=(Title_RESULTS!$H$7+Title_RESULTS!$C$17),0,(+'f-11B'!$R19))</f>
        <v>0</v>
      </c>
      <c r="G20" s="5">
        <f>IF(A20&gt;=(Title_RESULTS!$H$7+Title_RESULTS!$C$17),0,(SUM(B20:F20)))</f>
        <v>219.14152064508295</v>
      </c>
      <c r="H20" s="5">
        <f>IF(A20&gt;=(Title_RESULTS!$H$7+Title_RESULTS!$C$17),0,(+'Sheet3(F_21)'!$J20+'Sheet4(F_22)'!$H20))</f>
        <v>251.69852897536862</v>
      </c>
      <c r="I20" s="5">
        <f>IF(A20&gt;=(Title_RESULTS!$H$7+Title_RESULTS!$C$17),0,(+'Sheet4(F_22)'!$D20+'Sheet4(F_22)'!$G20))</f>
        <v>27.087754084730364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278.786283060099</v>
      </c>
      <c r="M20" s="23">
        <f>IF(A20&gt;=(Title_RESULTS!$H$7+Title_RESULTS!$C$17),0,(+L20-G20))</f>
        <v>59.64476241501603</v>
      </c>
      <c r="N20" s="24">
        <f>(IF(A19&gt;=(Title_RESULTS!$H$7+Title_RESULTS!$C$17),0,(+$M20/((1+Title_RESULTS!$C$37)^('Sheet9(F_25)'!$A20-Title_RESULTS!$H$7))+N19)))</f>
        <v>-436.65005483224576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221.33293585153376</v>
      </c>
      <c r="F21">
        <f>IF(A21&gt;=(Title_RESULTS!$H$7+Title_RESULTS!$C$17),0,(+'f-11B'!$R20))</f>
        <v>0</v>
      </c>
      <c r="G21" s="5">
        <f>IF(A21&gt;=(Title_RESULTS!$H$7+Title_RESULTS!$C$17),0,(SUM(B21:F21)))</f>
        <v>221.33293585153376</v>
      </c>
      <c r="H21" s="5">
        <f>IF(A21&gt;=(Title_RESULTS!$H$7+Title_RESULTS!$C$17),0,(+'Sheet3(F_21)'!$J21+'Sheet4(F_22)'!$H21))</f>
        <v>266.8155168127887</v>
      </c>
      <c r="I21" s="5">
        <f>IF(A21&gt;=(Title_RESULTS!$H$7+Title_RESULTS!$C$17),0,(+'Sheet4(F_22)'!$D21+'Sheet4(F_22)'!$G21))</f>
        <v>27.73786018276389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294.5533769955526</v>
      </c>
      <c r="M21" s="23">
        <f>IF(A21&gt;=(Title_RESULTS!$H$7+Title_RESULTS!$C$17),0,(+L21-G21))</f>
        <v>73.22044114401882</v>
      </c>
      <c r="N21" s="24">
        <f>(IF(A20&gt;=(Title_RESULTS!$H$7+Title_RESULTS!$C$17),0,(+$M21/((1+Title_RESULTS!$C$37)^('Sheet9(F_25)'!$A21-Title_RESULTS!$H$7))+N20)))</f>
        <v>-384.63961474880176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223.5462652100491</v>
      </c>
      <c r="F22">
        <f>IF(A22&gt;=(Title_RESULTS!$H$7+Title_RESULTS!$C$17),0,(+'f-11B'!$R21))</f>
        <v>0</v>
      </c>
      <c r="G22" s="5">
        <f>IF(A22&gt;=(Title_RESULTS!$H$7+Title_RESULTS!$C$17),0,(SUM(B22:F22)))</f>
        <v>223.5462652100491</v>
      </c>
      <c r="H22" s="5">
        <f>IF(A22&gt;=(Title_RESULTS!$H$7+Title_RESULTS!$C$17),0,(+'Sheet3(F_21)'!$J22+'Sheet4(F_22)'!$H22))</f>
        <v>275.2851658514951</v>
      </c>
      <c r="I22" s="5">
        <f>IF(A22&gt;=(Title_RESULTS!$H$7+Title_RESULTS!$C$17),0,(+'Sheet4(F_22)'!$D22+'Sheet4(F_22)'!$G22))</f>
        <v>28.403568827150224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303.68873467864535</v>
      </c>
      <c r="M22" s="23">
        <f>IF(A22&gt;=(Title_RESULTS!$H$7+Title_RESULTS!$C$17),0,(+L22-G22))</f>
        <v>80.14246946859623</v>
      </c>
      <c r="N22" s="24">
        <f>(IF(A21&gt;=(Title_RESULTS!$H$7+Title_RESULTS!$C$17),0,(+$M22/((1+Title_RESULTS!$C$37)^('Sheet9(F_25)'!$A22-Title_RESULTS!$H$7))+N21)))</f>
        <v>-331.47623954855476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225.78172786214958</v>
      </c>
      <c r="F23">
        <f>IF(A23&gt;=(Title_RESULTS!$H$7+Title_RESULTS!$C$17),0,(+'f-11B'!$R22))</f>
        <v>0</v>
      </c>
      <c r="G23" s="5">
        <f>IF(A23&gt;=(Title_RESULTS!$H$7+Title_RESULTS!$C$17),0,(SUM(B23:F23)))</f>
        <v>225.78172786214958</v>
      </c>
      <c r="H23" s="5">
        <f>IF(A23&gt;=(Title_RESULTS!$H$7+Title_RESULTS!$C$17),0,(+'Sheet3(F_21)'!$J23+'Sheet4(F_22)'!$H23))</f>
        <v>289.62994935425627</v>
      </c>
      <c r="I23" s="5">
        <f>IF(A23&gt;=(Title_RESULTS!$H$7+Title_RESULTS!$C$17),0,(+'Sheet4(F_22)'!$D23+'Sheet4(F_22)'!$G23))</f>
        <v>29.08525447900183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318.7152038332581</v>
      </c>
      <c r="M23" s="23">
        <f>IF(A23&gt;=(Title_RESULTS!$H$7+Title_RESULTS!$C$17),0,(+L23-G23))</f>
        <v>92.93347597110852</v>
      </c>
      <c r="N23" s="24">
        <f>(IF(A22&gt;=(Title_RESULTS!$H$7+Title_RESULTS!$C$17),0,(+$M23/((1+Title_RESULTS!$C$37)^('Sheet9(F_25)'!$A23-Title_RESULTS!$H$7))+N22)))</f>
        <v>-273.903931076492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228.0395451407711</v>
      </c>
      <c r="F24">
        <f>IF(A24&gt;=(Title_RESULTS!$H$7+Title_RESULTS!$C$17),0,(+'f-11B'!$R23))</f>
        <v>0</v>
      </c>
      <c r="G24" s="5">
        <f>IF(A24&gt;=(Title_RESULTS!$H$7+Title_RESULTS!$C$17),0,(SUM(B24:F24)))</f>
        <v>228.0395451407711</v>
      </c>
      <c r="H24" s="5">
        <f>IF(A24&gt;=(Title_RESULTS!$H$7+Title_RESULTS!$C$17),0,(+'Sheet3(F_21)'!$J24+'Sheet4(F_22)'!$H24))</f>
        <v>313.3573334959922</v>
      </c>
      <c r="I24" s="5">
        <f>IF(A24&gt;=(Title_RESULTS!$H$7+Title_RESULTS!$C$17),0,(+'Sheet4(F_22)'!$D24+'Sheet4(F_22)'!$G24))</f>
        <v>29.783300586497866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343.14063408249007</v>
      </c>
      <c r="M24" s="23">
        <f>IF(A24&gt;=(Title_RESULTS!$H$7+Title_RESULTS!$C$17),0,(+L24-G24))</f>
        <v>115.10108894171896</v>
      </c>
      <c r="N24" s="24">
        <f>(IF(A23&gt;=(Title_RESULTS!$H$7+Title_RESULTS!$C$17),0,(+$M24/((1+Title_RESULTS!$C$37)^('Sheet9(F_25)'!$A24-Title_RESULTS!$H$7))+N23)))</f>
        <v>-207.31339175659173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230.31994059217885</v>
      </c>
      <c r="F25">
        <f>IF(A25&gt;=(Title_RESULTS!$H$7+Title_RESULTS!$C$17),0,(+'f-11B'!$R24))</f>
        <v>0</v>
      </c>
      <c r="G25" s="5">
        <f>IF(A25&gt;=(Title_RESULTS!$H$7+Title_RESULTS!$C$17),0,(SUM(B25:F25)))</f>
        <v>230.31994059217885</v>
      </c>
      <c r="H25" s="5">
        <f>IF(A25&gt;=(Title_RESULTS!$H$7+Title_RESULTS!$C$17),0,(+'Sheet3(F_21)'!$J25+'Sheet4(F_22)'!$H25))</f>
        <v>332.0125736473783</v>
      </c>
      <c r="I25" s="5">
        <f>IF(A25&gt;=(Title_RESULTS!$H$7+Title_RESULTS!$C$17),0,(+'Sheet4(F_22)'!$D25+'Sheet4(F_22)'!$G25))</f>
        <v>30.49809980057382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362.5106734479521</v>
      </c>
      <c r="M25" s="23">
        <f>IF(A25&gt;=(Title_RESULTS!$H$7+Title_RESULTS!$C$17),0,(+L25-G25))</f>
        <v>132.19073285577326</v>
      </c>
      <c r="N25" s="24">
        <f>(IF(A24&gt;=(Title_RESULTS!$H$7+Title_RESULTS!$C$17),0,(+$M25/((1+Title_RESULTS!$C$37)^('Sheet9(F_25)'!$A25-Title_RESULTS!$H$7))+N24)))</f>
        <v>-135.89242119570383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232.62313999810064</v>
      </c>
      <c r="F26">
        <f>IF(A26&gt;=(Title_RESULTS!$H$7+Title_RESULTS!$C$17),0,(+'f-11B'!$R25))</f>
        <v>0</v>
      </c>
      <c r="G26" s="5">
        <f>IF(A26&gt;=(Title_RESULTS!$H$7+Title_RESULTS!$C$17),0,(SUM(B26:F26)))</f>
        <v>232.62313999810064</v>
      </c>
      <c r="H26" s="5">
        <f>IF(A26&gt;=(Title_RESULTS!$H$7+Title_RESULTS!$C$17),0,(+'Sheet3(F_21)'!$J26+'Sheet4(F_22)'!$H26))</f>
        <v>362.1444367595951</v>
      </c>
      <c r="I26" s="5">
        <f>IF(A26&gt;=(Title_RESULTS!$H$7+Title_RESULTS!$C$17),0,(+'Sheet4(F_22)'!$D26+'Sheet4(F_22)'!$G26))</f>
        <v>31.230054195787595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393.3744909553827</v>
      </c>
      <c r="M26" s="23">
        <f>IF(A26&gt;=(Title_RESULTS!$H$7+Title_RESULTS!$C$17),0,(+L26-G26))</f>
        <v>160.75135095728209</v>
      </c>
      <c r="N26" s="24">
        <f>(IF(A25&gt;=(Title_RESULTS!$H$7+Title_RESULTS!$C$17),0,(+$M26/((1+Title_RESULTS!$C$37)^('Sheet9(F_25)'!$A26-Title_RESULTS!$H$7))+N25)))</f>
        <v>-54.78305527483528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234.9493713980816</v>
      </c>
      <c r="F27">
        <f>IF(A27&gt;=(Title_RESULTS!$H$7+Title_RESULTS!$C$17),0,(+'f-11B'!$R26))</f>
        <v>0</v>
      </c>
      <c r="G27" s="5">
        <f>IF(A27&gt;=(Title_RESULTS!$H$7+Title_RESULTS!$C$17),0,(SUM(B27:F27)))</f>
        <v>234.9493713980816</v>
      </c>
      <c r="H27" s="5">
        <f>IF(A27&gt;=(Title_RESULTS!$H$7+Title_RESULTS!$C$17),0,(+'Sheet3(F_21)'!$J27+'Sheet4(F_22)'!$H27))</f>
        <v>364.1444857236911</v>
      </c>
      <c r="I27" s="5">
        <f>IF(A27&gt;=(Title_RESULTS!$H$7+Title_RESULTS!$C$17),0,(+'Sheet4(F_22)'!$D27+'Sheet4(F_22)'!$G27))</f>
        <v>31.979575496486497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396.1240612201776</v>
      </c>
      <c r="M27" s="23">
        <f>IF(A27&gt;=(Title_RESULTS!$H$7+Title_RESULTS!$C$17),0,(+L27-G27))</f>
        <v>161.174689822096</v>
      </c>
      <c r="N27" s="24">
        <f>(IF(A26&gt;=(Title_RESULTS!$H$7+Title_RESULTS!$C$17),0,(+$M27/((1+Title_RESULTS!$C$37)^('Sheet9(F_25)'!$A27-Title_RESULTS!$H$7))+N26)))</f>
        <v>21.162936066111783</v>
      </c>
    </row>
    <row r="28" ht="12.75">
      <c r="E28" s="5"/>
    </row>
    <row r="29" spans="1:13" ht="12.75">
      <c r="A29" t="s">
        <v>87</v>
      </c>
      <c r="B29" s="5">
        <f aca="true" t="shared" si="1" ref="B29:M29">SUM(B16:B28)</f>
        <v>0</v>
      </c>
      <c r="C29" s="5">
        <f t="shared" si="1"/>
        <v>122.90304</v>
      </c>
      <c r="D29" s="5">
        <f t="shared" si="1"/>
        <v>410.24299735801617</v>
      </c>
      <c r="E29" s="5">
        <f t="shared" si="1"/>
        <v>2353.1726379113416</v>
      </c>
      <c r="F29" s="5">
        <f t="shared" si="1"/>
        <v>0</v>
      </c>
      <c r="G29" s="5">
        <f t="shared" si="1"/>
        <v>2886.3186752693578</v>
      </c>
      <c r="H29" s="5">
        <f t="shared" si="1"/>
        <v>2938.87492617635</v>
      </c>
      <c r="I29" s="5">
        <f t="shared" si="1"/>
        <v>313.31868473583944</v>
      </c>
      <c r="J29" s="5">
        <f t="shared" si="1"/>
        <v>0</v>
      </c>
      <c r="K29" s="9">
        <f t="shared" si="1"/>
        <v>0</v>
      </c>
      <c r="L29" s="5">
        <f t="shared" si="1"/>
        <v>3252.1936109121903</v>
      </c>
      <c r="M29" s="5">
        <f t="shared" si="1"/>
        <v>365.87493564283193</v>
      </c>
    </row>
    <row r="31" spans="1:13" ht="12.75">
      <c r="A31" t="s">
        <v>118</v>
      </c>
      <c r="B31" s="5">
        <f>NPV(Title_RESULTS!$C$37,'Sheet9(F_25)'!B17:B28)+'Sheet9(F_25)'!B16</f>
        <v>0</v>
      </c>
      <c r="C31" s="5">
        <f>NPV(Title_RESULTS!$C$37,'Sheet9(F_25)'!C17:C28)+'Sheet9(F_25)'!C16</f>
        <v>114.83173044385765</v>
      </c>
      <c r="D31" s="5">
        <f>NPV(Title_RESULTS!$C$37,'Sheet9(F_25)'!D17:D28)+'Sheet9(F_25)'!D16</f>
        <v>383.7160458918274</v>
      </c>
      <c r="E31" s="5">
        <f>NPV(Title_RESULTS!$C$37,'Sheet9(F_25)'!E17:E28)+'Sheet9(F_25)'!E16</f>
        <v>1563.7775326129045</v>
      </c>
      <c r="F31" s="5">
        <f>NPV(Title_RESULTS!$C$37,'Sheet9(F_25)'!F17:F28)+'Sheet9(F_25)'!F16</f>
        <v>0</v>
      </c>
      <c r="G31" s="5">
        <f>NPV(Title_RESULTS!$C$37,'Sheet9(F_25)'!G17:G28)+'Sheet9(F_25)'!G16</f>
        <v>2062.3253089485893</v>
      </c>
      <c r="H31" s="5">
        <f>NPV(Title_RESULTS!$C$37,'Sheet9(F_25)'!H17:H28)+'Sheet9(F_25)'!H16</f>
        <v>1874.1524915792716</v>
      </c>
      <c r="I31" s="5">
        <f>NPV(Title_RESULTS!$C$37,'Sheet9(F_25)'!I17:I28)+'Sheet9(F_25)'!I16</f>
        <v>209.3357534354294</v>
      </c>
      <c r="J31" s="5">
        <f>NPV(Title_RESULTS!$C$37,'Sheet9(F_25)'!J17:J28)+'Sheet9(F_25)'!J16</f>
        <v>0</v>
      </c>
      <c r="K31" s="9">
        <f>NPV(Title_RESULTS!$C$37,'Sheet9(F_25)'!K17:K28)+'Sheet9(F_25)'!K16</f>
        <v>0</v>
      </c>
      <c r="L31" s="5">
        <f>NPV(Title_RESULTS!$C$37,'Sheet9(F_25)'!L17:L28)+'Sheet9(F_25)'!L16</f>
        <v>2083.4882450147006</v>
      </c>
      <c r="M31" s="5">
        <f>NPV(Title_RESULTS!$C$37,'Sheet9(F_25)'!M17:M28)+'Sheet9(F_25)'!M16</f>
        <v>21.162936066111655</v>
      </c>
    </row>
    <row r="33" spans="1:10" ht="12.75">
      <c r="A33" t="s">
        <v>175</v>
      </c>
      <c r="D33">
        <f>+Title_RESULTS!C37</f>
        <v>0.0708</v>
      </c>
      <c r="F33" t="s">
        <v>183</v>
      </c>
      <c r="J33" s="10">
        <f>+L31/G31</f>
        <v>1.0102616866380312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583.8547086280056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34.057932799999996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80.97300480000001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3.365683373600996</v>
      </c>
      <c r="P24" s="48">
        <f aca="true" t="shared" si="4" ref="P24:P61">N24*$L$5</f>
        <v>8.001938860067096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3.44645977456742</v>
      </c>
      <c r="P25" s="48">
        <f t="shared" si="4"/>
        <v>8.193985392708704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80.33295602509628</v>
      </c>
      <c r="E26" s="11">
        <f>IF(B26=Title_RESULTS!$H$8,$F$16,+E25*(1+$F$7))</f>
        <v>0.09882230355451863</v>
      </c>
      <c r="F26" s="9">
        <f t="shared" si="1"/>
        <v>57.697867247771796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4.686053529237305</v>
      </c>
      <c r="L26" s="5">
        <f t="shared" si="3"/>
        <v>11.14112935580134</v>
      </c>
      <c r="N26" s="11">
        <f>IF(+B26=Title_RESULTS!$H$9,'Value of Defferal'!$O$16,+'Value of Defferal'!N25*(1+'Value of Defferal'!$F$7))</f>
        <v>0.10362269577198292</v>
      </c>
      <c r="O26" s="5">
        <f t="shared" si="7"/>
        <v>3.529174809157038</v>
      </c>
      <c r="P26" s="48">
        <f t="shared" si="4"/>
        <v>8.390641042133714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77.96073314284328</v>
      </c>
      <c r="E27" s="11">
        <f>IF(B27=Title_RESULTS!$H$8,$F$16,+E26*(1+$F$7))</f>
        <v>0.10119403883982707</v>
      </c>
      <c r="F27" s="9">
        <f t="shared" si="1"/>
        <v>59.08261606171831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4.547674911549611</v>
      </c>
      <c r="L27" s="5">
        <f t="shared" si="3"/>
        <v>10.812133096984274</v>
      </c>
      <c r="N27" s="11">
        <f>IF(+B27=Title_RESULTS!$H$9,'Value of Defferal'!$O$16,+'Value of Defferal'!N26*(1+'Value of Defferal'!$F$7))</f>
        <v>0.10610964047051051</v>
      </c>
      <c r="O27" s="5">
        <f t="shared" si="7"/>
        <v>3.613875004576807</v>
      </c>
      <c r="P27" s="48">
        <f t="shared" si="4"/>
        <v>8.592016427144923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75.34181638167176</v>
      </c>
      <c r="E28" s="11">
        <f>IF(B28=Title_RESULTS!$H$8,$F$16,+E27*(1+$F$7))</f>
        <v>0.10362269577198292</v>
      </c>
      <c r="F28" s="9">
        <f t="shared" si="1"/>
        <v>60.500598847199555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4.394905926830156</v>
      </c>
      <c r="L28" s="5">
        <f t="shared" si="3"/>
        <v>10.448923626649671</v>
      </c>
      <c r="N28" s="11">
        <f>IF(+B28=Title_RESULTS!$H$9,'Value of Defferal'!$O$16,+'Value of Defferal'!N27*(1+'Value of Defferal'!$F$7))</f>
        <v>0.10865627184180277</v>
      </c>
      <c r="O28" s="5">
        <f t="shared" si="7"/>
        <v>3.7006080046866505</v>
      </c>
      <c r="P28" s="48">
        <f t="shared" si="4"/>
        <v>8.798224821396401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72.84833129696446</v>
      </c>
      <c r="E29" s="11">
        <f>IF(B29=Title_RESULTS!$H$8,$F$16,+E28*(1+$F$7))</f>
        <v>0.10610964047051051</v>
      </c>
      <c r="F29" s="9">
        <f t="shared" si="1"/>
        <v>61.952613219532346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4.249453734362063</v>
      </c>
      <c r="L29" s="5">
        <f t="shared" si="3"/>
        <v>10.103109887804973</v>
      </c>
      <c r="N29" s="11">
        <f>IF(+B29=Title_RESULTS!$H$9,'Value of Defferal'!$O$16,+'Value of Defferal'!N28*(1+'Value of Defferal'!$F$7))</f>
        <v>0.11126402236600604</v>
      </c>
      <c r="O29" s="5">
        <f t="shared" si="7"/>
        <v>3.78942259679913</v>
      </c>
      <c r="P29" s="48">
        <f t="shared" si="4"/>
        <v>9.009382217109916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70.46769997545819</v>
      </c>
      <c r="E30" s="11">
        <f>IF(B30=Title_RESULTS!$H$8,$F$16,+E29*(1+$F$7))</f>
        <v>0.10865627184180277</v>
      </c>
      <c r="F30" s="9">
        <f t="shared" si="1"/>
        <v>63.439475936801124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4.110584628107934</v>
      </c>
      <c r="L30" s="5">
        <f t="shared" si="3"/>
        <v>9.772947488539</v>
      </c>
      <c r="N30" s="11">
        <f>IF(+B30=Title_RESULTS!$H$9,'Value of Defferal'!$O$16,+'Value of Defferal'!N29*(1+'Value of Defferal'!$F$7))</f>
        <v>0.11393435890279018</v>
      </c>
      <c r="O30" s="5">
        <f t="shared" si="7"/>
        <v>3.880368739122309</v>
      </c>
      <c r="P30" s="48">
        <f t="shared" si="4"/>
        <v>9.225607390320553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68.18873432855973</v>
      </c>
      <c r="E31" s="11">
        <f>IF(B31=Title_RESULTS!$H$8,$F$16,+E30*(1+$F$7))</f>
        <v>0.11126402236600604</v>
      </c>
      <c r="F31" s="9">
        <f t="shared" si="1"/>
        <v>64.96202335928434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3.9776459745206956</v>
      </c>
      <c r="L31" s="5">
        <f t="shared" si="3"/>
        <v>9.456884787427997</v>
      </c>
      <c r="N31" s="11">
        <f>IF(+B31=Title_RESULTS!$H$9,'Value of Defferal'!$O$16,+'Value of Defferal'!N30*(1+'Value of Defferal'!$F$7))</f>
        <v>0.11666878351645714</v>
      </c>
      <c r="O31" s="5">
        <f t="shared" si="7"/>
        <v>3.9734975888612443</v>
      </c>
      <c r="P31" s="48">
        <f t="shared" si="4"/>
        <v>9.447021967688245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65.9807192310629</v>
      </c>
      <c r="E32" s="11">
        <f>IF(B32=Title_RESULTS!$H$8,$F$16,+E31*(1+$F$7))</f>
        <v>0.11393435890279018</v>
      </c>
      <c r="F32" s="9">
        <f t="shared" si="1"/>
        <v>66.52111191990717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3.848846071564282</v>
      </c>
      <c r="L32" s="5">
        <f t="shared" si="3"/>
        <v>9.150661998699928</v>
      </c>
      <c r="N32" s="11">
        <f>IF(+B32=Title_RESULTS!$H$9,'Value of Defferal'!$O$16,+'Value of Defferal'!N31*(1+'Value of Defferal'!$F$7))</f>
        <v>0.11946883432085212</v>
      </c>
      <c r="O32" s="5">
        <f t="shared" si="7"/>
        <v>4.068861530993915</v>
      </c>
      <c r="P32" s="48">
        <f t="shared" si="4"/>
        <v>9.673750494912765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63.79542776692001</v>
      </c>
      <c r="E33" s="11">
        <f>IF(B33=Title_RESULTS!$H$8,$F$16,+E32*(1+$F$7))</f>
        <v>0.11666878351645714</v>
      </c>
      <c r="F33" s="9">
        <f t="shared" si="1"/>
        <v>68.11761860598494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3.7213717038245977</v>
      </c>
      <c r="L33" s="5">
        <f t="shared" si="3"/>
        <v>8.847590680441222</v>
      </c>
      <c r="N33" s="11">
        <f>IF(+B33=Title_RESULTS!$H$9,'Value of Defferal'!$O$16,+'Value of Defferal'!N32*(1+'Value of Defferal'!$F$7))</f>
        <v>0.12233608634455258</v>
      </c>
      <c r="O33" s="5">
        <f t="shared" si="7"/>
        <v>4.166514207737769</v>
      </c>
      <c r="P33" s="48">
        <f t="shared" si="4"/>
        <v>9.905920506790672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61.610136302777086</v>
      </c>
      <c r="E34" s="11">
        <f>IF(B34=Title_RESULTS!$H$8,$F$16,+E33*(1+$F$7))</f>
        <v>0.11946883432085212</v>
      </c>
      <c r="F34" s="9">
        <f t="shared" si="1"/>
        <v>69.75244145252859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3.5938973360849125</v>
      </c>
      <c r="L34" s="5">
        <f t="shared" si="3"/>
        <v>8.544519362182514</v>
      </c>
      <c r="N34" s="11">
        <f>IF(+B34=Title_RESULTS!$H$9,'Value of Defferal'!$O$16,+'Value of Defferal'!N33*(1+'Value of Defferal'!$F$7))</f>
        <v>0.12527215241682185</v>
      </c>
      <c r="O34" s="5">
        <f t="shared" si="7"/>
        <v>4.266510548723476</v>
      </c>
      <c r="P34" s="48">
        <f t="shared" si="4"/>
        <v>10.143662598953648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59.42484483863417</v>
      </c>
      <c r="E35" s="11">
        <f>IF(B35=Title_RESULTS!$H$8,$F$16,+E34*(1+$F$7))</f>
        <v>0.12233608634455258</v>
      </c>
      <c r="F35" s="9">
        <f t="shared" si="1"/>
        <v>71.42650004738928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3.4664229683452277</v>
      </c>
      <c r="L35" s="5">
        <f t="shared" si="3"/>
        <v>8.241448043923807</v>
      </c>
      <c r="N35" s="11">
        <f>IF(+B35=Title_RESULTS!$H$9,'Value of Defferal'!$O$16,+'Value of Defferal'!N34*(1+'Value of Defferal'!$F$7))</f>
        <v>0.12827868407482557</v>
      </c>
      <c r="O35" s="5">
        <f t="shared" si="7"/>
        <v>4.368906801892839</v>
      </c>
      <c r="P35" s="48">
        <f t="shared" si="4"/>
        <v>10.387110501328536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57.239553374491265</v>
      </c>
      <c r="E36" s="11">
        <f>IF(B36=Title_RESULTS!$H$8,$F$16,+E35*(1+$F$7))</f>
        <v>0.12527215241682185</v>
      </c>
      <c r="F36" s="9">
        <f t="shared" si="1"/>
        <v>73.14073604852663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3.3389486006055433</v>
      </c>
      <c r="L36" s="5">
        <f t="shared" si="3"/>
        <v>7.9383767256651</v>
      </c>
      <c r="N36" s="11">
        <f>IF(+B36=Title_RESULTS!$H$9,'Value of Defferal'!$O$16,+'Value of Defferal'!N35*(1+'Value of Defferal'!$F$7))</f>
        <v>0.1313573724926214</v>
      </c>
      <c r="O36" s="5">
        <f t="shared" si="7"/>
        <v>4.473760565138267</v>
      </c>
      <c r="P36" s="48">
        <f t="shared" si="4"/>
        <v>10.63640115336042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55.054261910348345</v>
      </c>
      <c r="E37" s="11">
        <f>IF(B37&gt;Title_RESULTS!$H$8-1+Title_RESULTS!$C$18,0,+E36*(1+$F$7))</f>
        <v>0.12827868407482557</v>
      </c>
      <c r="F37" s="9">
        <f t="shared" si="1"/>
        <v>74.89611371369126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3.211474232865858</v>
      </c>
      <c r="L37" s="5">
        <f t="shared" si="3"/>
        <v>7.635305407406392</v>
      </c>
      <c r="N37" s="11">
        <f>IF(+B37=Title_RESULTS!$H$9,'Value of Defferal'!$O$16,+'Value of Defferal'!N36*(1+'Value of Defferal'!$F$7))</f>
        <v>0.1345099494324443</v>
      </c>
      <c r="O37" s="5">
        <f t="shared" si="7"/>
        <v>4.581130818701586</v>
      </c>
      <c r="P37" s="48">
        <f t="shared" si="4"/>
        <v>10.89167478104107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52.868970446205424</v>
      </c>
      <c r="E38" s="11">
        <f>IF(B38&gt;Title_RESULTS!$H$8-1+Title_RESULTS!$C$18,0,+E37*(1+$F$7))</f>
        <v>0.1313573724926214</v>
      </c>
      <c r="F38" s="9">
        <f t="shared" si="1"/>
        <v>76.69362044281986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3.083999865126173</v>
      </c>
      <c r="L38" s="5">
        <f t="shared" si="3"/>
        <v>7.332234089147683</v>
      </c>
      <c r="N38" s="11">
        <f>IF(+B38=Title_RESULTS!$H$9,'Value of Defferal'!$O$16,+'Value of Defferal'!N37*(1+'Value of Defferal'!$F$7))</f>
        <v>0.13773818821882297</v>
      </c>
      <c r="O38" s="5">
        <f t="shared" si="7"/>
        <v>4.691077958350424</v>
      </c>
      <c r="P38" s="48">
        <f t="shared" si="4"/>
        <v>11.153074975786058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50.6836789820625</v>
      </c>
      <c r="E39" s="11">
        <f>IF(B39&gt;Title_RESULTS!$H$8-1+Title_RESULTS!$C$18,0,+E38*(1+$F$7))</f>
        <v>0.1345099494324443</v>
      </c>
      <c r="F39" s="9">
        <f t="shared" si="1"/>
        <v>78.53426733344753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2.9565254973864876</v>
      </c>
      <c r="L39" s="5">
        <f t="shared" si="3"/>
        <v>7.029162770888974</v>
      </c>
      <c r="N39" s="11">
        <f>IF(+B39&gt;Title_RESULTS!$H$9+Title_RESULTS!$C$19-1,0,+'Value of Defferal'!N38*(1+'Value of Defferal'!$F$7))</f>
        <v>0.14104390473607473</v>
      </c>
      <c r="O39" s="5">
        <f t="shared" si="7"/>
        <v>4.8036638293508345</v>
      </c>
      <c r="P39" s="48">
        <f t="shared" si="4"/>
        <v>11.420748775204924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48.4983875179196</v>
      </c>
      <c r="E40" s="11">
        <f>IF(B40&gt;Title_RESULTS!$H$8-1+Title_RESULTS!$C$18,0,+E39*(1+$F$7))</f>
        <v>0.13773818821882297</v>
      </c>
      <c r="F40" s="9">
        <f t="shared" si="1"/>
        <v>80.41908974945028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2.8290511296468037</v>
      </c>
      <c r="L40" s="5">
        <f t="shared" si="3"/>
        <v>6.7260914526302695</v>
      </c>
      <c r="N40" s="11">
        <f>IF(+B40&gt;Title_RESULTS!$H$9+Title_RESULTS!$C$19-1,0,+'Value of Defferal'!N39*(1+'Value of Defferal'!$F$7))</f>
        <v>0.14442895844974052</v>
      </c>
      <c r="O40" s="5">
        <f t="shared" si="7"/>
        <v>4.918951761255254</v>
      </c>
      <c r="P40" s="48">
        <f t="shared" si="4"/>
        <v>11.69484674580984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46.51830366629679</v>
      </c>
      <c r="E41" s="11">
        <f>IF(B41&gt;Title_RESULTS!$H$8-1+Title_RESULTS!$C$18,0,+E40*(1+$F$7))</f>
        <v>0.14104390473607473</v>
      </c>
      <c r="F41" s="9">
        <f t="shared" si="1"/>
        <v>82.34914790343709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2.7135471151028323</v>
      </c>
      <c r="L41" s="5">
        <f t="shared" si="3"/>
        <v>6.451479743839528</v>
      </c>
      <c r="N41" s="11">
        <f>IF(+B41&gt;Title_RESULTS!$H$9+Title_RESULTS!$C$19-1,0,+'Value of Defferal'!N40*(1+'Value of Defferal'!$F$7))</f>
        <v>0.1478952534525343</v>
      </c>
      <c r="O41" s="5">
        <f t="shared" si="7"/>
        <v>5.037006603525381</v>
      </c>
      <c r="P41" s="48">
        <f t="shared" si="4"/>
        <v>11.975523067709277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44.94856554848068</v>
      </c>
      <c r="E42" s="11">
        <f>IF(B42&gt;Title_RESULTS!$H$8-1+Title_RESULTS!$C$18,0,+E41*(1+$F$7))</f>
        <v>0.14442895844974052</v>
      </c>
      <c r="F42" s="9">
        <f t="shared" si="1"/>
        <v>84.32552745311958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2.6219797533257743</v>
      </c>
      <c r="L42" s="5">
        <f t="shared" si="3"/>
        <v>6.23377761646035</v>
      </c>
      <c r="N42" s="11">
        <f>IF(+B42&gt;Title_RESULTS!$H$9+Title_RESULTS!$C$19-1,0,+'Value of Defferal'!N41*(1+'Value of Defferal'!$F$7))</f>
        <v>0.1514447395353951</v>
      </c>
      <c r="O42" s="5">
        <f t="shared" si="7"/>
        <v>5.157894762009989</v>
      </c>
      <c r="P42" s="48">
        <f t="shared" si="4"/>
        <v>12.2629356213343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43.583965551951174</v>
      </c>
      <c r="E43" s="11">
        <f>IF(B43&gt;Title_RESULTS!$H$8-1+Title_RESULTS!$C$18,0,+E42*(1+$F$7))</f>
        <v>0.1478952534525343</v>
      </c>
      <c r="F43" s="9">
        <f t="shared" si="1"/>
        <v>86.34934011199445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2.5423786911199144</v>
      </c>
      <c r="L43" s="5">
        <f t="shared" si="3"/>
        <v>6.04452546102477</v>
      </c>
      <c r="N43" s="11">
        <f>IF(+B43&gt;Title_RESULTS!$H$9+Title_RESULTS!$C$19-1,0,+'Value of Defferal'!N42*(1+'Value of Defferal'!$F$7))</f>
        <v>0.1550794132842446</v>
      </c>
      <c r="O43" s="5">
        <f t="shared" si="7"/>
        <v>5.281684236298229</v>
      </c>
      <c r="P43" s="48">
        <f t="shared" si="4"/>
        <v>12.557246076246324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42.21936555542168</v>
      </c>
      <c r="E44" s="11">
        <f>IF(B44&gt;Title_RESULTS!$H$8-1+Title_RESULTS!$C$18,0,+E43*(1+$F$7))</f>
        <v>0.1514447395353951</v>
      </c>
      <c r="F44" s="9">
        <f t="shared" si="1"/>
        <v>88.42172427468232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2.4627776289140555</v>
      </c>
      <c r="L44" s="5">
        <f t="shared" si="3"/>
        <v>5.855273305589189</v>
      </c>
      <c r="N44" s="11">
        <f>IF(+B44&gt;Title_RESULTS!$H$9+Title_RESULTS!$C$19-1,0,+'Value of Defferal'!N43*(1+'Value of Defferal'!$F$7))</f>
        <v>0.15880131920306648</v>
      </c>
      <c r="O44" s="5">
        <f t="shared" si="7"/>
        <v>5.408444657969387</v>
      </c>
      <c r="P44" s="48">
        <f t="shared" si="4"/>
        <v>12.858619982076236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40.85476555889217</v>
      </c>
      <c r="E45" s="11">
        <f>IF(B45&gt;Title_RESULTS!$H$8-1+Title_RESULTS!$C$18,0,+E44*(1+$F$7))</f>
        <v>0.1550794132842446</v>
      </c>
      <c r="F45" s="9">
        <f t="shared" si="1"/>
        <v>90.54384565727469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2.3831765667081948</v>
      </c>
      <c r="L45" s="5">
        <f t="shared" si="3"/>
        <v>5.666021150153606</v>
      </c>
      <c r="N45" s="11">
        <f>IF(+B45&gt;Title_RESULTS!$H$9+Title_RESULTS!$C$19-1,0,+'Value of Defferal'!N44*(1+'Value of Defferal'!$F$7))</f>
        <v>0.16261255086394008</v>
      </c>
      <c r="O45" s="5">
        <f t="shared" si="7"/>
        <v>5.538247329760653</v>
      </c>
      <c r="P45" s="48">
        <f t="shared" si="4"/>
        <v>13.167226861646066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39.49016556236267</v>
      </c>
      <c r="E46" s="11">
        <f>IF(B46&gt;Title_RESULTS!$H$8-1+Title_RESULTS!$C$18,0,+E45*(1+$F$7))</f>
        <v>0.15880131920306648</v>
      </c>
      <c r="F46" s="9">
        <f t="shared" si="1"/>
        <v>92.71689795304928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2.303575504502335</v>
      </c>
      <c r="L46" s="5">
        <f t="shared" si="3"/>
        <v>5.476768994718025</v>
      </c>
      <c r="N46" s="11">
        <f>IF(+B46&gt;Title_RESULTS!$H$9+Title_RESULTS!$C$19-1,0,+'Value of Defferal'!N45*(1+'Value of Defferal'!$F$7))</f>
        <v>0.16651525208467466</v>
      </c>
      <c r="O46" s="5">
        <f t="shared" si="7"/>
        <v>5.671165265674909</v>
      </c>
      <c r="P46" s="48">
        <f t="shared" si="4"/>
        <v>13.483240306325573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38.12556556583318</v>
      </c>
      <c r="E47" s="11">
        <f>IF(B47&gt;Title_RESULTS!$H$8-1+Title_RESULTS!$C$18,0,+E46*(1+$F$7))</f>
        <v>0.16261255086394008</v>
      </c>
      <c r="F47" s="9">
        <f t="shared" si="1"/>
        <v>94.94210350392248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2.223974442296476</v>
      </c>
      <c r="L47" s="5">
        <f t="shared" si="3"/>
        <v>5.2875168392824445</v>
      </c>
      <c r="N47" s="11">
        <f>IF(+B47&gt;Title_RESULTS!$H$9+Title_RESULTS!$C$19-1,0,+'Value of Defferal'!N46*(1+'Value of Defferal'!$F$7))</f>
        <v>0.17051161813470686</v>
      </c>
      <c r="O47" s="5">
        <f t="shared" si="7"/>
        <v>5.807273232051107</v>
      </c>
      <c r="P47" s="48">
        <f t="shared" si="4"/>
        <v>13.806838073677389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36.76096556930368</v>
      </c>
      <c r="E48" s="11">
        <f>IF(B48&gt;Title_RESULTS!$H$8-1+Title_RESULTS!$C$18,0,+E47*(1+$F$7))</f>
        <v>0.16651525208467466</v>
      </c>
      <c r="F48" s="9">
        <f t="shared" si="1"/>
        <v>97.22071398801663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2.144373380090616</v>
      </c>
      <c r="L48" s="5">
        <f t="shared" si="3"/>
        <v>5.098264683846864</v>
      </c>
      <c r="N48" s="11">
        <f>IF(+B48&gt;Title_RESULTS!$H$9+Title_RESULTS!$C$19-1,0,+'Value of Defferal'!N47*(1+'Value of Defferal'!$F$7))</f>
        <v>0.17460389696993983</v>
      </c>
      <c r="O48" s="5">
        <f t="shared" si="7"/>
        <v>5.946647789620334</v>
      </c>
      <c r="P48" s="48">
        <f t="shared" si="4"/>
        <v>14.138202187445646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35.396365572774165</v>
      </c>
      <c r="E49" s="11">
        <f>IF(B49&gt;Title_RESULTS!$H$8-1+Title_RESULTS!$C$18,0,+E48*(1+$F$7))</f>
        <v>0.17051161813470686</v>
      </c>
      <c r="F49" s="9">
        <f t="shared" si="1"/>
        <v>99.55401112372903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2.064772317884756</v>
      </c>
      <c r="L49" s="5">
        <f t="shared" si="3"/>
        <v>4.909012528411281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34.031765576244666</v>
      </c>
      <c r="E50" s="11">
        <f>IF(B50&gt;Title_RESULTS!$H$8-1+Title_RESULTS!$C$18,0,+E49*(1+$F$7))</f>
        <v>0.17460389696993983</v>
      </c>
      <c r="F50" s="9">
        <f t="shared" si="1"/>
        <v>101.94330739069854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1.985171255678896</v>
      </c>
      <c r="L50" s="5">
        <f t="shared" si="3"/>
        <v>4.7197603729757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32.66716557971517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1.9055701934730367</v>
      </c>
      <c r="L51" s="5">
        <f t="shared" si="3"/>
        <v>4.5305082175401195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1394.8932108282909</v>
      </c>
      <c r="F63" s="9">
        <f>SUM(F23:F61)</f>
        <v>1945.5033133459767</v>
      </c>
      <c r="J63" t="s">
        <v>87</v>
      </c>
      <c r="K63" s="9">
        <f>SUM(K23:K61)</f>
        <v>81.36815295915456</v>
      </c>
      <c r="O63" s="9">
        <f>SUM(O23:O61)</f>
        <v>113.48683179042595</v>
      </c>
    </row>
    <row r="64" spans="3:15" ht="12.75">
      <c r="C64" t="s">
        <v>89</v>
      </c>
      <c r="D64" s="9">
        <f>NPV(+Title_RESULTS!$C$37,'Value of Defferal'!D24:D61)+'Value of Defferal'!D23</f>
        <v>622.8282548048795</v>
      </c>
      <c r="F64" s="9">
        <f>NPV(+Title_RESULTS!$C$37,'Value of Defferal'!F24:F61)+'Value of Defferal'!F23</f>
        <v>723.4267520122659</v>
      </c>
      <c r="J64" t="s">
        <v>89</v>
      </c>
      <c r="K64" s="9">
        <f>NPV(+Title_RESULTS!$C$37,'Value of Defferal'!K24:K61)+'Value of Defferal'!K23</f>
        <v>36.33137240244633</v>
      </c>
      <c r="O64" s="9">
        <f>NPV(+Title_RESULTS!$C$37,'Value of Defferal'!O24:O61)+'Value of Defferal'!O23</f>
        <v>48.38656440851701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0.31860271898262615</v>
      </c>
      <c r="C25" t="s">
        <v>372</v>
      </c>
    </row>
    <row r="26" spans="2:3" ht="18">
      <c r="B26" s="15">
        <f>+((Input!$C$6*'EUE_Line Losses'!C4)+(Input!$C$7*'EUE_Line Losses'!C3))/'EUE_Line Losses'!C22</f>
        <v>0.3175749682762306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0" sqref="C40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0.15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0.32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1730.1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12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40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811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136.7476657860054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ENERGY STAR Holding Cabinet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43599.31889398148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0.32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0.3175749682762306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1825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1730.1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12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40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811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136.7476657860054</v>
      </c>
      <c r="D39" s="13" t="s">
        <v>189</v>
      </c>
      <c r="G39" s="20" t="s">
        <v>346</v>
      </c>
      <c r="H39" s="79">
        <f>+'Sheet7(F_23)'!H33</f>
        <v>0.8535948194669721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+'Sheet8(F_24)'!K31</f>
        <v>762.7908573344652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+'Sheet9(F_25)'!J33</f>
        <v>1.0102616866380312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2019-05-14T11:39:13Z</dcterms:created>
  <dcterms:modified xsi:type="dcterms:W3CDTF">2019-05-14T11:39:15Z</dcterms:modified>
  <cp:category/>
  <cp:version/>
  <cp:contentType/>
  <cp:contentStatus/>
</cp:coreProperties>
</file>