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'Sheet2(F_12)'!$A$1:$K$44</definedName>
    <definedName name="_xlnm.Print_Area" localSheetId="11">'Sheet3(F_21)'!$A$1:$J$33</definedName>
    <definedName name="_xlnm.Print_Area" localSheetId="14">'Sheet4(F_22)'!$A$1:$J$33</definedName>
    <definedName name="_xlnm.Print_Area" localSheetId="12">'Sheet5(p_5)'!$A$1:$H$33</definedName>
    <definedName name="_xlnm.Print_Area" localSheetId="15">'Sheet6(p_6)'!$A$1:$R$33</definedName>
    <definedName name="_xlnm.Print_Area" localSheetId="16">'Sheet7(F_23)'!$A$1:$M$33</definedName>
    <definedName name="_xlnm.Print_Area" localSheetId="17">'Sheet8(F_24)'!$A$1:$M$33</definedName>
    <definedName name="_xlnm.Print_Area" localSheetId="18">'Sheet9(F_25)'!$A$1:$N$33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<sst xmlns="http://schemas.openxmlformats.org/spreadsheetml/2006/main" count="1258" uniqueCount="468">
  <si>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</si>
  <si>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</si>
  <si>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</si>
  <si>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</si>
  <si>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</si>
  <si>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</si>
  <si>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</si>
  <si>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</si>
  <si>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</si>
  <si>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</si>
  <si>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</si>
  <si>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</si>
  <si>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</si>
  <si>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</si>
  <si>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</si>
  <si>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</si>
  <si>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</si>
  <si>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</si>
  <si>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</si>
  <si>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</si>
  <si>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</si>
  <si>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</si>
  <si>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</si>
  <si>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</si>
  <si>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</si>
  <si>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</si>
  <si>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</si>
  <si>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</si>
  <si>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</si>
  <si>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</si>
  <si>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</si>
  <si>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</si>
  <si>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</si>
  <si>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</si>
  <si>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</si>
  <si>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</si>
  <si>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</si>
  <si>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</si>
  <si>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</si>
  <si>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</si>
  <si>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</si>
  <si>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</si>
  <si>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</si>
  <si>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</si>
  <si>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</si>
  <si>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</si>
  <si>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</si>
  <si>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</si>
  <si>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</si>
  <si>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</si>
  <si>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</si>
  <si>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</si>
  <si>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</si>
  <si>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</si>
  <si>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</si>
  <si>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</si>
  <si>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</si>
  <si>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</si>
  <si>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</si>
  <si>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</si>
  <si>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</si>
  <si>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</si>
  <si>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</si>
  <si>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</si>
  <si>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</si>
  <si>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</si>
  <si>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</si>
  <si>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</si>
  <si>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</si>
  <si>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</si>
  <si>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</si>
  <si>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</si>
  <si>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</si>
  <si>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</si>
  <si>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</si>
  <si>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</si>
  <si>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</si>
  <si>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</si>
  <si>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</si>
  <si>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</si>
  <si>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</si>
  <si>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</si>
  <si>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</si>
  <si>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</si>
  <si>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</si>
  <si>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</si>
  <si>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</si>
  <si>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</si>
  <si>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</si>
  <si>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</si>
  <si>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</si>
  <si>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</si>
  <si>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</si>
  <si>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</si>
  <si>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</si>
  <si>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</si>
  <si>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</si>
  <si>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</si>
  <si>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</si>
  <si>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</si>
  <si>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</si>
  <si>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</si>
  <si>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</si>
  <si>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</si>
  <si>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</si>
  <si>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</si>
  <si>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</si>
  <si>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</si>
  <si>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</si>
  <si>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</si>
  <si>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</si>
  <si>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</si>
  <si>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</si>
  <si>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</si>
  <si>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</si>
  <si>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</si>
  <si>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</si>
  <si>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</si>
  <si>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</si>
  <si>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</si>
  <si>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</si>
  <si>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</si>
  <si>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</si>
  <si>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</si>
  <si>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</si>
  <si>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</si>
  <si>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</si>
  <si>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</si>
  <si>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</si>
  <si>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</si>
  <si>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</si>
  <si>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</si>
  <si>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</si>
  <si>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</si>
  <si>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</si>
  <si>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</si>
  <si>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</si>
  <si>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</si>
  <si>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</si>
  <si>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</si>
  <si>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</si>
  <si>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</si>
  <si>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</si>
  <si>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</si>
  <si>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</si>
  <si>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</si>
  <si>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</si>
  <si>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</si>
  <si>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</si>
  <si>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</si>
  <si>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</si>
  <si>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</si>
  <si>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</si>
  <si>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</si>
  <si>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</si>
  <si>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</si>
  <si>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</si>
  <si>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</si>
  <si>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</si>
  <si>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</si>
  <si>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</si>
  <si>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</si>
  <si>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</si>
  <si>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</si>
  <si>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</si>
  <si>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</si>
  <si>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</si>
  <si>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</si>
  <si>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</si>
  <si>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</si>
  <si>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</si>
  <si>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</si>
  <si>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</si>
  <si>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</si>
  <si>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</si>
  <si>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</si>
  <si>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</si>
  <si>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</si>
  <si>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</si>
  <si>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</si>
  <si>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</si>
  <si>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</si>
  <si>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</si>
  <si>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</si>
  <si>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</si>
  <si>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</si>
  <si>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</si>
  <si>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</si>
  <si>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</si>
  <si>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</si>
  <si>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</si>
  <si>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</si>
  <si>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</si>
  <si>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</si>
  <si>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</si>
  <si>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</si>
  <si>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</si>
  <si>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</si>
  <si>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</si>
  <si>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</si>
  <si>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</si>
  <si>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</si>
  <si>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</si>
  <si>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</si>
  <si>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</si>
  <si>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</si>
  <si>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</si>
  <si>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</si>
  <si>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</si>
  <si>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</si>
  <si>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</si>
  <si>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</si>
  <si>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</si>
  <si>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</si>
  <si>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</si>
  <si>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</si>
  <si>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</si>
  <si>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</si>
  <si>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</si>
  <si>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</si>
  <si>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</si>
  <si>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</si>
  <si>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</si>
  <si>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</si>
  <si>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</si>
  <si>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</si>
  <si>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</si>
  <si>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</si>
  <si>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</si>
  <si>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</si>
  <si>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</si>
  <si>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</si>
  <si>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</si>
  <si>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</si>
  <si>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</si>
  <si>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</si>
  <si>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</si>
  <si>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</si>
  <si>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</si>
  <si>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</si>
  <si>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</si>
  <si>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</si>
  <si>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</si>
  <si>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</si>
  <si>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</si>
  <si>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</si>
  <si>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</si>
  <si>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</si>
  <si>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</si>
  <si>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</si>
  <si>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</si>
  <si>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</si>
  <si>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</si>
  <si>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</si>
  <si>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</si>
  <si>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</si>
  <si>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</si>
  <si>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</si>
  <si>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</si>
  <si>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</si>
  <si>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</si>
  <si>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</si>
  <si>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</si>
  <si>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</si>
  <si>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</si>
  <si>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</si>
  <si>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</si>
  <si>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</si>
  <si>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</si>
  <si>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</si>
  <si>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</si>
  <si>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</si>
  <si>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</si>
  <si>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</si>
  <si>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</si>
  <si>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</si>
  <si>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</si>
  <si>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</si>
  <si>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</si>
  <si>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</si>
  <si>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</si>
  <si>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</si>
  <si>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</si>
  <si>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</si>
  <si>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</si>
  <si>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</si>
  <si>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</si>
  <si>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</si>
  <si>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</si>
  <si>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</si>
  <si>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</si>
  <si>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</si>
  <si>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</si>
  <si>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</si>
  <si>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</si>
  <si>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</si>
  <si>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</si>
  <si>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</si>
  <si>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</si>
  <si>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</si>
  <si>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</si>
  <si>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</si>
  <si>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</si>
  <si>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</si>
  <si>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</si>
  <si>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</si>
  <si>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</si>
  <si>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</si>
  <si>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</si>
  <si>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</si>
  <si>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</si>
  <si>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</si>
  <si>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</si>
  <si>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</si>
  <si>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</si>
  <si>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</si>
  <si>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</si>
  <si>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</si>
  <si>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</si>
  <si>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</si>
  <si>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</si>
  <si>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</si>
  <si>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</si>
  <si>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</si>
  <si>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</si>
  <si>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</si>
  <si>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</si>
  <si>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</si>
  <si>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</si>
  <si>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</si>
  <si>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</si>
  <si>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</si>
  <si>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</si>
  <si>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</si>
  <si>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</si>
  <si>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</si>
  <si>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</si>
  <si>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</si>
  <si>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</si>
  <si>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</si>
  <si>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</si>
  <si>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</si>
  <si>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</si>
  <si>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</si>
  <si>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</si>
  <si>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</si>
  <si>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</si>
  <si>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</si>
  <si>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</si>
  <si>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</si>
  <si>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</si>
  <si>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</si>
  <si>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</si>
  <si>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</si>
  <si>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</si>
  <si>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</si>
  <si>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</si>
  <si>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</si>
  <si>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</si>
  <si>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</si>
  <si>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</si>
  <si>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</si>
  <si>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</si>
  <si>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</si>
  <si>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</si>
  <si>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</si>
  <si>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</si>
  <si>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</si>
  <si>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</si>
  <si>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</si>
  <si>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</si>
  <si>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</si>
  <si>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</si>
  <si>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</si>
  <si>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</si>
  <si>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</si>
  <si>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</si>
  <si>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</si>
  <si>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</si>
  <si>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</si>
  <si>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</si>
  <si>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</si>
  <si>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</si>
  <si>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</si>
  <si>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</si>
  <si>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</si>
  <si>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</si>
  <si>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</si>
  <si>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</si>
  <si>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</si>
  <si>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</si>
  <si>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</si>
  <si>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</si>
  <si>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</si>
  <si>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</si>
  <si>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</si>
  <si>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</si>
  <si>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</si>
  <si>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</si>
  <si>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</si>
  <si>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</si>
  <si>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</si>
  <si>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</si>
  <si>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</si>
  <si>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</si>
  <si>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</si>
  <si>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</si>
  <si>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</si>
  <si>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</si>
  <si>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</si>
  <si>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</si>
  <si>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</si>
  <si>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</si>
  <si>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</si>
  <si>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</si>
  <si>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</si>
  <si>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</si>
  <si>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</si>
  <si>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</si>
  <si>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</si>
  <si>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</si>
  <si>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</si>
  <si>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</si>
  <si>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</si>
  <si>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</si>
  <si>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</si>
  <si>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</si>
  <si>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</si>
  <si>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</si>
  <si>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</si>
  <si>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</si>
  <si>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</si>
  <si>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</si>
  <si>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</si>
  <si>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</si>
  <si>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</si>
  <si>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</si>
  <si>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</si>
  <si>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</si>
  <si>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</si>
  <si>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</si>
  <si>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</si>
  <si>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</si>
  <si>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</si>
  <si>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</si>
  <si>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</si>
  <si>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</si>
  <si>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</si>
  <si>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</si>
  <si>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</si>
  <si>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</si>
  <si>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</si>
  <si>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</si>
  <si>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</si>
  <si>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</si>
  <si>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</si>
  <si>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</si>
  <si>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</si>
  <si>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</si>
  <si>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</si>
  <si>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</si>
  <si>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</si>
  <si>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</si>
  <si>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</si>
  <si>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</si>
  <si>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</si>
  <si>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</si>
  <si>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ENERGY STAR Oven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</si>
</sst>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43599.31895555556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3106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43599.31895555556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ENERGY STAR Oven</v>
      </c>
      <c r="J2" t="s">
        <v>55</v>
      </c>
    </row>
    <row r="3" ht="12.75">
      <c r="J3" s="35">
        <f>+Title_RESULTS!I4</f>
        <v>43599.31895555556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3106</v>
      </c>
      <c r="H5" t="s">
        <v>59</v>
      </c>
    </row>
    <row r="6" spans="3:7" ht="12.75">
      <c r="C6" t="s">
        <v>61</v>
      </c>
      <c r="G6" s="36">
        <f>+'Value of Defferal'!E3</f>
        <v>1902.8884837340872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7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188.04782336996766</v>
      </c>
      <c r="D19" s="5">
        <f>IF((Title_RESULTS!$H$8-Title_RESULTS!$H$7)&lt;=('Sheet3(F_21)'!A19-Title_RESULTS!$H$7),((Title_RESULTS!$C$8*Partcipation!$C$26*8760*Title_RESULTS!$H$21/100000)),0)</f>
        <v>2475.62821598878</v>
      </c>
      <c r="E19" s="5">
        <f>IF($G19=0,0,((Title_RESULTS!$H$14*((1+Title_RESULTS!$H$15/100)^($A19-Title_RESULTS!$H$7))*'EUE_Line Losses'!$B$25*Partcipation!$C$26))/1000)</f>
        <v>19.50345553449013</v>
      </c>
      <c r="F19" s="5">
        <f>IF($G19=0,0,(Title_RESULTS!$H$19/100*((1+Title_RESULTS!$H$20/100)^($A19-Title_RESULTS!$H$7))*$D19*1000)/1000)</f>
        <v>5.582189667981483</v>
      </c>
      <c r="G19" s="5">
        <f>(+Title_RESULTS!$H$22/100*((1+Title_RESULTS!$H$23/100)^(+'Sheet4(F_22)'!A19-Title_RESULTS!$H$7)))*'Sheet3(F_21)'!D19</f>
        <v>106.06306640989543</v>
      </c>
      <c r="H19" s="5">
        <f>IF($G19=0,0,(($D19))*(Partcipation!$G19/100))</f>
        <v>78.54246350732478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240.6540714750099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192.56097113084687</v>
      </c>
      <c r="D20" s="5">
        <f>IF((Title_RESULTS!$H$8-Title_RESULTS!$H$7)&lt;=('Sheet3(F_21)'!A20-Title_RESULTS!$H$7),((Title_RESULTS!$C$8*Partcipation!$C$26*8760*Title_RESULTS!$H$21/100000)),0)</f>
        <v>2475.62821598878</v>
      </c>
      <c r="E20" s="5">
        <f>IF($G20=0,0,((Title_RESULTS!$H$14*((1+Title_RESULTS!$H$15/100)^($A20-Title_RESULTS!$H$7))*'EUE_Line Losses'!$B$25*Partcipation!$C$26))/1000)</f>
        <v>19.971538467317888</v>
      </c>
      <c r="F20" s="5">
        <f>IF($G20=0,0,(Title_RESULTS!$H$19/100*((1+Title_RESULTS!$H$20/100)^($A20-Title_RESULTS!$H$7))*$D20*1000)/1000)</f>
        <v>5.716162220013039</v>
      </c>
      <c r="G20" s="5">
        <f>(+Title_RESULTS!$H$22/100*((1+Title_RESULTS!$H$23/100)^(+'Sheet4(F_22)'!A20-Title_RESULTS!$H$7)))*'Sheet3(F_21)'!D20</f>
        <v>110.8783296249047</v>
      </c>
      <c r="H20" s="5">
        <f>IF($G20=0,0,(($D20))*(Partcipation!$G20/100))</f>
        <v>82.05601370099639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247.07098774208606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197.18243443798718</v>
      </c>
      <c r="D21" s="5">
        <f>IF((Title_RESULTS!$H$8-Title_RESULTS!$H$7)&lt;=('Sheet3(F_21)'!A21-Title_RESULTS!$H$7),((Title_RESULTS!$C$8*Partcipation!$C$26*8760*Title_RESULTS!$H$21/100000)),0)</f>
        <v>2475.62821598878</v>
      </c>
      <c r="E21" s="5">
        <f>IF($G21=0,0,((Title_RESULTS!$H$14*((1+Title_RESULTS!$H$15/100)^($A21-Title_RESULTS!$H$7))*'EUE_Line Losses'!$B$25*Partcipation!$C$26))/1000)</f>
        <v>20.45085539053352</v>
      </c>
      <c r="F21" s="5">
        <f>IF($G21=0,0,(Title_RESULTS!$H$19/100*((1+Title_RESULTS!$H$20/100)^($A21-Title_RESULTS!$H$7))*$D21*1000)/1000)</f>
        <v>5.853350113293351</v>
      </c>
      <c r="G21" s="5">
        <f>(+Title_RESULTS!$H$22/100*((1+Title_RESULTS!$H$23/100)^(+'Sheet4(F_22)'!A21-Title_RESULTS!$H$7)))*'Sheet3(F_21)'!D21</f>
        <v>115.91220578987537</v>
      </c>
      <c r="H21" s="5">
        <f>IF($G21=0,0,(($D21))*(Partcipation!$G21/100))</f>
        <v>85.30775512162835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254.0910906100611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201.91481286449888</v>
      </c>
      <c r="D22" s="5">
        <f>IF((Title_RESULTS!$H$8-Title_RESULTS!$H$7)&lt;=('Sheet3(F_21)'!A22-Title_RESULTS!$H$7),((Title_RESULTS!$C$8*Partcipation!$C$26*8760*Title_RESULTS!$H$21/100000)),0)</f>
        <v>2475.62821598878</v>
      </c>
      <c r="E22" s="5">
        <f>IF($G22=0,0,((Title_RESULTS!$H$14*((1+Title_RESULTS!$H$15/100)^($A22-Title_RESULTS!$H$7))*'EUE_Line Losses'!$B$25*Partcipation!$C$26))/1000)</f>
        <v>20.94167591990632</v>
      </c>
      <c r="F22" s="5">
        <f>IF($G22=0,0,(Title_RESULTS!$H$19/100*((1+Title_RESULTS!$H$20/100)^($A22-Title_RESULTS!$H$7))*$D22*1000)/1000)</f>
        <v>5.993830516012392</v>
      </c>
      <c r="G22" s="5">
        <f>(+Title_RESULTS!$H$22/100*((1+Title_RESULTS!$H$23/100)^(+'Sheet4(F_22)'!A22-Title_RESULTS!$H$7)))*'Sheet3(F_21)'!D22</f>
        <v>121.17461993273572</v>
      </c>
      <c r="H22" s="5">
        <f>IF($G22=0,0,(($D22))*(Partcipation!$G22/100))</f>
        <v>88.07175687945634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261.953182353697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206.76076837324686</v>
      </c>
      <c r="D23" s="5">
        <f>IF((Title_RESULTS!$H$8-Title_RESULTS!$H$7)&lt;=('Sheet3(F_21)'!A23-Title_RESULTS!$H$7),((Title_RESULTS!$C$8*Partcipation!$C$26*8760*Title_RESULTS!$H$21/100000)),0)</f>
        <v>2475.62821598878</v>
      </c>
      <c r="E23" s="5">
        <f>IF($G23=0,0,((Title_RESULTS!$H$14*((1+Title_RESULTS!$H$15/100)^($A23-Title_RESULTS!$H$7))*'EUE_Line Losses'!$B$25*Partcipation!$C$26))/1000)</f>
        <v>21.444276141984076</v>
      </c>
      <c r="F23" s="5">
        <f>IF($G23=0,0,(Title_RESULTS!$H$19/100*((1+Title_RESULTS!$H$20/100)^($A23-Title_RESULTS!$H$7))*$D23*1000)/1000)</f>
        <v>6.137682448396689</v>
      </c>
      <c r="G23" s="5">
        <f>(+Title_RESULTS!$H$22/100*((1+Title_RESULTS!$H$23/100)^(+'Sheet4(F_22)'!A23-Title_RESULTS!$H$7)))*'Sheet3(F_21)'!D23</f>
        <v>126.67594767768195</v>
      </c>
      <c r="H23" s="5">
        <f>IF($G23=0,0,(($D23))*(Partcipation!$G23/100))</f>
        <v>92.01381955727614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269.0048550840334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211.7230268142048</v>
      </c>
      <c r="D24" s="5">
        <f>IF((Title_RESULTS!$H$8-Title_RESULTS!$H$7)&lt;=('Sheet3(F_21)'!A24-Title_RESULTS!$H$7),((Title_RESULTS!$C$8*Partcipation!$C$26*8760*Title_RESULTS!$H$21/100000)),0)</f>
        <v>2475.62821598878</v>
      </c>
      <c r="E24" s="5">
        <f>IF($G24=0,0,((Title_RESULTS!$H$14*((1+Title_RESULTS!$H$15/100)^($A24-Title_RESULTS!$H$7))*'EUE_Line Losses'!$B$25*Partcipation!$C$26))/1000)</f>
        <v>21.95893876939169</v>
      </c>
      <c r="F24" s="5">
        <f>IF($G24=0,0,(Title_RESULTS!$H$19/100*((1+Title_RESULTS!$H$20/100)^($A24-Title_RESULTS!$H$7))*$D24*1000)/1000)</f>
        <v>6.284986827158209</v>
      </c>
      <c r="G24" s="5">
        <f>(+Title_RESULTS!$H$22/100*((1+Title_RESULTS!$H$23/100)^(+'Sheet4(F_22)'!A24-Title_RESULTS!$H$7)))*'Sheet3(F_21)'!D24</f>
        <v>132.42703570224873</v>
      </c>
      <c r="H24" s="5">
        <f>IF($G24=0,0,(($D24))*(Partcipation!$G24/100))</f>
        <v>99.03119738661202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273.36279072639144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216.8043794577457</v>
      </c>
      <c r="D25" s="5">
        <f>IF((Title_RESULTS!$H$8-Title_RESULTS!$H$7)&lt;=('Sheet3(F_21)'!A25-Title_RESULTS!$H$7),((Title_RESULTS!$C$8*Partcipation!$C$26*8760*Title_RESULTS!$H$21/100000)),0)</f>
        <v>2475.62821598878</v>
      </c>
      <c r="E25" s="5">
        <f>IF($G25=0,0,((Title_RESULTS!$H$14*((1+Title_RESULTS!$H$15/100)^($A25-Title_RESULTS!$H$7))*'EUE_Line Losses'!$B$25*Partcipation!$C$26))/1000)</f>
        <v>22.48595329985709</v>
      </c>
      <c r="F25" s="5">
        <f>IF($G25=0,0,(Title_RESULTS!$H$19/100*((1+Title_RESULTS!$H$20/100)^($A25-Title_RESULTS!$H$7))*$D25*1000)/1000)</f>
        <v>6.4358265110100055</v>
      </c>
      <c r="G25" s="5">
        <f>(+Title_RESULTS!$H$22/100*((1+Title_RESULTS!$H$23/100)^(+'Sheet4(F_22)'!A25-Title_RESULTS!$H$7)))*'Sheet3(F_21)'!D25</f>
        <v>138.43922312313083</v>
      </c>
      <c r="H25" s="5">
        <f>IF($G25=0,0,(($D25))*(Partcipation!$G25/100))</f>
        <v>103.37724620556303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280.7881361861806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222.0076845647316</v>
      </c>
      <c r="D26" s="5">
        <f>IF((Title_RESULTS!$H$8-Title_RESULTS!$H$7)&lt;=('Sheet3(F_21)'!A26-Title_RESULTS!$H$7),((Title_RESULTS!$C$8*Partcipation!$C$26*8760*Title_RESULTS!$H$21/100000)),0)</f>
        <v>2475.62821598878</v>
      </c>
      <c r="E26" s="5">
        <f>IF($G26=0,0,((Title_RESULTS!$H$14*((1+Title_RESULTS!$H$15/100)^($A26-Title_RESULTS!$H$7))*'EUE_Line Losses'!$B$25*Partcipation!$C$26))/1000)</f>
        <v>23.02561617905366</v>
      </c>
      <c r="F26" s="5">
        <f>IF($G26=0,0,(Title_RESULTS!$H$19/100*((1+Title_RESULTS!$H$20/100)^($A26-Title_RESULTS!$H$7))*$D26*1000)/1000)</f>
        <v>6.590286347274246</v>
      </c>
      <c r="G26" s="5">
        <f>(+Title_RESULTS!$H$22/100*((1+Title_RESULTS!$H$23/100)^(+'Sheet4(F_22)'!A26-Title_RESULTS!$H$7)))*'Sheet3(F_21)'!D26</f>
        <v>144.724363852921</v>
      </c>
      <c r="H26" s="5">
        <f>IF($G26=0,0,(($D26))*(Partcipation!$G26/100))</f>
        <v>111.06364494653009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285.28430599745036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227.33586899428516</v>
      </c>
      <c r="D27" s="5">
        <f>IF((Title_RESULTS!$H$8-Title_RESULTS!$H$7)&lt;=('Sheet3(F_21)'!A27-Title_RESULTS!$H$7),((Title_RESULTS!$C$8*Partcipation!$C$26*8760*Title_RESULTS!$H$21/100000)),0)</f>
        <v>2475.62821598878</v>
      </c>
      <c r="E27" s="5">
        <f>IF($G27=0,0,((Title_RESULTS!$H$14*((1+Title_RESULTS!$H$15/100)^($A27-Title_RESULTS!$H$7))*'EUE_Line Losses'!$B$25*Partcipation!$C$26))/1000)</f>
        <v>23.578230967350954</v>
      </c>
      <c r="F27" s="5">
        <f>IF($G27=0,0,(Title_RESULTS!$H$19/100*((1+Title_RESULTS!$H$20/100)^($A27-Title_RESULTS!$H$7))*$D27*1000)/1000)</f>
        <v>6.748453219608829</v>
      </c>
      <c r="G27" s="5">
        <f>(+Title_RESULTS!$H$22/100*((1+Title_RESULTS!$H$23/100)^(+'Sheet4(F_22)'!A27-Title_RESULTS!$H$7)))*'Sheet3(F_21)'!D27</f>
        <v>151.2948499718436</v>
      </c>
      <c r="H27" s="5">
        <f>IF($G27=0,0,(($D27))*(Partcipation!$G27/100))</f>
        <v>113.82547090094167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295.13193225214695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87</v>
      </c>
      <c r="B29" s="9"/>
      <c r="C29" s="9">
        <f aca="true" t="shared" si="1" ref="C29:J29">SUM(C16:C28)</f>
        <v>1864.3377700075146</v>
      </c>
      <c r="D29" s="9">
        <f t="shared" si="1"/>
        <v>22280.653943899022</v>
      </c>
      <c r="E29" s="9">
        <f t="shared" si="1"/>
        <v>193.36054066988532</v>
      </c>
      <c r="F29" s="9">
        <f t="shared" si="1"/>
        <v>55.34276787074824</v>
      </c>
      <c r="G29" s="9">
        <f t="shared" si="1"/>
        <v>1147.5896420852373</v>
      </c>
      <c r="H29" s="9">
        <f t="shared" si="1"/>
        <v>853.2893682063288</v>
      </c>
      <c r="I29" s="9">
        <f t="shared" si="1"/>
        <v>0</v>
      </c>
      <c r="J29" s="9">
        <f t="shared" si="1"/>
        <v>2407.3413524270563</v>
      </c>
    </row>
    <row r="30" spans="3:10" ht="12.75">
      <c r="C30" s="5"/>
      <c r="D30" s="5"/>
      <c r="E30" s="5"/>
      <c r="F30" s="5"/>
      <c r="G30" s="5"/>
      <c r="H30" s="5"/>
      <c r="I30" s="5"/>
      <c r="J30" s="5"/>
    </row>
    <row r="31" spans="1:10" ht="12.75">
      <c r="A31" t="s">
        <v>89</v>
      </c>
      <c r="C31" s="5">
        <f>NPV(Title_RESULTS!$C$37,C17:C28)+'Sheet3(F_21)'!C16</f>
        <v>1160.4845083578514</v>
      </c>
      <c r="D31" s="5"/>
      <c r="E31" s="5">
        <f>NPV(Title_RESULTS!$C$37,E17:E28)+'Sheet3(F_21)'!E16</f>
        <v>120.36011691926171</v>
      </c>
      <c r="F31" s="5">
        <f>NPV(Title_RESULTS!$C$37,F17:F28)+'Sheet3(F_21)'!F16</f>
        <v>34.44892111121532</v>
      </c>
      <c r="G31" s="5">
        <f>NPV(Title_RESULTS!$C$37,G17:G28)+'Sheet3(F_21)'!G16</f>
        <v>707.6395519425755</v>
      </c>
      <c r="H31" s="5">
        <f>NPV(Title_RESULTS!$C$37,H17:H28)+'Sheet3(F_21)'!H16</f>
        <v>525.2265573731329</v>
      </c>
      <c r="I31" s="5">
        <f>NPV(Title_RESULTS!$C$37,I17:I28)+'Sheet3(F_21)'!I16</f>
        <v>0</v>
      </c>
      <c r="J31" s="5">
        <f>NPV(Title_RESULTS!$C$37,J17:J28)+'Sheet3(F_21)'!J16</f>
        <v>1497.706540957771</v>
      </c>
    </row>
    <row r="33" ht="12.75">
      <c r="A33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ENERGY STAR Oven</v>
      </c>
      <c r="F2" t="s">
        <v>55</v>
      </c>
    </row>
    <row r="3" spans="6:7" ht="12.75">
      <c r="F3" s="35">
        <f>+Title_RESULTS!I4</f>
        <v>43599.31895555556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3358.649789029536</v>
      </c>
      <c r="C16" s="5">
        <f>$B16*'Sheet2(F_12)'!$E16/100</f>
        <v>97.42467765198968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97.42467765198968</v>
      </c>
      <c r="G16" s="5">
        <f>+$F16*'Sheet2(F_12)'!$I16</f>
        <v>97.42467765198968</v>
      </c>
    </row>
    <row r="17" spans="1:7" ht="12.75">
      <c r="A17">
        <f>+A16+1</f>
        <v>2021</v>
      </c>
      <c r="B17" s="5">
        <f>(+Partcipation!$C16+(Partcipation!$C17-Partcipation!$C16)/2)*Title_RESULTS!$C$10/1000</f>
        <v>10075.949367088608</v>
      </c>
      <c r="C17" s="5">
        <f>$B17*'Sheet2(F_12)'!$E17/100</f>
        <v>289.8967188794482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289.8967188794482</v>
      </c>
      <c r="G17" s="5">
        <f>+$F17*'Sheet2(F_12)'!$I17</f>
        <v>289.8967188794482</v>
      </c>
    </row>
    <row r="18" spans="1:7" ht="12.75">
      <c r="A18">
        <f>+A17+1</f>
        <v>2022</v>
      </c>
      <c r="B18" s="5">
        <f>(+Partcipation!$C17+(Partcipation!$C18-Partcipation!$C17)/2)*Title_RESULTS!$C$10/1000</f>
        <v>16793.24894514768</v>
      </c>
      <c r="C18" s="5">
        <f>$B18*'Sheet2(F_12)'!$E18/100</f>
        <v>498.6546956181082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498.6546956181082</v>
      </c>
      <c r="G18" s="5">
        <f>+$F18*'Sheet2(F_12)'!$I18</f>
        <v>498.6546956181082</v>
      </c>
    </row>
    <row r="19" spans="1:7" ht="12.75">
      <c r="A19">
        <f aca="true" t="shared" si="0" ref="A19:A27">+A18+1</f>
        <v>2023</v>
      </c>
      <c r="B19" s="5">
        <f>(+Partcipation!$C18+(Partcipation!$C19-Partcipation!$C18)/2)*Title_RESULTS!$C$10/1000</f>
        <v>20151.898734177215</v>
      </c>
      <c r="C19" s="5">
        <f>$B19*'Sheet2(F_12)'!$E19/100</f>
        <v>622.9336839874381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7">+C19-E19</f>
        <v>622.9336839874381</v>
      </c>
      <c r="G19" s="5">
        <f>+$F19*'Sheet2(F_12)'!$I19</f>
        <v>622.9336839874381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20151.898734177215</v>
      </c>
      <c r="C20" s="5">
        <f>$B20*'Sheet2(F_12)'!$E20/100</f>
        <v>647.4126297910278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647.4126297910278</v>
      </c>
      <c r="G20" s="5">
        <f>+$F20*'Sheet2(F_12)'!$I20</f>
        <v>647.4126297910278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20151.898734177215</v>
      </c>
      <c r="C21" s="5">
        <f>$B21*'Sheet2(F_12)'!$E21/100</f>
        <v>695.1262508910852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695.1262508910852</v>
      </c>
      <c r="G21" s="5">
        <f>+$F21*'Sheet2(F_12)'!$I21</f>
        <v>695.1262508910852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20151.898734177215</v>
      </c>
      <c r="C22" s="5">
        <f>$B22*'Sheet2(F_12)'!$E22/100</f>
        <v>717.422164422095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717.422164422095</v>
      </c>
      <c r="G22" s="5">
        <f>+$F22*'Sheet2(F_12)'!$I22</f>
        <v>717.422164422095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20151.898734177215</v>
      </c>
      <c r="C23" s="5">
        <f>$B23*'Sheet2(F_12)'!$E23/100</f>
        <v>762.2578386605784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762.2578386605784</v>
      </c>
      <c r="G23" s="5">
        <f>+$F23*'Sheet2(F_12)'!$I23</f>
        <v>762.2578386605784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20151.898734177215</v>
      </c>
      <c r="C24" s="5">
        <f>$B24*'Sheet2(F_12)'!$E24/100</f>
        <v>844.6698331450353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844.6698331450353</v>
      </c>
      <c r="G24" s="5">
        <f>+$F24*'Sheet2(F_12)'!$I24</f>
        <v>844.6698331450353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20151.898734177215</v>
      </c>
      <c r="C25" s="5">
        <f>$B25*'Sheet2(F_12)'!$E25/100</f>
        <v>904.9490780879718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904.9490780879718</v>
      </c>
      <c r="G25" s="5">
        <f>+$F25*'Sheet2(F_12)'!$I25</f>
        <v>904.9490780879718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20151.898734177215</v>
      </c>
      <c r="C26" s="5">
        <f>$B26*'Sheet2(F_12)'!$E26/100</f>
        <v>1010.7779858582361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1010.7779858582361</v>
      </c>
      <c r="G26" s="5">
        <f>+$F26*'Sheet2(F_12)'!$I26</f>
        <v>1010.7779858582361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20151.898734177215</v>
      </c>
      <c r="C27" s="5">
        <f>$B27*'Sheet2(F_12)'!$E27/100</f>
        <v>1007.0190586285958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1007.0190586285958</v>
      </c>
      <c r="G27" s="5">
        <f>+$F27*'Sheet2(F_12)'!$I27</f>
        <v>1007.0190586285958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87</v>
      </c>
      <c r="B29" s="5">
        <f aca="true" t="shared" si="2" ref="B29:G29">SUM(B16:B28)</f>
        <v>211594.9367088608</v>
      </c>
      <c r="C29" s="5">
        <f t="shared" si="2"/>
        <v>8098.544615621609</v>
      </c>
      <c r="D29" s="5">
        <f t="shared" si="2"/>
        <v>0</v>
      </c>
      <c r="E29" s="5">
        <f t="shared" si="2"/>
        <v>0</v>
      </c>
      <c r="F29" s="5">
        <f t="shared" si="2"/>
        <v>8098.544615621609</v>
      </c>
      <c r="G29" s="5">
        <f t="shared" si="2"/>
        <v>8098.544615621609</v>
      </c>
    </row>
    <row r="30" spans="2:7" ht="12.75">
      <c r="B30" s="5"/>
      <c r="C30" s="5"/>
      <c r="D30" s="5"/>
      <c r="E30" s="5"/>
      <c r="F30" s="5"/>
      <c r="G30" s="5"/>
    </row>
    <row r="31" spans="1:7" ht="12.75">
      <c r="A31" t="s">
        <v>118</v>
      </c>
      <c r="B31" s="5"/>
      <c r="C31" s="5">
        <f>NPV(+Title_RESULTS!$C$37,C17:C28)+C16</f>
        <v>5206.857338191338</v>
      </c>
      <c r="D31" s="5"/>
      <c r="E31" s="5">
        <f>NPV(+Title_RESULTS!$C$37,E17:E28)+E16</f>
        <v>0</v>
      </c>
      <c r="F31" s="5">
        <f>NPV(+Title_RESULTS!$C$37,F17:F28)+F16</f>
        <v>5206.857338191338</v>
      </c>
      <c r="G31" s="5">
        <f>NPV(+Title_RESULTS!$C$37,G17:G28)+G16</f>
        <v>5206.857338191338</v>
      </c>
    </row>
    <row r="32" spans="6:7" ht="12.75">
      <c r="F32" s="9"/>
      <c r="G32" s="9"/>
    </row>
    <row r="33" ht="12.75">
      <c r="A33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ENERGY STAR Oven</v>
      </c>
      <c r="J2" t="s">
        <v>42</v>
      </c>
    </row>
    <row r="3" spans="9:10" ht="12.75">
      <c r="I3" s="4"/>
      <c r="J3" s="35">
        <f>+Title_RESULTS!I4</f>
        <v>43599.31895555556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7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ENERGY STAR Oven</v>
      </c>
      <c r="H2" t="s">
        <v>108</v>
      </c>
    </row>
    <row r="3" ht="12.75">
      <c r="H3" s="35">
        <f>+Title_RESULTS!I4</f>
        <v>43599.31895555556</v>
      </c>
    </row>
    <row r="5" spans="3:6" ht="12.75">
      <c r="C5" t="s">
        <v>60</v>
      </c>
      <c r="F5" s="38">
        <f>+'Value of Defferal'!L4</f>
        <v>111.0009856</v>
      </c>
    </row>
    <row r="6" spans="3:6" ht="12.75">
      <c r="C6" t="s">
        <v>62</v>
      </c>
      <c r="F6" s="38">
        <f>+'Value of Defferal'!L5</f>
        <v>260.63185920000006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97.42467765198968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10.969373093813951</v>
      </c>
      <c r="C17" s="5">
        <f>IF(+Title_RESULTS!$H$9&lt;='Sheet4(F_22)'!$A17,(+Title_RESULTS!$H$16*((1+Title_RESULTS!$H$18/100)^('Sheet4(F_22)'!$A17-Title_RESULTS!$H$7))*Title_RESULTS!$C$8*Partcipation!$C$26/1000),0)</f>
        <v>8.840659786014829</v>
      </c>
      <c r="D17" s="5">
        <f>(+B17+C17)*+Partcipation!$H17</f>
        <v>19.810032879828782</v>
      </c>
      <c r="E17" s="5">
        <f>VLOOKUP(A17,'Value of Defferal'!$I24:$P$58,'Value of Defferal'!$K$13)</f>
        <v>25.756240705840966</v>
      </c>
      <c r="F17" s="5">
        <f>IF(+'Value of Defferal'!P24=0,0,Title_RESULTS!$H$17*Title_RESULTS!$C$7*Partcipation!$C$26*(1+Title_RESULTS!$H$18/100)^('Sheet4(F_22)'!A17-Title_RESULTS!$H$7))/1000</f>
        <v>35.881574400000005</v>
      </c>
      <c r="G17" s="5">
        <f>(+E17+F17)*Partcipation!$H17</f>
        <v>61.63781510584097</v>
      </c>
      <c r="H17" s="5">
        <f>+'Sheet5(p_5)'!$F17*'Sheet2(F_12)'!$I17</f>
        <v>289.8967188794482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11.232638048065485</v>
      </c>
      <c r="C18" s="5">
        <f>IF(+Title_RESULTS!$H$9&lt;='Sheet4(F_22)'!$A18,(+Title_RESULTS!$H$16*((1+Title_RESULTS!$H$18/100)^('Sheet4(F_22)'!$A18-Title_RESULTS!$H$7))*Title_RESULTS!$C$8*Partcipation!$C$26/1000),0)</f>
        <v>9.052835620879183</v>
      </c>
      <c r="D18" s="5">
        <f>(+B18+C18)*+Partcipation!$H18</f>
        <v>20.285473668944668</v>
      </c>
      <c r="E18" s="5">
        <f>VLOOKUP(A18,'Value of Defferal'!$I25:$P$58,'Value of Defferal'!$K$13)</f>
        <v>26.374390482781145</v>
      </c>
      <c r="F18" s="5">
        <f>IF(+'Value of Defferal'!P25=0,0,Title_RESULTS!$H$17*Title_RESULTS!$C$7*Partcipation!$C$26*(1+Title_RESULTS!$H$18/100)^('Sheet4(F_22)'!A18-Title_RESULTS!$H$7))/1000</f>
        <v>36.742732185600005</v>
      </c>
      <c r="G18" s="5">
        <f>(+E18+F18)*Partcipation!$H18</f>
        <v>63.11712266838115</v>
      </c>
      <c r="H18" s="5">
        <f>+'Sheet5(p_5)'!$F18*'Sheet2(F_12)'!$I18</f>
        <v>498.6546956181082</v>
      </c>
      <c r="I18" s="5"/>
      <c r="J18" s="5"/>
    </row>
    <row r="19" spans="1:10" ht="12.75">
      <c r="A19">
        <f aca="true" t="shared" si="0" ref="A19:A27">+A18+1</f>
        <v>2023</v>
      </c>
      <c r="B19" s="5">
        <f>VLOOKUP(A19,'Value of Defferal'!$I26:$P$58,'Value of Defferal'!$K$9)</f>
        <v>11.502221361219059</v>
      </c>
      <c r="C19" s="5">
        <f>IF(+Title_RESULTS!$H$9&lt;='Sheet4(F_22)'!$A19,(+Title_RESULTS!$H$16*((1+Title_RESULTS!$H$18/100)^('Sheet4(F_22)'!$A19-Title_RESULTS!$H$7))*Title_RESULTS!$C$8*Partcipation!$C$26/1000),0)</f>
        <v>9.270103675780286</v>
      </c>
      <c r="D19" s="5">
        <f>(+B19+C19)*+Partcipation!$H19</f>
        <v>20.772325036999344</v>
      </c>
      <c r="E19" s="5">
        <f>VLOOKUP(A19,'Value of Defferal'!$I26:$P$58,'Value of Defferal'!$K$13)</f>
        <v>27.007375854367893</v>
      </c>
      <c r="F19" s="5">
        <f>IF(+'Value of Defferal'!P26=0,0,Title_RESULTS!$H$17*Title_RESULTS!$C$7*Partcipation!$C$26*(1+Title_RESULTS!$H$18/100)^('Sheet4(F_22)'!A19-Title_RESULTS!$H$7))/1000</f>
        <v>37.62455775805441</v>
      </c>
      <c r="G19" s="5">
        <f>(+E19+F19)*Partcipation!$H19</f>
        <v>64.6319336124223</v>
      </c>
      <c r="H19" s="5">
        <f>+'Sheet5(p_5)'!$F19*'Sheet2(F_12)'!$I19</f>
        <v>622.9336839874381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11.778274673888316</v>
      </c>
      <c r="C20" s="5">
        <f>IF(+Title_RESULTS!$H$9&lt;='Sheet4(F_22)'!$A20,(+Title_RESULTS!$H$16*((1+Title_RESULTS!$H$18/100)^('Sheet4(F_22)'!$A20-Title_RESULTS!$H$7))*Title_RESULTS!$C$8*Partcipation!$C$26/1000),0)</f>
        <v>9.492586163999011</v>
      </c>
      <c r="D20" s="5">
        <f>(+B20+C20)*+Partcipation!$H20</f>
        <v>21.270860837887327</v>
      </c>
      <c r="E20" s="5">
        <f>VLOOKUP(A20,'Value of Defferal'!$I27:$P$58,'Value of Defferal'!$K$13)</f>
        <v>27.655552874872726</v>
      </c>
      <c r="F20" s="5">
        <f>IF(+'Value of Defferal'!P27=0,0,Title_RESULTS!$H$17*Title_RESULTS!$C$7*Partcipation!$C$26*(1+Title_RESULTS!$H$18/100)^('Sheet4(F_22)'!A20-Title_RESULTS!$H$7))/1000</f>
        <v>38.52754714424771</v>
      </c>
      <c r="G20" s="5">
        <f>(+E20+F20)*Partcipation!$H20</f>
        <v>66.18310001912045</v>
      </c>
      <c r="H20" s="5">
        <f>+'Sheet5(p_5)'!$F20*'Sheet2(F_12)'!$I20</f>
        <v>647.4126297910278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12.060953266061635</v>
      </c>
      <c r="C21" s="5">
        <f>IF(+Title_RESULTS!$H$9&lt;='Sheet4(F_22)'!$A21,(+Title_RESULTS!$H$16*((1+Title_RESULTS!$H$18/100)^('Sheet4(F_22)'!$A21-Title_RESULTS!$H$7))*Title_RESULTS!$C$8*Partcipation!$C$26/1000),0)</f>
        <v>9.72040823193499</v>
      </c>
      <c r="D21" s="5">
        <f>(+B21+C21)*+Partcipation!$H21</f>
        <v>21.781361497996624</v>
      </c>
      <c r="E21" s="5">
        <f>VLOOKUP(A21,'Value of Defferal'!$I28:$P$58,'Value of Defferal'!$K$13)</f>
        <v>28.31928614386967</v>
      </c>
      <c r="F21" s="5">
        <f>IF(+'Value of Defferal'!P28=0,0,Title_RESULTS!$H$17*Title_RESULTS!$C$7*Partcipation!$C$26*(1+Title_RESULTS!$H$18/100)^('Sheet4(F_22)'!A21-Title_RESULTS!$H$7))/1000</f>
        <v>39.45220827570966</v>
      </c>
      <c r="G21" s="5">
        <f>(+E21+F21)*Partcipation!$H21</f>
        <v>67.77149441957933</v>
      </c>
      <c r="H21" s="5">
        <f>+'Sheet5(p_5)'!$F21*'Sheet2(F_12)'!$I21</f>
        <v>695.1262508910852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12.350416144447115</v>
      </c>
      <c r="C22" s="5">
        <f>IF(+Title_RESULTS!$H$9&lt;='Sheet4(F_22)'!$A22,(+Title_RESULTS!$H$16*((1+Title_RESULTS!$H$18/100)^('Sheet4(F_22)'!$A22-Title_RESULTS!$H$7))*Title_RESULTS!$C$8*Partcipation!$C$26/1000),0)</f>
        <v>9.953698029501426</v>
      </c>
      <c r="D22" s="5">
        <f>(+B22+C22)*+Partcipation!$H22</f>
        <v>22.30411417394854</v>
      </c>
      <c r="E22" s="5">
        <f>VLOOKUP(A22,'Value of Defferal'!$I29:$P$58,'Value of Defferal'!$K$13)</f>
        <v>28.998949011322544</v>
      </c>
      <c r="F22" s="5">
        <f>IF(+'Value of Defferal'!P29=0,0,Title_RESULTS!$H$17*Title_RESULTS!$C$7*Partcipation!$C$26*(1+Title_RESULTS!$H$18/100)^('Sheet4(F_22)'!A22-Title_RESULTS!$H$7))/1000</f>
        <v>40.399061274326684</v>
      </c>
      <c r="G22" s="5">
        <f>(+E22+F22)*Partcipation!$H22</f>
        <v>69.39801028564924</v>
      </c>
      <c r="H22" s="5">
        <f>+'Sheet5(p_5)'!$F22*'Sheet2(F_12)'!$I22</f>
        <v>717.422164422095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12.646826131913844</v>
      </c>
      <c r="C23" s="5">
        <f>IF(+Title_RESULTS!$H$9&lt;='Sheet4(F_22)'!$A23,(+Title_RESULTS!$H$16*((1+Title_RESULTS!$H$18/100)^('Sheet4(F_22)'!$A23-Title_RESULTS!$H$7))*Title_RESULTS!$C$8*Partcipation!$C$26/1000),0)</f>
        <v>10.19258678220946</v>
      </c>
      <c r="D23" s="5">
        <f>(+B23+C23)*+Partcipation!$H23</f>
        <v>22.839412914123304</v>
      </c>
      <c r="E23" s="5">
        <f>VLOOKUP(A23,'Value of Defferal'!$I30:$P$58,'Value of Defferal'!$K$13)</f>
        <v>29.694923787594284</v>
      </c>
      <c r="F23" s="5">
        <f>IF(+'Value of Defferal'!P30=0,0,Title_RESULTS!$H$17*Title_RESULTS!$C$7*Partcipation!$C$26*(1+Title_RESULTS!$H$18/100)^('Sheet4(F_22)'!A23-Title_RESULTS!$H$7))/1000</f>
        <v>41.368638744910534</v>
      </c>
      <c r="G23" s="5">
        <f>(+E23+F23)*Partcipation!$H23</f>
        <v>71.06356253250482</v>
      </c>
      <c r="H23" s="5">
        <f>+'Sheet5(p_5)'!$F23*'Sheet2(F_12)'!$I23</f>
        <v>762.2578386605784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12.950349959079777</v>
      </c>
      <c r="C24" s="5">
        <f>IF(+Title_RESULTS!$H$9&lt;='Sheet4(F_22)'!$A24,(+Title_RESULTS!$H$16*((1+Title_RESULTS!$H$18/100)^('Sheet4(F_22)'!$A24-Title_RESULTS!$H$7))*Title_RESULTS!$C$8*Partcipation!$C$26/1000),0)</f>
        <v>10.437208864982487</v>
      </c>
      <c r="D24" s="5">
        <f>(+B24+C24)*+Partcipation!$H24</f>
        <v>23.387558824062264</v>
      </c>
      <c r="E24" s="5">
        <f>VLOOKUP(A24,'Value of Defferal'!$I31:$P$58,'Value of Defferal'!$K$13)</f>
        <v>30.407601958496546</v>
      </c>
      <c r="F24" s="5">
        <f>IF(+'Value of Defferal'!P31=0,0,Title_RESULTS!$H$17*Title_RESULTS!$C$7*Partcipation!$C$26*(1+Title_RESULTS!$H$18/100)^('Sheet4(F_22)'!A24-Title_RESULTS!$H$7))/1000</f>
        <v>42.36148607478838</v>
      </c>
      <c r="G24" s="5">
        <f>(+E24+F24)*Partcipation!$H24</f>
        <v>72.76908803328493</v>
      </c>
      <c r="H24" s="5">
        <f>+'Sheet5(p_5)'!$F24*'Sheet2(F_12)'!$I24</f>
        <v>844.6698331450353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13.261158358097692</v>
      </c>
      <c r="C25" s="5">
        <f>IF(+Title_RESULTS!$H$9&lt;='Sheet4(F_22)'!$A25,(+Title_RESULTS!$H$16*((1+Title_RESULTS!$H$18/100)^('Sheet4(F_22)'!$A25-Title_RESULTS!$H$7))*Title_RESULTS!$C$8*Partcipation!$C$26/1000),0)</f>
        <v>10.687701877742064</v>
      </c>
      <c r="D25" s="5">
        <f>(+B25+C25)*+Partcipation!$H25</f>
        <v>23.948860235839756</v>
      </c>
      <c r="E25" s="5">
        <f>VLOOKUP(A25,'Value of Defferal'!$I32:$P$58,'Value of Defferal'!$K$13)</f>
        <v>31.137384405500466</v>
      </c>
      <c r="F25" s="5">
        <f>IF(+'Value of Defferal'!P32=0,0,Title_RESULTS!$H$17*Title_RESULTS!$C$7*Partcipation!$C$26*(1+Title_RESULTS!$H$18/100)^('Sheet4(F_22)'!A25-Title_RESULTS!$H$7))/1000</f>
        <v>43.378161740583295</v>
      </c>
      <c r="G25" s="5">
        <f>(+E25+F25)*Partcipation!$H25</f>
        <v>74.51554614608376</v>
      </c>
      <c r="H25" s="5">
        <f>+'Sheet5(p_5)'!$F25*'Sheet2(F_12)'!$I25</f>
        <v>904.9490780879718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13.579426158692039</v>
      </c>
      <c r="C26" s="5">
        <f>IF(+Title_RESULTS!$H$9&lt;='Sheet4(F_22)'!$A26,(+Title_RESULTS!$H$16*((1+Title_RESULTS!$H$18/100)^('Sheet4(F_22)'!$A26-Title_RESULTS!$H$7))*Title_RESULTS!$C$8*Partcipation!$C$26/1000),0)</f>
        <v>10.944206722807877</v>
      </c>
      <c r="D26" s="5">
        <f>(+B26+C26)*+Partcipation!$H26</f>
        <v>24.523632881499914</v>
      </c>
      <c r="E26" s="5">
        <f>VLOOKUP(A26,'Value of Defferal'!$I33:$P$58,'Value of Defferal'!$K$13)</f>
        <v>31.88468163123248</v>
      </c>
      <c r="F26" s="5">
        <f>IF(+'Value of Defferal'!P33=0,0,Title_RESULTS!$H$17*Title_RESULTS!$C$7*Partcipation!$C$26*(1+Title_RESULTS!$H$18/100)^('Sheet4(F_22)'!A26-Title_RESULTS!$H$7))/1000</f>
        <v>44.4192376223573</v>
      </c>
      <c r="G26" s="5">
        <f>(+E26+F26)*Partcipation!$H26</f>
        <v>76.30391925358978</v>
      </c>
      <c r="H26" s="5">
        <f>+'Sheet5(p_5)'!$F26*'Sheet2(F_12)'!$I26</f>
        <v>1010.7779858582361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13.905332386500648</v>
      </c>
      <c r="C27" s="5">
        <f>IF(+Title_RESULTS!$H$9&lt;='Sheet4(F_22)'!$A27,(+Title_RESULTS!$H$16*((1+Title_RESULTS!$H$18/100)^('Sheet4(F_22)'!$A27-Title_RESULTS!$H$7))*Title_RESULTS!$C$8*Partcipation!$C$26/1000),0)</f>
        <v>11.206867684155267</v>
      </c>
      <c r="D27" s="5">
        <f>(+B27+C27)*+Partcipation!$H27</f>
        <v>25.112200070655916</v>
      </c>
      <c r="E27" s="5">
        <f>VLOOKUP(A27,'Value of Defferal'!$I34:$P$58,'Value of Defferal'!$K$13)</f>
        <v>32.64991399038206</v>
      </c>
      <c r="F27" s="5">
        <f>IF(+'Value of Defferal'!P34=0,0,Title_RESULTS!$H$17*Title_RESULTS!$C$7*Partcipation!$C$26*(1+Title_RESULTS!$H$18/100)^('Sheet4(F_22)'!A27-Title_RESULTS!$H$7))/1000</f>
        <v>45.48529932529388</v>
      </c>
      <c r="G27" s="5">
        <f>(+E27+F27)*Partcipation!$H27</f>
        <v>78.13521331567594</v>
      </c>
      <c r="H27" s="5">
        <f>+'Sheet5(p_5)'!$F27*'Sheet2(F_12)'!$I27</f>
        <v>1007.0190586285958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88</v>
      </c>
      <c r="B29" s="5">
        <f aca="true" t="shared" si="1" ref="B29:H29">SUM(B16:B28)</f>
        <v>136.23696958177956</v>
      </c>
      <c r="C29" s="5">
        <f t="shared" si="1"/>
        <v>109.79886344000687</v>
      </c>
      <c r="D29" s="5">
        <f t="shared" si="1"/>
        <v>246.03583302178643</v>
      </c>
      <c r="E29" s="5">
        <f t="shared" si="1"/>
        <v>319.8863008462608</v>
      </c>
      <c r="F29" s="5">
        <f t="shared" si="1"/>
        <v>445.64050454587186</v>
      </c>
      <c r="G29" s="5">
        <f t="shared" si="1"/>
        <v>765.5268053921328</v>
      </c>
      <c r="H29" s="5">
        <f t="shared" si="1"/>
        <v>8098.544615621609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t="s">
        <v>90</v>
      </c>
      <c r="B31" s="5">
        <f>NPV(Title_RESULTS!$C$37,'Sheet4(F_22)'!B17:B28)+'Sheet4(F_22)'!B16</f>
        <v>91.02319798516403</v>
      </c>
      <c r="C31" s="5">
        <f>NPV(Title_RESULTS!$C$37,'Sheet4(F_22)'!C17:C28)+'Sheet4(F_22)'!C16</f>
        <v>73.35926302622613</v>
      </c>
      <c r="D31" s="5">
        <f>NPV(Title_RESULTS!$C$37,'Sheet4(F_22)'!D17:D28)+'Sheet4(F_22)'!D16</f>
        <v>164.38246101139012</v>
      </c>
      <c r="E31" s="5">
        <f>NPV(Title_RESULTS!$C$37,'Sheet4(F_22)'!E17:E28)+'Sheet4(F_22)'!E16</f>
        <v>213.7237358116124</v>
      </c>
      <c r="F31" s="5">
        <f>NPV(Title_RESULTS!$C$37,'Sheet4(F_22)'!F17:F28)+'Sheet4(F_22)'!F16</f>
        <v>297.74314563814465</v>
      </c>
      <c r="G31" s="5">
        <f>NPV(Title_RESULTS!$C$37,'Sheet4(F_22)'!G17:G28)+'Sheet4(F_22)'!G16</f>
        <v>511.4668814497571</v>
      </c>
      <c r="H31" s="5">
        <f>NPV(Title_RESULTS!$C$37,'Sheet4(F_22)'!H17:H28)+'Sheet4(F_22)'!H16</f>
        <v>5206.857338191338</v>
      </c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ht="12.75">
      <c r="A33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ENERGY STAR Oven</v>
      </c>
      <c r="P2" t="s">
        <v>121</v>
      </c>
    </row>
    <row r="3" ht="12.75">
      <c r="P3" s="35">
        <f>+Title_RESULTS!I4</f>
        <v>43599.31895555556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412.5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412.5</v>
      </c>
      <c r="H16" s="5">
        <f>IF(Partcipation!$B17&lt;Partcipation!$B16,0,IF(Partcipation!$B16=0,0,(Partcipation!$B16-Partcipation!$B15)*(+Title_RESULTS!$C$29*(1+Title_RESULTS!$C$30/100)^(+'Sheet8(F_24)'!$A16-Title_RESULTS!$H$7))/1000))</f>
        <v>1191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1191</v>
      </c>
      <c r="K16" s="5">
        <f>(+Partcipation!$B15+(Partcipation!$B16-Partcipation!$B15)/2)*(+Title_RESULTS!$C$14)/1000</f>
        <v>3184</v>
      </c>
      <c r="L16" s="5">
        <f>($K16)*Partcipation!$E73*Title_RESULTS!$C$12/100</f>
        <v>77.5180633233239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120.23823</v>
      </c>
      <c r="N16" s="5">
        <f>'Sheet2(F_12)'!$I16*('Sheet6(p_6)'!$L16+'Sheet6(p_6)'!$M16)</f>
        <v>197.75629332332392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412.5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412.5</v>
      </c>
      <c r="H17" s="5">
        <f>IF(Partcipation!$B18&lt;Partcipation!$B17,0,IF(Partcipation!$B17=0,0,(Partcipation!$B17-Partcipation!$B16)*(+Title_RESULTS!$C$29*(1+Title_RESULTS!$C$30/100)^(+'Sheet8(F_24)'!$A17-Title_RESULTS!$H$7))/1000))</f>
        <v>1218.3929999999998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1218.3929999999998</v>
      </c>
      <c r="K17" s="5">
        <f>(+Partcipation!$B16+(Partcipation!$B17-Partcipation!$B16)/2)*(+Title_RESULTS!$C$14)/1000</f>
        <v>9552</v>
      </c>
      <c r="L17" s="5">
        <f>($K17)*Partcipation!$E74*Title_RESULTS!$C$12/100</f>
        <v>243.62225404285556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364.3218369</v>
      </c>
      <c r="N17" s="5">
        <f>'Sheet2(F_12)'!$I17*('Sheet6(p_6)'!$L17+'Sheet6(p_6)'!$M17)</f>
        <v>607.9440909428556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412.5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412.5</v>
      </c>
      <c r="H18" s="5">
        <f>IF(Partcipation!$B19&lt;Partcipation!$B18,0,IF(Partcipation!$B18=0,0,(Partcipation!$B18-Partcipation!$B17)*(+Title_RESULTS!$C$29*(1+Title_RESULTS!$C$30/100)^(+'Sheet8(F_24)'!$A18-Title_RESULTS!$H$7))/1000))</f>
        <v>1246.4160389999997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1246.4160389999997</v>
      </c>
      <c r="K18" s="5">
        <f>(+Partcipation!$B17+(Partcipation!$B18-Partcipation!$B17)/2)*(+Title_RESULTS!$C$14)/1000</f>
        <v>15920</v>
      </c>
      <c r="L18" s="5">
        <f>($K18)*Partcipation!$E75*Title_RESULTS!$C$12/100</f>
        <v>420.9936238589993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613.275092115</v>
      </c>
      <c r="N18" s="5">
        <f>'Sheet2(F_12)'!$I18*('Sheet6(p_6)'!$L18+'Sheet6(p_6)'!$M18)</f>
        <v>1034.2687159739994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7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7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7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7">SUM(H19:I19)</f>
        <v>0</v>
      </c>
      <c r="K19" s="5">
        <f>(+Partcipation!$B18+(Partcipation!$B19-Partcipation!$B18)/2)*(+Title_RESULTS!$C$14)/1000</f>
        <v>19104</v>
      </c>
      <c r="L19" s="5">
        <f>($K19)*Partcipation!$E76*Title_RESULTS!$C$12/100</f>
        <v>501.0510906929834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743.2894116433799</v>
      </c>
      <c r="N19" s="5">
        <f>'Sheet2(F_12)'!$I19*('Sheet6(p_6)'!$L19+'Sheet6(p_6)'!$M19)</f>
        <v>1244.3405023363634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19104</v>
      </c>
      <c r="L20" s="5">
        <f>($K20)*Partcipation!$E77*Title_RESULTS!$C$12/100</f>
        <v>529.4705750496374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750.7223057598139</v>
      </c>
      <c r="N20" s="5">
        <f>'Sheet2(F_12)'!$I20*('Sheet6(p_6)'!$L20+'Sheet6(p_6)'!$M20)</f>
        <v>1280.1928808094513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19104</v>
      </c>
      <c r="L21" s="5">
        <f>($K21)*Partcipation!$E78*Title_RESULTS!$C$12/100</f>
        <v>559.8614855334221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758.2295288174118</v>
      </c>
      <c r="N21" s="5">
        <f>'Sheet2(F_12)'!$I21*('Sheet6(p_6)'!$L21+'Sheet6(p_6)'!$M21)</f>
        <v>1318.091014350834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19104</v>
      </c>
      <c r="L22" s="5">
        <f>($K22)*Partcipation!$E79*Title_RESULTS!$C$12/100</f>
        <v>585.1751559358466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765.8118241055862</v>
      </c>
      <c r="N22" s="5">
        <f>'Sheet2(F_12)'!$I22*('Sheet6(p_6)'!$L22+'Sheet6(p_6)'!$M22)</f>
        <v>1350.9869800414328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19104</v>
      </c>
      <c r="L23" s="5">
        <f>($K23)*Partcipation!$E80*Title_RESULTS!$C$12/100</f>
        <v>619.6308355238523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773.4699423466418</v>
      </c>
      <c r="N23" s="5">
        <f>'Sheet2(F_12)'!$I23*('Sheet6(p_6)'!$L23+'Sheet6(p_6)'!$M23)</f>
        <v>1393.100777870494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19104</v>
      </c>
      <c r="L24" s="5">
        <f>($K24)*Partcipation!$E81*Title_RESULTS!$C$12/100</f>
        <v>678.3068465472352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781.2046417701085</v>
      </c>
      <c r="N24" s="5">
        <f>'Sheet2(F_12)'!$I24*('Sheet6(p_6)'!$L24+'Sheet6(p_6)'!$M24)</f>
        <v>1459.5114883173437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19104</v>
      </c>
      <c r="L25" s="5">
        <f>($K25)*Partcipation!$E82*Title_RESULTS!$C$12/100</f>
        <v>712.8650530097797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789.0166881878096</v>
      </c>
      <c r="N25" s="5">
        <f>'Sheet2(F_12)'!$I25*('Sheet6(p_6)'!$L25+'Sheet6(p_6)'!$M25)</f>
        <v>1501.8817411975892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19104</v>
      </c>
      <c r="L26" s="5">
        <f>($K26)*Partcipation!$E83*Title_RESULTS!$C$12/100</f>
        <v>776.7035351267211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796.9068550696877</v>
      </c>
      <c r="N26" s="5">
        <f>'Sheet2(F_12)'!$I26*('Sheet6(p_6)'!$L26+'Sheet6(p_6)'!$M26)</f>
        <v>1573.6103901964088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19104</v>
      </c>
      <c r="L27" s="5">
        <f>($K27)*Partcipation!$E84*Title_RESULTS!$C$12/100</f>
        <v>803.4781231560618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804.8759236203844</v>
      </c>
      <c r="N27" s="5">
        <f>'Sheet2(F_12)'!$I27*('Sheet6(p_6)'!$L27+'Sheet6(p_6)'!$M27)</f>
        <v>1608.354046776446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87</v>
      </c>
      <c r="B29" s="5">
        <f aca="true" t="shared" si="4" ref="B29:R29">SUM(B16:B28)</f>
        <v>122.90304</v>
      </c>
      <c r="C29" s="5">
        <f t="shared" si="4"/>
        <v>0</v>
      </c>
      <c r="D29" s="5">
        <f t="shared" si="4"/>
        <v>122.90304</v>
      </c>
      <c r="E29" s="5">
        <f t="shared" si="4"/>
        <v>1237.5</v>
      </c>
      <c r="F29" s="5">
        <f t="shared" si="4"/>
        <v>0</v>
      </c>
      <c r="G29" s="5">
        <f t="shared" si="4"/>
        <v>1237.5</v>
      </c>
      <c r="H29" s="5">
        <f t="shared" si="4"/>
        <v>3655.8090389999998</v>
      </c>
      <c r="I29" s="5">
        <f t="shared" si="4"/>
        <v>0</v>
      </c>
      <c r="J29" s="5">
        <f t="shared" si="4"/>
        <v>3655.8090389999998</v>
      </c>
      <c r="K29" s="5">
        <f t="shared" si="4"/>
        <v>200592</v>
      </c>
      <c r="L29" s="5">
        <f t="shared" si="4"/>
        <v>6508.676641800718</v>
      </c>
      <c r="M29" s="5">
        <f t="shared" si="4"/>
        <v>8061.362280335823</v>
      </c>
      <c r="N29" s="5">
        <f t="shared" si="4"/>
        <v>14570.03892213654</v>
      </c>
      <c r="O29" s="5">
        <f t="shared" si="4"/>
        <v>0</v>
      </c>
      <c r="P29" s="5">
        <f t="shared" si="4"/>
        <v>0</v>
      </c>
      <c r="Q29" s="5">
        <f t="shared" si="4"/>
        <v>0</v>
      </c>
      <c r="R29" s="5">
        <f t="shared" si="4"/>
        <v>0</v>
      </c>
    </row>
    <row r="30" spans="2:18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t="s">
        <v>89</v>
      </c>
      <c r="B31" s="5">
        <f>NPV(Title_RESULTS!$C$37,'Sheet6(p_6)'!B17:B28)+'Sheet6(p_6)'!B16</f>
        <v>114.83173044385765</v>
      </c>
      <c r="C31" s="5">
        <f>NPV(Title_RESULTS!$C$37,'Sheet6(p_6)'!C17:C28)+'Sheet6(p_6)'!C16</f>
        <v>0</v>
      </c>
      <c r="D31" s="5">
        <f>NPV(Title_RESULTS!$C$37,'Sheet6(p_6)'!D17:D28)+'Sheet6(p_6)'!D16</f>
        <v>114.83173044385765</v>
      </c>
      <c r="E31" s="5">
        <f>NPV(Title_RESULTS!$C$37,'Sheet6(p_6)'!E17:E28)+'Sheet6(p_6)'!E16</f>
        <v>1157.4813216780865</v>
      </c>
      <c r="F31" s="5">
        <f>NPV(Title_RESULTS!$C$37,'Sheet6(p_6)'!F17:F28)+'Sheet6(p_6)'!F16</f>
        <v>0</v>
      </c>
      <c r="G31" s="5">
        <f>NPV(Title_RESULTS!$C$37,'Sheet6(p_6)'!G17:G28)+'Sheet6(p_6)'!G16</f>
        <v>1157.4813216780865</v>
      </c>
      <c r="H31" s="5">
        <f>NPV(Title_RESULTS!$C$37,'Sheet6(p_6)'!H17:H28)+'Sheet6(p_6)'!H16</f>
        <v>3415.8762785311696</v>
      </c>
      <c r="I31" s="5">
        <f>NPV(Title_RESULTS!$C$37,'Sheet6(p_6)'!I17:I28)+'Sheet6(p_6)'!I16</f>
        <v>0</v>
      </c>
      <c r="J31" s="5">
        <f>NPV(Title_RESULTS!$C$37,'Sheet6(p_6)'!J17:J28)+'Sheet6(p_6)'!J16</f>
        <v>3415.8762785311696</v>
      </c>
      <c r="K31" s="5"/>
      <c r="L31" s="5">
        <f>NPV(Title_RESULTS!$C$37,'Sheet6(p_6)'!L17:L28)+'Sheet6(p_6)'!L16</f>
        <v>4200.816560580257</v>
      </c>
      <c r="M31" s="5">
        <f>NPV(Title_RESULTS!$C$37,'Sheet6(p_6)'!M17:M28)+'Sheet6(p_6)'!M16</f>
        <v>5357.098333181129</v>
      </c>
      <c r="N31" s="5">
        <f>NPV(Title_RESULTS!$C$37,'Sheet6(p_6)'!N17:N28)+'Sheet6(p_6)'!N16</f>
        <v>9557.914893761388</v>
      </c>
      <c r="O31" s="5"/>
      <c r="P31" s="5">
        <f>NPV(Title_RESULTS!$C$37,'Sheet6(p_6)'!P17:P28)+'Sheet6(p_6)'!P16</f>
        <v>0</v>
      </c>
      <c r="Q31" s="5">
        <f>NPV(Title_RESULTS!$C$37,'Sheet6(p_6)'!Q17:Q28)+'Sheet6(p_6)'!Q16</f>
        <v>0</v>
      </c>
      <c r="R31" s="5">
        <f>NPV(Title_RESULTS!$C$37,'Sheet6(p_6)'!R17:R28)+'Sheet6(p_6)'!R16</f>
        <v>0</v>
      </c>
    </row>
    <row r="33" ht="12.75">
      <c r="A33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ENERGY STAR Oven</v>
      </c>
      <c r="M2" t="s">
        <v>55</v>
      </c>
    </row>
    <row r="3" ht="12.75">
      <c r="M3" s="35">
        <f>+Title_RESULTS!I4</f>
        <v>43599.31895555556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1191</v>
      </c>
      <c r="E16" s="5">
        <f>IF(A16&gt;=(Title_RESULTS!$H$7+Title_RESULTS!$C$17),0,(+'f-11B'!$N15))</f>
        <v>0</v>
      </c>
      <c r="F16" s="5">
        <f>IF(A16&gt;=(Title_RESULTS!$H$7+Title_RESULTS!$C$17),0,(SUM(B16:E16)))</f>
        <v>1231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97.42467765198968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97.42467765198968</v>
      </c>
      <c r="L16" s="23">
        <f>IF(A16&gt;=(Title_RESULTS!$H$7+Title_RESULTS!$C$17),0,(+$K16-$F16))</f>
        <v>-1133.5753223480103</v>
      </c>
      <c r="M16" s="23">
        <f>IF(A16&gt;=(Title_RESULTS!$H$7+Title_RESULTS!$C$17),0,(+$L16/(1+Title_RESULTS!$C$37)^('Sheet7(F_23)'!$A16-Title_RESULTS!$H$7)))</f>
        <v>-1133.5753223480103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1218.3929999999998</v>
      </c>
      <c r="E17" s="5">
        <f>IF(A17&gt;=(Title_RESULTS!$H$7+Title_RESULTS!$C$17),0,(+'f-11B'!$N16))</f>
        <v>0</v>
      </c>
      <c r="F17" s="5">
        <f>IF(A17&gt;=(Title_RESULTS!$H$7+Title_RESULTS!$C$17),0,(SUM(B17:E17)))</f>
        <v>1259.3529999999998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81.44784798566975</v>
      </c>
      <c r="I17" s="5">
        <f>IF(A17&gt;=(Title_RESULTS!$H$7+Title_RESULTS!$C$17),0,(+'Sheet4(F_22)'!$H17))</f>
        <v>289.8967188794482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371.34456686511794</v>
      </c>
      <c r="L17" s="23">
        <f>IF(A17&gt;=(Title_RESULTS!$H$7+Title_RESULTS!$C$17),0,(+$K17-$F17))</f>
        <v>-888.0084331348819</v>
      </c>
      <c r="M17" s="23">
        <f>IF(A17&gt;=(Title_RESULTS!$H$7+Title_RESULTS!$C$17),0,(+M16+$L17/(1+Title_RESULTS!$C$37)^('Sheet7(F_23)'!$A17-Title_RESULTS!$H$7)))</f>
        <v>-1962.8697126495435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1246.4160389999997</v>
      </c>
      <c r="E18" s="5">
        <f>IF(A18&gt;=(Title_RESULTS!$H$7+Title_RESULTS!$C$17),0,(+'f-11B'!$N17))</f>
        <v>0</v>
      </c>
      <c r="F18" s="5">
        <f>IF(A18&gt;=(Title_RESULTS!$H$7+Title_RESULTS!$C$17),0,(SUM(B18:E18)))</f>
        <v>1288.3590789999998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83.40259633732582</v>
      </c>
      <c r="I18" s="5">
        <f>IF(A18&gt;=(Title_RESULTS!$H$7+Title_RESULTS!$C$17),0,(+'Sheet4(F_22)'!$H18))</f>
        <v>498.6546956181082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582.057291955434</v>
      </c>
      <c r="L18" s="23">
        <f>IF(A18&gt;=(Title_RESULTS!$H$7+Title_RESULTS!$C$17),0,(+$K18-$F18))</f>
        <v>-706.3017870445658</v>
      </c>
      <c r="M18" s="23">
        <f>IF(A18&gt;=(Title_RESULTS!$H$7+Title_RESULTS!$C$17),0,(+M17+$L18/(1+Title_RESULTS!$C$37)^('Sheet7(F_23)'!$A18-Title_RESULTS!$H$7)))</f>
        <v>-2578.859596595499</v>
      </c>
    </row>
    <row r="19" spans="1:13" ht="12.75">
      <c r="A19">
        <f aca="true" t="shared" si="0" ref="A19:A27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240.6540714750099</v>
      </c>
      <c r="H19" s="5">
        <f>IF(A19&gt;=(Title_RESULTS!$H$7+Title_RESULTS!$C$17),0,(+'Sheet4(F_22)'!$D19+'Sheet4(F_22)'!$G19))</f>
        <v>85.40425864942165</v>
      </c>
      <c r="I19" s="5">
        <f>IF(A19&gt;=(Title_RESULTS!$H$7+Title_RESULTS!$C$17),0,(+'Sheet4(F_22)'!$H19))</f>
        <v>622.9336839874381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948.9920141118697</v>
      </c>
      <c r="L19" s="23">
        <f>IF(A19&gt;=(Title_RESULTS!$H$7+Title_RESULTS!$C$17),0,(+$K19-$F19))</f>
        <v>948.9920141118697</v>
      </c>
      <c r="M19" s="23">
        <f>IF(A19&gt;=(Title_RESULTS!$H$7+Title_RESULTS!$C$17),0,(+M18+$L19/(1+Title_RESULTS!$C$37)^('Sheet7(F_23)'!$A19-Title_RESULTS!$H$7)))</f>
        <v>-1805.9343908229866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247.07098774208606</v>
      </c>
      <c r="H20" s="5">
        <f>IF(A20&gt;=(Title_RESULTS!$H$7+Title_RESULTS!$C$17),0,(+'Sheet4(F_22)'!$D20+'Sheet4(F_22)'!$G20))</f>
        <v>87.45396085700777</v>
      </c>
      <c r="I20" s="5">
        <f>IF(A20&gt;=(Title_RESULTS!$H$7+Title_RESULTS!$C$17),0,(+'Sheet4(F_22)'!$H20))</f>
        <v>647.4126297910278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981.9375783901216</v>
      </c>
      <c r="L20" s="23">
        <f>IF(A20&gt;=(Title_RESULTS!$H$7+Title_RESULTS!$C$17),0,(+$K20-$F20))</f>
        <v>981.9375783901216</v>
      </c>
      <c r="M20" s="23">
        <f>IF(A20&gt;=(Title_RESULTS!$H$7+Title_RESULTS!$C$17),0,(+M19+$L20/(1+Title_RESULTS!$C$37)^('Sheet7(F_23)'!$A20-Title_RESULTS!$H$7)))</f>
        <v>-1059.0550777838316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254.0910906100611</v>
      </c>
      <c r="H21" s="5">
        <f>IF(A21&gt;=(Title_RESULTS!$H$7+Title_RESULTS!$C$17),0,(+'Sheet4(F_22)'!$D21+'Sheet4(F_22)'!$G21))</f>
        <v>89.55285591757595</v>
      </c>
      <c r="I21" s="5">
        <f>IF(A21&gt;=(Title_RESULTS!$H$7+Title_RESULTS!$C$17),0,(+'Sheet4(F_22)'!$H21))</f>
        <v>695.1262508910852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1038.770197418722</v>
      </c>
      <c r="L21" s="23">
        <f>IF(A21&gt;=(Title_RESULTS!$H$7+Title_RESULTS!$C$17),0,(+$K21-$F21))</f>
        <v>1038.770197418722</v>
      </c>
      <c r="M21" s="23">
        <f>IF(A21&gt;=(Title_RESULTS!$H$7+Title_RESULTS!$C$17),0,(+M20+$L21/(1+Title_RESULTS!$C$37)^('Sheet7(F_23)'!$A21-Title_RESULTS!$H$7)))</f>
        <v>-321.18878977489817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261.953182353697</v>
      </c>
      <c r="H22" s="5">
        <f>IF(A22&gt;=(Title_RESULTS!$H$7+Title_RESULTS!$C$17),0,(+'Sheet4(F_22)'!$D22+'Sheet4(F_22)'!$G22))</f>
        <v>91.70212445959777</v>
      </c>
      <c r="I22" s="5">
        <f>IF(A22&gt;=(Title_RESULTS!$H$7+Title_RESULTS!$C$17),0,(+'Sheet4(F_22)'!$H22))</f>
        <v>717.422164422095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1071.0774712353898</v>
      </c>
      <c r="L22" s="23">
        <f>IF(A22&gt;=(Title_RESULTS!$H$7+Title_RESULTS!$C$17),0,(+$K22-$F22))</f>
        <v>1071.0774712353898</v>
      </c>
      <c r="M22" s="23">
        <f>IF(A22&gt;=(Title_RESULTS!$H$7+Title_RESULTS!$C$17),0,(+M21+$L22/(1+Title_RESULTS!$C$37)^('Sheet7(F_23)'!$A22-Title_RESULTS!$H$7)))</f>
        <v>389.32205234647586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269.0048550840334</v>
      </c>
      <c r="H23" s="5">
        <f>IF(A23&gt;=(Title_RESULTS!$H$7+Title_RESULTS!$C$17),0,(+'Sheet4(F_22)'!$D23+'Sheet4(F_22)'!$G23))</f>
        <v>93.90297544662812</v>
      </c>
      <c r="I23" s="5">
        <f>IF(A23&gt;=(Title_RESULTS!$H$7+Title_RESULTS!$C$17),0,(+'Sheet4(F_22)'!$H23))</f>
        <v>762.2578386605784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1125.1656691912399</v>
      </c>
      <c r="L23" s="23">
        <f>IF(A23&gt;=(Title_RESULTS!$H$7+Title_RESULTS!$C$17),0,(+$K23-$F23))</f>
        <v>1125.1656691912399</v>
      </c>
      <c r="M23" s="23">
        <f>IF(A23&gt;=(Title_RESULTS!$H$7+Title_RESULTS!$C$17),0,(+M22+$L23/(1+Title_RESULTS!$C$37)^('Sheet7(F_23)'!$A23-Title_RESULTS!$H$7)))</f>
        <v>1086.3624278618768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273.36279072639144</v>
      </c>
      <c r="H24" s="5">
        <f>IF(A24&gt;=(Title_RESULTS!$H$7+Title_RESULTS!$C$17),0,(+'Sheet4(F_22)'!$D24+'Sheet4(F_22)'!$G24))</f>
        <v>96.1566468573472</v>
      </c>
      <c r="I24" s="5">
        <f>IF(A24&gt;=(Title_RESULTS!$H$7+Title_RESULTS!$C$17),0,(+'Sheet4(F_22)'!$H24))</f>
        <v>844.6698331450353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1214.1892707287739</v>
      </c>
      <c r="L24" s="23">
        <f>IF(A24&gt;=(Title_RESULTS!$H$7+Title_RESULTS!$C$17),0,(+$K24-$F24))</f>
        <v>1214.1892707287739</v>
      </c>
      <c r="M24" s="23">
        <f>IF(A24&gt;=(Title_RESULTS!$H$7+Title_RESULTS!$C$17),0,(+M23+$L24/(1+Title_RESULTS!$C$37)^('Sheet7(F_23)'!$A24-Title_RESULTS!$H$7)))</f>
        <v>1788.8190172622199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280.7881361861806</v>
      </c>
      <c r="H25" s="5">
        <f>IF(A25&gt;=(Title_RESULTS!$H$7+Title_RESULTS!$C$17),0,(+'Sheet4(F_22)'!$D25+'Sheet4(F_22)'!$G25))</f>
        <v>98.46440638192352</v>
      </c>
      <c r="I25" s="5">
        <f>IF(A25&gt;=(Title_RESULTS!$H$7+Title_RESULTS!$C$17),0,(+'Sheet4(F_22)'!$H25))</f>
        <v>904.9490780879718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1284.2016206560759</v>
      </c>
      <c r="L25" s="23">
        <f>IF(A25&gt;=(Title_RESULTS!$H$7+Title_RESULTS!$C$17),0,(+$K25-$F25))</f>
        <v>1284.2016206560759</v>
      </c>
      <c r="M25" s="23">
        <f>IF(A25&gt;=(Title_RESULTS!$H$7+Title_RESULTS!$C$17),0,(+M24+$L25/(1+Title_RESULTS!$C$37)^('Sheet7(F_23)'!$A25-Title_RESULTS!$H$7)))</f>
        <v>2482.656808775125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285.28430599745036</v>
      </c>
      <c r="H26" s="5">
        <f>IF(A26&gt;=(Title_RESULTS!$H$7+Title_RESULTS!$C$17),0,(+'Sheet4(F_22)'!$D26+'Sheet4(F_22)'!$G26))</f>
        <v>100.82755213508969</v>
      </c>
      <c r="I26" s="5">
        <f>IF(A26&gt;=(Title_RESULTS!$H$7+Title_RESULTS!$C$17),0,(+'Sheet4(F_22)'!$H26))</f>
        <v>1010.7779858582361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1396.8898439907762</v>
      </c>
      <c r="L26" s="23">
        <f>IF(A26&gt;=(Title_RESULTS!$H$7+Title_RESULTS!$C$17),0,(+$K26-$F26))</f>
        <v>1396.8898439907762</v>
      </c>
      <c r="M26" s="23">
        <f>IF(A26&gt;=(Title_RESULTS!$H$7+Title_RESULTS!$C$17),0,(+M25+$L26/(1+Title_RESULTS!$C$37)^('Sheet7(F_23)'!$A26-Title_RESULTS!$H$7)))</f>
        <v>3187.4773209056966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295.13193225214695</v>
      </c>
      <c r="H27" s="5">
        <f>IF(A27&gt;=(Title_RESULTS!$H$7+Title_RESULTS!$C$17),0,(+'Sheet4(F_22)'!$D27+'Sheet4(F_22)'!$G27))</f>
        <v>103.24741338633186</v>
      </c>
      <c r="I27" s="5">
        <f>IF(A27&gt;=(Title_RESULTS!$H$7+Title_RESULTS!$C$17),0,(+'Sheet4(F_22)'!$H27))</f>
        <v>1007.0190586285958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1405.3984042670745</v>
      </c>
      <c r="L27" s="23">
        <f>IF(A27&gt;=(Title_RESULTS!$H$7+Title_RESULTS!$C$17),0,(+$K27-$F27))</f>
        <v>1405.3984042670745</v>
      </c>
      <c r="M27" s="23">
        <f>IF(A27&gt;=(Title_RESULTS!$H$7+Title_RESULTS!$C$17),0,(+M26+$L27/(1+Title_RESULTS!$C$37)^('Sheet7(F_23)'!$A27-Title_RESULTS!$H$7)))</f>
        <v>3849.7052126352296</v>
      </c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87</v>
      </c>
      <c r="B29" s="5">
        <f aca="true" t="shared" si="1" ref="B29:L29">SUM(B16:B28)</f>
        <v>0</v>
      </c>
      <c r="C29" s="5">
        <f t="shared" si="1"/>
        <v>122.90304</v>
      </c>
      <c r="D29" s="5">
        <f t="shared" si="1"/>
        <v>3655.8090389999998</v>
      </c>
      <c r="E29" s="5">
        <f t="shared" si="1"/>
        <v>0</v>
      </c>
      <c r="F29" s="5">
        <f t="shared" si="1"/>
        <v>3778.712079</v>
      </c>
      <c r="G29" s="5">
        <f t="shared" si="1"/>
        <v>2407.3413524270563</v>
      </c>
      <c r="H29" s="5">
        <f t="shared" si="1"/>
        <v>1011.5626384139191</v>
      </c>
      <c r="I29" s="5">
        <f t="shared" si="1"/>
        <v>8098.544615621609</v>
      </c>
      <c r="J29" s="5">
        <f t="shared" si="1"/>
        <v>0</v>
      </c>
      <c r="K29" s="5">
        <f t="shared" si="1"/>
        <v>11517.448606462585</v>
      </c>
      <c r="L29" s="5">
        <f t="shared" si="1"/>
        <v>7738.736527462585</v>
      </c>
      <c r="M29" s="5"/>
    </row>
    <row r="30" spans="2:13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t="s">
        <v>118</v>
      </c>
      <c r="B31" s="5">
        <f>NPV(Title_RESULTS!$C$37,'Sheet7(F_23)'!B17:B28)+'Sheet7(F_23)'!B16</f>
        <v>0</v>
      </c>
      <c r="C31" s="5">
        <f>NPV(Title_RESULTS!$C$37,'Sheet7(F_23)'!C17:C28)+'Sheet7(F_23)'!C16</f>
        <v>114.83173044385765</v>
      </c>
      <c r="D31" s="5">
        <f>NPV(Title_RESULTS!$C$37,'Sheet7(F_23)'!D17:D28)+'Sheet7(F_23)'!D16</f>
        <v>3415.8762785311696</v>
      </c>
      <c r="E31" s="5">
        <f>NPV(Title_RESULTS!$C$37,'Sheet7(F_23)'!E17:E28)+'Sheet7(F_23)'!E16</f>
        <v>0</v>
      </c>
      <c r="F31" s="5">
        <f>NPV(Title_RESULTS!$C$37,'Sheet7(F_23)'!F17:F28)+'Sheet7(F_23)'!F16</f>
        <v>3530.7080089750275</v>
      </c>
      <c r="G31" s="5">
        <f>NPV(Title_RESULTS!$C$37,'Sheet7(F_23)'!G17:G28)+'Sheet7(F_23)'!G16</f>
        <v>1497.706540957771</v>
      </c>
      <c r="H31" s="5">
        <f>NPV(Title_RESULTS!$C$37,'Sheet7(F_23)'!H17:H28)+'Sheet7(F_23)'!H16</f>
        <v>675.8493424611471</v>
      </c>
      <c r="I31" s="5">
        <f>NPV(Title_RESULTS!$C$37,'Sheet7(F_23)'!I17:I28)+'Sheet7(F_23)'!I16</f>
        <v>5206.857338191338</v>
      </c>
      <c r="J31" s="5">
        <f>NPV(Title_RESULTS!$C$37,'Sheet7(F_23)'!J17:J28)+'Sheet7(F_23)'!J16</f>
        <v>0</v>
      </c>
      <c r="K31" s="5">
        <f>NPV(Title_RESULTS!$C$37,'Sheet7(F_23)'!K17:K28)+'Sheet7(F_23)'!K16</f>
        <v>7380.413221610257</v>
      </c>
      <c r="L31" s="5">
        <f>NPV(Title_RESULTS!$C$37,'Sheet7(F_23)'!L17:L28)+'Sheet7(F_23)'!L16</f>
        <v>3849.7052126352282</v>
      </c>
      <c r="M31" s="5"/>
    </row>
    <row r="33" spans="1:8" ht="12.75">
      <c r="A33" t="s">
        <v>162</v>
      </c>
      <c r="C33">
        <f>+Title_RESULTS!C37</f>
        <v>0.0708</v>
      </c>
      <c r="D33" t="s">
        <v>163</v>
      </c>
      <c r="H33" s="10">
        <f>+K31/F31</f>
        <v>2.0903493584995743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ENERGY STAR Oven</v>
      </c>
      <c r="L2" t="s">
        <v>55</v>
      </c>
    </row>
    <row r="3" ht="12.75">
      <c r="L3" s="35">
        <f>+Title_RESULTS!I4</f>
        <v>43599.31895555556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197.75629332332392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412.5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610.2562933233239</v>
      </c>
      <c r="G16" s="5">
        <f>IF(A16&gt;=(Title_RESULTS!$H$7+Title_RESULTS!$C$17),0,(+'Sheet6(p_6)'!$H16))</f>
        <v>1191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1191</v>
      </c>
      <c r="K16" s="23">
        <f>IF(A16&gt;=(Title_RESULTS!$H$7+Title_RESULTS!$C$17),0,(+F16-J16))</f>
        <v>-580.7437066766761</v>
      </c>
      <c r="L16" s="23">
        <f>IF(A16&gt;=(Title_RESULTS!$H$7+Title_RESULTS!$C$17),0,(+$K16/((1+Title_RESULTS!$C$37)^('Sheet8(F_24)'!$A16-Title_RESULTS!$H$7))))</f>
        <v>-580.7437066766761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607.9440909428556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412.5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1020.4440909428556</v>
      </c>
      <c r="G17" s="5">
        <f>IF(A17&gt;=(Title_RESULTS!$H$7+Title_RESULTS!$C$17),0,(+'Sheet6(p_6)'!$H17))</f>
        <v>1218.3929999999998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1218.3929999999998</v>
      </c>
      <c r="K17" s="23">
        <f>IF(A17&gt;=(Title_RESULTS!$H$7+Title_RESULTS!$C$17),0,(+F17-J17))</f>
        <v>-197.9489090571442</v>
      </c>
      <c r="L17" s="23">
        <f>IF(A16&gt;=(Title_RESULTS!$H$7+Title_RESULTS!$C$17),0,(+$K17/((1+Title_RESULTS!$C$37)^('Sheet8(F_24)'!$A17-Title_RESULTS!$H$7))+L16))</f>
        <v>-765.6044734465156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1034.2687159739994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412.5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1446.7687159739994</v>
      </c>
      <c r="G18" s="5">
        <f>IF(A18&gt;=(Title_RESULTS!$H$7+Title_RESULTS!$C$17),0,(+'Sheet6(p_6)'!$H18))</f>
        <v>1246.4160389999997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1246.4160389999997</v>
      </c>
      <c r="K18" s="23">
        <f>IF(A18&gt;=(Title_RESULTS!$H$7+Title_RESULTS!$C$17),0,(+F18-J18))</f>
        <v>200.35267697399968</v>
      </c>
      <c r="L18" s="23">
        <f>IF(A17&gt;=(Title_RESULTS!$H$7+Title_RESULTS!$C$17),0,(+$K18/((1+Title_RESULTS!$C$37)^('Sheet8(F_24)'!$A18-Title_RESULTS!$H$7))+L17))</f>
        <v>-590.8700688318938</v>
      </c>
      <c r="M18" s="5"/>
    </row>
    <row r="19" spans="1:13" ht="12.75">
      <c r="A19">
        <f aca="true" t="shared" si="0" ref="A19:A27">+A18+1</f>
        <v>2023</v>
      </c>
      <c r="B19" s="5">
        <f>IF(A19&gt;=(Title_RESULTS!$H$7+Title_RESULTS!$C$17),0,(+'Sheet6(p_6)'!N19-'Sheet6(p_6)'!R19))</f>
        <v>1244.3405023363634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1244.3405023363634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1244.3405023363634</v>
      </c>
      <c r="L19" s="23">
        <f>IF(A18&gt;=(Title_RESULTS!$H$7+Title_RESULTS!$C$17),0,(+$K19/((1+Title_RESULTS!$C$37)^('Sheet8(F_24)'!$A19-Title_RESULTS!$H$7))+L18))</f>
        <v>422.60752056542606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1280.1928808094513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1280.1928808094513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1280.1928808094513</v>
      </c>
      <c r="L20" s="23">
        <f>IF(A19&gt;=(Title_RESULTS!$H$7+Title_RESULTS!$C$17),0,(+$K20/((1+Title_RESULTS!$C$37)^('Sheet8(F_24)'!$A20-Title_RESULTS!$H$7))+L19))</f>
        <v>1396.3451597177836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1318.091014350834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1318.091014350834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1318.091014350834</v>
      </c>
      <c r="L21" s="23">
        <f>IF(A20&gt;=(Title_RESULTS!$H$7+Title_RESULTS!$C$17),0,(+$K21/((1+Title_RESULTS!$C$37)^('Sheet8(F_24)'!$A21-Title_RESULTS!$H$7))+L20))</f>
        <v>2332.6205038061744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1350.9869800414328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1350.9869800414328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1350.9869800414328</v>
      </c>
      <c r="L22" s="23">
        <f>IF(A21&gt;=(Title_RESULTS!$H$7+Title_RESULTS!$C$17),0,(+$K22/((1+Title_RESULTS!$C$37)^('Sheet8(F_24)'!$A22-Title_RESULTS!$H$7))+L21))</f>
        <v>3228.8123504866053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1393.100777870494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1393.100777870494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1393.100777870494</v>
      </c>
      <c r="L23" s="23">
        <f>IF(A22&gt;=(Title_RESULTS!$H$7+Title_RESULTS!$C$17),0,(+$K23/((1+Title_RESULTS!$C$37)^('Sheet8(F_24)'!$A23-Title_RESULTS!$H$7))+L22))</f>
        <v>4091.838583801765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1459.5114883173437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1459.5114883173437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1459.5114883173437</v>
      </c>
      <c r="L24" s="23">
        <f>IF(A23&gt;=(Title_RESULTS!$H$7+Title_RESULTS!$C$17),0,(+$K24/((1+Title_RESULTS!$C$37)^('Sheet8(F_24)'!$A24-Title_RESULTS!$H$7))+L23))</f>
        <v>4936.223793744078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1501.8817411975892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1501.8817411975892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1501.8817411975892</v>
      </c>
      <c r="L25" s="23">
        <f>IF(A24&gt;=(Title_RESULTS!$H$7+Title_RESULTS!$C$17),0,(+$K25/((1+Title_RESULTS!$C$37)^('Sheet8(F_24)'!$A25-Title_RESULTS!$H$7))+L24))</f>
        <v>5747.671383954811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1573.6103901964088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1573.6103901964088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1573.6103901964088</v>
      </c>
      <c r="L26" s="23">
        <f>IF(A25&gt;=(Title_RESULTS!$H$7+Title_RESULTS!$C$17),0,(+$K26/((1+Title_RESULTS!$C$37)^('Sheet8(F_24)'!$A26-Title_RESULTS!$H$7))+L25))</f>
        <v>6541.658745151164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1608.354046776446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1608.354046776446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1608.354046776446</v>
      </c>
      <c r="L27" s="23">
        <f>IF(A26&gt;=(Title_RESULTS!$H$7+Title_RESULTS!$C$17),0,(+$K27/((1+Title_RESULTS!$C$37)^('Sheet8(F_24)'!$A27-Title_RESULTS!$H$7))+L26))</f>
        <v>7299.519936908305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87</v>
      </c>
      <c r="B29" s="5">
        <f aca="true" t="shared" si="1" ref="B29:K29">SUM(B16:B28)</f>
        <v>14570.03892213654</v>
      </c>
      <c r="C29" s="5">
        <f t="shared" si="1"/>
        <v>0</v>
      </c>
      <c r="D29" s="5">
        <f t="shared" si="1"/>
        <v>1237.5</v>
      </c>
      <c r="E29" s="5">
        <f t="shared" si="1"/>
        <v>0</v>
      </c>
      <c r="F29" s="5">
        <f t="shared" si="1"/>
        <v>15807.53892213654</v>
      </c>
      <c r="G29" s="5">
        <f t="shared" si="1"/>
        <v>3655.8090389999998</v>
      </c>
      <c r="H29" s="5">
        <f t="shared" si="1"/>
        <v>0</v>
      </c>
      <c r="I29" s="5">
        <f t="shared" si="1"/>
        <v>0</v>
      </c>
      <c r="J29" s="5">
        <f t="shared" si="1"/>
        <v>3655.8090389999998</v>
      </c>
      <c r="K29" s="5">
        <f t="shared" si="1"/>
        <v>12151.729883136544</v>
      </c>
      <c r="L29" s="5"/>
      <c r="M29" s="5"/>
    </row>
    <row r="30" ht="12.75">
      <c r="M30" s="5"/>
    </row>
    <row r="31" spans="1:13" ht="12.75">
      <c r="A31" t="s">
        <v>118</v>
      </c>
      <c r="B31" s="5">
        <f>NPV(Title_RESULTS!$C$37,'Sheet8(F_24)'!B17:B28)+'Sheet8(F_24)'!B16</f>
        <v>9557.914893761388</v>
      </c>
      <c r="C31" s="5">
        <f>NPV(Title_RESULTS!$C$37,'Sheet8(F_24)'!C17:C28)+'Sheet8(F_24)'!C16</f>
        <v>0</v>
      </c>
      <c r="D31" s="5">
        <f>NPV(Title_RESULTS!$C$37,'Sheet8(F_24)'!D17:D28)+'Sheet8(F_24)'!D16</f>
        <v>1157.4813216780865</v>
      </c>
      <c r="E31" s="5">
        <f>NPV(Title_RESULTS!$C$37,'Sheet8(F_24)'!E17:E28)+'Sheet8(F_24)'!E16</f>
        <v>0</v>
      </c>
      <c r="F31" s="5">
        <f>NPV(Title_RESULTS!$C$37,'Sheet8(F_24)'!F17:F28)+'Sheet8(F_24)'!F16</f>
        <v>10715.396215439474</v>
      </c>
      <c r="G31" s="5">
        <f>NPV(Title_RESULTS!$C$37,'Sheet8(F_24)'!G17:G28)+'Sheet8(F_24)'!G16</f>
        <v>3415.8762785311696</v>
      </c>
      <c r="H31" s="5">
        <f>NPV(Title_RESULTS!$C$37,'Sheet8(F_24)'!H17:H28)+'Sheet8(F_24)'!H16</f>
        <v>0</v>
      </c>
      <c r="I31" s="5">
        <f>NPV(Title_RESULTS!$C$37,'Sheet8(F_24)'!I17:I28)+'Sheet8(F_24)'!I16</f>
        <v>0</v>
      </c>
      <c r="J31" s="5">
        <f>NPV(Title_RESULTS!$C$37,'Sheet8(F_24)'!J17:J28)+'Sheet8(F_24)'!J16</f>
        <v>3415.8762785311696</v>
      </c>
      <c r="K31" s="5">
        <f>NPV(Title_RESULTS!$C$37,'Sheet8(F_24)'!K17:K28)+'Sheet8(F_24)'!K16</f>
        <v>7299.519936908304</v>
      </c>
      <c r="L31" s="5"/>
      <c r="M31" s="5"/>
    </row>
    <row r="32" spans="2:12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1" ht="12.75">
      <c r="A33" t="s">
        <v>174</v>
      </c>
      <c r="D33">
        <f>+Title_RESULTS!H8</f>
        <v>2023</v>
      </c>
      <c r="F33">
        <f>+F31/J31</f>
        <v>3.136939204380993</v>
      </c>
      <c r="K33" s="10"/>
    </row>
    <row r="34" spans="1:10" ht="12.75">
      <c r="A34" t="s">
        <v>175</v>
      </c>
      <c r="D34">
        <f>+Title_RESULTS!C37</f>
        <v>0.0708</v>
      </c>
      <c r="J34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ENERGY STAR Oven</v>
      </c>
      <c r="N2" t="s">
        <v>55</v>
      </c>
    </row>
    <row r="3" ht="12.75">
      <c r="N3" s="35">
        <f>+Title_RESULTS!I4</f>
        <v>43599.31895555556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412.5</v>
      </c>
      <c r="E16" s="5">
        <f>+'Sheet6(p_6)'!M16</f>
        <v>120.23823</v>
      </c>
      <c r="F16">
        <f>IF(A16&gt;=(Title_RESULTS!$H$7+Title_RESULTS!$C$17),0,(+'f-11B'!$R15))</f>
        <v>0</v>
      </c>
      <c r="G16" s="5">
        <f>IF(A16&gt;=(Title_RESULTS!$H$7+Title_RESULTS!$C$17),0,(SUM(B16:F16)))</f>
        <v>572.73823</v>
      </c>
      <c r="H16" s="5">
        <f>IF(A16&gt;=(Title_RESULTS!$H$7+Title_RESULTS!$C$17),0,(+'Sheet3(F_21)'!$J16+'Sheet4(F_22)'!$H16))</f>
        <v>97.42467765198968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97.42467765198968</v>
      </c>
      <c r="M16" s="23">
        <f>IF(A16&gt;=(Title_RESULTS!$H$7+Title_RESULTS!$C$17),0,(+L16-G16))</f>
        <v>-475.3135523480104</v>
      </c>
      <c r="N16" s="24">
        <f>IF(A16&gt;=(Title_RESULTS!$H$7+Title_RESULTS!$C$17),0,(+$M16/((1+Title_RESULTS!$C$37)^('Sheet9(F_25)'!$A16-Title_RESULTS!$H$7))))</f>
        <v>-475.3135523480104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412.5</v>
      </c>
      <c r="E17" s="5">
        <f>+'Sheet6(p_6)'!M17</f>
        <v>364.3218369</v>
      </c>
      <c r="F17">
        <f>IF(A17&gt;=(Title_RESULTS!$H$7+Title_RESULTS!$C$17),0,(+'f-11B'!$R16))</f>
        <v>0</v>
      </c>
      <c r="G17" s="5">
        <f>IF(A17&gt;=(Title_RESULTS!$H$7+Title_RESULTS!$C$17),0,(SUM(B17:F17)))</f>
        <v>817.7818368999999</v>
      </c>
      <c r="H17" s="5">
        <f>IF(A17&gt;=(Title_RESULTS!$H$7+Title_RESULTS!$C$17),0,(+'Sheet3(F_21)'!$J17+'Sheet4(F_22)'!$H17))</f>
        <v>289.8967188794482</v>
      </c>
      <c r="I17" s="5">
        <f>IF(A17&gt;=(Title_RESULTS!$H$7+Title_RESULTS!$C$17),0,(+'Sheet4(F_22)'!$D17+'Sheet4(F_22)'!$G17))</f>
        <v>81.44784798566975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371.34456686511794</v>
      </c>
      <c r="M17" s="23">
        <f>IF(A17&gt;=(Title_RESULTS!$H$7+Title_RESULTS!$C$17),0,(+L17-G17))</f>
        <v>-446.437270034882</v>
      </c>
      <c r="N17" s="24">
        <f>(IF(A16&gt;=(Title_RESULTS!$H$7+Title_RESULTS!$C$17),0,(+$M17/((1+Title_RESULTS!$C$37)^('Sheet9(F_25)'!$A17-Title_RESULTS!$H$7))+N16)))</f>
        <v>-892.2329304156999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412.5</v>
      </c>
      <c r="E18" s="5">
        <f>+'Sheet6(p_6)'!M18</f>
        <v>613.275092115</v>
      </c>
      <c r="F18">
        <f>IF(A18&gt;=(Title_RESULTS!$H$7+Title_RESULTS!$C$17),0,(+'f-11B'!$R17))</f>
        <v>0</v>
      </c>
      <c r="G18" s="5">
        <f>IF(A18&gt;=(Title_RESULTS!$H$7+Title_RESULTS!$C$17),0,(SUM(B18:F18)))</f>
        <v>1067.7181321150001</v>
      </c>
      <c r="H18" s="5">
        <f>IF(A18&gt;=(Title_RESULTS!$H$7+Title_RESULTS!$C$17),0,(+'Sheet3(F_21)'!$J18+'Sheet4(F_22)'!$H18))</f>
        <v>498.6546956181082</v>
      </c>
      <c r="I18" s="5">
        <f>IF(A18&gt;=(Title_RESULTS!$H$7+Title_RESULTS!$C$17),0,(+'Sheet4(F_22)'!$D18+'Sheet4(F_22)'!$G18))</f>
        <v>83.40259633732582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582.057291955434</v>
      </c>
      <c r="M18" s="23">
        <f>IF(A18&gt;=(Title_RESULTS!$H$7+Title_RESULTS!$C$17),0,(+L18-G18))</f>
        <v>-485.6608401595661</v>
      </c>
      <c r="N18" s="24">
        <f>(IF(A17&gt;=(Title_RESULTS!$H$7+Title_RESULTS!$C$17),0,(+$M18/((1+Title_RESULTS!$C$37)^('Sheet9(F_25)'!$A18-Title_RESULTS!$H$7))+N17)))</f>
        <v>-1315.794317423928</v>
      </c>
    </row>
    <row r="19" spans="1:14" ht="12.75">
      <c r="A19">
        <f aca="true" t="shared" si="0" ref="A19:A27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743.2894116433799</v>
      </c>
      <c r="F19">
        <f>IF(A19&gt;=(Title_RESULTS!$H$7+Title_RESULTS!$C$17),0,(+'f-11B'!$R18))</f>
        <v>0</v>
      </c>
      <c r="G19" s="5">
        <f>IF(A19&gt;=(Title_RESULTS!$H$7+Title_RESULTS!$C$17),0,(SUM(B19:F19)))</f>
        <v>743.2894116433799</v>
      </c>
      <c r="H19" s="5">
        <f>IF(A19&gt;=(Title_RESULTS!$H$7+Title_RESULTS!$C$17),0,(+'Sheet3(F_21)'!$J19+'Sheet4(F_22)'!$H19))</f>
        <v>863.5877554624481</v>
      </c>
      <c r="I19" s="5">
        <f>IF(A19&gt;=(Title_RESULTS!$H$7+Title_RESULTS!$C$17),0,(+'Sheet4(F_22)'!$D19+'Sheet4(F_22)'!$G19))</f>
        <v>85.40425864942165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948.9920141118697</v>
      </c>
      <c r="M19" s="23">
        <f>IF(A19&gt;=(Title_RESULTS!$H$7+Title_RESULTS!$C$17),0,(+L19-G19))</f>
        <v>205.70260246848977</v>
      </c>
      <c r="N19" s="24">
        <f>(IF(A18&gt;=(Title_RESULTS!$H$7+Title_RESULTS!$C$17),0,(+$M19/((1+Title_RESULTS!$C$37)^('Sheet9(F_25)'!$A19-Title_RESULTS!$H$7))+N18)))</f>
        <v>-1148.2557881458974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750.7223057598139</v>
      </c>
      <c r="F20">
        <f>IF(A20&gt;=(Title_RESULTS!$H$7+Title_RESULTS!$C$17),0,(+'f-11B'!$R19))</f>
        <v>0</v>
      </c>
      <c r="G20" s="5">
        <f>IF(A20&gt;=(Title_RESULTS!$H$7+Title_RESULTS!$C$17),0,(SUM(B20:F20)))</f>
        <v>750.7223057598139</v>
      </c>
      <c r="H20" s="5">
        <f>IF(A20&gt;=(Title_RESULTS!$H$7+Title_RESULTS!$C$17),0,(+'Sheet3(F_21)'!$J20+'Sheet4(F_22)'!$H20))</f>
        <v>894.4836175331138</v>
      </c>
      <c r="I20" s="5">
        <f>IF(A20&gt;=(Title_RESULTS!$H$7+Title_RESULTS!$C$17),0,(+'Sheet4(F_22)'!$D20+'Sheet4(F_22)'!$G20))</f>
        <v>87.45396085700777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981.9375783901216</v>
      </c>
      <c r="M20" s="23">
        <f>IF(A20&gt;=(Title_RESULTS!$H$7+Title_RESULTS!$C$17),0,(+L20-G20))</f>
        <v>231.2152726303077</v>
      </c>
      <c r="N20" s="24">
        <f>(IF(A19&gt;=(Title_RESULTS!$H$7+Title_RESULTS!$C$17),0,(+$M20/((1+Title_RESULTS!$C$37)^('Sheet9(F_25)'!$A20-Title_RESULTS!$H$7))+N19)))</f>
        <v>-972.3893096784893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758.2295288174118</v>
      </c>
      <c r="F21">
        <f>IF(A21&gt;=(Title_RESULTS!$H$7+Title_RESULTS!$C$17),0,(+'f-11B'!$R20))</f>
        <v>0</v>
      </c>
      <c r="G21" s="5">
        <f>IF(A21&gt;=(Title_RESULTS!$H$7+Title_RESULTS!$C$17),0,(SUM(B21:F21)))</f>
        <v>758.2295288174118</v>
      </c>
      <c r="H21" s="5">
        <f>IF(A21&gt;=(Title_RESULTS!$H$7+Title_RESULTS!$C$17),0,(+'Sheet3(F_21)'!$J21+'Sheet4(F_22)'!$H21))</f>
        <v>949.2173415011463</v>
      </c>
      <c r="I21" s="5">
        <f>IF(A21&gt;=(Title_RESULTS!$H$7+Title_RESULTS!$C$17),0,(+'Sheet4(F_22)'!$D21+'Sheet4(F_22)'!$G21))</f>
        <v>89.55285591757595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1038.7701974187223</v>
      </c>
      <c r="M21" s="23">
        <f>IF(A21&gt;=(Title_RESULTS!$H$7+Title_RESULTS!$C$17),0,(+L21-G21))</f>
        <v>280.5406686013105</v>
      </c>
      <c r="N21" s="24">
        <f>(IF(A20&gt;=(Title_RESULTS!$H$7+Title_RESULTS!$C$17),0,(+$M21/((1+Title_RESULTS!$C$37)^('Sheet9(F_25)'!$A21-Title_RESULTS!$H$7))+N20)))</f>
        <v>-773.1137602925146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765.8118241055862</v>
      </c>
      <c r="F22">
        <f>IF(A22&gt;=(Title_RESULTS!$H$7+Title_RESULTS!$C$17),0,(+'f-11B'!$R21))</f>
        <v>0</v>
      </c>
      <c r="G22" s="5">
        <f>IF(A22&gt;=(Title_RESULTS!$H$7+Title_RESULTS!$C$17),0,(SUM(B22:F22)))</f>
        <v>765.8118241055862</v>
      </c>
      <c r="H22" s="5">
        <f>IF(A22&gt;=(Title_RESULTS!$H$7+Title_RESULTS!$C$17),0,(+'Sheet3(F_21)'!$J22+'Sheet4(F_22)'!$H22))</f>
        <v>979.375346775792</v>
      </c>
      <c r="I22" s="5">
        <f>IF(A22&gt;=(Title_RESULTS!$H$7+Title_RESULTS!$C$17),0,(+'Sheet4(F_22)'!$D22+'Sheet4(F_22)'!$G22))</f>
        <v>91.70212445959777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1071.0774712353898</v>
      </c>
      <c r="M22" s="23">
        <f>IF(A22&gt;=(Title_RESULTS!$H$7+Title_RESULTS!$C$17),0,(+L22-G22))</f>
        <v>305.2656471298036</v>
      </c>
      <c r="N22" s="24">
        <f>(IF(A21&gt;=(Title_RESULTS!$H$7+Title_RESULTS!$C$17),0,(+$M22/((1+Title_RESULTS!$C$37)^('Sheet9(F_25)'!$A22-Title_RESULTS!$H$7))+N21)))</f>
        <v>-570.6124867266026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773.4699423466418</v>
      </c>
      <c r="F23">
        <f>IF(A23&gt;=(Title_RESULTS!$H$7+Title_RESULTS!$C$17),0,(+'f-11B'!$R22))</f>
        <v>0</v>
      </c>
      <c r="G23" s="5">
        <f>IF(A23&gt;=(Title_RESULTS!$H$7+Title_RESULTS!$C$17),0,(SUM(B23:F23)))</f>
        <v>773.4699423466418</v>
      </c>
      <c r="H23" s="5">
        <f>IF(A23&gt;=(Title_RESULTS!$H$7+Title_RESULTS!$C$17),0,(+'Sheet3(F_21)'!$J23+'Sheet4(F_22)'!$H23))</f>
        <v>1031.2626937446119</v>
      </c>
      <c r="I23" s="5">
        <f>IF(A23&gt;=(Title_RESULTS!$H$7+Title_RESULTS!$C$17),0,(+'Sheet4(F_22)'!$D23+'Sheet4(F_22)'!$G23))</f>
        <v>93.90297544662812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1125.1656691912399</v>
      </c>
      <c r="M23" s="23">
        <f>IF(A23&gt;=(Title_RESULTS!$H$7+Title_RESULTS!$C$17),0,(+L23-G23))</f>
        <v>351.6957268445981</v>
      </c>
      <c r="N23" s="24">
        <f>(IF(A22&gt;=(Title_RESULTS!$H$7+Title_RESULTS!$C$17),0,(+$M23/((1+Title_RESULTS!$C$37)^('Sheet9(F_25)'!$A23-Title_RESULTS!$H$7))+N22)))</f>
        <v>-352.73690785017845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781.2046417701085</v>
      </c>
      <c r="F24">
        <f>IF(A24&gt;=(Title_RESULTS!$H$7+Title_RESULTS!$C$17),0,(+'f-11B'!$R23))</f>
        <v>0</v>
      </c>
      <c r="G24" s="5">
        <f>IF(A24&gt;=(Title_RESULTS!$H$7+Title_RESULTS!$C$17),0,(SUM(B24:F24)))</f>
        <v>781.2046417701085</v>
      </c>
      <c r="H24" s="5">
        <f>IF(A24&gt;=(Title_RESULTS!$H$7+Title_RESULTS!$C$17),0,(+'Sheet3(F_21)'!$J24+'Sheet4(F_22)'!$H24))</f>
        <v>1118.0326238714267</v>
      </c>
      <c r="I24" s="5">
        <f>IF(A24&gt;=(Title_RESULTS!$H$7+Title_RESULTS!$C$17),0,(+'Sheet4(F_22)'!$D24+'Sheet4(F_22)'!$G24))</f>
        <v>96.1566468573472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1214.1892707287739</v>
      </c>
      <c r="M24" s="23">
        <f>IF(A24&gt;=(Title_RESULTS!$H$7+Title_RESULTS!$C$17),0,(+L24-G24))</f>
        <v>432.9846289586653</v>
      </c>
      <c r="N24" s="24">
        <f>(IF(A23&gt;=(Title_RESULTS!$H$7+Title_RESULTS!$C$17),0,(+$M24/((1+Title_RESULTS!$C$37)^('Sheet9(F_25)'!$A24-Title_RESULTS!$H$7))+N23)))</f>
        <v>-102.23814867524351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789.0166881878096</v>
      </c>
      <c r="F25">
        <f>IF(A25&gt;=(Title_RESULTS!$H$7+Title_RESULTS!$C$17),0,(+'f-11B'!$R24))</f>
        <v>0</v>
      </c>
      <c r="G25" s="5">
        <f>IF(A25&gt;=(Title_RESULTS!$H$7+Title_RESULTS!$C$17),0,(SUM(B25:F25)))</f>
        <v>789.0166881878096</v>
      </c>
      <c r="H25" s="5">
        <f>IF(A25&gt;=(Title_RESULTS!$H$7+Title_RESULTS!$C$17),0,(+'Sheet3(F_21)'!$J25+'Sheet4(F_22)'!$H25))</f>
        <v>1185.7372142741524</v>
      </c>
      <c r="I25" s="5">
        <f>IF(A25&gt;=(Title_RESULTS!$H$7+Title_RESULTS!$C$17),0,(+'Sheet4(F_22)'!$D25+'Sheet4(F_22)'!$G25))</f>
        <v>98.46440638192352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1284.2016206560759</v>
      </c>
      <c r="M25" s="23">
        <f>IF(A25&gt;=(Title_RESULTS!$H$7+Title_RESULTS!$C$17),0,(+L25-G25))</f>
        <v>495.1849324682663</v>
      </c>
      <c r="N25" s="24">
        <f>(IF(A24&gt;=(Title_RESULTS!$H$7+Title_RESULTS!$C$17),0,(+$M25/((1+Title_RESULTS!$C$37)^('Sheet9(F_25)'!$A25-Title_RESULTS!$H$7))+N24)))</f>
        <v>165.3039680826538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796.9068550696877</v>
      </c>
      <c r="F26">
        <f>IF(A26&gt;=(Title_RESULTS!$H$7+Title_RESULTS!$C$17),0,(+'f-11B'!$R25))</f>
        <v>0</v>
      </c>
      <c r="G26" s="5">
        <f>IF(A26&gt;=(Title_RESULTS!$H$7+Title_RESULTS!$C$17),0,(SUM(B26:F26)))</f>
        <v>796.9068550696877</v>
      </c>
      <c r="H26" s="5">
        <f>IF(A26&gt;=(Title_RESULTS!$H$7+Title_RESULTS!$C$17),0,(+'Sheet3(F_21)'!$J26+'Sheet4(F_22)'!$H26))</f>
        <v>1296.0622918556865</v>
      </c>
      <c r="I26" s="5">
        <f>IF(A26&gt;=(Title_RESULTS!$H$7+Title_RESULTS!$C$17),0,(+'Sheet4(F_22)'!$D26+'Sheet4(F_22)'!$G26))</f>
        <v>100.82755213508969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1396.8898439907762</v>
      </c>
      <c r="M26" s="23">
        <f>IF(A26&gt;=(Title_RESULTS!$H$7+Title_RESULTS!$C$17),0,(+L26-G26))</f>
        <v>599.9829889210885</v>
      </c>
      <c r="N26" s="24">
        <f>(IF(A25&gt;=(Title_RESULTS!$H$7+Title_RESULTS!$C$17),0,(+$M26/((1+Title_RESULTS!$C$37)^('Sheet9(F_25)'!$A26-Title_RESULTS!$H$7))+N25)))</f>
        <v>468.03386431617895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804.8759236203844</v>
      </c>
      <c r="F27">
        <f>IF(A27&gt;=(Title_RESULTS!$H$7+Title_RESULTS!$C$17),0,(+'f-11B'!$R26))</f>
        <v>0</v>
      </c>
      <c r="G27" s="5">
        <f>IF(A27&gt;=(Title_RESULTS!$H$7+Title_RESULTS!$C$17),0,(SUM(B27:F27)))</f>
        <v>804.8759236203844</v>
      </c>
      <c r="H27" s="5">
        <f>IF(A27&gt;=(Title_RESULTS!$H$7+Title_RESULTS!$C$17),0,(+'Sheet3(F_21)'!$J27+'Sheet4(F_22)'!$H27))</f>
        <v>1302.1509908807427</v>
      </c>
      <c r="I27" s="5">
        <f>IF(A27&gt;=(Title_RESULTS!$H$7+Title_RESULTS!$C$17),0,(+'Sheet4(F_22)'!$D27+'Sheet4(F_22)'!$G27))</f>
        <v>103.24741338633186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1405.3984042670745</v>
      </c>
      <c r="M27" s="23">
        <f>IF(A27&gt;=(Title_RESULTS!$H$7+Title_RESULTS!$C$17),0,(+L27-G27))</f>
        <v>600.5224806466902</v>
      </c>
      <c r="N27" s="24">
        <f>(IF(A26&gt;=(Title_RESULTS!$H$7+Title_RESULTS!$C$17),0,(+$M27/((1+Title_RESULTS!$C$37)^('Sheet9(F_25)'!$A27-Title_RESULTS!$H$7))+N26)))</f>
        <v>751.0018363071827</v>
      </c>
    </row>
    <row r="28" ht="12.75">
      <c r="E28" s="5"/>
    </row>
    <row r="29" spans="1:13" ht="12.75">
      <c r="A29" t="s">
        <v>87</v>
      </c>
      <c r="B29" s="5">
        <f aca="true" t="shared" si="1" ref="B29:M29">SUM(B16:B28)</f>
        <v>0</v>
      </c>
      <c r="C29" s="5">
        <f t="shared" si="1"/>
        <v>122.90304</v>
      </c>
      <c r="D29" s="5">
        <f t="shared" si="1"/>
        <v>1237.5</v>
      </c>
      <c r="E29" s="5">
        <f t="shared" si="1"/>
        <v>8061.362280335823</v>
      </c>
      <c r="F29" s="5">
        <f t="shared" si="1"/>
        <v>0</v>
      </c>
      <c r="G29" s="5">
        <f t="shared" si="1"/>
        <v>9421.765320335824</v>
      </c>
      <c r="H29" s="5">
        <f t="shared" si="1"/>
        <v>10505.885968048666</v>
      </c>
      <c r="I29" s="5">
        <f t="shared" si="1"/>
        <v>1011.5626384139191</v>
      </c>
      <c r="J29" s="5">
        <f t="shared" si="1"/>
        <v>0</v>
      </c>
      <c r="K29" s="9">
        <f t="shared" si="1"/>
        <v>0</v>
      </c>
      <c r="L29" s="5">
        <f t="shared" si="1"/>
        <v>11517.448606462585</v>
      </c>
      <c r="M29" s="5">
        <f t="shared" si="1"/>
        <v>2095.6832861267612</v>
      </c>
    </row>
    <row r="31" spans="1:13" ht="12.75">
      <c r="A31" t="s">
        <v>118</v>
      </c>
      <c r="B31" s="5">
        <f>NPV(Title_RESULTS!$C$37,'Sheet9(F_25)'!B17:B28)+'Sheet9(F_25)'!B16</f>
        <v>0</v>
      </c>
      <c r="C31" s="5">
        <f>NPV(Title_RESULTS!$C$37,'Sheet9(F_25)'!C17:C28)+'Sheet9(F_25)'!C16</f>
        <v>114.83173044385765</v>
      </c>
      <c r="D31" s="5">
        <f>NPV(Title_RESULTS!$C$37,'Sheet9(F_25)'!D17:D28)+'Sheet9(F_25)'!D16</f>
        <v>1157.4813216780865</v>
      </c>
      <c r="E31" s="5">
        <f>NPV(Title_RESULTS!$C$37,'Sheet9(F_25)'!E17:E28)+'Sheet9(F_25)'!E16</f>
        <v>5357.098333181129</v>
      </c>
      <c r="F31" s="5">
        <f>NPV(Title_RESULTS!$C$37,'Sheet9(F_25)'!F17:F28)+'Sheet9(F_25)'!F16</f>
        <v>0</v>
      </c>
      <c r="G31" s="5">
        <f>NPV(Title_RESULTS!$C$37,'Sheet9(F_25)'!G17:G28)+'Sheet9(F_25)'!G16</f>
        <v>6629.411385303073</v>
      </c>
      <c r="H31" s="5">
        <f>NPV(Title_RESULTS!$C$37,'Sheet9(F_25)'!H17:H28)+'Sheet9(F_25)'!H16</f>
        <v>6704.563879149107</v>
      </c>
      <c r="I31" s="5">
        <f>NPV(Title_RESULTS!$C$37,'Sheet9(F_25)'!I17:I28)+'Sheet9(F_25)'!I16</f>
        <v>675.8493424611471</v>
      </c>
      <c r="J31" s="5">
        <f>NPV(Title_RESULTS!$C$37,'Sheet9(F_25)'!J17:J28)+'Sheet9(F_25)'!J16</f>
        <v>0</v>
      </c>
      <c r="K31" s="9">
        <f>NPV(Title_RESULTS!$C$37,'Sheet9(F_25)'!K17:K28)+'Sheet9(F_25)'!K16</f>
        <v>0</v>
      </c>
      <c r="L31" s="5">
        <f>NPV(Title_RESULTS!$C$37,'Sheet9(F_25)'!L17:L28)+'Sheet9(F_25)'!L16</f>
        <v>7380.413221610257</v>
      </c>
      <c r="M31" s="5">
        <f>NPV(Title_RESULTS!$C$37,'Sheet9(F_25)'!M17:M28)+'Sheet9(F_25)'!M16</f>
        <v>751.0018363071825</v>
      </c>
    </row>
    <row r="33" spans="1:10" ht="12.75">
      <c r="A33" t="s">
        <v>175</v>
      </c>
      <c r="D33">
        <f>+Title_RESULTS!C37</f>
        <v>0.0708</v>
      </c>
      <c r="F33" t="s">
        <v>183</v>
      </c>
      <c r="J33" s="10">
        <f>+L31/G31</f>
        <v>1.1132833358285927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1902.8884837340872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111.0009856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260.63185920000006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10.969373093813951</v>
      </c>
      <c r="P24" s="48">
        <f aca="true" t="shared" si="4" ref="P24:P61">N24*$L$5</f>
        <v>25.756240705840966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11.232638048065485</v>
      </c>
      <c r="P25" s="48">
        <f t="shared" si="4"/>
        <v>26.374390482781145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261.81968668829904</v>
      </c>
      <c r="E26" s="11">
        <f>IF(B26=Title_RESULTS!$H$8,$F$16,+E25*(1+$F$7))</f>
        <v>0.09882230355451863</v>
      </c>
      <c r="F26" s="9">
        <f t="shared" si="1"/>
        <v>188.04782336996766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15.272699120473316</v>
      </c>
      <c r="L26" s="5">
        <f t="shared" si="3"/>
        <v>35.86051011398556</v>
      </c>
      <c r="N26" s="11">
        <f>IF(+B26=Title_RESULTS!$H$9,'Value of Defferal'!$O$16,+'Value of Defferal'!N25*(1+'Value of Defferal'!$F$7))</f>
        <v>0.10362269577198292</v>
      </c>
      <c r="O26" s="5">
        <f t="shared" si="7"/>
        <v>11.502221361219059</v>
      </c>
      <c r="P26" s="48">
        <f t="shared" si="4"/>
        <v>27.007375854367893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254.08818168066233</v>
      </c>
      <c r="E27" s="11">
        <f>IF(B27=Title_RESULTS!$H$8,$F$16,+E26*(1+$F$7))</f>
        <v>0.10119403883982707</v>
      </c>
      <c r="F27" s="9">
        <f t="shared" si="1"/>
        <v>192.56097113084687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14.821698085281314</v>
      </c>
      <c r="L27" s="5">
        <f t="shared" si="3"/>
        <v>34.801553405918135</v>
      </c>
      <c r="N27" s="11">
        <f>IF(+B27=Title_RESULTS!$H$9,'Value of Defferal'!$O$16,+'Value of Defferal'!N26*(1+'Value of Defferal'!$F$7))</f>
        <v>0.10610964047051051</v>
      </c>
      <c r="O27" s="5">
        <f t="shared" si="7"/>
        <v>11.778274673888316</v>
      </c>
      <c r="P27" s="48">
        <f t="shared" si="4"/>
        <v>27.655552874872726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245.5526565387959</v>
      </c>
      <c r="E28" s="11">
        <f>IF(B28=Title_RESULTS!$H$8,$F$16,+E27*(1+$F$7))</f>
        <v>0.10362269577198292</v>
      </c>
      <c r="F28" s="9">
        <f t="shared" si="1"/>
        <v>197.18243443798718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14.323796231620639</v>
      </c>
      <c r="L28" s="5">
        <f t="shared" si="3"/>
        <v>33.632472923278634</v>
      </c>
      <c r="N28" s="11">
        <f>IF(+B28=Title_RESULTS!$H$9,'Value of Defferal'!$O$16,+'Value of Defferal'!N27*(1+'Value of Defferal'!$F$7))</f>
        <v>0.10865627184180277</v>
      </c>
      <c r="O28" s="5">
        <f t="shared" si="7"/>
        <v>12.060953266061635</v>
      </c>
      <c r="P28" s="48">
        <f t="shared" si="4"/>
        <v>28.31928614386967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237.42593600038992</v>
      </c>
      <c r="E29" s="11">
        <f>IF(B29=Title_RESULTS!$H$8,$F$16,+E28*(1+$F$7))</f>
        <v>0.10610964047051051</v>
      </c>
      <c r="F29" s="9">
        <f t="shared" si="1"/>
        <v>201.91481286449888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13.849741132139107</v>
      </c>
      <c r="L29" s="5">
        <f t="shared" si="3"/>
        <v>32.51938495137226</v>
      </c>
      <c r="N29" s="11">
        <f>IF(+B29=Title_RESULTS!$H$9,'Value of Defferal'!$O$16,+'Value of Defferal'!N28*(1+'Value of Defferal'!$F$7))</f>
        <v>0.11126402236600604</v>
      </c>
      <c r="O29" s="5">
        <f t="shared" si="7"/>
        <v>12.350416144447115</v>
      </c>
      <c r="P29" s="48">
        <f t="shared" si="4"/>
        <v>28.998949011322544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229.66702636282594</v>
      </c>
      <c r="E30" s="11">
        <f>IF(B30=Title_RESULTS!$H$8,$F$16,+E29*(1+$F$7))</f>
        <v>0.10865627184180277</v>
      </c>
      <c r="F30" s="9">
        <f t="shared" si="1"/>
        <v>206.76076837324686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13.39714150566972</v>
      </c>
      <c r="L30" s="5">
        <f t="shared" si="3"/>
        <v>31.456674728734907</v>
      </c>
      <c r="N30" s="11">
        <f>IF(+B30=Title_RESULTS!$H$9,'Value of Defferal'!$O$16,+'Value of Defferal'!N29*(1+'Value of Defferal'!$F$7))</f>
        <v>0.11393435890279018</v>
      </c>
      <c r="O30" s="5">
        <f t="shared" si="7"/>
        <v>12.646826131913844</v>
      </c>
      <c r="P30" s="48">
        <f t="shared" si="4"/>
        <v>29.694923787594284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222.23946361438246</v>
      </c>
      <c r="E31" s="11">
        <f>IF(B31=Title_RESULTS!$H$8,$F$16,+E30*(1+$F$7))</f>
        <v>0.11126402236600604</v>
      </c>
      <c r="F31" s="9">
        <f t="shared" si="1"/>
        <v>211.7230268142048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12.96387030100869</v>
      </c>
      <c r="L31" s="5">
        <f t="shared" si="3"/>
        <v>30.439347909533872</v>
      </c>
      <c r="N31" s="11">
        <f>IF(+B31=Title_RESULTS!$H$9,'Value of Defferal'!$O$16,+'Value of Defferal'!N30*(1+'Value of Defferal'!$F$7))</f>
        <v>0.11666878351645714</v>
      </c>
      <c r="O31" s="5">
        <f t="shared" si="7"/>
        <v>12.950349959079777</v>
      </c>
      <c r="P31" s="48">
        <f t="shared" si="4"/>
        <v>30.407601958496546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215.04314158623438</v>
      </c>
      <c r="E32" s="11">
        <f>IF(B32=Title_RESULTS!$H$8,$F$16,+E31*(1+$F$7))</f>
        <v>0.11393435890279018</v>
      </c>
      <c r="F32" s="9">
        <f t="shared" si="1"/>
        <v>216.8043794577457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12.544088035969216</v>
      </c>
      <c r="L32" s="5">
        <f t="shared" si="3"/>
        <v>29.453693308315398</v>
      </c>
      <c r="N32" s="11">
        <f>IF(+B32=Title_RESULTS!$H$9,'Value of Defferal'!$O$16,+'Value of Defferal'!N31*(1+'Value of Defferal'!$F$7))</f>
        <v>0.11946883432085212</v>
      </c>
      <c r="O32" s="5">
        <f t="shared" si="7"/>
        <v>13.261158358097692</v>
      </c>
      <c r="P32" s="48">
        <f t="shared" si="4"/>
        <v>31.137384405500466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207.9208800042534</v>
      </c>
      <c r="E33" s="11">
        <f>IF(B33=Title_RESULTS!$H$8,$F$16,+E32*(1+$F$7))</f>
        <v>0.11666878351645714</v>
      </c>
      <c r="F33" s="9">
        <f t="shared" si="1"/>
        <v>222.0076845647316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12.128625930828125</v>
      </c>
      <c r="L33" s="5">
        <f t="shared" si="3"/>
        <v>28.478182502670187</v>
      </c>
      <c r="N33" s="11">
        <f>IF(+B33=Title_RESULTS!$H$9,'Value of Defferal'!$O$16,+'Value of Defferal'!N32*(1+'Value of Defferal'!$F$7))</f>
        <v>0.12233608634455258</v>
      </c>
      <c r="O33" s="5">
        <f t="shared" si="7"/>
        <v>13.579426158692039</v>
      </c>
      <c r="P33" s="48">
        <f t="shared" si="4"/>
        <v>31.88468163123248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200.7986184222724</v>
      </c>
      <c r="E34" s="11">
        <f>IF(B34=Title_RESULTS!$H$8,$F$16,+E33*(1+$F$7))</f>
        <v>0.11946883432085212</v>
      </c>
      <c r="F34" s="9">
        <f t="shared" si="1"/>
        <v>227.33586899428516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11.713163825687031</v>
      </c>
      <c r="L34" s="5">
        <f t="shared" si="3"/>
        <v>27.50267169702497</v>
      </c>
      <c r="N34" s="11">
        <f>IF(+B34=Title_RESULTS!$H$9,'Value of Defferal'!$O$16,+'Value of Defferal'!N33*(1+'Value of Defferal'!$F$7))</f>
        <v>0.12527215241682185</v>
      </c>
      <c r="O34" s="5">
        <f t="shared" si="7"/>
        <v>13.905332386500648</v>
      </c>
      <c r="P34" s="48">
        <f t="shared" si="4"/>
        <v>32.64991399038206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193.6763568402914</v>
      </c>
      <c r="E35" s="11">
        <f>IF(B35=Title_RESULTS!$H$8,$F$16,+E34*(1+$F$7))</f>
        <v>0.12233608634455258</v>
      </c>
      <c r="F35" s="9">
        <f t="shared" si="1"/>
        <v>232.79192985014802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11.297701720545938</v>
      </c>
      <c r="L35" s="5">
        <f t="shared" si="3"/>
        <v>26.527160891379754</v>
      </c>
      <c r="N35" s="11">
        <f>IF(+B35=Title_RESULTS!$H$9,'Value of Defferal'!$O$16,+'Value of Defferal'!N34*(1+'Value of Defferal'!$F$7))</f>
        <v>0.12827868407482557</v>
      </c>
      <c r="O35" s="5">
        <f t="shared" si="7"/>
        <v>14.239060363776662</v>
      </c>
      <c r="P35" s="48">
        <f t="shared" si="4"/>
        <v>33.433511926151226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186.55409525831044</v>
      </c>
      <c r="E36" s="11">
        <f>IF(B36=Title_RESULTS!$H$8,$F$16,+E35*(1+$F$7))</f>
        <v>0.12527215241682185</v>
      </c>
      <c r="F36" s="9">
        <f t="shared" si="1"/>
        <v>238.3789361665516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10.882239615404847</v>
      </c>
      <c r="L36" s="5">
        <f t="shared" si="3"/>
        <v>25.551650085734543</v>
      </c>
      <c r="N36" s="11">
        <f>IF(+B36=Title_RESULTS!$H$9,'Value of Defferal'!$O$16,+'Value of Defferal'!N35*(1+'Value of Defferal'!$F$7))</f>
        <v>0.1313573724926214</v>
      </c>
      <c r="O36" s="5">
        <f t="shared" si="7"/>
        <v>14.580797812507305</v>
      </c>
      <c r="P36" s="48">
        <f t="shared" si="4"/>
        <v>34.23591621237886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179.4318336763294</v>
      </c>
      <c r="E37" s="11">
        <f>IF(B37&gt;Title_RESULTS!$H$8-1+Title_RESULTS!$C$18,0,+E36*(1+$F$7))</f>
        <v>0.12827868407482557</v>
      </c>
      <c r="F37" s="9">
        <f t="shared" si="1"/>
        <v>244.10003063454883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10.466777510263753</v>
      </c>
      <c r="L37" s="5">
        <f t="shared" si="3"/>
        <v>24.576139280089325</v>
      </c>
      <c r="N37" s="11">
        <f>IF(+B37=Title_RESULTS!$H$9,'Value of Defferal'!$O$16,+'Value of Defferal'!N36*(1+'Value of Defferal'!$F$7))</f>
        <v>0.1345099494324443</v>
      </c>
      <c r="O37" s="5">
        <f t="shared" si="7"/>
        <v>14.930736960007478</v>
      </c>
      <c r="P37" s="48">
        <f t="shared" si="4"/>
        <v>35.05757820147595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172.3095720943484</v>
      </c>
      <c r="E38" s="11">
        <f>IF(B38&gt;Title_RESULTS!$H$8-1+Title_RESULTS!$C$18,0,+E37*(1+$F$7))</f>
        <v>0.1313573724926214</v>
      </c>
      <c r="F38" s="9">
        <f t="shared" si="1"/>
        <v>249.95843136977803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10.05131540512266</v>
      </c>
      <c r="L38" s="5">
        <f t="shared" si="3"/>
        <v>23.600628474444107</v>
      </c>
      <c r="N38" s="11">
        <f>IF(+B38=Title_RESULTS!$H$9,'Value of Defferal'!$O$16,+'Value of Defferal'!N37*(1+'Value of Defferal'!$F$7))</f>
        <v>0.13773818821882297</v>
      </c>
      <c r="O38" s="5">
        <f t="shared" si="7"/>
        <v>15.28907464704766</v>
      </c>
      <c r="P38" s="48">
        <f t="shared" si="4"/>
        <v>35.898960078311376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165.1873105123674</v>
      </c>
      <c r="E39" s="11">
        <f>IF(B39&gt;Title_RESULTS!$H$8-1+Title_RESULTS!$C$18,0,+E38*(1+$F$7))</f>
        <v>0.1345099494324443</v>
      </c>
      <c r="F39" s="9">
        <f t="shared" si="1"/>
        <v>255.95743372265267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9.635853299981566</v>
      </c>
      <c r="L39" s="5">
        <f t="shared" si="3"/>
        <v>22.62511766879889</v>
      </c>
      <c r="N39" s="11">
        <f>IF(+B39&gt;Title_RESULTS!$H$9+Title_RESULTS!$C$19-1,0,+'Value of Defferal'!N38*(1+'Value of Defferal'!$F$7))</f>
        <v>0.14104390473607473</v>
      </c>
      <c r="O39" s="5">
        <f t="shared" si="7"/>
        <v>15.656012438576804</v>
      </c>
      <c r="P39" s="48">
        <f t="shared" si="4"/>
        <v>36.76053512019085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158.06504893038644</v>
      </c>
      <c r="E40" s="11">
        <f>IF(B40&gt;Title_RESULTS!$H$8-1+Title_RESULTS!$C$18,0,+E39*(1+$F$7))</f>
        <v>0.13773818821882297</v>
      </c>
      <c r="F40" s="9">
        <f t="shared" si="1"/>
        <v>262.10041213199634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9.220391194840476</v>
      </c>
      <c r="L40" s="5">
        <f t="shared" si="3"/>
        <v>21.649606863153682</v>
      </c>
      <c r="N40" s="11">
        <f>IF(+B40&gt;Title_RESULTS!$H$9+Title_RESULTS!$C$19-1,0,+'Value of Defferal'!N39*(1+'Value of Defferal'!$F$7))</f>
        <v>0.14442895844974052</v>
      </c>
      <c r="O40" s="5">
        <f t="shared" si="7"/>
        <v>16.031756737102647</v>
      </c>
      <c r="P40" s="48">
        <f t="shared" si="4"/>
        <v>37.64278796307543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151.6115962093576</v>
      </c>
      <c r="E41" s="11">
        <f>IF(B41&gt;Title_RESULTS!$H$8-1+Title_RESULTS!$C$18,0,+E40*(1+$F$7))</f>
        <v>0.14104390473607473</v>
      </c>
      <c r="F41" s="9">
        <f t="shared" si="1"/>
        <v>268.3908220231643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8.84394264376642</v>
      </c>
      <c r="L41" s="5">
        <f t="shared" si="3"/>
        <v>20.765700425483484</v>
      </c>
      <c r="N41" s="11">
        <f>IF(+B41&gt;Title_RESULTS!$H$9+Title_RESULTS!$C$19-1,0,+'Value of Defferal'!N40*(1+'Value of Defferal'!$F$7))</f>
        <v>0.1478952534525343</v>
      </c>
      <c r="O41" s="5">
        <f t="shared" si="7"/>
        <v>16.41651889879311</v>
      </c>
      <c r="P41" s="48">
        <f t="shared" si="4"/>
        <v>38.54621487418924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146.49553472568832</v>
      </c>
      <c r="E42" s="11">
        <f>IF(B42&gt;Title_RESULTS!$H$8-1+Title_RESULTS!$C$18,0,+E41*(1+$F$7))</f>
        <v>0.14442895844974052</v>
      </c>
      <c r="F42" s="9">
        <f t="shared" si="1"/>
        <v>274.8322017517202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8.545507989328286</v>
      </c>
      <c r="L42" s="5">
        <f t="shared" si="3"/>
        <v>20.064971702981754</v>
      </c>
      <c r="N42" s="11">
        <f>IF(+B42&gt;Title_RESULTS!$H$9+Title_RESULTS!$C$19-1,0,+'Value of Defferal'!N41*(1+'Value of Defferal'!$F$7))</f>
        <v>0.1514447395353951</v>
      </c>
      <c r="O42" s="5">
        <f t="shared" si="7"/>
        <v>16.810515352364146</v>
      </c>
      <c r="P42" s="48">
        <f t="shared" si="4"/>
        <v>39.47132403116978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142.0480556184264</v>
      </c>
      <c r="E43" s="11">
        <f>IF(B43&gt;Title_RESULTS!$H$8-1+Title_RESULTS!$C$18,0,+E42*(1+$F$7))</f>
        <v>0.1478952534525343</v>
      </c>
      <c r="F43" s="9">
        <f t="shared" si="1"/>
        <v>281.4281745937615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8.286073677459031</v>
      </c>
      <c r="L43" s="5">
        <f t="shared" si="3"/>
        <v>19.455816327673478</v>
      </c>
      <c r="N43" s="11">
        <f>IF(+B43&gt;Title_RESULTS!$H$9+Title_RESULTS!$C$19-1,0,+'Value of Defferal'!N42*(1+'Value of Defferal'!$F$7))</f>
        <v>0.1550794132842446</v>
      </c>
      <c r="O43" s="5">
        <f t="shared" si="7"/>
        <v>17.213967720820886</v>
      </c>
      <c r="P43" s="48">
        <f t="shared" si="4"/>
        <v>40.41863580791786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137.60057651116446</v>
      </c>
      <c r="E44" s="11">
        <f>IF(B44&gt;Title_RESULTS!$H$8-1+Title_RESULTS!$C$18,0,+E43*(1+$F$7))</f>
        <v>0.1514447395353951</v>
      </c>
      <c r="F44" s="9">
        <f t="shared" si="1"/>
        <v>288.1824507840118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8.026639365589777</v>
      </c>
      <c r="L44" s="5">
        <f t="shared" si="3"/>
        <v>18.846660952365205</v>
      </c>
      <c r="N44" s="11">
        <f>IF(+B44&gt;Title_RESULTS!$H$9+Title_RESULTS!$C$19-1,0,+'Value of Defferal'!N43*(1+'Value of Defferal'!$F$7))</f>
        <v>0.15880131920306648</v>
      </c>
      <c r="O44" s="5">
        <f t="shared" si="7"/>
        <v>17.627102946120587</v>
      </c>
      <c r="P44" s="48">
        <f t="shared" si="4"/>
        <v>41.38868306730789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133.15309740390248</v>
      </c>
      <c r="E45" s="11">
        <f>IF(B45&gt;Title_RESULTS!$H$8-1+Title_RESULTS!$C$18,0,+E44*(1+$F$7))</f>
        <v>0.1550794132842446</v>
      </c>
      <c r="F45" s="9">
        <f t="shared" si="1"/>
        <v>295.09882960282806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7.767205053720518</v>
      </c>
      <c r="L45" s="5">
        <f t="shared" si="3"/>
        <v>18.237505577056922</v>
      </c>
      <c r="N45" s="11">
        <f>IF(+B45&gt;Title_RESULTS!$H$9+Title_RESULTS!$C$19-1,0,+'Value of Defferal'!N44*(1+'Value of Defferal'!$F$7))</f>
        <v>0.16261255086394008</v>
      </c>
      <c r="O45" s="5">
        <f t="shared" si="7"/>
        <v>18.05015341682748</v>
      </c>
      <c r="P45" s="48">
        <f t="shared" si="4"/>
        <v>42.38201146092328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128.70561829664052</v>
      </c>
      <c r="E46" s="11">
        <f>IF(B46&gt;Title_RESULTS!$H$8-1+Title_RESULTS!$C$18,0,+E45*(1+$F$7))</f>
        <v>0.15880131920306648</v>
      </c>
      <c r="F46" s="9">
        <f t="shared" si="1"/>
        <v>302.18120151329595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7.507770741851263</v>
      </c>
      <c r="L46" s="5">
        <f t="shared" si="3"/>
        <v>17.628350201748646</v>
      </c>
      <c r="N46" s="11">
        <f>IF(+B46&gt;Title_RESULTS!$H$9+Title_RESULTS!$C$19-1,0,+'Value of Defferal'!N45*(1+'Value of Defferal'!$F$7))</f>
        <v>0.16651525208467466</v>
      </c>
      <c r="O46" s="5">
        <f t="shared" si="7"/>
        <v>18.483357098831345</v>
      </c>
      <c r="P46" s="48">
        <f t="shared" si="4"/>
        <v>43.39917973598544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124.25813918937862</v>
      </c>
      <c r="E47" s="11">
        <f>IF(B47&gt;Title_RESULTS!$H$8-1+Title_RESULTS!$C$18,0,+E46*(1+$F$7))</f>
        <v>0.16261255086394008</v>
      </c>
      <c r="F47" s="9">
        <f t="shared" si="1"/>
        <v>309.4335503496151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7.248336429982009</v>
      </c>
      <c r="L47" s="5">
        <f t="shared" si="3"/>
        <v>17.019194826440373</v>
      </c>
      <c r="N47" s="11">
        <f>IF(+B47&gt;Title_RESULTS!$H$9+Title_RESULTS!$C$19-1,0,+'Value of Defferal'!N46*(1+'Value of Defferal'!$F$7))</f>
        <v>0.17051161813470686</v>
      </c>
      <c r="O47" s="5">
        <f t="shared" si="7"/>
        <v>18.926957669203297</v>
      </c>
      <c r="P47" s="48">
        <f t="shared" si="4"/>
        <v>44.44076004964909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119.81066008211668</v>
      </c>
      <c r="E48" s="11">
        <f>IF(B48&gt;Title_RESULTS!$H$8-1+Title_RESULTS!$C$18,0,+E47*(1+$F$7))</f>
        <v>0.16651525208467466</v>
      </c>
      <c r="F48" s="9">
        <f t="shared" si="1"/>
        <v>316.8599555580059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6.988902118112755</v>
      </c>
      <c r="L48" s="5">
        <f t="shared" si="3"/>
        <v>16.410039451132093</v>
      </c>
      <c r="N48" s="11">
        <f>IF(+B48&gt;Title_RESULTS!$H$9+Title_RESULTS!$C$19-1,0,+'Value of Defferal'!N47*(1+'Value of Defferal'!$F$7))</f>
        <v>0.17460389696993983</v>
      </c>
      <c r="O48" s="5">
        <f t="shared" si="7"/>
        <v>19.381204653264177</v>
      </c>
      <c r="P48" s="48">
        <f t="shared" si="4"/>
        <v>45.50733829084068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115.36318097485471</v>
      </c>
      <c r="E49" s="11">
        <f>IF(B49&gt;Title_RESULTS!$H$8-1+Title_RESULTS!$C$18,0,+E48*(1+$F$7))</f>
        <v>0.17051161813470686</v>
      </c>
      <c r="F49" s="9">
        <f t="shared" si="1"/>
        <v>324.46459449139803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6.7294678062434965</v>
      </c>
      <c r="L49" s="5">
        <f t="shared" si="3"/>
        <v>15.800884075823813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110.91570186759277</v>
      </c>
      <c r="E50" s="11">
        <f>IF(B50&gt;Title_RESULTS!$H$8-1+Title_RESULTS!$C$18,0,+E49*(1+$F$7))</f>
        <v>0.17460389696993983</v>
      </c>
      <c r="F50" s="9">
        <f t="shared" si="1"/>
        <v>332.2517447591916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6.470033494374242</v>
      </c>
      <c r="L50" s="5">
        <f t="shared" si="3"/>
        <v>15.191728700515535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106.46822276033085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6.210599182504987</v>
      </c>
      <c r="L51" s="5">
        <f t="shared" si="3"/>
        <v>14.58257332520726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4546.210191849603</v>
      </c>
      <c r="F63" s="9">
        <f>SUM(F23:F61)</f>
        <v>6340.748469310183</v>
      </c>
      <c r="J63" t="s">
        <v>87</v>
      </c>
      <c r="K63" s="9">
        <f>SUM(K23:K61)</f>
        <v>265.1935814177692</v>
      </c>
      <c r="O63" s="9">
        <f>SUM(O23:O61)</f>
        <v>369.87418629702313</v>
      </c>
    </row>
    <row r="64" spans="3:15" ht="12.75">
      <c r="C64" t="s">
        <v>89</v>
      </c>
      <c r="D64" s="9">
        <f>NPV(+Title_RESULTS!$C$37,'Value of Defferal'!D24:D61)+'Value of Defferal'!D23</f>
        <v>2029.9103456704674</v>
      </c>
      <c r="F64" s="9">
        <f>NPV(+Title_RESULTS!$C$37,'Value of Defferal'!F24:F61)+'Value of Defferal'!F23</f>
        <v>2357.7791099161577</v>
      </c>
      <c r="J64" t="s">
        <v>89</v>
      </c>
      <c r="K64" s="9">
        <f>NPV(+Title_RESULTS!$C$37,'Value of Defferal'!K24:K61)+'Value of Defferal'!K23</f>
        <v>118.41053796642005</v>
      </c>
      <c r="O64" s="9">
        <f>NPV(+Title_RESULTS!$C$37,'Value of Defferal'!O24:O61)+'Value of Defferal'!O23</f>
        <v>157.7005971173703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1.0385367880091394</v>
      </c>
      <c r="C25" t="s">
        <v>372</v>
      </c>
    </row>
    <row r="26" spans="2:3" ht="18">
      <c r="B26" s="15">
        <f>+((Input!$C$6*'EUE_Line Losses'!C4)+(Input!$C$7*'EUE_Line Losses'!C3))/'EUE_Line Losses'!C22</f>
        <v>1.0351866693381422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0.54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1.03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6368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12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1191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412.5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7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ENERGY STAR Oven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43599.31895555556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1.03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1.0351866693381422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6717.299578059072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6368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12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1191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412.5</v>
      </c>
      <c r="D39" s="13" t="s">
        <v>189</v>
      </c>
      <c r="G39" s="20" t="s">
        <v>346</v>
      </c>
      <c r="H39" s="79">
        <f>+'Sheet7(F_23)'!H33</f>
        <v>2.0903493584995743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+'Sheet8(F_24)'!K31</f>
        <v>7299.519936908304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+'Sheet9(F_25)'!J33</f>
        <v>1.1132833358285927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2019-05-14T11:39:19Z</dcterms:created>
  <dcterms:modified xsi:type="dcterms:W3CDTF">2019-05-14T11:39:20Z</dcterms:modified>
  <cp:category/>
  <cp:version/>
  <cp:contentType/>
  <cp:contentStatus/>
</cp:coreProperties>
</file>