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<sst xmlns="http://schemas.openxmlformats.org/spreadsheetml/2006/main" count="1258" uniqueCount="468">
  <si>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</si>
  <si>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</si>
  <si>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</si>
  <si>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</si>
  <si>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</si>
  <si>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</si>
  <si>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</si>
  <si>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</si>
  <si>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</si>
  <si>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</si>
  <si>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</si>
  <si>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</si>
  <si>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</si>
  <si>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</si>
  <si>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</si>
  <si>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</si>
  <si>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</si>
  <si>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</si>
  <si>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</si>
  <si>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</si>
  <si>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</si>
  <si>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</si>
  <si>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</si>
  <si>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</si>
  <si>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</si>
  <si>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</si>
  <si>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</si>
  <si>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</si>
  <si>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</si>
  <si>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</si>
  <si>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</si>
  <si>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</si>
  <si>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</si>
  <si>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</si>
  <si>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</si>
  <si>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</si>
  <si>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</si>
  <si>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</si>
  <si>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</si>
  <si>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</si>
  <si>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</si>
  <si>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</si>
  <si>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</si>
  <si>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</si>
  <si>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</si>
  <si>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</si>
  <si>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</si>
  <si>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</si>
  <si>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</si>
  <si>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</si>
  <si>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</si>
  <si>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</si>
  <si>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</si>
  <si>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</si>
  <si>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</si>
  <si>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</si>
  <si>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</si>
  <si>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</si>
  <si>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</si>
  <si>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</si>
  <si>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</si>
  <si>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</si>
  <si>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</si>
  <si>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</si>
  <si>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</si>
  <si>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</si>
  <si>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</si>
  <si>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</si>
  <si>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</si>
  <si>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</si>
  <si>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</si>
  <si>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</si>
  <si>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</si>
  <si>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</si>
  <si>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</si>
  <si>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</si>
  <si>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</si>
  <si>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</si>
  <si>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</si>
  <si>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</si>
  <si>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</si>
  <si>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</si>
  <si>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</si>
  <si>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</si>
  <si>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</si>
  <si>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</si>
  <si>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</si>
  <si>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</si>
  <si>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</si>
  <si>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</si>
  <si>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</si>
  <si>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</si>
  <si>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</si>
  <si>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</si>
  <si>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</si>
  <si>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</si>
  <si>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</si>
  <si>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</si>
  <si>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</si>
  <si>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</si>
  <si>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</si>
  <si>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</si>
  <si>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</si>
  <si>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</si>
  <si>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</si>
  <si>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</si>
  <si>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</si>
  <si>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</si>
  <si>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</si>
  <si>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</si>
  <si>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</si>
  <si>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</si>
  <si>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</si>
  <si>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</si>
  <si>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</si>
  <si>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</si>
  <si>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</si>
  <si>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</si>
  <si>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</si>
  <si>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</si>
  <si>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</si>
  <si>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</si>
  <si>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</si>
  <si>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</si>
  <si>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</si>
  <si>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</si>
  <si>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</si>
  <si>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</si>
  <si>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</si>
  <si>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</si>
  <si>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</si>
  <si>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</si>
  <si>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</si>
  <si>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</si>
  <si>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</si>
  <si>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</si>
  <si>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</si>
  <si>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</si>
  <si>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</si>
  <si>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</si>
  <si>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</si>
  <si>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</si>
  <si>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</si>
  <si>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</si>
  <si>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</si>
  <si>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</si>
  <si>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</si>
  <si>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</si>
  <si>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</si>
  <si>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</si>
  <si>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</si>
  <si>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</si>
  <si>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</si>
  <si>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</si>
  <si>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</si>
  <si>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</si>
  <si>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</si>
  <si>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</si>
  <si>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</si>
  <si>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</si>
  <si>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</si>
  <si>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</si>
  <si>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</si>
  <si>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</si>
  <si>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</si>
  <si>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</si>
  <si>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</si>
  <si>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</si>
  <si>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</si>
  <si>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</si>
  <si>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</si>
  <si>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</si>
  <si>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</si>
  <si>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</si>
  <si>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</si>
  <si>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</si>
  <si>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</si>
  <si>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</si>
  <si>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</si>
  <si>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</si>
  <si>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</si>
  <si>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</si>
  <si>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</si>
  <si>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</si>
  <si>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</si>
  <si>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</si>
  <si>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</si>
  <si>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</si>
  <si>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</si>
  <si>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</si>
  <si>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</si>
  <si>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</si>
  <si>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</si>
  <si>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</si>
  <si>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</si>
  <si>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</si>
  <si>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</si>
  <si>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</si>
  <si>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</si>
  <si>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</si>
  <si>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</si>
  <si>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</si>
  <si>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</si>
  <si>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</si>
  <si>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</si>
  <si>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</si>
  <si>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</si>
  <si>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</si>
  <si>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</si>
  <si>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</si>
  <si>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</si>
  <si>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</si>
  <si>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</si>
  <si>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</si>
  <si>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</si>
  <si>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</si>
  <si>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</si>
  <si>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</si>
  <si>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</si>
  <si>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</si>
  <si>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</si>
  <si>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</si>
  <si>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</si>
  <si>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</si>
  <si>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</si>
  <si>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</si>
  <si>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</si>
  <si>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</si>
  <si>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</si>
  <si>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</si>
  <si>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</si>
  <si>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</si>
  <si>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</si>
  <si>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</si>
  <si>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</si>
  <si>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</si>
  <si>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</si>
  <si>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</si>
  <si>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</si>
  <si>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</si>
  <si>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</si>
  <si>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</si>
  <si>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</si>
  <si>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</si>
  <si>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</si>
  <si>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</si>
  <si>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</si>
  <si>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</si>
  <si>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</si>
  <si>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</si>
  <si>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</si>
  <si>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</si>
  <si>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</si>
  <si>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</si>
  <si>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</si>
  <si>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</si>
  <si>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</si>
  <si>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</si>
  <si>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</si>
  <si>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</si>
  <si>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</si>
  <si>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</si>
  <si>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</si>
  <si>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</si>
  <si>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</si>
  <si>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</si>
  <si>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</si>
  <si>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</si>
  <si>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</si>
  <si>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</si>
  <si>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</si>
  <si>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</si>
  <si>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</si>
  <si>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</si>
  <si>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</si>
  <si>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</si>
  <si>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</si>
  <si>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</si>
  <si>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</si>
  <si>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</si>
  <si>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</si>
  <si>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</si>
  <si>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</si>
  <si>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</si>
  <si>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</si>
  <si>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</si>
  <si>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</si>
  <si>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</si>
  <si>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</si>
  <si>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</si>
  <si>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</si>
  <si>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</si>
  <si>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</si>
  <si>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</si>
  <si>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</si>
  <si>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</si>
  <si>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</si>
  <si>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</si>
  <si>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</si>
  <si>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</si>
  <si>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</si>
  <si>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</si>
  <si>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</si>
  <si>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</si>
  <si>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</si>
  <si>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</si>
  <si>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</si>
  <si>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</si>
  <si>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</si>
  <si>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</si>
  <si>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</si>
  <si>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</si>
  <si>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</si>
  <si>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</si>
  <si>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</si>
  <si>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</si>
  <si>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</si>
  <si>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</si>
  <si>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</si>
  <si>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</si>
  <si>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</si>
  <si>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</si>
  <si>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</si>
  <si>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</si>
  <si>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</si>
  <si>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</si>
  <si>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</si>
  <si>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</si>
  <si>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</si>
  <si>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</si>
  <si>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</si>
  <si>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</si>
  <si>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</si>
  <si>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</si>
  <si>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</si>
  <si>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</si>
  <si>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</si>
  <si>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</si>
  <si>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</si>
  <si>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</si>
  <si>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</si>
  <si>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</si>
  <si>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</si>
  <si>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</si>
  <si>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</si>
  <si>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</si>
  <si>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</si>
  <si>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</si>
  <si>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</si>
  <si>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</si>
  <si>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</si>
  <si>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</si>
  <si>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</si>
  <si>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</si>
  <si>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</si>
  <si>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</si>
  <si>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</si>
  <si>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</si>
  <si>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</si>
  <si>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</si>
  <si>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</si>
  <si>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</si>
  <si>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</si>
  <si>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</si>
  <si>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</si>
  <si>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</si>
  <si>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</si>
  <si>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</si>
  <si>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</si>
  <si>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</si>
  <si>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</si>
  <si>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</si>
  <si>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</si>
  <si>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</si>
  <si>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</si>
  <si>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</si>
  <si>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</si>
  <si>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</si>
  <si>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</si>
  <si>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</si>
  <si>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</si>
  <si>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</si>
  <si>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</si>
  <si>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</si>
  <si>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</si>
  <si>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</si>
  <si>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</si>
  <si>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</si>
  <si>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</si>
  <si>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</si>
  <si>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</si>
  <si>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</si>
  <si>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</si>
  <si>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</si>
  <si>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</si>
  <si>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</si>
  <si>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</si>
  <si>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</si>
  <si>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</si>
  <si>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</si>
  <si>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</si>
  <si>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</si>
  <si>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</si>
  <si>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</si>
  <si>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</si>
  <si>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</si>
  <si>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</si>
  <si>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</si>
  <si>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</si>
  <si>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</si>
  <si>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</si>
  <si>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</si>
  <si>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</si>
  <si>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</si>
  <si>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</si>
  <si>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</si>
  <si>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</si>
  <si>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</si>
  <si>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</si>
  <si>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</si>
  <si>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</si>
  <si>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</si>
  <si>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</si>
  <si>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</si>
  <si>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</si>
  <si>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</si>
  <si>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</si>
  <si>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</si>
  <si>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</si>
  <si>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</si>
  <si>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</si>
  <si>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</si>
  <si>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</si>
  <si>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</si>
  <si>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</si>
  <si>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</si>
  <si>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</si>
  <si>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</si>
  <si>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</si>
  <si>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</si>
  <si>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</si>
  <si>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</si>
  <si>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</si>
  <si>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</si>
  <si>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</si>
  <si>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</si>
  <si>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</si>
  <si>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</si>
  <si>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</si>
  <si>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</si>
  <si>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</si>
  <si>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</si>
  <si>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</si>
  <si>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</si>
  <si>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</si>
  <si>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</si>
  <si>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</si>
  <si>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</si>
  <si>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</si>
  <si>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</si>
  <si>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</si>
  <si>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</si>
  <si>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</si>
  <si>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</si>
  <si>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</si>
  <si>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</si>
  <si>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</si>
  <si>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Facility Commissioining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</si>
</sst>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43599.31907349537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9348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43599.31907349537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Facility Commissioining</v>
      </c>
      <c r="J2" t="s">
        <v>55</v>
      </c>
    </row>
    <row r="3" ht="12.75">
      <c r="J3" s="35">
        <f>+Title_RESULTS!I4</f>
        <v>43599.31907349537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9348</v>
      </c>
      <c r="H5" t="s">
        <v>59</v>
      </c>
    </row>
    <row r="6" spans="3:7" ht="12.75">
      <c r="C6" t="s">
        <v>61</v>
      </c>
      <c r="G6" s="36">
        <f>+'Value of Defferal'!E3</f>
        <v>5727.0449278642145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565.9597723317636</v>
      </c>
      <c r="D19" s="5">
        <f>IF((Title_RESULTS!$H$8-Title_RESULTS!$H$7)&lt;=('Sheet3(F_21)'!A19-Title_RESULTS!$H$7),((Title_RESULTS!$C$8*Partcipation!$C$26*8760*Title_RESULTS!$H$21/100000)),0)</f>
        <v>7451.795565217392</v>
      </c>
      <c r="E19" s="5">
        <f>IF($G19=0,0,((Title_RESULTS!$H$14*((1+Title_RESULTS!$H$15/100)^($A19-Title_RESULTS!$H$7))*'EUE_Line Losses'!$B$25*Partcipation!$C$26))/1000)</f>
        <v>58.70661940257464</v>
      </c>
      <c r="F19" s="5">
        <f>IF($G19=0,0,(Title_RESULTS!$H$19/100*((1+Title_RESULTS!$H$20/100)^($A19-Title_RESULTS!$H$7))*$D19*1000)/1000)</f>
        <v>16.80273958077043</v>
      </c>
      <c r="G19" s="5">
        <f>(+Title_RESULTS!$H$22/100*((1+Title_RESULTS!$H$23/100)^(+'Sheet4(F_22)'!A19-Title_RESULTS!$H$7)))*'Sheet3(F_21)'!D19</f>
        <v>319.2564549079281</v>
      </c>
      <c r="H19" s="5">
        <f>IF($G19=0,0,(($D19))*(Partcipation!$G19/100))</f>
        <v>236.41772115259502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724.3078650704418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579.542806867726</v>
      </c>
      <c r="D20" s="5">
        <f>IF((Title_RESULTS!$H$8-Title_RESULTS!$H$7)&lt;=('Sheet3(F_21)'!A20-Title_RESULTS!$H$7),((Title_RESULTS!$C$8*Partcipation!$C$26*8760*Title_RESULTS!$H$21/100000)),0)</f>
        <v>7451.795565217392</v>
      </c>
      <c r="E20" s="5">
        <f>IF($G20=0,0,((Title_RESULTS!$H$14*((1+Title_RESULTS!$H$15/100)^($A20-Title_RESULTS!$H$7))*'EUE_Line Losses'!$B$25*Partcipation!$C$26))/1000)</f>
        <v>60.11557826823642</v>
      </c>
      <c r="F20" s="5">
        <f>IF($G20=0,0,(Title_RESULTS!$H$19/100*((1+Title_RESULTS!$H$20/100)^($A20-Title_RESULTS!$H$7))*$D20*1000)/1000)</f>
        <v>17.20600533070892</v>
      </c>
      <c r="G20" s="5">
        <f>(+Title_RESULTS!$H$22/100*((1+Title_RESULTS!$H$23/100)^(+'Sheet4(F_22)'!A20-Title_RESULTS!$H$7)))*'Sheet3(F_21)'!D20</f>
        <v>333.7506979607481</v>
      </c>
      <c r="H20" s="5">
        <f>IF($G20=0,0,(($D20))*(Partcipation!$G20/100))</f>
        <v>246.99372670232714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743.6213617250921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593.4518342325514</v>
      </c>
      <c r="D21" s="5">
        <f>IF((Title_RESULTS!$H$8-Title_RESULTS!$H$7)&lt;=('Sheet3(F_21)'!A21-Title_RESULTS!$H$7),((Title_RESULTS!$C$8*Partcipation!$C$26*8760*Title_RESULTS!$H$21/100000)),0)</f>
        <v>7451.795565217392</v>
      </c>
      <c r="E21" s="5">
        <f>IF($G21=0,0,((Title_RESULTS!$H$14*((1+Title_RESULTS!$H$15/100)^($A21-Title_RESULTS!$H$7))*'EUE_Line Losses'!$B$25*Partcipation!$C$26))/1000)</f>
        <v>61.5583521466741</v>
      </c>
      <c r="F21" s="5">
        <f>IF($G21=0,0,(Title_RESULTS!$H$19/100*((1+Title_RESULTS!$H$20/100)^($A21-Title_RESULTS!$H$7))*$D21*1000)/1000)</f>
        <v>17.618949458645936</v>
      </c>
      <c r="G21" s="5">
        <f>(+Title_RESULTS!$H$22/100*((1+Title_RESULTS!$H$23/100)^(+'Sheet4(F_22)'!A21-Title_RESULTS!$H$7)))*'Sheet3(F_21)'!D21</f>
        <v>348.9029796481661</v>
      </c>
      <c r="H21" s="5">
        <f>IF($G21=0,0,(($D21))*(Partcipation!$G21/100))</f>
        <v>256.7816714918564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764.7504439941812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607.6946782541326</v>
      </c>
      <c r="D22" s="5">
        <f>IF((Title_RESULTS!$H$8-Title_RESULTS!$H$7)&lt;=('Sheet3(F_21)'!A22-Title_RESULTS!$H$7),((Title_RESULTS!$C$8*Partcipation!$C$26*8760*Title_RESULTS!$H$21/100000)),0)</f>
        <v>7451.795565217392</v>
      </c>
      <c r="E22" s="5">
        <f>IF($G22=0,0,((Title_RESULTS!$H$14*((1+Title_RESULTS!$H$15/100)^($A22-Title_RESULTS!$H$7))*'EUE_Line Losses'!$B$25*Partcipation!$C$26))/1000)</f>
        <v>63.03575259819426</v>
      </c>
      <c r="F22" s="5">
        <f>IF($G22=0,0,(Title_RESULTS!$H$19/100*((1+Title_RESULTS!$H$20/100)^($A22-Title_RESULTS!$H$7))*$D22*1000)/1000)</f>
        <v>18.041804245653434</v>
      </c>
      <c r="G22" s="5">
        <f>(+Title_RESULTS!$H$22/100*((1+Title_RESULTS!$H$23/100)^(+'Sheet4(F_22)'!A22-Title_RESULTS!$H$7)))*'Sheet3(F_21)'!D22</f>
        <v>364.7431749241929</v>
      </c>
      <c r="H22" s="5">
        <f>IF($G22=0,0,(($D22))*(Partcipation!$G22/100))</f>
        <v>265.1014894306777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788.4139205914953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622.2793505322318</v>
      </c>
      <c r="D23" s="5">
        <f>IF((Title_RESULTS!$H$8-Title_RESULTS!$H$7)&lt;=('Sheet3(F_21)'!A23-Title_RESULTS!$H$7),((Title_RESULTS!$C$8*Partcipation!$C$26*8760*Title_RESULTS!$H$21/100000)),0)</f>
        <v>7451.795565217392</v>
      </c>
      <c r="E23" s="5">
        <f>IF($G23=0,0,((Title_RESULTS!$H$14*((1+Title_RESULTS!$H$15/100)^($A23-Title_RESULTS!$H$7))*'EUE_Line Losses'!$B$25*Partcipation!$C$26))/1000)</f>
        <v>64.54861066055093</v>
      </c>
      <c r="F23" s="5">
        <f>IF($G23=0,0,(Title_RESULTS!$H$19/100*((1+Title_RESULTS!$H$20/100)^($A23-Title_RESULTS!$H$7))*$D23*1000)/1000)</f>
        <v>18.47480754754912</v>
      </c>
      <c r="G23" s="5">
        <f>(+Title_RESULTS!$H$22/100*((1+Title_RESULTS!$H$23/100)^(+'Sheet4(F_22)'!A23-Title_RESULTS!$H$7)))*'Sheet3(F_21)'!D23</f>
        <v>381.30251506575127</v>
      </c>
      <c r="H23" s="5">
        <f>IF($G23=0,0,(($D23))*(Partcipation!$G23/100))</f>
        <v>276.96734432385836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809.6379394822249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637.2140549450054</v>
      </c>
      <c r="D24" s="5">
        <f>IF((Title_RESULTS!$H$8-Title_RESULTS!$H$7)&lt;=('Sheet3(F_21)'!A24-Title_RESULTS!$H$7),((Title_RESULTS!$C$8*Partcipation!$C$26*8760*Title_RESULTS!$H$21/100000)),0)</f>
        <v>7451.795565217392</v>
      </c>
      <c r="E24" s="5">
        <f>IF($G24=0,0,((Title_RESULTS!$H$14*((1+Title_RESULTS!$H$15/100)^($A24-Title_RESULTS!$H$7))*'EUE_Line Losses'!$B$25*Partcipation!$C$26))/1000)</f>
        <v>66.09777731640416</v>
      </c>
      <c r="F24" s="5">
        <f>IF($G24=0,0,(Title_RESULTS!$H$19/100*((1+Title_RESULTS!$H$20/100)^($A24-Title_RESULTS!$H$7))*$D24*1000)/1000)</f>
        <v>18.9182029286903</v>
      </c>
      <c r="G24" s="5">
        <f>(+Title_RESULTS!$H$22/100*((1+Title_RESULTS!$H$23/100)^(+'Sheet4(F_22)'!A24-Title_RESULTS!$H$7)))*'Sheet3(F_21)'!D24</f>
        <v>398.61364924973645</v>
      </c>
      <c r="H24" s="5">
        <f>IF($G24=0,0,(($D24))*(Partcipation!$G24/100))</f>
        <v>298.0900899164207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822.7535945234154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652.5071922636855</v>
      </c>
      <c r="D25" s="5">
        <f>IF((Title_RESULTS!$H$8-Title_RESULTS!$H$7)&lt;=('Sheet3(F_21)'!A25-Title_RESULTS!$H$7),((Title_RESULTS!$C$8*Partcipation!$C$26*8760*Title_RESULTS!$H$21/100000)),0)</f>
        <v>7451.795565217392</v>
      </c>
      <c r="E25" s="5">
        <f>IF($G25=0,0,((Title_RESULTS!$H$14*((1+Title_RESULTS!$H$15/100)^($A25-Title_RESULTS!$H$7))*'EUE_Line Losses'!$B$25*Partcipation!$C$26))/1000)</f>
        <v>67.68412397199785</v>
      </c>
      <c r="F25" s="5">
        <f>IF($G25=0,0,(Title_RESULTS!$H$19/100*((1+Title_RESULTS!$H$20/100)^($A25-Title_RESULTS!$H$7))*$D25*1000)/1000)</f>
        <v>19.37223979897886</v>
      </c>
      <c r="G25" s="5">
        <f>(+Title_RESULTS!$H$22/100*((1+Title_RESULTS!$H$23/100)^(+'Sheet4(F_22)'!A25-Title_RESULTS!$H$7)))*'Sheet3(F_21)'!D25</f>
        <v>416.7107089256745</v>
      </c>
      <c r="H25" s="5">
        <f>IF($G25=0,0,(($D25))*(Partcipation!$G25/100))</f>
        <v>311.1719683285806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845.1022966317562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4258.649689427097</v>
      </c>
      <c r="D27" s="9">
        <f t="shared" si="1"/>
        <v>52162.56895652175</v>
      </c>
      <c r="E27" s="9">
        <f t="shared" si="1"/>
        <v>441.74681436463237</v>
      </c>
      <c r="F27" s="9">
        <f t="shared" si="1"/>
        <v>126.43474889099699</v>
      </c>
      <c r="G27" s="9">
        <f t="shared" si="1"/>
        <v>2563.2801806821976</v>
      </c>
      <c r="H27" s="9">
        <f t="shared" si="1"/>
        <v>1891.524011346316</v>
      </c>
      <c r="I27" s="9">
        <f t="shared" si="1"/>
        <v>0</v>
      </c>
      <c r="J27" s="9">
        <f t="shared" si="1"/>
        <v>5498.587422018607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2833.1303786839926</v>
      </c>
      <c r="D29" s="5"/>
      <c r="E29" s="5">
        <f>NPV(Title_RESULTS!$C$37,E17:E26)+'Sheet3(F_21)'!E16</f>
        <v>293.87867299122286</v>
      </c>
      <c r="F29" s="5">
        <f>NPV(Title_RESULTS!$C$37,F17:F26)+'Sheet3(F_21)'!F16</f>
        <v>84.11260707676433</v>
      </c>
      <c r="G29" s="5">
        <f>NPV(Title_RESULTS!$C$37,G17:G26)+'Sheet3(F_21)'!G16</f>
        <v>1695.6471914963847</v>
      </c>
      <c r="H29" s="5">
        <f>NPV(Title_RESULTS!$C$37,H17:H26)+'Sheet3(F_21)'!H16</f>
        <v>1250.8402657843</v>
      </c>
      <c r="I29" s="5">
        <f>NPV(Title_RESULTS!$C$37,I17:I26)+'Sheet3(F_21)'!I16</f>
        <v>0</v>
      </c>
      <c r="J29" s="5">
        <f>NPV(Title_RESULTS!$C$37,J17:J26)+'Sheet3(F_21)'!J16</f>
        <v>3655.9285844640644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Facility Commissioining</v>
      </c>
      <c r="F2" t="s">
        <v>55</v>
      </c>
    </row>
    <row r="3" spans="6:7" ht="12.75">
      <c r="F3" s="35">
        <f>+Title_RESULTS!I4</f>
        <v>43599.31907349537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8413.386075949367</v>
      </c>
      <c r="C16" s="5">
        <f>$B16*'Sheet2(F_12)'!$E16/100</f>
        <v>244.04789957215075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244.04789957215075</v>
      </c>
      <c r="G16" s="5">
        <f>+$F16*'Sheet2(F_12)'!$I16</f>
        <v>244.04789957215075</v>
      </c>
    </row>
    <row r="17" spans="1:7" ht="12.75">
      <c r="A17">
        <f>+A16+1</f>
        <v>2021</v>
      </c>
      <c r="B17" s="5">
        <f>(+Partcipation!$C16+(Partcipation!$C17-Partcipation!$C16)/2)*Title_RESULTS!$C$10/1000</f>
        <v>25240.1582278481</v>
      </c>
      <c r="C17" s="5">
        <f>$B17*'Sheet2(F_12)'!$E17/100</f>
        <v>726.1885493540835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726.1885493540835</v>
      </c>
      <c r="G17" s="5">
        <f>+$F17*'Sheet2(F_12)'!$I17</f>
        <v>726.1885493540835</v>
      </c>
    </row>
    <row r="18" spans="1:7" ht="12.75">
      <c r="A18">
        <f>+A17+1</f>
        <v>2022</v>
      </c>
      <c r="B18" s="5">
        <f>(+Partcipation!$C17+(Partcipation!$C18-Partcipation!$C17)/2)*Title_RESULTS!$C$10/1000</f>
        <v>42066.93037974684</v>
      </c>
      <c r="C18" s="5">
        <f>$B18*'Sheet2(F_12)'!$E18/100</f>
        <v>1249.1253141436912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1249.1253141436912</v>
      </c>
      <c r="G18" s="5">
        <f>+$F18*'Sheet2(F_12)'!$I18</f>
        <v>1249.1253141436912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50480.3164556962</v>
      </c>
      <c r="C19" s="5">
        <f>$B19*'Sheet2(F_12)'!$E19/100</f>
        <v>1560.4430090384951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1560.4430090384951</v>
      </c>
      <c r="G19" s="5">
        <f>+$F19*'Sheet2(F_12)'!$I19</f>
        <v>1560.4430090384951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50480.3164556962</v>
      </c>
      <c r="C20" s="5">
        <f>$B20*'Sheet2(F_12)'!$E20/100</f>
        <v>1621.7625376331534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1621.7625376331534</v>
      </c>
      <c r="G20" s="5">
        <f>+$F20*'Sheet2(F_12)'!$I20</f>
        <v>1621.7625376331534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50480.3164556962</v>
      </c>
      <c r="C21" s="5">
        <f>$B21*'Sheet2(F_12)'!$E21/100</f>
        <v>1741.2847089257846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1741.2847089257846</v>
      </c>
      <c r="G21" s="5">
        <f>+$F21*'Sheet2(F_12)'!$I21</f>
        <v>1741.2847089257846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50480.3164556962</v>
      </c>
      <c r="C22" s="5">
        <f>$B22*'Sheet2(F_12)'!$E22/100</f>
        <v>1797.1357622464016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1797.1357622464016</v>
      </c>
      <c r="G22" s="5">
        <f>+$F22*'Sheet2(F_12)'!$I22</f>
        <v>1797.1357622464016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50480.3164556962</v>
      </c>
      <c r="C23" s="5">
        <f>$B23*'Sheet2(F_12)'!$E23/100</f>
        <v>1909.4487037671233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1909.4487037671233</v>
      </c>
      <c r="G23" s="5">
        <f>+$F23*'Sheet2(F_12)'!$I23</f>
        <v>1909.4487037671233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50480.3164556962</v>
      </c>
      <c r="C24" s="5">
        <f>$B24*'Sheet2(F_12)'!$E24/100</f>
        <v>2115.889973455765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2115.889973455765</v>
      </c>
      <c r="G24" s="5">
        <f>+$F24*'Sheet2(F_12)'!$I24</f>
        <v>2115.889973455765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50480.3164556962</v>
      </c>
      <c r="C25" s="5">
        <f>$B25*'Sheet2(F_12)'!$E25/100</f>
        <v>2266.8889140801107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2266.8889140801107</v>
      </c>
      <c r="G25" s="5">
        <f>+$F25*'Sheet2(F_12)'!$I25</f>
        <v>2266.8889140801107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429082.68987341766</v>
      </c>
      <c r="C27" s="5">
        <f t="shared" si="2"/>
        <v>15232.215372216759</v>
      </c>
      <c r="D27" s="5">
        <f t="shared" si="2"/>
        <v>0</v>
      </c>
      <c r="E27" s="5">
        <f t="shared" si="2"/>
        <v>0</v>
      </c>
      <c r="F27" s="5">
        <f t="shared" si="2"/>
        <v>15232.215372216759</v>
      </c>
      <c r="G27" s="5">
        <f t="shared" si="2"/>
        <v>15232.215372216759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10576.93358220511</v>
      </c>
      <c r="D29" s="5"/>
      <c r="E29" s="5">
        <f>NPV(+Title_RESULTS!$C$37,E17:E26)+E16</f>
        <v>0</v>
      </c>
      <c r="F29" s="5">
        <f>NPV(+Title_RESULTS!$C$37,F17:F26)+F16</f>
        <v>10576.93358220511</v>
      </c>
      <c r="G29" s="5">
        <f>NPV(+Title_RESULTS!$C$37,G17:G26)+G16</f>
        <v>10576.93358220511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Facility Commissioining</v>
      </c>
      <c r="J2" t="s">
        <v>42</v>
      </c>
    </row>
    <row r="3" spans="9:10" ht="12.75">
      <c r="I3" s="4"/>
      <c r="J3" s="35">
        <f>+Title_RESULTS!I4</f>
        <v>43599.31907349537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Facility Commissioining</v>
      </c>
      <c r="H2" t="s">
        <v>108</v>
      </c>
    </row>
    <row r="3" ht="12.75">
      <c r="H3" s="35">
        <f>+Title_RESULTS!I4</f>
        <v>43599.31907349537</v>
      </c>
    </row>
    <row r="5" spans="3:6" ht="12.75">
      <c r="C5" t="s">
        <v>60</v>
      </c>
      <c r="F5" s="38">
        <f>+'Value of Defferal'!L4</f>
        <v>334.0750848</v>
      </c>
    </row>
    <row r="6" spans="3:6" ht="12.75">
      <c r="C6" t="s">
        <v>62</v>
      </c>
      <c r="F6" s="38">
        <f>+'Value of Defferal'!L5</f>
        <v>867.9293952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244.04789957215075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33.01406944010715</v>
      </c>
      <c r="C17" s="5">
        <f>IF(+Title_RESULTS!$H$9&lt;='Sheet4(F_22)'!$A17,(+Title_RESULTS!$H$16*((1+Title_RESULTS!$H$18/100)^('Sheet4(F_22)'!$A17-Title_RESULTS!$H$7))*Title_RESULTS!$C$8*Partcipation!$C$26/1000),0)</f>
        <v>26.61093816977226</v>
      </c>
      <c r="D17" s="5">
        <f>(+B17+C17)*+Partcipation!$H17</f>
        <v>59.62500760987941</v>
      </c>
      <c r="E17" s="5">
        <f>VLOOKUP(A17,'Value of Defferal'!$I24:$P$58,'Value of Defferal'!$K$13)</f>
        <v>85.77078215634417</v>
      </c>
      <c r="F17" s="5">
        <f>IF(+'Value of Defferal'!P24=0,0,Title_RESULTS!$H$17*Title_RESULTS!$C$7*Partcipation!$C$26*(1+Title_RESULTS!$H$18/100)^('Sheet4(F_22)'!A17-Title_RESULTS!$H$7))/1000</f>
        <v>119.4891264</v>
      </c>
      <c r="G17" s="5">
        <f>(+E17+F17)*Partcipation!$H17</f>
        <v>205.25990855634416</v>
      </c>
      <c r="H17" s="5">
        <f>+'Sheet5(p_5)'!$F17*'Sheet2(F_12)'!$I17</f>
        <v>726.1885493540835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33.806407106669724</v>
      </c>
      <c r="C18" s="5">
        <f>IF(+Title_RESULTS!$H$9&lt;='Sheet4(F_22)'!$A18,(+Title_RESULTS!$H$16*((1+Title_RESULTS!$H$18/100)^('Sheet4(F_22)'!$A18-Title_RESULTS!$H$7))*Title_RESULTS!$C$8*Partcipation!$C$26/1000),0)</f>
        <v>27.24960068584679</v>
      </c>
      <c r="D18" s="5">
        <f>(+B18+C18)*+Partcipation!$H18</f>
        <v>61.05600779251651</v>
      </c>
      <c r="E18" s="5">
        <f>VLOOKUP(A18,'Value of Defferal'!$I25:$P$58,'Value of Defferal'!$K$13)</f>
        <v>87.82928092809642</v>
      </c>
      <c r="F18" s="5">
        <f>IF(+'Value of Defferal'!P25=0,0,Title_RESULTS!$H$17*Title_RESULTS!$C$7*Partcipation!$C$26*(1+Title_RESULTS!$H$18/100)^('Sheet4(F_22)'!A18-Title_RESULTS!$H$7))/1000</f>
        <v>122.3568654336</v>
      </c>
      <c r="G18" s="5">
        <f>(+E18+F18)*Partcipation!$H18</f>
        <v>210.18614636169644</v>
      </c>
      <c r="H18" s="5">
        <f>+'Sheet5(p_5)'!$F18*'Sheet2(F_12)'!$I18</f>
        <v>1249.1253141436912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34.6177608772298</v>
      </c>
      <c r="C19" s="5">
        <f>IF(+Title_RESULTS!$H$9&lt;='Sheet4(F_22)'!$A19,(+Title_RESULTS!$H$16*((1+Title_RESULTS!$H$18/100)^('Sheet4(F_22)'!$A19-Title_RESULTS!$H$7))*Title_RESULTS!$C$8*Partcipation!$C$26/1000),0)</f>
        <v>27.903591102307118</v>
      </c>
      <c r="D19" s="5">
        <f>(+B19+C19)*+Partcipation!$H19</f>
        <v>62.52135197953692</v>
      </c>
      <c r="E19" s="5">
        <f>VLOOKUP(A19,'Value of Defferal'!$I26:$P$58,'Value of Defferal'!$K$13)</f>
        <v>89.93718367037074</v>
      </c>
      <c r="F19" s="5">
        <f>IF(+'Value of Defferal'!P26=0,0,Title_RESULTS!$H$17*Title_RESULTS!$C$7*Partcipation!$C$26*(1+Title_RESULTS!$H$18/100)^('Sheet4(F_22)'!A19-Title_RESULTS!$H$7))/1000</f>
        <v>125.29343020400643</v>
      </c>
      <c r="G19" s="5">
        <f>(+E19+F19)*Partcipation!$H19</f>
        <v>215.23061387437718</v>
      </c>
      <c r="H19" s="5">
        <f>+'Sheet5(p_5)'!$F19*'Sheet2(F_12)'!$I19</f>
        <v>1560.4430090384951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35.448587138283315</v>
      </c>
      <c r="C20" s="5">
        <f>IF(+Title_RESULTS!$H$9&lt;='Sheet4(F_22)'!$A20,(+Title_RESULTS!$H$16*((1+Title_RESULTS!$H$18/100)^('Sheet4(F_22)'!$A20-Title_RESULTS!$H$7))*Title_RESULTS!$C$8*Partcipation!$C$26/1000),0)</f>
        <v>28.57327728876249</v>
      </c>
      <c r="D20" s="5">
        <f>(+B20+C20)*+Partcipation!$H20</f>
        <v>64.02186442704581</v>
      </c>
      <c r="E20" s="5">
        <f>VLOOKUP(A20,'Value of Defferal'!$I27:$P$58,'Value of Defferal'!$K$13)</f>
        <v>92.09567607845963</v>
      </c>
      <c r="F20" s="5">
        <f>IF(+'Value of Defferal'!P27=0,0,Title_RESULTS!$H$17*Title_RESULTS!$C$7*Partcipation!$C$26*(1+Title_RESULTS!$H$18/100)^('Sheet4(F_22)'!A20-Title_RESULTS!$H$7))/1000</f>
        <v>128.30047252890256</v>
      </c>
      <c r="G20" s="5">
        <f>(+E20+F20)*Partcipation!$H20</f>
        <v>220.3961486073622</v>
      </c>
      <c r="H20" s="5">
        <f>+'Sheet5(p_5)'!$F20*'Sheet2(F_12)'!$I20</f>
        <v>1621.7625376331534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36.29935322960211</v>
      </c>
      <c r="C21" s="5">
        <f>IF(+Title_RESULTS!$H$9&lt;='Sheet4(F_22)'!$A21,(+Title_RESULTS!$H$16*((1+Title_RESULTS!$H$18/100)^('Sheet4(F_22)'!$A21-Title_RESULTS!$H$7))*Title_RESULTS!$C$8*Partcipation!$C$26/1000),0)</f>
        <v>29.25903594369279</v>
      </c>
      <c r="D21" s="5">
        <f>(+B21+C21)*+Partcipation!$H21</f>
        <v>65.5583891732949</v>
      </c>
      <c r="E21" s="5">
        <f>VLOOKUP(A21,'Value of Defferal'!$I28:$P$58,'Value of Defferal'!$K$13)</f>
        <v>94.30597230434267</v>
      </c>
      <c r="F21" s="5">
        <f>IF(+'Value of Defferal'!P28=0,0,Title_RESULTS!$H$17*Title_RESULTS!$C$7*Partcipation!$C$26*(1+Title_RESULTS!$H$18/100)^('Sheet4(F_22)'!A21-Title_RESULTS!$H$7))/1000</f>
        <v>131.37968386959622</v>
      </c>
      <c r="G21" s="5">
        <f>(+E21+F21)*Partcipation!$H21</f>
        <v>225.6856561739389</v>
      </c>
      <c r="H21" s="5">
        <f>+'Sheet5(p_5)'!$F21*'Sheet2(F_12)'!$I21</f>
        <v>1741.2847089257846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37.170537707112565</v>
      </c>
      <c r="C22" s="5">
        <f>IF(+Title_RESULTS!$H$9&lt;='Sheet4(F_22)'!$A22,(+Title_RESULTS!$H$16*((1+Title_RESULTS!$H$18/100)^('Sheet4(F_22)'!$A22-Title_RESULTS!$H$7))*Title_RESULTS!$C$8*Partcipation!$C$26/1000),0)</f>
        <v>29.961252806341406</v>
      </c>
      <c r="D22" s="5">
        <f>(+B22+C22)*+Partcipation!$H22</f>
        <v>67.13179051345398</v>
      </c>
      <c r="E22" s="5">
        <f>VLOOKUP(A22,'Value of Defferal'!$I29:$P$58,'Value of Defferal'!$K$13)</f>
        <v>96.5693156396469</v>
      </c>
      <c r="F22" s="5">
        <f>IF(+'Value of Defferal'!P29=0,0,Title_RESULTS!$H$17*Title_RESULTS!$C$7*Partcipation!$C$26*(1+Title_RESULTS!$H$18/100)^('Sheet4(F_22)'!A22-Title_RESULTS!$H$7))/1000</f>
        <v>134.5327962824665</v>
      </c>
      <c r="G22" s="5">
        <f>(+E22+F22)*Partcipation!$H22</f>
        <v>231.1021119221134</v>
      </c>
      <c r="H22" s="5">
        <f>+'Sheet5(p_5)'!$F22*'Sheet2(F_12)'!$I22</f>
        <v>1797.1357622464016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38.06263061208326</v>
      </c>
      <c r="C23" s="5">
        <f>IF(+Title_RESULTS!$H$9&lt;='Sheet4(F_22)'!$A23,(+Title_RESULTS!$H$16*((1+Title_RESULTS!$H$18/100)^('Sheet4(F_22)'!$A23-Title_RESULTS!$H$7))*Title_RESULTS!$C$8*Partcipation!$C$26/1000),0)</f>
        <v>30.680322873693612</v>
      </c>
      <c r="D23" s="5">
        <f>(+B23+C23)*+Partcipation!$H23</f>
        <v>68.74295348577687</v>
      </c>
      <c r="E23" s="5">
        <f>VLOOKUP(A23,'Value of Defferal'!$I30:$P$58,'Value of Defferal'!$K$13)</f>
        <v>98.88697921499842</v>
      </c>
      <c r="F23" s="5">
        <f>IF(+'Value of Defferal'!P30=0,0,Title_RESULTS!$H$17*Title_RESULTS!$C$7*Partcipation!$C$26*(1+Title_RESULTS!$H$18/100)^('Sheet4(F_22)'!A23-Title_RESULTS!$H$7))/1000</f>
        <v>137.76158339324573</v>
      </c>
      <c r="G23" s="5">
        <f>(+E23+F23)*Partcipation!$H23</f>
        <v>236.64856260824416</v>
      </c>
      <c r="H23" s="5">
        <f>+'Sheet5(p_5)'!$F23*'Sheet2(F_12)'!$I23</f>
        <v>1909.4487037671233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38.976133746773264</v>
      </c>
      <c r="C24" s="5">
        <f>IF(+Title_RESULTS!$H$9&lt;='Sheet4(F_22)'!$A24,(+Title_RESULTS!$H$16*((1+Title_RESULTS!$H$18/100)^('Sheet4(F_22)'!$A24-Title_RESULTS!$H$7))*Title_RESULTS!$C$8*Partcipation!$C$26/1000),0)</f>
        <v>31.416650622662253</v>
      </c>
      <c r="D24" s="5">
        <f>(+B24+C24)*+Partcipation!$H24</f>
        <v>70.39278436943552</v>
      </c>
      <c r="E24" s="5">
        <f>VLOOKUP(A24,'Value of Defferal'!$I31:$P$58,'Value of Defferal'!$K$13)</f>
        <v>101.26026671615838</v>
      </c>
      <c r="F24" s="5">
        <f>IF(+'Value of Defferal'!P31=0,0,Title_RESULTS!$H$17*Title_RESULTS!$C$7*Partcipation!$C$26*(1+Title_RESULTS!$H$18/100)^('Sheet4(F_22)'!A24-Title_RESULTS!$H$7))/1000</f>
        <v>141.06786139468363</v>
      </c>
      <c r="G24" s="5">
        <f>(+E24+F24)*Partcipation!$H24</f>
        <v>242.32812811084202</v>
      </c>
      <c r="H24" s="5">
        <f>+'Sheet5(p_5)'!$F24*'Sheet2(F_12)'!$I24</f>
        <v>2115.889973455765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39.91156095669582</v>
      </c>
      <c r="C25" s="5">
        <f>IF(+Title_RESULTS!$H$9&lt;='Sheet4(F_22)'!$A25,(+Title_RESULTS!$H$16*((1+Title_RESULTS!$H$18/100)^('Sheet4(F_22)'!$A25-Title_RESULTS!$H$7))*Title_RESULTS!$C$8*Partcipation!$C$26/1000),0)</f>
        <v>32.17065023760615</v>
      </c>
      <c r="D25" s="5">
        <f>(+B25+C25)*+Partcipation!$H25</f>
        <v>72.08221119430198</v>
      </c>
      <c r="E25" s="5">
        <f>VLOOKUP(A25,'Value of Defferal'!$I32:$P$58,'Value of Defferal'!$K$13)</f>
        <v>103.69051311734619</v>
      </c>
      <c r="F25" s="5">
        <f>IF(+'Value of Defferal'!P32=0,0,Title_RESULTS!$H$17*Title_RESULTS!$C$7*Partcipation!$C$26*(1+Title_RESULTS!$H$18/100)^('Sheet4(F_22)'!A25-Title_RESULTS!$H$7))/1000</f>
        <v>144.45349006815601</v>
      </c>
      <c r="G25" s="5">
        <f>(+E25+F25)*Partcipation!$H25</f>
        <v>248.14400318550219</v>
      </c>
      <c r="H25" s="5">
        <f>+'Sheet5(p_5)'!$F25*'Sheet2(F_12)'!$I25</f>
        <v>2266.8889140801107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327.307040814557</v>
      </c>
      <c r="C27" s="5">
        <f t="shared" si="1"/>
        <v>263.82531973068484</v>
      </c>
      <c r="D27" s="5">
        <f t="shared" si="1"/>
        <v>591.1323605452419</v>
      </c>
      <c r="E27" s="5">
        <f t="shared" si="1"/>
        <v>850.3459698257635</v>
      </c>
      <c r="F27" s="5">
        <f t="shared" si="1"/>
        <v>1184.6353095746572</v>
      </c>
      <c r="G27" s="5">
        <f t="shared" si="1"/>
        <v>2034.9812794004208</v>
      </c>
      <c r="H27" s="5">
        <f t="shared" si="1"/>
        <v>15232.215372216759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233.60752158732097</v>
      </c>
      <c r="C29" s="5">
        <f>NPV(Title_RESULTS!$C$37,'Sheet4(F_22)'!C17:C26)+'Sheet4(F_22)'!C16</f>
        <v>188.29897126834666</v>
      </c>
      <c r="D29" s="5">
        <f>NPV(Title_RESULTS!$C$37,'Sheet4(F_22)'!D17:D26)+'Sheet4(F_22)'!D16</f>
        <v>421.90649285566764</v>
      </c>
      <c r="E29" s="5">
        <f>NPV(Title_RESULTS!$C$37,'Sheet4(F_22)'!E17:E26)+'Sheet4(F_22)'!E16</f>
        <v>606.9139668013172</v>
      </c>
      <c r="F29" s="5">
        <f>NPV(Title_RESULTS!$C$37,'Sheet4(F_22)'!F17:F26)+'Sheet4(F_22)'!F16</f>
        <v>845.5049361781292</v>
      </c>
      <c r="G29" s="5">
        <f>NPV(Title_RESULTS!$C$37,'Sheet4(F_22)'!G17:G26)+'Sheet4(F_22)'!G16</f>
        <v>1452.4189029794468</v>
      </c>
      <c r="H29" s="5">
        <f>NPV(Title_RESULTS!$C$37,'Sheet4(F_22)'!H17:H26)+'Sheet4(F_22)'!H16</f>
        <v>10576.93358220511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Facility Commissioining</v>
      </c>
      <c r="P2" t="s">
        <v>121</v>
      </c>
    </row>
    <row r="3" ht="12.75">
      <c r="P3" s="35">
        <f>+Title_RESULTS!I4</f>
        <v>43599.31907349537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225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225</v>
      </c>
      <c r="E16" s="5">
        <f>IF(+'Sheet9(F_25)'!$A16&gt;=Title_RESULTS!$H$8,0,((Partcipation!$B16-Partcipation!$B15)*(Title_RESULTS!$C$39*((1+Title_RESULTS!$C$41/100)^('Sheet9(F_25)'!$A16-Title_RESULTS!$H$7)))/1000))</f>
        <v>669.6082849528469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669.6082849528469</v>
      </c>
      <c r="H16" s="5">
        <f>IF(Partcipation!$B17&lt;Partcipation!$B16,0,IF(Partcipation!$B16=0,0,(Partcipation!$B16-Partcipation!$B15)*(+Title_RESULTS!$C$29*(1+Title_RESULTS!$C$30/100)^(+'Sheet8(F_24)'!$A16-Title_RESULTS!$H$7))/1000))</f>
        <v>5679.06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5679.06</v>
      </c>
      <c r="K16" s="5">
        <f>(+Partcipation!$B15+(Partcipation!$B16-Partcipation!$B15)/2)*(+Title_RESULTS!$C$14)/1000</f>
        <v>7975.89</v>
      </c>
      <c r="L16" s="5">
        <f>($K16)*Partcipation!$E73*Title_RESULTS!$C$12/100</f>
        <v>194.18201824116395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352.6435902</v>
      </c>
      <c r="N16" s="5">
        <f>'Sheet2(F_12)'!$I16*('Sheet6(p_6)'!$L16+'Sheet6(p_6)'!$M16)</f>
        <v>546.8256084411639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230.4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230.4</v>
      </c>
      <c r="E17" s="5">
        <f>IF(+'Sheet9(F_25)'!$A17&gt;=Title_RESULTS!$H$8,0,((Partcipation!$B17-Partcipation!$B16)*(Title_RESULTS!$C$39*((1+Title_RESULTS!$C$41/100)^('Sheet9(F_25)'!$A17-Title_RESULTS!$H$7)))/1000))</f>
        <v>669.6082849528469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669.6082849528469</v>
      </c>
      <c r="H17" s="5">
        <f>IF(Partcipation!$B18&lt;Partcipation!$B17,0,IF(Partcipation!$B17=0,0,(Partcipation!$B17-Partcipation!$B16)*(+Title_RESULTS!$C$29*(1+Title_RESULTS!$C$30/100)^(+'Sheet8(F_24)'!$A17-Title_RESULTS!$H$7))/1000))</f>
        <v>5809.67838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5809.67838</v>
      </c>
      <c r="K17" s="5">
        <f>(+Partcipation!$B16+(Partcipation!$B17-Partcipation!$B16)/2)*(+Title_RESULTS!$C$14)/1000</f>
        <v>23927.67</v>
      </c>
      <c r="L17" s="5">
        <f>($K17)*Partcipation!$E74*Title_RESULTS!$C$12/100</f>
        <v>610.2714509415425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1068.510078306</v>
      </c>
      <c r="N17" s="5">
        <f>'Sheet2(F_12)'!$I17*('Sheet6(p_6)'!$L17+'Sheet6(p_6)'!$M17)</f>
        <v>1678.7815292475425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235.9296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235.9296</v>
      </c>
      <c r="E18" s="5">
        <f>IF(+'Sheet9(F_25)'!$A18&gt;=Title_RESULTS!$H$8,0,((Partcipation!$B18-Partcipation!$B17)*(Title_RESULTS!$C$39*((1+Title_RESULTS!$C$41/100)^('Sheet9(F_25)'!$A18-Title_RESULTS!$H$7)))/1000))</f>
        <v>669.6082849528469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669.6082849528469</v>
      </c>
      <c r="H18" s="5">
        <f>IF(Partcipation!$B19&lt;Partcipation!$B18,0,IF(Partcipation!$B18=0,0,(Partcipation!$B18-Partcipation!$B17)*(+Title_RESULTS!$C$29*(1+Title_RESULTS!$C$30/100)^(+'Sheet8(F_24)'!$A18-Title_RESULTS!$H$7))/1000))</f>
        <v>5943.300982739999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5943.300982739999</v>
      </c>
      <c r="K18" s="5">
        <f>(+Partcipation!$B17+(Partcipation!$B18-Partcipation!$B17)/2)*(+Title_RESULTS!$C$14)/1000</f>
        <v>39879.45</v>
      </c>
      <c r="L18" s="5">
        <f>($K18)*Partcipation!$E75*Title_RESULTS!$C$12/100</f>
        <v>1054.585061118327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1798.6586318150999</v>
      </c>
      <c r="N18" s="5">
        <f>'Sheet2(F_12)'!$I18*('Sheet6(p_6)'!$L18+'Sheet6(p_6)'!$M18)</f>
        <v>2853.243692933427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47855.34</v>
      </c>
      <c r="L19" s="5">
        <f>($K19)*Partcipation!$E76*Title_RESULTS!$C$12/100</f>
        <v>1255.1282612271543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2179.974261759901</v>
      </c>
      <c r="N19" s="5">
        <f>'Sheet2(F_12)'!$I19*('Sheet6(p_6)'!$L19+'Sheet6(p_6)'!$M19)</f>
        <v>3435.102522987055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47855.34</v>
      </c>
      <c r="L20" s="5">
        <f>($K20)*Partcipation!$E77*Title_RESULTS!$C$12/100</f>
        <v>1326.3188017690493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2201.7740043775</v>
      </c>
      <c r="N20" s="5">
        <f>'Sheet2(F_12)'!$I20*('Sheet6(p_6)'!$L20+'Sheet6(p_6)'!$M20)</f>
        <v>3528.0928061465493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47855.34</v>
      </c>
      <c r="L21" s="5">
        <f>($K21)*Partcipation!$E78*Title_RESULTS!$C$12/100</f>
        <v>1402.4477461844112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2223.791744421275</v>
      </c>
      <c r="N21" s="5">
        <f>'Sheet2(F_12)'!$I21*('Sheet6(p_6)'!$L21+'Sheet6(p_6)'!$M21)</f>
        <v>3626.239490605686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47855.34</v>
      </c>
      <c r="L22" s="5">
        <f>($K22)*Partcipation!$E79*Title_RESULTS!$C$12/100</f>
        <v>1465.8582520342836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2246.0296618654884</v>
      </c>
      <c r="N22" s="5">
        <f>'Sheet2(F_12)'!$I22*('Sheet6(p_6)'!$L22+'Sheet6(p_6)'!$M22)</f>
        <v>3711.887913899772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47855.34</v>
      </c>
      <c r="L23" s="5">
        <f>($K23)*Partcipation!$E80*Title_RESULTS!$C$12/100</f>
        <v>1552.1694047570156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2268.4899584841423</v>
      </c>
      <c r="N23" s="5">
        <f>'Sheet2(F_12)'!$I23*('Sheet6(p_6)'!$L23+'Sheet6(p_6)'!$M23)</f>
        <v>3820.6593632411577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47855.34</v>
      </c>
      <c r="L24" s="5">
        <f>($K24)*Partcipation!$E81*Title_RESULTS!$C$12/100</f>
        <v>1699.152259518727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2291.1748580689846</v>
      </c>
      <c r="N24" s="5">
        <f>'Sheet2(F_12)'!$I24*('Sheet6(p_6)'!$L24+'Sheet6(p_6)'!$M24)</f>
        <v>3990.3271175877117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47855.34</v>
      </c>
      <c r="L25" s="5">
        <f>($K25)*Partcipation!$E82*Title_RESULTS!$C$12/100</f>
        <v>1785.720241096159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2314.0866066496746</v>
      </c>
      <c r="N25" s="5">
        <f>'Sheet2(F_12)'!$I25*('Sheet6(p_6)'!$L25+'Sheet6(p_6)'!$M25)</f>
        <v>4099.806847745834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691.3296</v>
      </c>
      <c r="C27" s="5">
        <f t="shared" si="4"/>
        <v>0</v>
      </c>
      <c r="D27" s="5">
        <f t="shared" si="4"/>
        <v>691.3296</v>
      </c>
      <c r="E27" s="5">
        <f t="shared" si="4"/>
        <v>2008.8248548585407</v>
      </c>
      <c r="F27" s="5">
        <f t="shared" si="4"/>
        <v>0</v>
      </c>
      <c r="G27" s="5">
        <f t="shared" si="4"/>
        <v>2008.8248548585407</v>
      </c>
      <c r="H27" s="5">
        <f t="shared" si="4"/>
        <v>17432.03936274</v>
      </c>
      <c r="I27" s="5">
        <f t="shared" si="4"/>
        <v>0</v>
      </c>
      <c r="J27" s="5">
        <f t="shared" si="4"/>
        <v>17432.03936274</v>
      </c>
      <c r="K27" s="5">
        <f t="shared" si="4"/>
        <v>406770.3899999999</v>
      </c>
      <c r="L27" s="5">
        <f t="shared" si="4"/>
        <v>12345.833496887833</v>
      </c>
      <c r="M27" s="5">
        <f t="shared" si="4"/>
        <v>18945.133395948065</v>
      </c>
      <c r="N27" s="5">
        <f t="shared" si="4"/>
        <v>31290.9668928359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645.9284837466994</v>
      </c>
      <c r="C29" s="5">
        <f>NPV(Title_RESULTS!$C$37,'Sheet6(p_6)'!C17:C26)+'Sheet6(p_6)'!C16</f>
        <v>0</v>
      </c>
      <c r="D29" s="5">
        <f>NPV(Title_RESULTS!$C$37,'Sheet6(p_6)'!D17:D26)+'Sheet6(p_6)'!D16</f>
        <v>645.9284837466994</v>
      </c>
      <c r="E29" s="5">
        <f>NPV(Title_RESULTS!$C$37,'Sheet6(p_6)'!E17:E26)+'Sheet6(p_6)'!E16</f>
        <v>1878.9311095122862</v>
      </c>
      <c r="F29" s="5">
        <f>NPV(Title_RESULTS!$C$37,'Sheet6(p_6)'!F17:F26)+'Sheet6(p_6)'!F16</f>
        <v>0</v>
      </c>
      <c r="G29" s="5">
        <f>NPV(Title_RESULTS!$C$37,'Sheet6(p_6)'!G17:G26)+'Sheet6(p_6)'!G16</f>
        <v>1878.9311095122862</v>
      </c>
      <c r="H29" s="5">
        <f>NPV(Title_RESULTS!$C$37,'Sheet6(p_6)'!H17:H26)+'Sheet6(p_6)'!H16</f>
        <v>16287.965019609761</v>
      </c>
      <c r="I29" s="5">
        <f>NPV(Title_RESULTS!$C$37,'Sheet6(p_6)'!I17:I26)+'Sheet6(p_6)'!I16</f>
        <v>0</v>
      </c>
      <c r="J29" s="5">
        <f>NPV(Title_RESULTS!$C$37,'Sheet6(p_6)'!J17:J26)+'Sheet6(p_6)'!J16</f>
        <v>16287.965019609761</v>
      </c>
      <c r="K29" s="5"/>
      <c r="L29" s="5">
        <f>NPV(Title_RESULTS!$C$37,'Sheet6(p_6)'!L17:L26)+'Sheet6(p_6)'!L16</f>
        <v>8592.915630031617</v>
      </c>
      <c r="M29" s="5">
        <f>NPV(Title_RESULTS!$C$37,'Sheet6(p_6)'!M17:M26)+'Sheet6(p_6)'!M16</f>
        <v>13420.092188451265</v>
      </c>
      <c r="N29" s="5">
        <f>NPV(Title_RESULTS!$C$37,'Sheet6(p_6)'!N17:N26)+'Sheet6(p_6)'!N16</f>
        <v>22013.007818482878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Facility Commissioining</v>
      </c>
      <c r="M2" t="s">
        <v>55</v>
      </c>
    </row>
    <row r="3" ht="12.75">
      <c r="M3" s="35">
        <f>+Title_RESULTS!I4</f>
        <v>43599.31907349537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225</v>
      </c>
      <c r="D16" s="5">
        <f>IF(A16&gt;=(Title_RESULTS!$H$7+Title_RESULTS!$C$17),0,(+'Sheet6(p_6)'!$J16))</f>
        <v>5679.06</v>
      </c>
      <c r="E16" s="5">
        <f>IF(A16&gt;=(Title_RESULTS!$H$7+Title_RESULTS!$C$17),0,(+'f-11B'!$N15))</f>
        <v>0</v>
      </c>
      <c r="F16" s="5">
        <f>IF(A16&gt;=(Title_RESULTS!$H$7+Title_RESULTS!$C$17),0,(SUM(B16:E16)))</f>
        <v>5904.06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244.04789957215075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244.04789957215075</v>
      </c>
      <c r="L16" s="23">
        <f>IF(A16&gt;=(Title_RESULTS!$H$7+Title_RESULTS!$C$17),0,(+$K16-$F16))</f>
        <v>-5660.01210042785</v>
      </c>
      <c r="M16" s="23">
        <f>IF(A16&gt;=(Title_RESULTS!$H$7+Title_RESULTS!$C$17),0,(+$L16/(1+Title_RESULTS!$C$37)^('Sheet7(F_23)'!$A16-Title_RESULTS!$H$7)))</f>
        <v>-5660.01210042785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230.4</v>
      </c>
      <c r="D17" s="5">
        <f>IF(A17&gt;=(Title_RESULTS!$H$7+Title_RESULTS!$C$17),0,(+'Sheet6(p_6)'!$J17))</f>
        <v>5809.67838</v>
      </c>
      <c r="E17" s="5">
        <f>IF(A17&gt;=(Title_RESULTS!$H$7+Title_RESULTS!$C$17),0,(+'f-11B'!$N16))</f>
        <v>0</v>
      </c>
      <c r="F17" s="5">
        <f>IF(A17&gt;=(Title_RESULTS!$H$7+Title_RESULTS!$C$17),0,(SUM(B17:E17)))</f>
        <v>6040.07838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264.88491616622355</v>
      </c>
      <c r="I17" s="5">
        <f>IF(A17&gt;=(Title_RESULTS!$H$7+Title_RESULTS!$C$17),0,(+'Sheet4(F_22)'!$H17))</f>
        <v>726.1885493540835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991.0734655203071</v>
      </c>
      <c r="L17" s="23">
        <f>IF(A17&gt;=(Title_RESULTS!$H$7+Title_RESULTS!$C$17),0,(+$K17-$F17))</f>
        <v>-5049.004914479693</v>
      </c>
      <c r="M17" s="23">
        <f>IF(A17&gt;=(Title_RESULTS!$H$7+Title_RESULTS!$C$17),0,(+M16+$L17/(1+Title_RESULTS!$C$37)^('Sheet7(F_23)'!$A17-Title_RESULTS!$H$7)))</f>
        <v>-10375.182920823529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235.9296</v>
      </c>
      <c r="D18" s="5">
        <f>IF(A18&gt;=(Title_RESULTS!$H$7+Title_RESULTS!$C$17),0,(+'Sheet6(p_6)'!$J18))</f>
        <v>5943.300982739999</v>
      </c>
      <c r="E18" s="5">
        <f>IF(A18&gt;=(Title_RESULTS!$H$7+Title_RESULTS!$C$17),0,(+'f-11B'!$N17))</f>
        <v>0</v>
      </c>
      <c r="F18" s="5">
        <f>IF(A18&gt;=(Title_RESULTS!$H$7+Title_RESULTS!$C$17),0,(SUM(B18:E18)))</f>
        <v>6179.23058274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271.2421541542129</v>
      </c>
      <c r="I18" s="5">
        <f>IF(A18&gt;=(Title_RESULTS!$H$7+Title_RESULTS!$C$17),0,(+'Sheet4(F_22)'!$H18))</f>
        <v>1249.1253141436912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1520.367468297904</v>
      </c>
      <c r="L18" s="23">
        <f>IF(A18&gt;=(Title_RESULTS!$H$7+Title_RESULTS!$C$17),0,(+$K18-$F18))</f>
        <v>-4658.863114442096</v>
      </c>
      <c r="M18" s="23">
        <f>IF(A18&gt;=(Title_RESULTS!$H$7+Title_RESULTS!$C$17),0,(+M17+$L18/(1+Title_RESULTS!$C$37)^('Sheet7(F_23)'!$A18-Title_RESULTS!$H$7)))</f>
        <v>-14438.336379904615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724.3078650704418</v>
      </c>
      <c r="H19" s="5">
        <f>IF(A19&gt;=(Title_RESULTS!$H$7+Title_RESULTS!$C$17),0,(+'Sheet4(F_22)'!$D19+'Sheet4(F_22)'!$G19))</f>
        <v>277.7519658539141</v>
      </c>
      <c r="I19" s="5">
        <f>IF(A19&gt;=(Title_RESULTS!$H$7+Title_RESULTS!$C$17),0,(+'Sheet4(F_22)'!$H19))</f>
        <v>1560.4430090384951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2562.502839962851</v>
      </c>
      <c r="L19" s="23">
        <f>IF(A19&gt;=(Title_RESULTS!$H$7+Title_RESULTS!$C$17),0,(+$K19-$F19))</f>
        <v>2562.502839962851</v>
      </c>
      <c r="M19" s="23">
        <f>IF(A19&gt;=(Title_RESULTS!$H$7+Title_RESULTS!$C$17),0,(+M18+$L19/(1+Title_RESULTS!$C$37)^('Sheet7(F_23)'!$A19-Title_RESULTS!$H$7)))</f>
        <v>-12351.255555810923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743.6213617250921</v>
      </c>
      <c r="H20" s="5">
        <f>IF(A20&gt;=(Title_RESULTS!$H$7+Title_RESULTS!$C$17),0,(+'Sheet4(F_22)'!$D20+'Sheet4(F_22)'!$G20))</f>
        <v>284.418013034408</v>
      </c>
      <c r="I20" s="5">
        <f>IF(A20&gt;=(Title_RESULTS!$H$7+Title_RESULTS!$C$17),0,(+'Sheet4(F_22)'!$H20))</f>
        <v>1621.7625376331534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2649.8019123926533</v>
      </c>
      <c r="L20" s="23">
        <f>IF(A20&gt;=(Title_RESULTS!$H$7+Title_RESULTS!$C$17),0,(+$K20-$F20))</f>
        <v>2649.8019123926533</v>
      </c>
      <c r="M20" s="23">
        <f>IF(A20&gt;=(Title_RESULTS!$H$7+Title_RESULTS!$C$17),0,(+M19+$L20/(1+Title_RESULTS!$C$37)^('Sheet7(F_23)'!$A20-Title_RESULTS!$H$7)))</f>
        <v>-10335.768751382526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764.7504439941812</v>
      </c>
      <c r="H21" s="5">
        <f>IF(A21&gt;=(Title_RESULTS!$H$7+Title_RESULTS!$C$17),0,(+'Sheet4(F_22)'!$D21+'Sheet4(F_22)'!$G21))</f>
        <v>291.2440453472338</v>
      </c>
      <c r="I21" s="5">
        <f>IF(A21&gt;=(Title_RESULTS!$H$7+Title_RESULTS!$C$17),0,(+'Sheet4(F_22)'!$H21))</f>
        <v>1741.2847089257846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2797.2791982671997</v>
      </c>
      <c r="L21" s="23">
        <f>IF(A21&gt;=(Title_RESULTS!$H$7+Title_RESULTS!$C$17),0,(+$K21-$F21))</f>
        <v>2797.2791982671997</v>
      </c>
      <c r="M21" s="23">
        <f>IF(A21&gt;=(Title_RESULTS!$H$7+Title_RESULTS!$C$17),0,(+M20+$L21/(1+Title_RESULTS!$C$37)^('Sheet7(F_23)'!$A21-Title_RESULTS!$H$7)))</f>
        <v>-8348.78642971121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788.4139205914953</v>
      </c>
      <c r="H22" s="5">
        <f>IF(A22&gt;=(Title_RESULTS!$H$7+Title_RESULTS!$C$17),0,(+'Sheet4(F_22)'!$D22+'Sheet4(F_22)'!$G22))</f>
        <v>298.2339024355674</v>
      </c>
      <c r="I22" s="5">
        <f>IF(A22&gt;=(Title_RESULTS!$H$7+Title_RESULTS!$C$17),0,(+'Sheet4(F_22)'!$H22))</f>
        <v>1797.1357622464016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2883.7835852734643</v>
      </c>
      <c r="L22" s="23">
        <f>IF(A22&gt;=(Title_RESULTS!$H$7+Title_RESULTS!$C$17),0,(+$K22-$F22))</f>
        <v>2883.7835852734643</v>
      </c>
      <c r="M22" s="23">
        <f>IF(A22&gt;=(Title_RESULTS!$H$7+Title_RESULTS!$C$17),0,(+M21+$L22/(1+Title_RESULTS!$C$37)^('Sheet7(F_23)'!$A22-Title_RESULTS!$H$7)))</f>
        <v>-6435.797352174964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809.6379394822249</v>
      </c>
      <c r="H23" s="5">
        <f>IF(A23&gt;=(Title_RESULTS!$H$7+Title_RESULTS!$C$17),0,(+'Sheet4(F_22)'!$D23+'Sheet4(F_22)'!$G23))</f>
        <v>305.39151609402103</v>
      </c>
      <c r="I23" s="5">
        <f>IF(A23&gt;=(Title_RESULTS!$H$7+Title_RESULTS!$C$17),0,(+'Sheet4(F_22)'!$H23))</f>
        <v>1909.4487037671233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3024.478159343369</v>
      </c>
      <c r="L23" s="23">
        <f>IF(A23&gt;=(Title_RESULTS!$H$7+Title_RESULTS!$C$17),0,(+$K23-$F23))</f>
        <v>3024.478159343369</v>
      </c>
      <c r="M23" s="23">
        <f>IF(A23&gt;=(Title_RESULTS!$H$7+Title_RESULTS!$C$17),0,(+M22+$L23/(1+Title_RESULTS!$C$37)^('Sheet7(F_23)'!$A23-Title_RESULTS!$H$7)))</f>
        <v>-4562.132478057203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822.7535945234154</v>
      </c>
      <c r="H24" s="5">
        <f>IF(A24&gt;=(Title_RESULTS!$H$7+Title_RESULTS!$C$17),0,(+'Sheet4(F_22)'!$D24+'Sheet4(F_22)'!$G24))</f>
        <v>312.72091248027755</v>
      </c>
      <c r="I24" s="5">
        <f>IF(A24&gt;=(Title_RESULTS!$H$7+Title_RESULTS!$C$17),0,(+'Sheet4(F_22)'!$H24))</f>
        <v>2115.889973455765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3251.364480459458</v>
      </c>
      <c r="L24" s="23">
        <f>IF(A24&gt;=(Title_RESULTS!$H$7+Title_RESULTS!$C$17),0,(+$K24-$F24))</f>
        <v>3251.364480459458</v>
      </c>
      <c r="M24" s="23">
        <f>IF(A24&gt;=(Title_RESULTS!$H$7+Title_RESULTS!$C$17),0,(+M23+$L24/(1+Title_RESULTS!$C$37)^('Sheet7(F_23)'!$A24-Title_RESULTS!$H$7)))</f>
        <v>-2681.089333548017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845.1022966317562</v>
      </c>
      <c r="H25" s="5">
        <f>IF(A25&gt;=(Title_RESULTS!$H$7+Title_RESULTS!$C$17),0,(+'Sheet4(F_22)'!$D25+'Sheet4(F_22)'!$G25))</f>
        <v>320.22621437980416</v>
      </c>
      <c r="I25" s="5">
        <f>IF(A25&gt;=(Title_RESULTS!$H$7+Title_RESULTS!$C$17),0,(+'Sheet4(F_22)'!$H25))</f>
        <v>2266.8889140801107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3432.217425091671</v>
      </c>
      <c r="L25" s="23">
        <f>IF(A25&gt;=(Title_RESULTS!$H$7+Title_RESULTS!$C$17),0,(+$K25-$F25))</f>
        <v>3432.217425091671</v>
      </c>
      <c r="M25" s="23">
        <f>IF(A25&gt;=(Title_RESULTS!$H$7+Title_RESULTS!$C$17),0,(+M24+$L25/(1+Title_RESULTS!$C$37)^('Sheet7(F_23)'!$A25-Title_RESULTS!$H$7)))</f>
        <v>-826.7059408521739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691.3296</v>
      </c>
      <c r="D27" s="5">
        <f t="shared" si="1"/>
        <v>17432.03936274</v>
      </c>
      <c r="E27" s="5">
        <f t="shared" si="1"/>
        <v>0</v>
      </c>
      <c r="F27" s="5">
        <f t="shared" si="1"/>
        <v>18123.36896274</v>
      </c>
      <c r="G27" s="5">
        <f t="shared" si="1"/>
        <v>5498.587422018607</v>
      </c>
      <c r="H27" s="5">
        <f t="shared" si="1"/>
        <v>2626.1136399456627</v>
      </c>
      <c r="I27" s="5">
        <f t="shared" si="1"/>
        <v>15232.215372216759</v>
      </c>
      <c r="J27" s="5">
        <f t="shared" si="1"/>
        <v>0</v>
      </c>
      <c r="K27" s="5">
        <f t="shared" si="1"/>
        <v>23356.916434181032</v>
      </c>
      <c r="L27" s="5">
        <f t="shared" si="1"/>
        <v>5233.547471441028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645.9284837466994</v>
      </c>
      <c r="D29" s="5">
        <f>NPV(Title_RESULTS!$C$37,'Sheet7(F_23)'!D17:D26)+'Sheet7(F_23)'!D16</f>
        <v>16287.965019609761</v>
      </c>
      <c r="E29" s="5">
        <f>NPV(Title_RESULTS!$C$37,'Sheet7(F_23)'!E17:E26)+'Sheet7(F_23)'!E16</f>
        <v>0</v>
      </c>
      <c r="F29" s="5">
        <f>NPV(Title_RESULTS!$C$37,'Sheet7(F_23)'!F17:F26)+'Sheet7(F_23)'!F16</f>
        <v>16933.89350335646</v>
      </c>
      <c r="G29" s="5">
        <f>NPV(Title_RESULTS!$C$37,'Sheet7(F_23)'!G17:G26)+'Sheet7(F_23)'!G16</f>
        <v>3655.9285844640644</v>
      </c>
      <c r="H29" s="5">
        <f>NPV(Title_RESULTS!$C$37,'Sheet7(F_23)'!H17:H26)+'Sheet7(F_23)'!H16</f>
        <v>1874.3253958351143</v>
      </c>
      <c r="I29" s="5">
        <f>NPV(Title_RESULTS!$C$37,'Sheet7(F_23)'!I17:I26)+'Sheet7(F_23)'!I16</f>
        <v>10576.93358220511</v>
      </c>
      <c r="J29" s="5">
        <f>NPV(Title_RESULTS!$C$37,'Sheet7(F_23)'!J17:J26)+'Sheet7(F_23)'!J16</f>
        <v>0</v>
      </c>
      <c r="K29" s="5">
        <f>NPV(Title_RESULTS!$C$37,'Sheet7(F_23)'!K17:K26)+'Sheet7(F_23)'!K16</f>
        <v>16107.18756250429</v>
      </c>
      <c r="L29" s="5">
        <f>NPV(Title_RESULTS!$C$37,'Sheet7(F_23)'!L17:L26)+'Sheet7(F_23)'!L16</f>
        <v>-826.7059408521718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0.9511803980172482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Facility Commissioining</v>
      </c>
      <c r="L2" t="s">
        <v>55</v>
      </c>
    </row>
    <row r="3" ht="12.75">
      <c r="L3" s="35">
        <f>+Title_RESULTS!I4</f>
        <v>43599.31907349537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546.8256084411639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669.6082849528469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1216.4338933940107</v>
      </c>
      <c r="G16" s="5">
        <f>IF(A16&gt;=(Title_RESULTS!$H$7+Title_RESULTS!$C$17),0,(+'Sheet6(p_6)'!$H16))</f>
        <v>5679.06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5679.06</v>
      </c>
      <c r="K16" s="23">
        <f>IF(A16&gt;=(Title_RESULTS!$H$7+Title_RESULTS!$C$17),0,(+F16-J16))</f>
        <v>-4462.62610660599</v>
      </c>
      <c r="L16" s="23">
        <f>IF(A16&gt;=(Title_RESULTS!$H$7+Title_RESULTS!$C$17),0,(+$K16/((1+Title_RESULTS!$C$37)^('Sheet8(F_24)'!$A16-Title_RESULTS!$H$7))))</f>
        <v>-4462.62610660599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1678.7815292475425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669.6082849528469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2348.3898142003895</v>
      </c>
      <c r="G17" s="5">
        <f>IF(A17&gt;=(Title_RESULTS!$H$7+Title_RESULTS!$C$17),0,(+'Sheet6(p_6)'!$H17))</f>
        <v>5809.67838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5809.67838</v>
      </c>
      <c r="K17" s="23">
        <f>IF(A17&gt;=(Title_RESULTS!$H$7+Title_RESULTS!$C$17),0,(+F17-J17))</f>
        <v>-3461.2885657996108</v>
      </c>
      <c r="L17" s="23">
        <f>IF(A16&gt;=(Title_RESULTS!$H$7+Title_RESULTS!$C$17),0,(+$K17/((1+Title_RESULTS!$C$37)^('Sheet8(F_24)'!$A17-Title_RESULTS!$H$7))+L16))</f>
        <v>-7695.058461667262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2853.243692933427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669.6082849528469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3522.851977886274</v>
      </c>
      <c r="G18" s="5">
        <f>IF(A18&gt;=(Title_RESULTS!$H$7+Title_RESULTS!$C$17),0,(+'Sheet6(p_6)'!$H18))</f>
        <v>5943.300982739999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5943.300982739999</v>
      </c>
      <c r="K18" s="23">
        <f>IF(A18&gt;=(Title_RESULTS!$H$7+Title_RESULTS!$C$17),0,(+F18-J18))</f>
        <v>-2420.449004853725</v>
      </c>
      <c r="L18" s="23">
        <f>IF(A17&gt;=(Title_RESULTS!$H$7+Title_RESULTS!$C$17),0,(+$K18/((1+Title_RESULTS!$C$37)^('Sheet8(F_24)'!$A18-Title_RESULTS!$H$7))+L17))</f>
        <v>-9806.014612345774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3435.102522987055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3435.102522987055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3435.102522987055</v>
      </c>
      <c r="L19" s="23">
        <f>IF(A18&gt;=(Title_RESULTS!$H$7+Title_RESULTS!$C$17),0,(+$K19/((1+Title_RESULTS!$C$37)^('Sheet8(F_24)'!$A19-Title_RESULTS!$H$7))+L18))</f>
        <v>-7008.22781862418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3528.0928061465493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3528.0928061465493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3528.0928061465493</v>
      </c>
      <c r="L20" s="23">
        <f>IF(A19&gt;=(Title_RESULTS!$H$7+Title_RESULTS!$C$17),0,(+$K20/((1+Title_RESULTS!$C$37)^('Sheet8(F_24)'!$A20-Title_RESULTS!$H$7))+L19))</f>
        <v>-4324.697226268933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3626.239490605686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3626.239490605686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3626.239490605686</v>
      </c>
      <c r="L21" s="23">
        <f>IF(A20&gt;=(Title_RESULTS!$H$7+Title_RESULTS!$C$17),0,(+$K21/((1+Title_RESULTS!$C$37)^('Sheet8(F_24)'!$A21-Title_RESULTS!$H$7))+L20))</f>
        <v>-1748.8822105768022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3711.887913899772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3711.887913899772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3711.887913899772</v>
      </c>
      <c r="L22" s="23">
        <f>IF(A21&gt;=(Title_RESULTS!$H$7+Title_RESULTS!$C$17),0,(+$K22/((1+Title_RESULTS!$C$37)^('Sheet8(F_24)'!$A22-Title_RESULTS!$H$7))+L21))</f>
        <v>713.438843121723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3820.6593632411577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3820.6593632411577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3820.6593632411577</v>
      </c>
      <c r="L23" s="23">
        <f>IF(A22&gt;=(Title_RESULTS!$H$7+Title_RESULTS!$C$17),0,(+$K23/((1+Title_RESULTS!$C$37)^('Sheet8(F_24)'!$A23-Title_RESULTS!$H$7))+L22))</f>
        <v>3080.3381453234188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3990.3271175877117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3990.3271175877117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3990.3271175877117</v>
      </c>
      <c r="L24" s="23">
        <f>IF(A23&gt;=(Title_RESULTS!$H$7+Title_RESULTS!$C$17),0,(+$K24/((1+Title_RESULTS!$C$37)^('Sheet8(F_24)'!$A24-Title_RESULTS!$H$7))+L23))</f>
        <v>5388.900447088732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4099.806847745834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4099.806847745834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4099.806847745834</v>
      </c>
      <c r="L25" s="23">
        <f>IF(A24&gt;=(Title_RESULTS!$H$7+Title_RESULTS!$C$17),0,(+$K25/((1+Title_RESULTS!$C$37)^('Sheet8(F_24)'!$A25-Title_RESULTS!$H$7))+L24))</f>
        <v>7603.973908385407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31290.9668928359</v>
      </c>
      <c r="C27" s="5">
        <f t="shared" si="1"/>
        <v>0</v>
      </c>
      <c r="D27" s="5">
        <f t="shared" si="1"/>
        <v>2008.8248548585407</v>
      </c>
      <c r="E27" s="5">
        <f t="shared" si="1"/>
        <v>0</v>
      </c>
      <c r="F27" s="5">
        <f t="shared" si="1"/>
        <v>33299.79174769444</v>
      </c>
      <c r="G27" s="5">
        <f t="shared" si="1"/>
        <v>17432.03936274</v>
      </c>
      <c r="H27" s="5">
        <f t="shared" si="1"/>
        <v>0</v>
      </c>
      <c r="I27" s="5">
        <f t="shared" si="1"/>
        <v>0</v>
      </c>
      <c r="J27" s="5">
        <f t="shared" si="1"/>
        <v>17432.03936274</v>
      </c>
      <c r="K27" s="5">
        <f t="shared" si="1"/>
        <v>15867.752384954441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22013.007818482878</v>
      </c>
      <c r="C29" s="5">
        <f>NPV(Title_RESULTS!$C$37,'Sheet8(F_24)'!C17:C26)+'Sheet8(F_24)'!C16</f>
        <v>0</v>
      </c>
      <c r="D29" s="5">
        <f>NPV(Title_RESULTS!$C$37,'Sheet8(F_24)'!D17:D26)+'Sheet8(F_24)'!D16</f>
        <v>1878.9311095122862</v>
      </c>
      <c r="E29" s="5">
        <f>NPV(Title_RESULTS!$C$37,'Sheet8(F_24)'!E17:E26)+'Sheet8(F_24)'!E16</f>
        <v>0</v>
      </c>
      <c r="F29" s="5">
        <f>NPV(Title_RESULTS!$C$37,'Sheet8(F_24)'!F17:F26)+'Sheet8(F_24)'!F16</f>
        <v>23891.938927995165</v>
      </c>
      <c r="G29" s="5">
        <f>NPV(Title_RESULTS!$C$37,'Sheet8(F_24)'!G17:G26)+'Sheet8(F_24)'!G16</f>
        <v>16287.965019609761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16287.965019609761</v>
      </c>
      <c r="K29" s="5">
        <f>NPV(Title_RESULTS!$C$37,'Sheet8(F_24)'!K17:K26)+'Sheet8(F_24)'!K16</f>
        <v>7603.9739083854065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1.4668461590647244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Facility Commissioining</v>
      </c>
      <c r="N2" t="s">
        <v>55</v>
      </c>
    </row>
    <row r="3" ht="12.75">
      <c r="N3" s="35">
        <f>+Title_RESULTS!I4</f>
        <v>43599.31907349537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225</v>
      </c>
      <c r="D16" s="5">
        <f>IF(A16&gt;=(Title_RESULTS!$H$7+Title_RESULTS!$C$17),0,(+'Sheet6(p_6)'!$G16))</f>
        <v>669.6082849528469</v>
      </c>
      <c r="E16" s="5">
        <f>+'Sheet6(p_6)'!M16</f>
        <v>352.6435902</v>
      </c>
      <c r="F16">
        <f>IF(A16&gt;=(Title_RESULTS!$H$7+Title_RESULTS!$C$17),0,(+'f-11B'!$R15))</f>
        <v>0</v>
      </c>
      <c r="G16" s="5">
        <f>IF(A16&gt;=(Title_RESULTS!$H$7+Title_RESULTS!$C$17),0,(SUM(B16:F16)))</f>
        <v>1247.2518751528469</v>
      </c>
      <c r="H16" s="5">
        <f>IF(A16&gt;=(Title_RESULTS!$H$7+Title_RESULTS!$C$17),0,(+'Sheet3(F_21)'!$J16+'Sheet4(F_22)'!$H16))</f>
        <v>244.04789957215075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244.04789957215075</v>
      </c>
      <c r="M16" s="23">
        <f>IF(A16&gt;=(Title_RESULTS!$H$7+Title_RESULTS!$C$17),0,(+L16-G16))</f>
        <v>-1003.2039755806961</v>
      </c>
      <c r="N16" s="24">
        <f>IF(A16&gt;=(Title_RESULTS!$H$7+Title_RESULTS!$C$17),0,(+$M16/((1+Title_RESULTS!$C$37)^('Sheet9(F_25)'!$A16-Title_RESULTS!$H$7))))</f>
        <v>-1003.2039755806961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230.4</v>
      </c>
      <c r="D17" s="5">
        <f>IF(A17&gt;=(Title_RESULTS!$H$7+Title_RESULTS!$C$17),0,(+'Sheet6(p_6)'!$G17))</f>
        <v>669.6082849528469</v>
      </c>
      <c r="E17" s="5">
        <f>+'Sheet6(p_6)'!M17</f>
        <v>1068.510078306</v>
      </c>
      <c r="F17">
        <f>IF(A17&gt;=(Title_RESULTS!$H$7+Title_RESULTS!$C$17),0,(+'f-11B'!$R16))</f>
        <v>0</v>
      </c>
      <c r="G17" s="5">
        <f>IF(A17&gt;=(Title_RESULTS!$H$7+Title_RESULTS!$C$17),0,(SUM(B17:F17)))</f>
        <v>1968.5183632588469</v>
      </c>
      <c r="H17" s="5">
        <f>IF(A17&gt;=(Title_RESULTS!$H$7+Title_RESULTS!$C$17),0,(+'Sheet3(F_21)'!$J17+'Sheet4(F_22)'!$H17))</f>
        <v>726.1885493540835</v>
      </c>
      <c r="I17" s="5">
        <f>IF(A17&gt;=(Title_RESULTS!$H$7+Title_RESULTS!$C$17),0,(+'Sheet4(F_22)'!$D17+'Sheet4(F_22)'!$G17))</f>
        <v>264.88491616622355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991.0734655203071</v>
      </c>
      <c r="M17" s="23">
        <f>IF(A17&gt;=(Title_RESULTS!$H$7+Title_RESULTS!$C$17),0,(+L17-G17))</f>
        <v>-977.4448977385398</v>
      </c>
      <c r="N17" s="24">
        <f>(IF(A16&gt;=(Title_RESULTS!$H$7+Title_RESULTS!$C$17),0,(+$M17/((1+Title_RESULTS!$C$37)^('Sheet9(F_25)'!$A17-Title_RESULTS!$H$7))+N16)))</f>
        <v>-1916.0213996921452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235.9296</v>
      </c>
      <c r="D18" s="5">
        <f>IF(A18&gt;=(Title_RESULTS!$H$7+Title_RESULTS!$C$17),0,(+'Sheet6(p_6)'!$G18))</f>
        <v>669.6082849528469</v>
      </c>
      <c r="E18" s="5">
        <f>+'Sheet6(p_6)'!M18</f>
        <v>1798.6586318150999</v>
      </c>
      <c r="F18">
        <f>IF(A18&gt;=(Title_RESULTS!$H$7+Title_RESULTS!$C$17),0,(+'f-11B'!$R17))</f>
        <v>0</v>
      </c>
      <c r="G18" s="5">
        <f>IF(A18&gt;=(Title_RESULTS!$H$7+Title_RESULTS!$C$17),0,(SUM(B18:F18)))</f>
        <v>2704.196516767947</v>
      </c>
      <c r="H18" s="5">
        <f>IF(A18&gt;=(Title_RESULTS!$H$7+Title_RESULTS!$C$17),0,(+'Sheet3(F_21)'!$J18+'Sheet4(F_22)'!$H18))</f>
        <v>1249.1253141436912</v>
      </c>
      <c r="I18" s="5">
        <f>IF(A18&gt;=(Title_RESULTS!$H$7+Title_RESULTS!$C$17),0,(+'Sheet4(F_22)'!$D18+'Sheet4(F_22)'!$G18))</f>
        <v>271.2421541542129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1520.367468297904</v>
      </c>
      <c r="M18" s="23">
        <f>IF(A18&gt;=(Title_RESULTS!$H$7+Title_RESULTS!$C$17),0,(+L18-G18))</f>
        <v>-1183.8290484700428</v>
      </c>
      <c r="N18" s="24">
        <f>(IF(A17&gt;=(Title_RESULTS!$H$7+Title_RESULTS!$C$17),0,(+$M18/((1+Title_RESULTS!$C$37)^('Sheet9(F_25)'!$A18-Title_RESULTS!$H$7))+N17)))</f>
        <v>-2948.479099155534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2179.974261759901</v>
      </c>
      <c r="F19">
        <f>IF(A19&gt;=(Title_RESULTS!$H$7+Title_RESULTS!$C$17),0,(+'f-11B'!$R18))</f>
        <v>0</v>
      </c>
      <c r="G19" s="5">
        <f>IF(A19&gt;=(Title_RESULTS!$H$7+Title_RESULTS!$C$17),0,(SUM(B19:F19)))</f>
        <v>2179.974261759901</v>
      </c>
      <c r="H19" s="5">
        <f>IF(A19&gt;=(Title_RESULTS!$H$7+Title_RESULTS!$C$17),0,(+'Sheet3(F_21)'!$J19+'Sheet4(F_22)'!$H19))</f>
        <v>2284.750874108937</v>
      </c>
      <c r="I19" s="5">
        <f>IF(A19&gt;=(Title_RESULTS!$H$7+Title_RESULTS!$C$17),0,(+'Sheet4(F_22)'!$D19+'Sheet4(F_22)'!$G19))</f>
        <v>277.7519658539141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2562.502839962851</v>
      </c>
      <c r="M19" s="23">
        <f>IF(A19&gt;=(Title_RESULTS!$H$7+Title_RESULTS!$C$17),0,(+L19-G19))</f>
        <v>382.52857820295003</v>
      </c>
      <c r="N19" s="24">
        <f>(IF(A18&gt;=(Title_RESULTS!$H$7+Title_RESULTS!$C$17),0,(+$M19/((1+Title_RESULTS!$C$37)^('Sheet9(F_25)'!$A19-Title_RESULTS!$H$7))+N18)))</f>
        <v>-2636.9211770395236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2201.7740043775</v>
      </c>
      <c r="F20">
        <f>IF(A20&gt;=(Title_RESULTS!$H$7+Title_RESULTS!$C$17),0,(+'f-11B'!$R19))</f>
        <v>0</v>
      </c>
      <c r="G20" s="5">
        <f>IF(A20&gt;=(Title_RESULTS!$H$7+Title_RESULTS!$C$17),0,(SUM(B20:F20)))</f>
        <v>2201.7740043775</v>
      </c>
      <c r="H20" s="5">
        <f>IF(A20&gt;=(Title_RESULTS!$H$7+Title_RESULTS!$C$17),0,(+'Sheet3(F_21)'!$J20+'Sheet4(F_22)'!$H20))</f>
        <v>2365.383899358246</v>
      </c>
      <c r="I20" s="5">
        <f>IF(A20&gt;=(Title_RESULTS!$H$7+Title_RESULTS!$C$17),0,(+'Sheet4(F_22)'!$D20+'Sheet4(F_22)'!$G20))</f>
        <v>284.418013034408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2649.801912392654</v>
      </c>
      <c r="M20" s="23">
        <f>IF(A20&gt;=(Title_RESULTS!$H$7+Title_RESULTS!$C$17),0,(+L20-G20))</f>
        <v>448.02790801515357</v>
      </c>
      <c r="N20" s="24">
        <f>(IF(A19&gt;=(Title_RESULTS!$H$7+Title_RESULTS!$C$17),0,(+$M20/((1+Title_RESULTS!$C$37)^('Sheet9(F_25)'!$A20-Title_RESULTS!$H$7))+N19)))</f>
        <v>-2296.1431240095753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2223.791744421275</v>
      </c>
      <c r="F21">
        <f>IF(A21&gt;=(Title_RESULTS!$H$7+Title_RESULTS!$C$17),0,(+'f-11B'!$R20))</f>
        <v>0</v>
      </c>
      <c r="G21" s="5">
        <f>IF(A21&gt;=(Title_RESULTS!$H$7+Title_RESULTS!$C$17),0,(SUM(B21:F21)))</f>
        <v>2223.791744421275</v>
      </c>
      <c r="H21" s="5">
        <f>IF(A21&gt;=(Title_RESULTS!$H$7+Title_RESULTS!$C$17),0,(+'Sheet3(F_21)'!$J21+'Sheet4(F_22)'!$H21))</f>
        <v>2506.0351529199656</v>
      </c>
      <c r="I21" s="5">
        <f>IF(A21&gt;=(Title_RESULTS!$H$7+Title_RESULTS!$C$17),0,(+'Sheet4(F_22)'!$D21+'Sheet4(F_22)'!$G21))</f>
        <v>291.2440453472338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2797.2791982671993</v>
      </c>
      <c r="M21" s="23">
        <f>IF(A21&gt;=(Title_RESULTS!$H$7+Title_RESULTS!$C$17),0,(+L21-G21))</f>
        <v>573.4874538459244</v>
      </c>
      <c r="N21" s="24">
        <f>(IF(A20&gt;=(Title_RESULTS!$H$7+Title_RESULTS!$C$17),0,(+$M21/((1+Title_RESULTS!$C$37)^('Sheet9(F_25)'!$A21-Title_RESULTS!$H$7))+N20)))</f>
        <v>-1888.7796283678008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2246.0296618654884</v>
      </c>
      <c r="F22">
        <f>IF(A22&gt;=(Title_RESULTS!$H$7+Title_RESULTS!$C$17),0,(+'f-11B'!$R21))</f>
        <v>0</v>
      </c>
      <c r="G22" s="5">
        <f>IF(A22&gt;=(Title_RESULTS!$H$7+Title_RESULTS!$C$17),0,(SUM(B22:F22)))</f>
        <v>2246.0296618654884</v>
      </c>
      <c r="H22" s="5">
        <f>IF(A22&gt;=(Title_RESULTS!$H$7+Title_RESULTS!$C$17),0,(+'Sheet3(F_21)'!$J22+'Sheet4(F_22)'!$H22))</f>
        <v>2585.549682837897</v>
      </c>
      <c r="I22" s="5">
        <f>IF(A22&gt;=(Title_RESULTS!$H$7+Title_RESULTS!$C$17),0,(+'Sheet4(F_22)'!$D22+'Sheet4(F_22)'!$G22))</f>
        <v>298.2339024355674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2883.7835852734643</v>
      </c>
      <c r="M22" s="23">
        <f>IF(A22&gt;=(Title_RESULTS!$H$7+Title_RESULTS!$C$17),0,(+L22-G22))</f>
        <v>637.7539234079759</v>
      </c>
      <c r="N22" s="24">
        <f>(IF(A21&gt;=(Title_RESULTS!$H$7+Title_RESULTS!$C$17),0,(+$M22/((1+Title_RESULTS!$C$37)^('Sheet9(F_25)'!$A22-Title_RESULTS!$H$7))+N21)))</f>
        <v>-1465.718655323371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2268.4899584841423</v>
      </c>
      <c r="F23">
        <f>IF(A23&gt;=(Title_RESULTS!$H$7+Title_RESULTS!$C$17),0,(+'f-11B'!$R22))</f>
        <v>0</v>
      </c>
      <c r="G23" s="5">
        <f>IF(A23&gt;=(Title_RESULTS!$H$7+Title_RESULTS!$C$17),0,(SUM(B23:F23)))</f>
        <v>2268.4899584841423</v>
      </c>
      <c r="H23" s="5">
        <f>IF(A23&gt;=(Title_RESULTS!$H$7+Title_RESULTS!$C$17),0,(+'Sheet3(F_21)'!$J23+'Sheet4(F_22)'!$H23))</f>
        <v>2719.086643249348</v>
      </c>
      <c r="I23" s="5">
        <f>IF(A23&gt;=(Title_RESULTS!$H$7+Title_RESULTS!$C$17),0,(+'Sheet4(F_22)'!$D23+'Sheet4(F_22)'!$G23))</f>
        <v>305.39151609402103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3024.478159343369</v>
      </c>
      <c r="M23" s="23">
        <f>IF(A23&gt;=(Title_RESULTS!$H$7+Title_RESULTS!$C$17),0,(+L23-G23))</f>
        <v>755.9882008592267</v>
      </c>
      <c r="N23" s="24">
        <f>(IF(A22&gt;=(Title_RESULTS!$H$7+Title_RESULTS!$C$17),0,(+$M23/((1+Title_RESULTS!$C$37)^('Sheet9(F_25)'!$A23-Title_RESULTS!$H$7))+N22)))</f>
        <v>-997.3838013183617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2291.1748580689846</v>
      </c>
      <c r="F24">
        <f>IF(A24&gt;=(Title_RESULTS!$H$7+Title_RESULTS!$C$17),0,(+'f-11B'!$R23))</f>
        <v>0</v>
      </c>
      <c r="G24" s="5">
        <f>IF(A24&gt;=(Title_RESULTS!$H$7+Title_RESULTS!$C$17),0,(SUM(B24:F24)))</f>
        <v>2291.1748580689846</v>
      </c>
      <c r="H24" s="5">
        <f>IF(A24&gt;=(Title_RESULTS!$H$7+Title_RESULTS!$C$17),0,(+'Sheet3(F_21)'!$J24+'Sheet4(F_22)'!$H24))</f>
        <v>2938.6435679791803</v>
      </c>
      <c r="I24" s="5">
        <f>IF(A24&gt;=(Title_RESULTS!$H$7+Title_RESULTS!$C$17),0,(+'Sheet4(F_22)'!$D24+'Sheet4(F_22)'!$G24))</f>
        <v>312.72091248027755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3251.364480459458</v>
      </c>
      <c r="M24" s="23">
        <f>IF(A24&gt;=(Title_RESULTS!$H$7+Title_RESULTS!$C$17),0,(+L24-G24))</f>
        <v>960.1896223904732</v>
      </c>
      <c r="N24" s="24">
        <f>(IF(A23&gt;=(Title_RESULTS!$H$7+Title_RESULTS!$C$17),0,(+$M24/((1+Title_RESULTS!$C$37)^('Sheet9(F_25)'!$A24-Title_RESULTS!$H$7))+N23)))</f>
        <v>-441.8760698777969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2314.0866066496746</v>
      </c>
      <c r="F25">
        <f>IF(A25&gt;=(Title_RESULTS!$H$7+Title_RESULTS!$C$17),0,(+'f-11B'!$R24))</f>
        <v>0</v>
      </c>
      <c r="G25" s="5">
        <f>IF(A25&gt;=(Title_RESULTS!$H$7+Title_RESULTS!$C$17),0,(SUM(B25:F25)))</f>
        <v>2314.0866066496746</v>
      </c>
      <c r="H25" s="5">
        <f>IF(A25&gt;=(Title_RESULTS!$H$7+Title_RESULTS!$C$17),0,(+'Sheet3(F_21)'!$J25+'Sheet4(F_22)'!$H25))</f>
        <v>3111.991210711867</v>
      </c>
      <c r="I25" s="5">
        <f>IF(A25&gt;=(Title_RESULTS!$H$7+Title_RESULTS!$C$17),0,(+'Sheet4(F_22)'!$D25+'Sheet4(F_22)'!$G25))</f>
        <v>320.22621437980416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3432.2174250916714</v>
      </c>
      <c r="M25" s="23">
        <f>IF(A25&gt;=(Title_RESULTS!$H$7+Title_RESULTS!$C$17),0,(+L25-G25))</f>
        <v>1118.1308184419968</v>
      </c>
      <c r="N25" s="24">
        <f>(IF(A24&gt;=(Title_RESULTS!$H$7+Title_RESULTS!$C$17),0,(+$M25/((1+Title_RESULTS!$C$37)^('Sheet9(F_25)'!$A25-Title_RESULTS!$H$7))+N24)))</f>
        <v>162.23578079403808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691.3296</v>
      </c>
      <c r="D27" s="5">
        <f t="shared" si="1"/>
        <v>2008.8248548585407</v>
      </c>
      <c r="E27" s="5">
        <f t="shared" si="1"/>
        <v>18945.133395948065</v>
      </c>
      <c r="F27" s="5">
        <f t="shared" si="1"/>
        <v>0</v>
      </c>
      <c r="G27" s="5">
        <f t="shared" si="1"/>
        <v>21645.28785080661</v>
      </c>
      <c r="H27" s="5">
        <f t="shared" si="1"/>
        <v>20730.802794235366</v>
      </c>
      <c r="I27" s="5">
        <f t="shared" si="1"/>
        <v>2626.1136399456627</v>
      </c>
      <c r="J27" s="5">
        <f t="shared" si="1"/>
        <v>0</v>
      </c>
      <c r="K27" s="9">
        <f t="shared" si="1"/>
        <v>0</v>
      </c>
      <c r="L27" s="5">
        <f t="shared" si="1"/>
        <v>23356.916434181032</v>
      </c>
      <c r="M27" s="5">
        <f t="shared" si="1"/>
        <v>1711.6285833744219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645.9284837466994</v>
      </c>
      <c r="D29" s="5">
        <f>NPV(Title_RESULTS!$C$37,'Sheet9(F_25)'!D17:D26)+'Sheet9(F_25)'!D16</f>
        <v>1878.9311095122862</v>
      </c>
      <c r="E29" s="5">
        <f>NPV(Title_RESULTS!$C$37,'Sheet9(F_25)'!E17:E26)+'Sheet9(F_25)'!E16</f>
        <v>13420.092188451265</v>
      </c>
      <c r="F29" s="5">
        <f>NPV(Title_RESULTS!$C$37,'Sheet9(F_25)'!F17:F26)+'Sheet9(F_25)'!F16</f>
        <v>0</v>
      </c>
      <c r="G29" s="5">
        <f>NPV(Title_RESULTS!$C$37,'Sheet9(F_25)'!G17:G26)+'Sheet9(F_25)'!G16</f>
        <v>15944.951781710253</v>
      </c>
      <c r="H29" s="5">
        <f>NPV(Title_RESULTS!$C$37,'Sheet9(F_25)'!H17:H26)+'Sheet9(F_25)'!H16</f>
        <v>14232.862166669176</v>
      </c>
      <c r="I29" s="5">
        <f>NPV(Title_RESULTS!$C$37,'Sheet9(F_25)'!I17:I26)+'Sheet9(F_25)'!I16</f>
        <v>1874.3253958351143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16107.18756250429</v>
      </c>
      <c r="M29" s="5">
        <f>NPV(Title_RESULTS!$C$37,'Sheet9(F_25)'!M17:M26)+'Sheet9(F_25)'!M16</f>
        <v>162.23578079403728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1.010174742640497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5727.0449278642145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334.0750848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867.9293952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33.01406944010715</v>
      </c>
      <c r="P24" s="48">
        <f aca="true" t="shared" si="4" ref="P24:P61">N24*$L$5</f>
        <v>85.77078215634417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33.806407106669724</v>
      </c>
      <c r="P25" s="48">
        <f t="shared" si="4"/>
        <v>87.82928092809642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787.98790443085</v>
      </c>
      <c r="E26" s="11">
        <f>IF(B26=Title_RESULTS!$H$8,$F$16,+E25*(1+$F$7))</f>
        <v>0.09882230355451863</v>
      </c>
      <c r="F26" s="9">
        <f t="shared" si="1"/>
        <v>565.9597723317636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45.96561216296992</v>
      </c>
      <c r="L26" s="5">
        <f t="shared" si="3"/>
        <v>119.4189802824956</v>
      </c>
      <c r="N26" s="11">
        <f>IF(+B26=Title_RESULTS!$H$9,'Value of Defferal'!$O$16,+'Value of Defferal'!N25*(1+'Value of Defferal'!$F$7))</f>
        <v>0.10362269577198292</v>
      </c>
      <c r="O26" s="5">
        <f t="shared" si="7"/>
        <v>34.6177608772298</v>
      </c>
      <c r="P26" s="48">
        <f t="shared" si="4"/>
        <v>89.93718367037074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764.7187129268615</v>
      </c>
      <c r="E27" s="11">
        <f>IF(B27=Title_RESULTS!$H$8,$F$16,+E26*(1+$F$7))</f>
        <v>0.10119403883982707</v>
      </c>
      <c r="F27" s="9">
        <f t="shared" si="1"/>
        <v>579.542806867726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44.608252962398495</v>
      </c>
      <c r="L27" s="5">
        <f t="shared" si="3"/>
        <v>115.89255163330017</v>
      </c>
      <c r="N27" s="11">
        <f>IF(+B27=Title_RESULTS!$H$9,'Value of Defferal'!$O$16,+'Value of Defferal'!N26*(1+'Value of Defferal'!$F$7))</f>
        <v>0.10610964047051051</v>
      </c>
      <c r="O27" s="5">
        <f t="shared" si="7"/>
        <v>35.448587138283315</v>
      </c>
      <c r="P27" s="48">
        <f t="shared" si="4"/>
        <v>92.09567607845963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739.0296952107741</v>
      </c>
      <c r="E28" s="11">
        <f>IF(B28=Title_RESULTS!$H$8,$F$16,+E27*(1+$F$7))</f>
        <v>0.10362269577198292</v>
      </c>
      <c r="F28" s="9">
        <f t="shared" si="1"/>
        <v>593.4518342325514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43.10973830431092</v>
      </c>
      <c r="L28" s="5">
        <f t="shared" si="3"/>
        <v>111.99940012315116</v>
      </c>
      <c r="N28" s="11">
        <f>IF(+B28=Title_RESULTS!$H$9,'Value of Defferal'!$O$16,+'Value of Defferal'!N27*(1+'Value of Defferal'!$F$7))</f>
        <v>0.10865627184180277</v>
      </c>
      <c r="O28" s="5">
        <f t="shared" si="7"/>
        <v>36.29935322960211</v>
      </c>
      <c r="P28" s="48">
        <f t="shared" si="4"/>
        <v>94.30597230434267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714.5710398363315</v>
      </c>
      <c r="E29" s="11">
        <f>IF(B29=Title_RESULTS!$H$8,$F$16,+E28*(1+$F$7))</f>
        <v>0.10610964047051051</v>
      </c>
      <c r="F29" s="9">
        <f t="shared" si="1"/>
        <v>607.6946782541326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41.68299423800269</v>
      </c>
      <c r="L29" s="5">
        <f t="shared" si="3"/>
        <v>108.29270910990954</v>
      </c>
      <c r="N29" s="11">
        <f>IF(+B29=Title_RESULTS!$H$9,'Value of Defferal'!$O$16,+'Value of Defferal'!N28*(1+'Value of Defferal'!$F$7))</f>
        <v>0.11126402236600604</v>
      </c>
      <c r="O29" s="5">
        <f t="shared" si="7"/>
        <v>37.170537707112565</v>
      </c>
      <c r="P29" s="48">
        <f t="shared" si="4"/>
        <v>96.5693156396469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691.2193697487756</v>
      </c>
      <c r="E30" s="11">
        <f>IF(B30=Title_RESULTS!$H$8,$F$16,+E29*(1+$F$7))</f>
        <v>0.10865627184180277</v>
      </c>
      <c r="F30" s="9">
        <f t="shared" si="1"/>
        <v>622.2793505322318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40.32082382324551</v>
      </c>
      <c r="L30" s="5">
        <f t="shared" si="3"/>
        <v>104.75378089277739</v>
      </c>
      <c r="N30" s="11">
        <f>IF(+B30=Title_RESULTS!$H$9,'Value of Defferal'!$O$16,+'Value of Defferal'!N29*(1+'Value of Defferal'!$F$7))</f>
        <v>0.11393435890279018</v>
      </c>
      <c r="O30" s="5">
        <f t="shared" si="7"/>
        <v>38.06263061208326</v>
      </c>
      <c r="P30" s="48">
        <f t="shared" si="4"/>
        <v>98.88697921499842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668.8649407170791</v>
      </c>
      <c r="E31" s="11">
        <f>IF(B31=Title_RESULTS!$H$8,$F$16,+E30*(1+$F$7))</f>
        <v>0.11126402236600604</v>
      </c>
      <c r="F31" s="9">
        <f t="shared" si="1"/>
        <v>637.2140549450054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39.016825361825255</v>
      </c>
      <c r="L31" s="5">
        <f t="shared" si="3"/>
        <v>101.36598381524384</v>
      </c>
      <c r="N31" s="11">
        <f>IF(+B31=Title_RESULTS!$H$9,'Value of Defferal'!$O$16,+'Value of Defferal'!N30*(1+'Value of Defferal'!$F$7))</f>
        <v>0.11666878351645714</v>
      </c>
      <c r="O31" s="5">
        <f t="shared" si="7"/>
        <v>38.976133746773264</v>
      </c>
      <c r="P31" s="48">
        <f t="shared" si="4"/>
        <v>101.26026671615838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647.206467336806</v>
      </c>
      <c r="E32" s="11">
        <f>IF(B32=Title_RESULTS!$H$8,$F$16,+E31*(1+$F$7))</f>
        <v>0.11393435890279018</v>
      </c>
      <c r="F32" s="9">
        <f t="shared" si="1"/>
        <v>652.5071922636855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37.75342400522866</v>
      </c>
      <c r="L32" s="5">
        <f t="shared" si="3"/>
        <v>98.08365829856484</v>
      </c>
      <c r="N32" s="11">
        <f>IF(+B32=Title_RESULTS!$H$9,'Value of Defferal'!$O$16,+'Value of Defferal'!N31*(1+'Value of Defferal'!$F$7))</f>
        <v>0.11946883432085212</v>
      </c>
      <c r="O32" s="5">
        <f t="shared" si="7"/>
        <v>39.91156095669582</v>
      </c>
      <c r="P32" s="48">
        <f t="shared" si="4"/>
        <v>103.69051311734619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625.7708906245207</v>
      </c>
      <c r="E33" s="11">
        <f>IF(B33=Title_RESULTS!$H$8,$F$16,+E32*(1+$F$7))</f>
        <v>0.11666878351645714</v>
      </c>
      <c r="F33" s="9">
        <f t="shared" si="1"/>
        <v>668.1673648780139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36.503024855563844</v>
      </c>
      <c r="L33" s="5">
        <f t="shared" si="3"/>
        <v>94.83511260597933</v>
      </c>
      <c r="N33" s="11">
        <f>IF(+B33=Title_RESULTS!$H$9,'Value of Defferal'!$O$16,+'Value of Defferal'!N32*(1+'Value of Defferal'!$F$7))</f>
        <v>0.12233608634455258</v>
      </c>
      <c r="O33" s="5">
        <f t="shared" si="7"/>
        <v>40.869438419656525</v>
      </c>
      <c r="P33" s="48">
        <f t="shared" si="4"/>
        <v>106.17908543216251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604.3353139122353</v>
      </c>
      <c r="E34" s="11">
        <f>IF(B34=Title_RESULTS!$H$8,$F$16,+E33*(1+$F$7))</f>
        <v>0.11946883432085212</v>
      </c>
      <c r="F34" s="9">
        <f t="shared" si="1"/>
        <v>684.2033816350863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35.25262570589902</v>
      </c>
      <c r="L34" s="5">
        <f t="shared" si="3"/>
        <v>91.58656691339381</v>
      </c>
      <c r="N34" s="11">
        <f>IF(+B34=Title_RESULTS!$H$9,'Value of Defferal'!$O$16,+'Value of Defferal'!N33*(1+'Value of Defferal'!$F$7))</f>
        <v>0.12527215241682185</v>
      </c>
      <c r="O34" s="5">
        <f t="shared" si="7"/>
        <v>41.85030494172829</v>
      </c>
      <c r="P34" s="48">
        <f t="shared" si="4"/>
        <v>108.72738348253442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582.8997371999499</v>
      </c>
      <c r="E35" s="11">
        <f>IF(B35=Title_RESULTS!$H$8,$F$16,+E34*(1+$F$7))</f>
        <v>0.12233608634455258</v>
      </c>
      <c r="F35" s="9">
        <f t="shared" si="1"/>
        <v>700.6242627943284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34.0022265562342</v>
      </c>
      <c r="L35" s="5">
        <f t="shared" si="3"/>
        <v>88.33802122080829</v>
      </c>
      <c r="N35" s="11">
        <f>IF(+B35=Title_RESULTS!$H$9,'Value of Defferal'!$O$16,+'Value of Defferal'!N34*(1+'Value of Defferal'!$F$7))</f>
        <v>0.12827868407482557</v>
      </c>
      <c r="O35" s="5">
        <f t="shared" si="7"/>
        <v>42.85471226032976</v>
      </c>
      <c r="P35" s="48">
        <f t="shared" si="4"/>
        <v>111.33684068611524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561.4641604876646</v>
      </c>
      <c r="E36" s="11">
        <f>IF(B36=Title_RESULTS!$H$8,$F$16,+E35*(1+$F$7))</f>
        <v>0.12527215241682185</v>
      </c>
      <c r="F36" s="9">
        <f t="shared" si="1"/>
        <v>717.4392451013924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32.75182740656938</v>
      </c>
      <c r="L36" s="5">
        <f t="shared" si="3"/>
        <v>85.08947552822278</v>
      </c>
      <c r="N36" s="11">
        <f>IF(+B36=Title_RESULTS!$H$9,'Value of Defferal'!$O$16,+'Value of Defferal'!N35*(1+'Value of Defferal'!$F$7))</f>
        <v>0.1313573724926214</v>
      </c>
      <c r="O36" s="5">
        <f t="shared" si="7"/>
        <v>43.88322535457768</v>
      </c>
      <c r="P36" s="48">
        <f t="shared" si="4"/>
        <v>114.008924862582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540.0285837753792</v>
      </c>
      <c r="E37" s="11">
        <f>IF(B37&gt;Title_RESULTS!$H$8-1+Title_RESULTS!$C$18,0,+E36*(1+$F$7))</f>
        <v>0.12827868407482557</v>
      </c>
      <c r="F37" s="9">
        <f t="shared" si="1"/>
        <v>734.6577869838258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31.50142825690456</v>
      </c>
      <c r="L37" s="5">
        <f t="shared" si="3"/>
        <v>81.84092983563725</v>
      </c>
      <c r="N37" s="11">
        <f>IF(+B37=Title_RESULTS!$H$9,'Value of Defferal'!$O$16,+'Value of Defferal'!N36*(1+'Value of Defferal'!$F$7))</f>
        <v>0.1345099494324443</v>
      </c>
      <c r="O37" s="5">
        <f t="shared" si="7"/>
        <v>44.93642276308754</v>
      </c>
      <c r="P37" s="48">
        <f t="shared" si="4"/>
        <v>116.74513905928396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518.5930070630938</v>
      </c>
      <c r="E38" s="11">
        <f>IF(B38&gt;Title_RESULTS!$H$8-1+Title_RESULTS!$C$18,0,+E37*(1+$F$7))</f>
        <v>0.1313573724926214</v>
      </c>
      <c r="F38" s="9">
        <f t="shared" si="1"/>
        <v>752.2895738714376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30.251029107239734</v>
      </c>
      <c r="L38" s="5">
        <f t="shared" si="3"/>
        <v>78.59238414305172</v>
      </c>
      <c r="N38" s="11">
        <f>IF(+B38=Title_RESULTS!$H$9,'Value of Defferal'!$O$16,+'Value of Defferal'!N37*(1+'Value of Defferal'!$F$7))</f>
        <v>0.13773818821882297</v>
      </c>
      <c r="O38" s="5">
        <f t="shared" si="7"/>
        <v>46.01489690940165</v>
      </c>
      <c r="P38" s="48">
        <f t="shared" si="4"/>
        <v>119.5470223967068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497.1574303508083</v>
      </c>
      <c r="E39" s="11">
        <f>IF(B39&gt;Title_RESULTS!$H$8-1+Title_RESULTS!$C$18,0,+E38*(1+$F$7))</f>
        <v>0.1345099494324443</v>
      </c>
      <c r="F39" s="9">
        <f t="shared" si="1"/>
        <v>770.3445236443521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29.00062995757491</v>
      </c>
      <c r="L39" s="5">
        <f t="shared" si="3"/>
        <v>75.3438384504662</v>
      </c>
      <c r="N39" s="11">
        <f>IF(+B39&gt;Title_RESULTS!$H$9+Title_RESULTS!$C$19-1,0,+'Value of Defferal'!N38*(1+'Value of Defferal'!$F$7))</f>
        <v>0.14104390473607473</v>
      </c>
      <c r="O39" s="5">
        <f t="shared" si="7"/>
        <v>47.11925443522729</v>
      </c>
      <c r="P39" s="48">
        <f t="shared" si="4"/>
        <v>122.41615093422776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475.72185363852304</v>
      </c>
      <c r="E40" s="11">
        <f>IF(B40&gt;Title_RESULTS!$H$8-1+Title_RESULTS!$C$18,0,+E39*(1+$F$7))</f>
        <v>0.13773818821882297</v>
      </c>
      <c r="F40" s="9">
        <f t="shared" si="1"/>
        <v>788.8327922118166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27.750230807910096</v>
      </c>
      <c r="L40" s="5">
        <f t="shared" si="3"/>
        <v>72.0952927578807</v>
      </c>
      <c r="N40" s="11">
        <f>IF(+B40&gt;Title_RESULTS!$H$9+Title_RESULTS!$C$19-1,0,+'Value of Defferal'!N39*(1+'Value of Defferal'!$F$7))</f>
        <v>0.14442895844974052</v>
      </c>
      <c r="O40" s="5">
        <f t="shared" si="7"/>
        <v>48.25011654167274</v>
      </c>
      <c r="P40" s="48">
        <f t="shared" si="4"/>
        <v>125.35413855664922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456.299163349992</v>
      </c>
      <c r="E41" s="11">
        <f>IF(B41&gt;Title_RESULTS!$H$8-1+Title_RESULTS!$C$18,0,+E40*(1+$F$7))</f>
        <v>0.14104390473607473</v>
      </c>
      <c r="F41" s="9">
        <f t="shared" si="1"/>
        <v>807.7647792249003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26.61724914163828</v>
      </c>
      <c r="L41" s="5">
        <f t="shared" si="3"/>
        <v>69.15179850427994</v>
      </c>
      <c r="N41" s="11">
        <f>IF(+B41&gt;Title_RESULTS!$H$9+Title_RESULTS!$C$19-1,0,+'Value of Defferal'!N40*(1+'Value of Defferal'!$F$7))</f>
        <v>0.1478952534525343</v>
      </c>
      <c r="O41" s="5">
        <f t="shared" si="7"/>
        <v>49.40811933867289</v>
      </c>
      <c r="P41" s="48">
        <f t="shared" si="4"/>
        <v>128.3626378820088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440.9015642677832</v>
      </c>
      <c r="E42" s="11">
        <f>IF(B42&gt;Title_RESULTS!$H$8-1+Title_RESULTS!$C$18,0,+E41*(1+$F$7))</f>
        <v>0.14442895844974052</v>
      </c>
      <c r="F42" s="9">
        <f t="shared" si="1"/>
        <v>827.1511339262978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25.719062680051774</v>
      </c>
      <c r="L42" s="5">
        <f t="shared" si="3"/>
        <v>66.81830382643437</v>
      </c>
      <c r="N42" s="11">
        <f>IF(+B42&gt;Title_RESULTS!$H$9+Title_RESULTS!$C$19-1,0,+'Value of Defferal'!N41*(1+'Value of Defferal'!$F$7))</f>
        <v>0.1514447395353951</v>
      </c>
      <c r="O42" s="5">
        <f t="shared" si="7"/>
        <v>50.59391420280104</v>
      </c>
      <c r="P42" s="48">
        <f t="shared" si="4"/>
        <v>131.443341191177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427.5161699681423</v>
      </c>
      <c r="E43" s="11">
        <f>IF(B43&gt;Title_RESULTS!$H$8-1+Title_RESULTS!$C$18,0,+E42*(1+$F$7))</f>
        <v>0.1478952534525343</v>
      </c>
      <c r="F43" s="9">
        <f t="shared" si="1"/>
        <v>847.002761140529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24.93825393975757</v>
      </c>
      <c r="L43" s="5">
        <f t="shared" si="3"/>
        <v>64.78975728535924</v>
      </c>
      <c r="N43" s="11">
        <f>IF(+B43&gt;Title_RESULTS!$H$9+Title_RESULTS!$C$19-1,0,+'Value of Defferal'!N42*(1+'Value of Defferal'!$F$7))</f>
        <v>0.1550794132842446</v>
      </c>
      <c r="O43" s="5">
        <f t="shared" si="7"/>
        <v>51.80816814366826</v>
      </c>
      <c r="P43" s="48">
        <f t="shared" si="4"/>
        <v>134.59798137976526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414.1307756685015</v>
      </c>
      <c r="E44" s="11">
        <f>IF(B44&gt;Title_RESULTS!$H$8-1+Title_RESULTS!$C$18,0,+E43*(1+$F$7))</f>
        <v>0.1514447395353951</v>
      </c>
      <c r="F44" s="9">
        <f t="shared" si="1"/>
        <v>867.3308274079017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24.15744519946337</v>
      </c>
      <c r="L44" s="5">
        <f t="shared" si="3"/>
        <v>62.761210744284114</v>
      </c>
      <c r="N44" s="11">
        <f>IF(+B44&gt;Title_RESULTS!$H$9+Title_RESULTS!$C$19-1,0,+'Value of Defferal'!N43*(1+'Value of Defferal'!$F$7))</f>
        <v>0.15880131920306648</v>
      </c>
      <c r="O44" s="5">
        <f t="shared" si="7"/>
        <v>53.051564179116305</v>
      </c>
      <c r="P44" s="48">
        <f t="shared" si="4"/>
        <v>137.82833293287965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400.7453813688604</v>
      </c>
      <c r="E45" s="11">
        <f>IF(B45&gt;Title_RESULTS!$H$8-1+Title_RESULTS!$C$18,0,+E44*(1+$F$7))</f>
        <v>0.1550794132842446</v>
      </c>
      <c r="F45" s="9">
        <f t="shared" si="1"/>
        <v>888.1467672656913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23.37663645916916</v>
      </c>
      <c r="L45" s="5">
        <f t="shared" si="3"/>
        <v>60.732664203208955</v>
      </c>
      <c r="N45" s="11">
        <f>IF(+B45&gt;Title_RESULTS!$H$9+Title_RESULTS!$C$19-1,0,+'Value of Defferal'!N44*(1+'Value of Defferal'!$F$7))</f>
        <v>0.16261255086394008</v>
      </c>
      <c r="O45" s="5">
        <f t="shared" si="7"/>
        <v>54.3248017194151</v>
      </c>
      <c r="P45" s="48">
        <f t="shared" si="4"/>
        <v>141.13621292326877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387.3599870692195</v>
      </c>
      <c r="E46" s="11">
        <f>IF(B46&gt;Title_RESULTS!$H$8-1+Title_RESULTS!$C$18,0,+E45*(1+$F$7))</f>
        <v>0.15880131920306648</v>
      </c>
      <c r="F46" s="9">
        <f t="shared" si="1"/>
        <v>909.4622896800679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22.595827718874954</v>
      </c>
      <c r="L46" s="5">
        <f t="shared" si="3"/>
        <v>58.704117662133825</v>
      </c>
      <c r="N46" s="11">
        <f>IF(+B46&gt;Title_RESULTS!$H$9+Title_RESULTS!$C$19-1,0,+'Value of Defferal'!N45*(1+'Value of Defferal'!$F$7))</f>
        <v>0.16651525208467466</v>
      </c>
      <c r="O46" s="5">
        <f t="shared" si="7"/>
        <v>55.628596960681065</v>
      </c>
      <c r="P46" s="48">
        <f t="shared" si="4"/>
        <v>144.52348203342723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373.97459276957875</v>
      </c>
      <c r="E47" s="11">
        <f>IF(B47&gt;Title_RESULTS!$H$8-1+Title_RESULTS!$C$18,0,+E46*(1+$F$7))</f>
        <v>0.16261255086394008</v>
      </c>
      <c r="F47" s="9">
        <f t="shared" si="1"/>
        <v>931.2893846323897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21.815018978580756</v>
      </c>
      <c r="L47" s="5">
        <f t="shared" si="3"/>
        <v>56.6755711210587</v>
      </c>
      <c r="N47" s="11">
        <f>IF(+B47&gt;Title_RESULTS!$H$9+Title_RESULTS!$C$19-1,0,+'Value of Defferal'!N46*(1+'Value of Defferal'!$F$7))</f>
        <v>0.17051161813470686</v>
      </c>
      <c r="O47" s="5">
        <f t="shared" si="7"/>
        <v>56.96368328773742</v>
      </c>
      <c r="P47" s="48">
        <f t="shared" si="4"/>
        <v>147.9920456022295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360.58919846993786</v>
      </c>
      <c r="E48" s="11">
        <f>IF(B48&gt;Title_RESULTS!$H$8-1+Title_RESULTS!$C$18,0,+E47*(1+$F$7))</f>
        <v>0.16651525208467466</v>
      </c>
      <c r="F48" s="9">
        <f t="shared" si="1"/>
        <v>953.6403298635671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21.03421023828655</v>
      </c>
      <c r="L48" s="5">
        <f t="shared" si="3"/>
        <v>54.647024579983565</v>
      </c>
      <c r="N48" s="11">
        <f>IF(+B48&gt;Title_RESULTS!$H$9+Title_RESULTS!$C$19-1,0,+'Value of Defferal'!N47*(1+'Value of Defferal'!$F$7))</f>
        <v>0.17460389696993983</v>
      </c>
      <c r="O48" s="5">
        <f t="shared" si="7"/>
        <v>58.330811686643116</v>
      </c>
      <c r="P48" s="48">
        <f t="shared" si="4"/>
        <v>151.54385469668298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347.20380417029685</v>
      </c>
      <c r="E49" s="11">
        <f>IF(B49&gt;Title_RESULTS!$H$8-1+Title_RESULTS!$C$18,0,+E48*(1+$F$7))</f>
        <v>0.17051161813470686</v>
      </c>
      <c r="F49" s="9">
        <f t="shared" si="1"/>
        <v>976.5276977802928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20.25340149799234</v>
      </c>
      <c r="L49" s="5">
        <f t="shared" si="3"/>
        <v>52.618478038908414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333.81840987065596</v>
      </c>
      <c r="E50" s="11">
        <f>IF(B50&gt;Title_RESULTS!$H$8-1+Title_RESULTS!$C$18,0,+E49*(1+$F$7))</f>
        <v>0.17460389696993983</v>
      </c>
      <c r="F50" s="9">
        <f t="shared" si="1"/>
        <v>999.9643625270198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19.472592757698134</v>
      </c>
      <c r="L50" s="5">
        <f t="shared" si="3"/>
        <v>50.58993149783328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320.4330155710151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18.691784017403933</v>
      </c>
      <c r="L51" s="5">
        <f t="shared" si="3"/>
        <v>48.56138495675815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13682.541169803633</v>
      </c>
      <c r="F63" s="9">
        <f>SUM(F23:F61)</f>
        <v>19083.488953996006</v>
      </c>
      <c r="J63" t="s">
        <v>87</v>
      </c>
      <c r="K63" s="9">
        <f>SUM(K23:K61)</f>
        <v>798.1421761407939</v>
      </c>
      <c r="O63" s="9">
        <f>SUM(O23:O61)</f>
        <v>1113.1950719589736</v>
      </c>
    </row>
    <row r="64" spans="3:15" ht="12.75">
      <c r="C64" t="s">
        <v>89</v>
      </c>
      <c r="D64" s="9">
        <f>NPV(+Title_RESULTS!$C$37,'Value of Defferal'!D24:D61)+'Value of Defferal'!D23</f>
        <v>6109.337382912923</v>
      </c>
      <c r="F64" s="9">
        <f>NPV(+Title_RESULTS!$C$37,'Value of Defferal'!F24:F61)+'Value of Defferal'!F23</f>
        <v>7096.110469895763</v>
      </c>
      <c r="J64" t="s">
        <v>89</v>
      </c>
      <c r="K64" s="9">
        <f>NPV(+Title_RESULTS!$C$37,'Value of Defferal'!K24:K61)+'Value of Defferal'!K23</f>
        <v>356.37530872829836</v>
      </c>
      <c r="O64" s="9">
        <f>NPV(+Title_RESULTS!$C$37,'Value of Defferal'!O24:O61)+'Value of Defferal'!O23</f>
        <v>474.6249780596192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3.1260606019998174</v>
      </c>
      <c r="C25" t="s">
        <v>372</v>
      </c>
    </row>
    <row r="26" spans="2:3" ht="18">
      <c r="B26" s="15">
        <f>+((Input!$C$6*'EUE_Line Losses'!C4)+(Input!$C$7*'EUE_Line Losses'!C3))/'EUE_Line Losses'!C22</f>
        <v>3.1159765355417535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0.34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3.43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15951.78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225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5679.06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669.6082849528469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Facility Commissioining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43599.31907349537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3.43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3.1159765355417535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16826.772151898735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15951.78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225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5679.06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669.6082849528469</v>
      </c>
      <c r="D39" s="13" t="s">
        <v>189</v>
      </c>
      <c r="G39" s="20" t="s">
        <v>346</v>
      </c>
      <c r="H39" s="79">
        <f>+'Sheet7(F_23)'!H31</f>
        <v>0.9511803980172482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7603.9739083854065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1.010174742640497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2019-05-14T11:39:29Z</dcterms:created>
  <dcterms:modified xsi:type="dcterms:W3CDTF">2019-05-14T11:39:30Z</dcterms:modified>
  <cp:category/>
  <cp:version/>
  <cp:contentType/>
  <cp:contentStatus/>
</cp:coreProperties>
</file>