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7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'Sheet2(F_12)'!$A$1:$K$42</definedName>
    <definedName name="_xlnm.Print_Area" localSheetId="11">'Sheet3(F_21)'!$A$1:$J$31</definedName>
    <definedName name="_xlnm.Print_Area" localSheetId="14">'Sheet4(F_22)'!$A$1:$J$31</definedName>
    <definedName name="_xlnm.Print_Area" localSheetId="12">'Sheet5(p_5)'!$A$1:$H$31</definedName>
    <definedName name="_xlnm.Print_Area" localSheetId="15">'Sheet6(p_6)'!$A$1:$R$31</definedName>
    <definedName name="_xlnm.Print_Area" localSheetId="16">'Sheet7(F_23)'!$A$1:$M$31</definedName>
    <definedName name="_xlnm.Print_Area" localSheetId="17">'Sheet8(F_24)'!$A$1:$M$31</definedName>
    <definedName name="_xlnm.Print_Area" localSheetId="18">'Sheet9(F_25)'!$A$1:$N$31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<sst xmlns="http://schemas.openxmlformats.org/spreadsheetml/2006/main" count="1258" uniqueCount="468">
  <si>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</si>
  <si>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</si>
  <si>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</si>
  <si>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</si>
  <si>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</si>
  <si>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</si>
  <si>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</si>
  <si>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</si>
  <si>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</si>
  <si>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</si>
  <si>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</si>
  <si>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</si>
  <si>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</si>
  <si>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</si>
  <si>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</si>
  <si>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</si>
  <si>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</si>
  <si>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</si>
  <si>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</si>
  <si>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</si>
  <si>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</si>
  <si>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</si>
  <si>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</si>
  <si>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</si>
  <si>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</si>
  <si>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</si>
  <si>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</si>
  <si>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</si>
  <si>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</si>
  <si>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</si>
  <si>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</si>
  <si>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</si>
  <si>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</si>
  <si>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</si>
  <si>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</si>
  <si>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</si>
  <si>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</si>
  <si>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</si>
  <si>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</si>
  <si>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</si>
  <si>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</si>
  <si>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</si>
  <si>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</si>
  <si>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</si>
  <si>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</si>
  <si>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</si>
  <si>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</si>
  <si>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</si>
  <si>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</si>
  <si>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</si>
  <si>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</si>
  <si>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</si>
  <si>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</si>
  <si>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</si>
  <si>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</si>
  <si>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</si>
  <si>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</si>
  <si>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</si>
  <si>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</si>
  <si>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</si>
  <si>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</si>
  <si>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</si>
  <si>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</si>
  <si>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</si>
  <si>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</si>
  <si>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</si>
  <si>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</si>
  <si>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</si>
  <si>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</si>
  <si>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</si>
  <si>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</si>
  <si>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</si>
  <si>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</si>
  <si>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</si>
  <si>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</si>
  <si>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</si>
  <si>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</si>
  <si>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</si>
  <si>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</si>
  <si>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</si>
  <si>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</si>
  <si>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</si>
  <si>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</si>
  <si>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</si>
  <si>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</si>
  <si>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</si>
  <si>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</si>
  <si>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</si>
  <si>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</si>
  <si>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</si>
  <si>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</si>
  <si>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</si>
  <si>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</si>
  <si>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</si>
  <si>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</si>
  <si>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</si>
  <si>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</si>
  <si>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</si>
  <si>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</si>
  <si>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</si>
  <si>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</si>
  <si>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</si>
  <si>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</si>
  <si>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</si>
  <si>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</si>
  <si>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</si>
  <si>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</si>
  <si>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</si>
  <si>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</si>
  <si>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</si>
  <si>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</si>
  <si>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</si>
  <si>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</si>
  <si>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</si>
  <si>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</si>
  <si>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</si>
  <si>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</si>
  <si>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</si>
  <si>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</si>
  <si>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</si>
  <si>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</si>
  <si>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</si>
  <si>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</si>
  <si>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</si>
  <si>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</si>
  <si>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</si>
  <si>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</si>
  <si>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</si>
  <si>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</si>
  <si>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</si>
  <si>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</si>
  <si>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</si>
  <si>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</si>
  <si>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</si>
  <si>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</si>
  <si>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</si>
  <si>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</si>
  <si>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</si>
  <si>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</si>
  <si>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</si>
  <si>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</si>
  <si>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</si>
  <si>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</si>
  <si>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</si>
  <si>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</si>
  <si>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</si>
  <si>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</si>
  <si>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</si>
  <si>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</si>
  <si>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</si>
  <si>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</si>
  <si>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</si>
  <si>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</si>
  <si>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</si>
  <si>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</si>
  <si>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</si>
  <si>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</si>
  <si>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</si>
  <si>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</si>
  <si>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</si>
  <si>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</si>
  <si>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</si>
  <si>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</si>
  <si>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</si>
  <si>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</si>
  <si>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</si>
  <si>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</si>
  <si>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</si>
  <si>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</si>
  <si>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</si>
  <si>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</si>
  <si>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</si>
  <si>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</si>
  <si>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</si>
  <si>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</si>
  <si>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</si>
  <si>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</si>
  <si>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</si>
  <si>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</si>
  <si>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</si>
  <si>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</si>
  <si>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</si>
  <si>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</si>
  <si>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</si>
  <si>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</si>
  <si>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</si>
  <si>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</si>
  <si>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</si>
  <si>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</si>
  <si>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</si>
  <si>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</si>
  <si>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</si>
  <si>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</si>
  <si>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</si>
  <si>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</si>
  <si>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</si>
  <si>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</si>
  <si>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</si>
  <si>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</si>
  <si>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</si>
  <si>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</si>
  <si>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</si>
  <si>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</si>
  <si>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</si>
  <si>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</si>
  <si>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</si>
  <si>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</si>
  <si>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</si>
  <si>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</si>
  <si>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</si>
  <si>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</si>
  <si>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</si>
  <si>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</si>
  <si>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</si>
  <si>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</si>
  <si>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</si>
  <si>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</si>
  <si>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</si>
  <si>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</si>
  <si>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</si>
  <si>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</si>
  <si>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</si>
  <si>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</si>
  <si>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</si>
  <si>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</si>
  <si>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</si>
  <si>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</si>
  <si>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</si>
  <si>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</si>
  <si>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</si>
  <si>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</si>
  <si>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</si>
  <si>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</si>
  <si>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</si>
  <si>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</si>
  <si>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</si>
  <si>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</si>
  <si>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</si>
  <si>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</si>
  <si>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</si>
  <si>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</si>
  <si>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</si>
  <si>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</si>
  <si>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</si>
  <si>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</si>
  <si>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</si>
  <si>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</si>
  <si>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</si>
  <si>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</si>
  <si>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</si>
  <si>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</si>
  <si>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</si>
  <si>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</si>
  <si>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</si>
  <si>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</si>
  <si>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</si>
  <si>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</si>
  <si>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</si>
  <si>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</si>
  <si>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</si>
  <si>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</si>
  <si>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</si>
  <si>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</si>
  <si>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</si>
  <si>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</si>
  <si>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</si>
  <si>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</si>
  <si>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</si>
  <si>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</si>
  <si>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</si>
  <si>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</si>
  <si>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</si>
  <si>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</si>
  <si>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</si>
  <si>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</si>
  <si>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</si>
  <si>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</si>
  <si>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</si>
  <si>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</si>
  <si>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</si>
  <si>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</si>
  <si>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</si>
  <si>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</si>
  <si>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</si>
  <si>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</si>
  <si>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</si>
  <si>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</si>
  <si>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</si>
  <si>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</si>
  <si>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</si>
  <si>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</si>
  <si>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</si>
  <si>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</si>
  <si>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</si>
  <si>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</si>
  <si>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</si>
  <si>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</si>
  <si>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</si>
  <si>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</si>
  <si>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</si>
  <si>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</si>
  <si>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</si>
  <si>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</si>
  <si>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</si>
  <si>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</si>
  <si>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</si>
  <si>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</si>
  <si>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</si>
  <si>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</si>
  <si>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</si>
  <si>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</si>
  <si>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</si>
  <si>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</si>
  <si>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</si>
  <si>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</si>
  <si>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</si>
  <si>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</si>
  <si>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</si>
  <si>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</si>
  <si>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</si>
  <si>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</si>
  <si>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</si>
  <si>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</si>
  <si>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</si>
  <si>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</si>
  <si>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</si>
  <si>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</si>
  <si>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</si>
  <si>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</si>
  <si>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</si>
  <si>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</si>
  <si>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</si>
  <si>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</si>
  <si>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</si>
  <si>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</si>
  <si>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</si>
  <si>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</si>
  <si>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</si>
  <si>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</si>
  <si>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</si>
  <si>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</si>
  <si>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</si>
  <si>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</si>
  <si>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</si>
  <si>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</si>
  <si>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</si>
  <si>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</si>
  <si>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</si>
  <si>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</si>
  <si>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</si>
  <si>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</si>
  <si>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</si>
  <si>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</si>
  <si>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</si>
  <si>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</si>
  <si>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</si>
  <si>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</si>
  <si>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</si>
  <si>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</si>
  <si>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</si>
  <si>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</si>
  <si>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</si>
  <si>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</si>
  <si>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</si>
  <si>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</si>
  <si>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</si>
  <si>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</si>
  <si>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</si>
  <si>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</si>
  <si>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</si>
  <si>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</si>
  <si>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</si>
  <si>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</si>
  <si>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</si>
  <si>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</si>
  <si>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</si>
  <si>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</si>
  <si>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</si>
  <si>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</si>
  <si>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</si>
  <si>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</si>
  <si>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</si>
  <si>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</si>
  <si>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</si>
  <si>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</si>
  <si>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</si>
  <si>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</si>
  <si>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</si>
  <si>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</si>
  <si>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</si>
  <si>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</si>
  <si>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</si>
  <si>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</si>
  <si>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</si>
  <si>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</si>
  <si>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</si>
  <si>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</si>
  <si>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</si>
  <si>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</si>
  <si>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</si>
  <si>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</si>
  <si>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</si>
  <si>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</si>
  <si>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</si>
  <si>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</si>
  <si>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</si>
  <si>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</si>
  <si>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</si>
  <si>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</si>
  <si>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</si>
  <si>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</si>
  <si>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</si>
  <si>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</si>
  <si>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</si>
  <si>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</si>
  <si>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</si>
  <si>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</si>
  <si>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</si>
  <si>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</si>
  <si>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</si>
  <si>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</si>
  <si>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</si>
  <si>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</si>
  <si>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</si>
  <si>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</si>
  <si>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</si>
  <si>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</si>
  <si>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</si>
  <si>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</si>
  <si>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</si>
  <si>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</si>
  <si>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</si>
  <si>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</si>
  <si>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</si>
  <si>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</si>
  <si>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</si>
  <si>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</si>
  <si>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</si>
  <si>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</si>
  <si>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</si>
  <si>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</si>
  <si>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</si>
  <si>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</si>
  <si>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</si>
  <si>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</si>
  <si>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</si>
  <si>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</si>
  <si>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</si>
  <si>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</si>
  <si>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</si>
  <si>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</si>
  <si>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</si>
  <si>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</si>
  <si>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</si>
  <si>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</si>
  <si>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</si>
  <si>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</si>
  <si>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</si>
  <si>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</si>
  <si>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</si>
  <si>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</si>
  <si>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</si>
  <si>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</si>
  <si>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</si>
  <si>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</si>
  <si>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</si>
  <si>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</si>
  <si>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Heat Pump Water Heater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</si>
</sst>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43599.31931655093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2708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43599.31931655093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Heat Pump Water Heater</v>
      </c>
      <c r="J2" t="s">
        <v>55</v>
      </c>
    </row>
    <row r="3" ht="12.75">
      <c r="J3" s="35">
        <f>+Title_RESULTS!I4</f>
        <v>43599.31931655093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2708</v>
      </c>
      <c r="H5" t="s">
        <v>59</v>
      </c>
    </row>
    <row r="6" spans="3:7" ht="12.75">
      <c r="C6" t="s">
        <v>61</v>
      </c>
      <c r="G6" s="36">
        <f>+'Value of Defferal'!E3</f>
        <v>1659.054093352192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5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163.951547226617</v>
      </c>
      <c r="D19" s="5">
        <f>IF((Title_RESULTS!$H$8-Title_RESULTS!$H$7)&lt;=('Sheet3(F_21)'!A19-Title_RESULTS!$H$7),((Title_RESULTS!$C$8*Partcipation!$C$26*8760*Title_RESULTS!$H$21/100000)),0)</f>
        <v>2158.372058906031</v>
      </c>
      <c r="E19" s="5">
        <f>IF($G19=0,0,((Title_RESULTS!$H$14*((1+Title_RESULTS!$H$15/100)^($A19-Title_RESULTS!$H$7))*'EUE_Line Losses'!$B$25*Partcipation!$C$26))/1000)</f>
        <v>17.004053034250305</v>
      </c>
      <c r="F19" s="5">
        <f>IF($G19=0,0,(Title_RESULTS!$H$19/100*((1+Title_RESULTS!$H$20/100)^($A19-Title_RESULTS!$H$7))*$D19*1000)/1000)</f>
        <v>4.866822137940834</v>
      </c>
      <c r="G19" s="5">
        <f>(+Title_RESULTS!$H$22/100*((1+Title_RESULTS!$H$23/100)^(+'Sheet4(F_22)'!A19-Title_RESULTS!$H$7)))*'Sheet3(F_21)'!D19</f>
        <v>92.47089588917926</v>
      </c>
      <c r="H19" s="5">
        <f>IF($G19=0,0,(($D19))*(Partcipation!$G19/100))</f>
        <v>68.477107175056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209.81621111293146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167.8863843600558</v>
      </c>
      <c r="D20" s="5">
        <f>IF((Title_RESULTS!$H$8-Title_RESULTS!$H$7)&lt;=('Sheet3(F_21)'!A20-Title_RESULTS!$H$7),((Title_RESULTS!$C$8*Partcipation!$C$26*8760*Title_RESULTS!$H$21/100000)),0)</f>
        <v>2158.372058906031</v>
      </c>
      <c r="E20" s="5">
        <f>IF($G20=0,0,((Title_RESULTS!$H$14*((1+Title_RESULTS!$H$15/100)^($A20-Title_RESULTS!$H$7))*'EUE_Line Losses'!$B$25*Partcipation!$C$26))/1000)</f>
        <v>17.41215030707231</v>
      </c>
      <c r="F20" s="5">
        <f>IF($G20=0,0,(Title_RESULTS!$H$19/100*((1+Title_RESULTS!$H$20/100)^($A20-Title_RESULTS!$H$7))*$D20*1000)/1000)</f>
        <v>4.983625869251413</v>
      </c>
      <c r="G20" s="5">
        <f>(+Title_RESULTS!$H$22/100*((1+Title_RESULTS!$H$23/100)^(+'Sheet4(F_22)'!A20-Title_RESULTS!$H$7)))*'Sheet3(F_21)'!D20</f>
        <v>96.669074562548</v>
      </c>
      <c r="H20" s="5">
        <f>IF($G20=0,0,(($D20))*(Partcipation!$G20/100))</f>
        <v>71.54038966497372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215.4108454339538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171.91565758469716</v>
      </c>
      <c r="D21" s="5">
        <f>IF((Title_RESULTS!$H$8-Title_RESULTS!$H$7)&lt;=('Sheet3(F_21)'!A21-Title_RESULTS!$H$7),((Title_RESULTS!$C$8*Partcipation!$C$26*8760*Title_RESULTS!$H$21/100000)),0)</f>
        <v>2158.372058906031</v>
      </c>
      <c r="E21" s="5">
        <f>IF($G21=0,0,((Title_RESULTS!$H$14*((1+Title_RESULTS!$H$15/100)^($A21-Title_RESULTS!$H$7))*'EUE_Line Losses'!$B$25*Partcipation!$C$26))/1000)</f>
        <v>17.830041914442045</v>
      </c>
      <c r="F21" s="5">
        <f>IF($G21=0,0,(Title_RESULTS!$H$19/100*((1+Title_RESULTS!$H$20/100)^($A21-Title_RESULTS!$H$7))*$D21*1000)/1000)</f>
        <v>5.103232890113447</v>
      </c>
      <c r="G21" s="5">
        <f>(+Title_RESULTS!$H$22/100*((1+Title_RESULTS!$H$23/100)^(+'Sheet4(F_22)'!A21-Title_RESULTS!$H$7)))*'Sheet3(F_21)'!D21</f>
        <v>101.0578505476877</v>
      </c>
      <c r="H21" s="5">
        <f>IF($G21=0,0,(($D21))*(Partcipation!$G21/100))</f>
        <v>74.37541464156384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221.53136829537652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176.04163336672988</v>
      </c>
      <c r="D22" s="5">
        <f>IF((Title_RESULTS!$H$8-Title_RESULTS!$H$7)&lt;=('Sheet3(F_21)'!A22-Title_RESULTS!$H$7),((Title_RESULTS!$C$8*Partcipation!$C$26*8760*Title_RESULTS!$H$21/100000)),0)</f>
        <v>2158.372058906031</v>
      </c>
      <c r="E22" s="5">
        <f>IF($G22=0,0,((Title_RESULTS!$H$14*((1+Title_RESULTS!$H$15/100)^($A22-Title_RESULTS!$H$7))*'EUE_Line Losses'!$B$25*Partcipation!$C$26))/1000)</f>
        <v>18.25796292038865</v>
      </c>
      <c r="F22" s="5">
        <f>IF($G22=0,0,(Title_RESULTS!$H$19/100*((1+Title_RESULTS!$H$20/100)^($A22-Title_RESULTS!$H$7))*$D22*1000)/1000)</f>
        <v>5.225710479476169</v>
      </c>
      <c r="G22" s="5">
        <f>(+Title_RESULTS!$H$22/100*((1+Title_RESULTS!$H$23/100)^(+'Sheet4(F_22)'!A22-Title_RESULTS!$H$7)))*'Sheet3(F_21)'!D22</f>
        <v>105.64587696255273</v>
      </c>
      <c r="H22" s="5">
        <f>IF($G22=0,0,(($D22))*(Partcipation!$G22/100))</f>
        <v>76.78520466024818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228.38597906889927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180.2666325675314</v>
      </c>
      <c r="D23" s="5">
        <f>IF((Title_RESULTS!$H$8-Title_RESULTS!$H$7)&lt;=('Sheet3(F_21)'!A23-Title_RESULTS!$H$7),((Title_RESULTS!$C$8*Partcipation!$C$26*8760*Title_RESULTS!$H$21/100000)),0)</f>
        <v>2158.372058906031</v>
      </c>
      <c r="E23" s="5">
        <f>IF($G23=0,0,((Title_RESULTS!$H$14*((1+Title_RESULTS!$H$15/100)^($A23-Title_RESULTS!$H$7))*'EUE_Line Losses'!$B$25*Partcipation!$C$26))/1000)</f>
        <v>18.69615403047798</v>
      </c>
      <c r="F23" s="5">
        <f>IF($G23=0,0,(Title_RESULTS!$H$19/100*((1+Title_RESULTS!$H$20/100)^($A23-Title_RESULTS!$H$7))*$D23*1000)/1000)</f>
        <v>5.351127530983598</v>
      </c>
      <c r="G23" s="5">
        <f>(+Title_RESULTS!$H$22/100*((1+Title_RESULTS!$H$23/100)^(+'Sheet4(F_22)'!A23-Title_RESULTS!$H$7)))*'Sheet3(F_21)'!D23</f>
        <v>110.44219977665264</v>
      </c>
      <c r="H23" s="5">
        <f>IF($G23=0,0,(($D23))*(Partcipation!$G23/100))</f>
        <v>80.22208499765547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234.53402890799015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184.59303174915215</v>
      </c>
      <c r="D24" s="5">
        <f>IF((Title_RESULTS!$H$8-Title_RESULTS!$H$7)&lt;=('Sheet3(F_21)'!A24-Title_RESULTS!$H$7),((Title_RESULTS!$C$8*Partcipation!$C$26*8760*Title_RESULTS!$H$21/100000)),0)</f>
        <v>2158.372058906031</v>
      </c>
      <c r="E24" s="5">
        <f>IF($G24=0,0,((Title_RESULTS!$H$14*((1+Title_RESULTS!$H$15/100)^($A24-Title_RESULTS!$H$7))*'EUE_Line Losses'!$B$25*Partcipation!$C$26))/1000)</f>
        <v>19.14486172720945</v>
      </c>
      <c r="F24" s="5">
        <f>IF($G24=0,0,(Title_RESULTS!$H$19/100*((1+Title_RESULTS!$H$20/100)^($A24-Title_RESULTS!$H$7))*$D24*1000)/1000)</f>
        <v>5.479554591727204</v>
      </c>
      <c r="G24" s="5">
        <f>(+Title_RESULTS!$H$22/100*((1+Title_RESULTS!$H$23/100)^(+'Sheet4(F_22)'!A24-Title_RESULTS!$H$7)))*'Sheet3(F_21)'!D24</f>
        <v>115.45627564651268</v>
      </c>
      <c r="H24" s="5">
        <f>IF($G24=0,0,(($D24))*(Partcipation!$G24/100))</f>
        <v>86.3401733825771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238.33355033202434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189.0232645111318</v>
      </c>
      <c r="D25" s="5">
        <f>IF((Title_RESULTS!$H$8-Title_RESULTS!$H$7)&lt;=('Sheet3(F_21)'!A25-Title_RESULTS!$H$7),((Title_RESULTS!$C$8*Partcipation!$C$26*8760*Title_RESULTS!$H$21/100000)),0)</f>
        <v>2158.372058906031</v>
      </c>
      <c r="E25" s="5">
        <f>IF($G25=0,0,((Title_RESULTS!$H$14*((1+Title_RESULTS!$H$15/100)^($A25-Title_RESULTS!$H$7))*'EUE_Line Losses'!$B$25*Partcipation!$C$26))/1000)</f>
        <v>19.60433840866248</v>
      </c>
      <c r="F25" s="5">
        <f>IF($G25=0,0,(Title_RESULTS!$H$19/100*((1+Title_RESULTS!$H$20/100)^($A25-Title_RESULTS!$H$7))*$D25*1000)/1000)</f>
        <v>5.611063901928656</v>
      </c>
      <c r="G25" s="5">
        <f>(+Title_RESULTS!$H$22/100*((1+Title_RESULTS!$H$23/100)^(+'Sheet4(F_22)'!A25-Title_RESULTS!$H$7)))*'Sheet3(F_21)'!D25</f>
        <v>120.69799056086437</v>
      </c>
      <c r="H25" s="5">
        <f>IF($G25=0,0,(($D25))*(Partcipation!$G25/100))</f>
        <v>90.12926831891788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244.80738906366946</v>
      </c>
    </row>
    <row r="26" spans="3:10" ht="12.75"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87</v>
      </c>
      <c r="B27" s="9"/>
      <c r="C27" s="9">
        <f aca="true" t="shared" si="1" ref="C27:J27">SUM(C16:C26)</f>
        <v>1233.6781513659153</v>
      </c>
      <c r="D27" s="9">
        <f t="shared" si="1"/>
        <v>15108.604412342214</v>
      </c>
      <c r="E27" s="9">
        <f t="shared" si="1"/>
        <v>127.94956234250321</v>
      </c>
      <c r="F27" s="9">
        <f t="shared" si="1"/>
        <v>36.62113740142132</v>
      </c>
      <c r="G27" s="9">
        <f t="shared" si="1"/>
        <v>742.4401639459974</v>
      </c>
      <c r="H27" s="9">
        <f t="shared" si="1"/>
        <v>547.8696428409922</v>
      </c>
      <c r="I27" s="9">
        <f t="shared" si="1"/>
        <v>0</v>
      </c>
      <c r="J27" s="9">
        <f t="shared" si="1"/>
        <v>1592.8193722148449</v>
      </c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89</v>
      </c>
      <c r="C29" s="5">
        <f>NPV(Title_RESULTS!$C$37,C17:C26)+'Sheet3(F_21)'!C16</f>
        <v>820.7228354168005</v>
      </c>
      <c r="D29" s="5"/>
      <c r="E29" s="5">
        <f>NPV(Title_RESULTS!$C$37,E17:E26)+'Sheet3(F_21)'!E16</f>
        <v>85.12035937396699</v>
      </c>
      <c r="F29" s="5">
        <f>NPV(Title_RESULTS!$C$37,F17:F26)+'Sheet3(F_21)'!F16</f>
        <v>24.362759193721057</v>
      </c>
      <c r="G29" s="5">
        <f>NPV(Title_RESULTS!$C$37,G17:G26)+'Sheet3(F_21)'!G16</f>
        <v>491.13498724672985</v>
      </c>
      <c r="H29" s="5">
        <f>NPV(Title_RESULTS!$C$37,H17:H26)+'Sheet3(F_21)'!H16</f>
        <v>362.29908029483977</v>
      </c>
      <c r="I29" s="5">
        <f>NPV(Title_RESULTS!$C$37,I17:I26)+'Sheet3(F_21)'!I16</f>
        <v>0</v>
      </c>
      <c r="J29" s="5">
        <f>NPV(Title_RESULTS!$C$37,J17:J26)+'Sheet3(F_21)'!J16</f>
        <v>1059.0418609363787</v>
      </c>
    </row>
    <row r="31" ht="12.75">
      <c r="A31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Heat Pump Water Heater</v>
      </c>
      <c r="F2" t="s">
        <v>55</v>
      </c>
    </row>
    <row r="3" spans="6:7" ht="12.75">
      <c r="F3" s="35">
        <f>+Title_RESULTS!I4</f>
        <v>43599.31931655093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2704.477848101266</v>
      </c>
      <c r="C16" s="5">
        <f>$B16*'Sheet2(F_12)'!$E16/100</f>
        <v>78.4490492068673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78.4490492068673</v>
      </c>
      <c r="G16" s="5">
        <f>+$F16*'Sheet2(F_12)'!$I16</f>
        <v>78.4490492068673</v>
      </c>
    </row>
    <row r="17" spans="1:7" ht="12.75">
      <c r="A17">
        <f>+A16+1</f>
        <v>2021</v>
      </c>
      <c r="B17" s="5">
        <f>(+Partcipation!$C16+(Partcipation!$C17-Partcipation!$C16)/2)*Title_RESULTS!$C$10/1000</f>
        <v>8113.433544303797</v>
      </c>
      <c r="C17" s="5">
        <f>$B17*'Sheet2(F_12)'!$E17/100</f>
        <v>233.43286847219812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233.43286847219812</v>
      </c>
      <c r="G17" s="5">
        <f>+$F17*'Sheet2(F_12)'!$I17</f>
        <v>233.43286847219812</v>
      </c>
    </row>
    <row r="18" spans="1:7" ht="12.75">
      <c r="A18">
        <f>+A17+1</f>
        <v>2022</v>
      </c>
      <c r="B18" s="5">
        <f>(+Partcipation!$C17+(Partcipation!$C18-Partcipation!$C17)/2)*Title_RESULTS!$C$10/1000</f>
        <v>13522.389240506329</v>
      </c>
      <c r="C18" s="5">
        <f>$B18*'Sheet2(F_12)'!$E18/100</f>
        <v>401.5305741479298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401.5305741479298</v>
      </c>
      <c r="G18" s="5">
        <f>+$F18*'Sheet2(F_12)'!$I18</f>
        <v>401.5305741479298</v>
      </c>
    </row>
    <row r="19" spans="1:7" ht="12.75">
      <c r="A19">
        <f aca="true" t="shared" si="0" ref="A19:A25">+A18+1</f>
        <v>2023</v>
      </c>
      <c r="B19" s="5">
        <f>(+Partcipation!$C18+(Partcipation!$C19-Partcipation!$C18)/2)*Title_RESULTS!$C$10/1000</f>
        <v>16226.867088607594</v>
      </c>
      <c r="C19" s="5">
        <f>$B19*'Sheet2(F_12)'!$E19/100</f>
        <v>501.60345823579564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5">+C19-E19</f>
        <v>501.60345823579564</v>
      </c>
      <c r="G19" s="5">
        <f>+$F19*'Sheet2(F_12)'!$I19</f>
        <v>501.60345823579564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16226.867088607594</v>
      </c>
      <c r="C20" s="5">
        <f>$B20*'Sheet2(F_12)'!$E20/100</f>
        <v>521.3145834882467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521.3145834882467</v>
      </c>
      <c r="G20" s="5">
        <f>+$F20*'Sheet2(F_12)'!$I20</f>
        <v>521.3145834882467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16226.867088607594</v>
      </c>
      <c r="C21" s="5">
        <f>$B21*'Sheet2(F_12)'!$E21/100</f>
        <v>559.7349129132708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559.7349129132708</v>
      </c>
      <c r="G21" s="5">
        <f>+$F21*'Sheet2(F_12)'!$I21</f>
        <v>559.7349129132708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16226.867088607594</v>
      </c>
      <c r="C22" s="5">
        <f>$B22*'Sheet2(F_12)'!$E22/100</f>
        <v>577.6882001076526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577.6882001076526</v>
      </c>
      <c r="G22" s="5">
        <f>+$F22*'Sheet2(F_12)'!$I22</f>
        <v>577.6882001076526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16226.867088607594</v>
      </c>
      <c r="C23" s="5">
        <f>$B23*'Sheet2(F_12)'!$E23/100</f>
        <v>613.7911269977169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613.7911269977169</v>
      </c>
      <c r="G23" s="5">
        <f>+$F23*'Sheet2(F_12)'!$I23</f>
        <v>613.7911269977169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16226.867088607594</v>
      </c>
      <c r="C24" s="5">
        <f>$B24*'Sheet2(F_12)'!$E24/100</f>
        <v>680.151547851675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680.151547851675</v>
      </c>
      <c r="G24" s="5">
        <f>+$F24*'Sheet2(F_12)'!$I24</f>
        <v>680.151547851675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16226.867088607594</v>
      </c>
      <c r="C25" s="5">
        <f>$B25*'Sheet2(F_12)'!$E25/100</f>
        <v>728.6900656753944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728.6900656753944</v>
      </c>
      <c r="G25" s="5">
        <f>+$F25*'Sheet2(F_12)'!$I25</f>
        <v>728.6900656753944</v>
      </c>
    </row>
    <row r="26" spans="2:7" ht="12.75">
      <c r="B26" s="5"/>
      <c r="C26" s="5"/>
      <c r="D26" s="5"/>
      <c r="E26" s="5"/>
      <c r="F26" s="5"/>
      <c r="G26" s="5"/>
    </row>
    <row r="27" spans="1:7" ht="12.75">
      <c r="A27" t="s">
        <v>87</v>
      </c>
      <c r="B27" s="5">
        <f aca="true" t="shared" si="2" ref="B27:G27">SUM(B16:B26)</f>
        <v>137928.37025316455</v>
      </c>
      <c r="C27" s="5">
        <f t="shared" si="2"/>
        <v>4896.386387096747</v>
      </c>
      <c r="D27" s="5">
        <f t="shared" si="2"/>
        <v>0</v>
      </c>
      <c r="E27" s="5">
        <f t="shared" si="2"/>
        <v>0</v>
      </c>
      <c r="F27" s="5">
        <f t="shared" si="2"/>
        <v>4896.386387096747</v>
      </c>
      <c r="G27" s="5">
        <f t="shared" si="2"/>
        <v>4896.386387096747</v>
      </c>
    </row>
    <row r="28" spans="2:7" ht="12.75">
      <c r="B28" s="5"/>
      <c r="C28" s="5"/>
      <c r="D28" s="5"/>
      <c r="E28" s="5"/>
      <c r="F28" s="5"/>
      <c r="G28" s="5"/>
    </row>
    <row r="29" spans="1:7" ht="12.75">
      <c r="A29" t="s">
        <v>118</v>
      </c>
      <c r="B29" s="5"/>
      <c r="C29" s="5">
        <f>NPV(+Title_RESULTS!$C$37,C17:C26)+C16</f>
        <v>3399.948880948541</v>
      </c>
      <c r="D29" s="5"/>
      <c r="E29" s="5">
        <f>NPV(+Title_RESULTS!$C$37,E17:E26)+E16</f>
        <v>0</v>
      </c>
      <c r="F29" s="5">
        <f>NPV(+Title_RESULTS!$C$37,F17:F26)+F16</f>
        <v>3399.948880948541</v>
      </c>
      <c r="G29" s="5">
        <f>NPV(+Title_RESULTS!$C$37,G17:G26)+G16</f>
        <v>3399.948880948541</v>
      </c>
    </row>
    <row r="30" spans="6:7" ht="12.75">
      <c r="F30" s="9"/>
      <c r="G30" s="9"/>
    </row>
    <row r="31" ht="12.75">
      <c r="A31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Heat Pump Water Heater</v>
      </c>
      <c r="J2" t="s">
        <v>42</v>
      </c>
    </row>
    <row r="3" spans="9:10" ht="12.75">
      <c r="I3" s="4"/>
      <c r="J3" s="35">
        <f>+Title_RESULTS!I4</f>
        <v>43599.31931655093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5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2:14" ht="15">
      <c r="B26" s="28"/>
      <c r="C26" s="28"/>
      <c r="D26" s="10"/>
      <c r="E26" s="10"/>
      <c r="N26" s="64"/>
    </row>
    <row r="27" spans="2:14" ht="15">
      <c r="B27" s="28"/>
      <c r="C27" s="28"/>
      <c r="D27" s="10"/>
      <c r="E27" s="10"/>
      <c r="N27" s="64"/>
    </row>
    <row r="28" spans="2:14" ht="15">
      <c r="B28" s="28"/>
      <c r="C28" s="28"/>
      <c r="D28" s="10"/>
      <c r="E28" s="10"/>
      <c r="N28" s="64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5" ht="12.75">
      <c r="B31" s="28"/>
      <c r="C31" s="28"/>
      <c r="D31" s="10"/>
      <c r="E31" s="10"/>
    </row>
    <row r="32" spans="2:5" ht="12.75">
      <c r="B32" s="28"/>
      <c r="C32" s="28"/>
      <c r="D32" s="10"/>
      <c r="E32" s="10"/>
    </row>
    <row r="33" spans="2:5" ht="12.75">
      <c r="B33" s="28"/>
      <c r="C33" s="28"/>
      <c r="D33" s="10"/>
      <c r="E33" s="10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Heat Pump Water Heater</v>
      </c>
      <c r="H2" t="s">
        <v>108</v>
      </c>
    </row>
    <row r="3" ht="12.75">
      <c r="H3" s="35">
        <f>+Title_RESULTS!I4</f>
        <v>43599.31931655093</v>
      </c>
    </row>
    <row r="5" spans="3:6" ht="12.75">
      <c r="C5" t="s">
        <v>60</v>
      </c>
      <c r="F5" s="38">
        <f>+'Value of Defferal'!L4</f>
        <v>96.7774208</v>
      </c>
    </row>
    <row r="6" spans="3:6" ht="12.75">
      <c r="C6" t="s">
        <v>62</v>
      </c>
      <c r="F6" s="38">
        <f>+'Value of Defferal'!L5</f>
        <v>220.1453568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78.4490492068673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9.563767655520985</v>
      </c>
      <c r="C17" s="5">
        <f>IF(+Title_RESULTS!$H$9&lt;='Sheet4(F_22)'!$A17,(+Title_RESULTS!$H$16*((1+Title_RESULTS!$H$18/100)^('Sheet4(F_22)'!$A17-Title_RESULTS!$H$7))*Title_RESULTS!$C$8*Partcipation!$C$26/1000),0)</f>
        <v>7.707713517397984</v>
      </c>
      <c r="D17" s="5">
        <f>(+B17+C17)*+Partcipation!$H17</f>
        <v>17.271481172918968</v>
      </c>
      <c r="E17" s="5">
        <f>VLOOKUP(A17,'Value of Defferal'!$I24:$P$58,'Value of Defferal'!$K$13)</f>
        <v>21.755271275807413</v>
      </c>
      <c r="F17" s="5">
        <f>IF(+'Value of Defferal'!P24=0,0,Title_RESULTS!$H$17*Title_RESULTS!$C$7*Partcipation!$C$26*(1+Title_RESULTS!$H$18/100)^('Sheet4(F_22)'!A17-Title_RESULTS!$H$7))/1000</f>
        <v>30.3077376</v>
      </c>
      <c r="G17" s="5">
        <f>(+E17+F17)*Partcipation!$H17</f>
        <v>52.06300887580741</v>
      </c>
      <c r="H17" s="5">
        <f>+'Sheet5(p_5)'!$F17*'Sheet2(F_12)'!$I17</f>
        <v>233.43286847219812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9.793298079253487</v>
      </c>
      <c r="C18" s="5">
        <f>IF(+Title_RESULTS!$H$9&lt;='Sheet4(F_22)'!$A18,(+Title_RESULTS!$H$16*((1+Title_RESULTS!$H$18/100)^('Sheet4(F_22)'!$A18-Title_RESULTS!$H$7))*Title_RESULTS!$C$8*Partcipation!$C$26/1000),0)</f>
        <v>7.892698641815534</v>
      </c>
      <c r="D18" s="5">
        <f>(+B18+C18)*+Partcipation!$H18</f>
        <v>17.68599672106902</v>
      </c>
      <c r="E18" s="5">
        <f>VLOOKUP(A18,'Value of Defferal'!$I25:$P$58,'Value of Defferal'!$K$13)</f>
        <v>22.27739778642679</v>
      </c>
      <c r="F18" s="5">
        <f>IF(+'Value of Defferal'!P25=0,0,Title_RESULTS!$H$17*Title_RESULTS!$C$7*Partcipation!$C$26*(1+Title_RESULTS!$H$18/100)^('Sheet4(F_22)'!A18-Title_RESULTS!$H$7))/1000</f>
        <v>31.0351233024</v>
      </c>
      <c r="G18" s="5">
        <f>(+E18+F18)*Partcipation!$H18</f>
        <v>53.312521088826784</v>
      </c>
      <c r="H18" s="5">
        <f>+'Sheet5(p_5)'!$F18*'Sheet2(F_12)'!$I18</f>
        <v>401.5305741479298</v>
      </c>
      <c r="I18" s="5"/>
      <c r="J18" s="5"/>
    </row>
    <row r="19" spans="1:10" ht="12.75">
      <c r="A19">
        <f aca="true" t="shared" si="0" ref="A19:A25">+A18+1</f>
        <v>2023</v>
      </c>
      <c r="B19" s="5">
        <f>VLOOKUP(A19,'Value of Defferal'!$I26:$P$58,'Value of Defferal'!$K$9)</f>
        <v>10.028337233155572</v>
      </c>
      <c r="C19" s="5">
        <f>IF(+Title_RESULTS!$H$9&lt;='Sheet4(F_22)'!$A19,(+Title_RESULTS!$H$16*((1+Title_RESULTS!$H$18/100)^('Sheet4(F_22)'!$A19-Title_RESULTS!$H$7))*Title_RESULTS!$C$8*Partcipation!$C$26/1000),0)</f>
        <v>8.082123409219108</v>
      </c>
      <c r="D19" s="5">
        <f>(+B19+C19)*+Partcipation!$H19</f>
        <v>18.11046064237468</v>
      </c>
      <c r="E19" s="5">
        <f>VLOOKUP(A19,'Value of Defferal'!$I26:$P$58,'Value of Defferal'!$K$13)</f>
        <v>22.812055333301032</v>
      </c>
      <c r="F19" s="5">
        <f>IF(+'Value of Defferal'!P26=0,0,Title_RESULTS!$H$17*Title_RESULTS!$C$7*Partcipation!$C$26*(1+Title_RESULTS!$H$18/100)^('Sheet4(F_22)'!A19-Title_RESULTS!$H$7))/1000</f>
        <v>31.779966261657602</v>
      </c>
      <c r="G19" s="5">
        <f>(+E19+F19)*Partcipation!$H19</f>
        <v>54.59202159495864</v>
      </c>
      <c r="H19" s="5">
        <f>+'Sheet5(p_5)'!$F19*'Sheet2(F_12)'!$I19</f>
        <v>501.60345823579564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10.269017326751305</v>
      </c>
      <c r="C20" s="5">
        <f>IF(+Title_RESULTS!$H$9&lt;='Sheet4(F_22)'!$A20,(+Title_RESULTS!$H$16*((1+Title_RESULTS!$H$18/100)^('Sheet4(F_22)'!$A20-Title_RESULTS!$H$7))*Title_RESULTS!$C$8*Partcipation!$C$26/1000),0)</f>
        <v>8.276094371040367</v>
      </c>
      <c r="D20" s="5">
        <f>(+B20+C20)*+Partcipation!$H20</f>
        <v>18.545111697791672</v>
      </c>
      <c r="E20" s="5">
        <f>VLOOKUP(A20,'Value of Defferal'!$I27:$P$58,'Value of Defferal'!$K$13)</f>
        <v>23.359544661300255</v>
      </c>
      <c r="F20" s="5">
        <f>IF(+'Value of Defferal'!P27=0,0,Title_RESULTS!$H$17*Title_RESULTS!$C$7*Partcipation!$C$26*(1+Title_RESULTS!$H$18/100)^('Sheet4(F_22)'!A20-Title_RESULTS!$H$7))/1000</f>
        <v>32.54268545193739</v>
      </c>
      <c r="G20" s="5">
        <f>(+E20+F20)*Partcipation!$H20</f>
        <v>55.90223011323764</v>
      </c>
      <c r="H20" s="5">
        <f>+'Sheet5(p_5)'!$F20*'Sheet2(F_12)'!$I20</f>
        <v>521.3145834882467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10.515473742593338</v>
      </c>
      <c r="C21" s="5">
        <f>IF(+Title_RESULTS!$H$9&lt;='Sheet4(F_22)'!$A21,(+Title_RESULTS!$H$16*((1+Title_RESULTS!$H$18/100)^('Sheet4(F_22)'!$A21-Title_RESULTS!$H$7))*Title_RESULTS!$C$8*Partcipation!$C$26/1000),0)</f>
        <v>8.474720635945335</v>
      </c>
      <c r="D21" s="5">
        <f>(+B21+C21)*+Partcipation!$H21</f>
        <v>18.990194378538675</v>
      </c>
      <c r="E21" s="5">
        <f>VLOOKUP(A21,'Value of Defferal'!$I28:$P$58,'Value of Defferal'!$K$13)</f>
        <v>23.920173733171463</v>
      </c>
      <c r="F21" s="5">
        <f>IF(+'Value of Defferal'!P28=0,0,Title_RESULTS!$H$17*Title_RESULTS!$C$7*Partcipation!$C$26*(1+Title_RESULTS!$H$18/100)^('Sheet4(F_22)'!A21-Title_RESULTS!$H$7))/1000</f>
        <v>33.32370990278388</v>
      </c>
      <c r="G21" s="5">
        <f>(+E21+F21)*Partcipation!$H21</f>
        <v>57.24388363595534</v>
      </c>
      <c r="H21" s="5">
        <f>+'Sheet5(p_5)'!$F21*'Sheet2(F_12)'!$I21</f>
        <v>559.7349129132708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10.767845112415579</v>
      </c>
      <c r="C22" s="5">
        <f>IF(+Title_RESULTS!$H$9&lt;='Sheet4(F_22)'!$A22,(+Title_RESULTS!$H$16*((1+Title_RESULTS!$H$18/100)^('Sheet4(F_22)'!$A22-Title_RESULTS!$H$7))*Title_RESULTS!$C$8*Partcipation!$C$26/1000),0)</f>
        <v>8.67811393120802</v>
      </c>
      <c r="D22" s="5">
        <f>(+B22+C22)*+Partcipation!$H22</f>
        <v>19.4459590436236</v>
      </c>
      <c r="E22" s="5">
        <f>VLOOKUP(A22,'Value of Defferal'!$I29:$P$58,'Value of Defferal'!$K$13)</f>
        <v>24.49425790276758</v>
      </c>
      <c r="F22" s="5">
        <f>IF(+'Value of Defferal'!P29=0,0,Title_RESULTS!$H$17*Title_RESULTS!$C$7*Partcipation!$C$26*(1+Title_RESULTS!$H$18/100)^('Sheet4(F_22)'!A22-Title_RESULTS!$H$7))/1000</f>
        <v>34.12347894045069</v>
      </c>
      <c r="G22" s="5">
        <f>(+E22+F22)*Partcipation!$H22</f>
        <v>58.61773684321827</v>
      </c>
      <c r="H22" s="5">
        <f>+'Sheet5(p_5)'!$F22*'Sheet2(F_12)'!$I22</f>
        <v>577.6882001076526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11.02627339511355</v>
      </c>
      <c r="C23" s="5">
        <f>IF(+Title_RESULTS!$H$9&lt;='Sheet4(F_22)'!$A23,(+Title_RESULTS!$H$16*((1+Title_RESULTS!$H$18/100)^('Sheet4(F_22)'!$A23-Title_RESULTS!$H$7))*Title_RESULTS!$C$8*Partcipation!$C$26/1000),0)</f>
        <v>8.886388665557018</v>
      </c>
      <c r="D23" s="5">
        <f>(+B23+C23)*+Partcipation!$H23</f>
        <v>19.91266206067057</v>
      </c>
      <c r="E23" s="5">
        <f>VLOOKUP(A23,'Value of Defferal'!$I30:$P$58,'Value of Defferal'!$K$13)</f>
        <v>25.082120092434</v>
      </c>
      <c r="F23" s="5">
        <f>IF(+'Value of Defferal'!P30=0,0,Title_RESULTS!$H$17*Title_RESULTS!$C$7*Partcipation!$C$26*(1+Title_RESULTS!$H$18/100)^('Sheet4(F_22)'!A23-Title_RESULTS!$H$7))/1000</f>
        <v>34.94244243502151</v>
      </c>
      <c r="G23" s="5">
        <f>(+E23+F23)*Partcipation!$H23</f>
        <v>60.024562527455515</v>
      </c>
      <c r="H23" s="5">
        <f>+'Sheet5(p_5)'!$F23*'Sheet2(F_12)'!$I23</f>
        <v>613.7911269977169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11.290903956596276</v>
      </c>
      <c r="C24" s="5">
        <f>IF(+Title_RESULTS!$H$9&lt;='Sheet4(F_22)'!$A24,(+Title_RESULTS!$H$16*((1+Title_RESULTS!$H$18/100)^('Sheet4(F_22)'!$A24-Title_RESULTS!$H$7))*Title_RESULTS!$C$8*Partcipation!$C$26/1000),0)</f>
        <v>9.099661993530384</v>
      </c>
      <c r="D24" s="5">
        <f>(+B24+C24)*+Partcipation!$H24</f>
        <v>20.39056595012666</v>
      </c>
      <c r="E24" s="5">
        <f>VLOOKUP(A24,'Value of Defferal'!$I31:$P$58,'Value of Defferal'!$K$13)</f>
        <v>25.684090974652417</v>
      </c>
      <c r="F24" s="5">
        <f>IF(+'Value of Defferal'!P31=0,0,Title_RESULTS!$H$17*Title_RESULTS!$C$7*Partcipation!$C$26*(1+Title_RESULTS!$H$18/100)^('Sheet4(F_22)'!A24-Title_RESULTS!$H$7))/1000</f>
        <v>35.78106105346202</v>
      </c>
      <c r="G24" s="5">
        <f>(+E24+F24)*Partcipation!$H24</f>
        <v>61.46515202811443</v>
      </c>
      <c r="H24" s="5">
        <f>+'Sheet5(p_5)'!$F24*'Sheet2(F_12)'!$I24</f>
        <v>680.151547851675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11.561885651554588</v>
      </c>
      <c r="C25" s="5">
        <f>IF(+Title_RESULTS!$H$9&lt;='Sheet4(F_22)'!$A25,(+Title_RESULTS!$H$16*((1+Title_RESULTS!$H$18/100)^('Sheet4(F_22)'!$A25-Title_RESULTS!$H$7))*Title_RESULTS!$C$8*Partcipation!$C$26/1000),0)</f>
        <v>9.318053881375112</v>
      </c>
      <c r="D25" s="5">
        <f>(+B25+C25)*+Partcipation!$H25</f>
        <v>20.8799395329297</v>
      </c>
      <c r="E25" s="5">
        <f>VLOOKUP(A25,'Value of Defferal'!$I32:$P$58,'Value of Defferal'!$K$13)</f>
        <v>26.300509158044076</v>
      </c>
      <c r="F25" s="5">
        <f>IF(+'Value of Defferal'!P32=0,0,Title_RESULTS!$H$17*Title_RESULTS!$C$7*Partcipation!$C$26*(1+Title_RESULTS!$H$18/100)^('Sheet4(F_22)'!A25-Title_RESULTS!$H$7))/1000</f>
        <v>36.63980651874511</v>
      </c>
      <c r="G25" s="5">
        <f>(+E25+F25)*Partcipation!$H25</f>
        <v>62.94031567678918</v>
      </c>
      <c r="H25" s="5">
        <f>+'Sheet5(p_5)'!$F25*'Sheet2(F_12)'!$I25</f>
        <v>728.6900656753944</v>
      </c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t="s">
        <v>88</v>
      </c>
      <c r="B27" s="5">
        <f aca="true" t="shared" si="1" ref="B27:H27">SUM(B16:B26)</f>
        <v>94.8168021529547</v>
      </c>
      <c r="C27" s="5">
        <f t="shared" si="1"/>
        <v>76.41556904708887</v>
      </c>
      <c r="D27" s="5">
        <f t="shared" si="1"/>
        <v>171.23237120004356</v>
      </c>
      <c r="E27" s="5">
        <f t="shared" si="1"/>
        <v>215.68542091790502</v>
      </c>
      <c r="F27" s="5">
        <f t="shared" si="1"/>
        <v>300.4760114664582</v>
      </c>
      <c r="G27" s="5">
        <f t="shared" si="1"/>
        <v>516.1614323843631</v>
      </c>
      <c r="H27" s="5">
        <f t="shared" si="1"/>
        <v>4896.386387096747</v>
      </c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t="s">
        <v>90</v>
      </c>
      <c r="B29" s="5">
        <f>NPV(Title_RESULTS!$C$37,'Sheet4(F_22)'!B17:B26)+'Sheet4(F_22)'!B16</f>
        <v>67.67321014746098</v>
      </c>
      <c r="C29" s="5">
        <f>NPV(Title_RESULTS!$C$37,'Sheet4(F_22)'!C17:C26)+'Sheet4(F_22)'!C16</f>
        <v>54.539772964704554</v>
      </c>
      <c r="D29" s="5">
        <f>NPV(Title_RESULTS!$C$37,'Sheet4(F_22)'!D17:D26)+'Sheet4(F_22)'!D16</f>
        <v>122.21298311216553</v>
      </c>
      <c r="E29" s="5">
        <f>NPV(Title_RESULTS!$C$37,'Sheet4(F_22)'!E17:E26)+'Sheet4(F_22)'!E16</f>
        <v>153.94027729362853</v>
      </c>
      <c r="F29" s="5">
        <f>NPV(Title_RESULTS!$C$37,'Sheet4(F_22)'!F17:F26)+'Sheet4(F_22)'!F16</f>
        <v>214.45752025509398</v>
      </c>
      <c r="G29" s="5">
        <f>NPV(Title_RESULTS!$C$37,'Sheet4(F_22)'!G17:G26)+'Sheet4(F_22)'!G16</f>
        <v>368.39779754872256</v>
      </c>
      <c r="H29" s="5">
        <f>NPV(Title_RESULTS!$C$37,'Sheet4(F_22)'!H17:H26)+'Sheet4(F_22)'!H16</f>
        <v>3399.948880948541</v>
      </c>
      <c r="I29" s="5"/>
      <c r="J29" s="5"/>
    </row>
    <row r="30" spans="2:10" ht="12.75">
      <c r="B30" s="5"/>
      <c r="C30" s="5"/>
      <c r="D30" s="5"/>
      <c r="E30" s="5"/>
      <c r="F30" s="5"/>
      <c r="G30" s="5"/>
      <c r="H30" s="5"/>
      <c r="I30" s="5"/>
      <c r="J30" s="5"/>
    </row>
    <row r="31" ht="12.75">
      <c r="A31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Heat Pump Water Heater</v>
      </c>
      <c r="P2" t="s">
        <v>121</v>
      </c>
    </row>
    <row r="3" ht="12.75">
      <c r="P3" s="35">
        <f>+Title_RESULTS!I4</f>
        <v>43599.31931655093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175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175</v>
      </c>
      <c r="E16" s="5">
        <f>IF(+'Sheet9(F_25)'!$A16&gt;=Title_RESULTS!$H$8,0,((Partcipation!$B16-Partcipation!$B15)*(Title_RESULTS!$C$39*((1+Title_RESULTS!$C$41/100)^('Sheet9(F_25)'!$A16-Title_RESULTS!$H$7)))/1000))</f>
        <v>219.88947627051184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219.88947627051184</v>
      </c>
      <c r="H16" s="5">
        <f>IF(Partcipation!$B17&lt;Partcipation!$B16,0,IF(Partcipation!$B16=0,0,(Partcipation!$B16-Partcipation!$B15)*(+Title_RESULTS!$C$29*(1+Title_RESULTS!$C$30/100)^(+'Sheet8(F_24)'!$A16-Title_RESULTS!$H$7))/1000))</f>
        <v>1006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1006</v>
      </c>
      <c r="K16" s="5">
        <f>(+Partcipation!$B15+(Partcipation!$B16-Partcipation!$B15)/2)*(+Title_RESULTS!$C$14)/1000</f>
        <v>2563.845</v>
      </c>
      <c r="L16" s="5">
        <f>($K16)*Partcipation!$E73*Title_RESULTS!$C$12/100</f>
        <v>62.41969191620206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99.27789209999999</v>
      </c>
      <c r="N16" s="5">
        <f>'Sheet2(F_12)'!$I16*('Sheet6(p_6)'!$L16+'Sheet6(p_6)'!$M16)</f>
        <v>161.69758401620206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179.20000000000002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179.20000000000002</v>
      </c>
      <c r="E17" s="5">
        <f>IF(+'Sheet9(F_25)'!$A17&gt;=Title_RESULTS!$H$8,0,((Partcipation!$B17-Partcipation!$B16)*(Title_RESULTS!$C$39*((1+Title_RESULTS!$C$41/100)^('Sheet9(F_25)'!$A17-Title_RESULTS!$H$7)))/1000))</f>
        <v>219.88947627051184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219.88947627051184</v>
      </c>
      <c r="H17" s="5">
        <f>IF(Partcipation!$B18&lt;Partcipation!$B17,0,IF(Partcipation!$B17=0,0,(Partcipation!$B17-Partcipation!$B16)*(+Title_RESULTS!$C$29*(1+Title_RESULTS!$C$30/100)^(+'Sheet8(F_24)'!$A17-Title_RESULTS!$H$7))/1000))</f>
        <v>1029.138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1029.138</v>
      </c>
      <c r="K17" s="5">
        <f>(+Partcipation!$B16+(Partcipation!$B17-Partcipation!$B16)/2)*(+Title_RESULTS!$C$14)/1000</f>
        <v>7691.534999999999</v>
      </c>
      <c r="L17" s="5">
        <f>($K17)*Partcipation!$E74*Title_RESULTS!$C$12/100</f>
        <v>196.17138753659077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300.81201306299994</v>
      </c>
      <c r="N17" s="5">
        <f>'Sheet2(F_12)'!$I17*('Sheet6(p_6)'!$L17+'Sheet6(p_6)'!$M17)</f>
        <v>496.9834005995907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183.5008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183.5008</v>
      </c>
      <c r="E18" s="5">
        <f>IF(+'Sheet9(F_25)'!$A18&gt;=Title_RESULTS!$H$8,0,((Partcipation!$B18-Partcipation!$B17)*(Title_RESULTS!$C$39*((1+Title_RESULTS!$C$41/100)^('Sheet9(F_25)'!$A18-Title_RESULTS!$H$7)))/1000))</f>
        <v>219.88947627051184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219.88947627051184</v>
      </c>
      <c r="H18" s="5">
        <f>IF(Partcipation!$B19&lt;Partcipation!$B18,0,IF(Partcipation!$B18=0,0,(Partcipation!$B18-Partcipation!$B17)*(+Title_RESULTS!$C$29*(1+Title_RESULTS!$C$30/100)^(+'Sheet8(F_24)'!$A18-Title_RESULTS!$H$7))/1000))</f>
        <v>1052.8081739999998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1052.8081739999998</v>
      </c>
      <c r="K18" s="5">
        <f>(+Partcipation!$B17+(Partcipation!$B18-Partcipation!$B17)/2)*(+Title_RESULTS!$C$14)/1000</f>
        <v>12819.224999999999</v>
      </c>
      <c r="L18" s="5">
        <f>($K18)*Partcipation!$E75*Title_RESULTS!$C$12/100</f>
        <v>338.9957278777562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506.3668886560499</v>
      </c>
      <c r="N18" s="5">
        <f>'Sheet2(F_12)'!$I18*('Sheet6(p_6)'!$L18+'Sheet6(p_6)'!$M18)</f>
        <v>845.3626165338062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5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5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5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5">SUM(H19:I19)</f>
        <v>0</v>
      </c>
      <c r="K19" s="5">
        <f>(+Partcipation!$B18+(Partcipation!$B19-Partcipation!$B18)/2)*(+Title_RESULTS!$C$14)/1000</f>
        <v>15383.069999999998</v>
      </c>
      <c r="L19" s="5">
        <f>($K19)*Partcipation!$E76*Title_RESULTS!$C$12/100</f>
        <v>403.4602178447713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613.7166690511324</v>
      </c>
      <c r="N19" s="5">
        <f>'Sheet2(F_12)'!$I19*('Sheet6(p_6)'!$L19+'Sheet6(p_6)'!$M19)</f>
        <v>1017.1768868959036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15383.069999999998</v>
      </c>
      <c r="L20" s="5">
        <f>($K20)*Partcipation!$E77*Title_RESULTS!$C$12/100</f>
        <v>426.3443738970282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619.8538357416439</v>
      </c>
      <c r="N20" s="5">
        <f>'Sheet2(F_12)'!$I20*('Sheet6(p_6)'!$L20+'Sheet6(p_6)'!$M20)</f>
        <v>1046.198209638672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15383.069999999998</v>
      </c>
      <c r="L21" s="5">
        <f>($K21)*Partcipation!$E78*Title_RESULTS!$C$12/100</f>
        <v>450.8159768773355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626.0523740990602</v>
      </c>
      <c r="N21" s="5">
        <f>'Sheet2(F_12)'!$I21*('Sheet6(p_6)'!$L21+'Sheet6(p_6)'!$M21)</f>
        <v>1076.8683509763957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15383.069999999998</v>
      </c>
      <c r="L22" s="5">
        <f>($K22)*Partcipation!$E79*Title_RESULTS!$C$12/100</f>
        <v>471.19924549947876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632.3128978400509</v>
      </c>
      <c r="N22" s="5">
        <f>'Sheet2(F_12)'!$I22*('Sheet6(p_6)'!$L22+'Sheet6(p_6)'!$M22)</f>
        <v>1103.5121433395298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15383.069999999998</v>
      </c>
      <c r="L23" s="5">
        <f>($K23)*Partcipation!$E80*Title_RESULTS!$C$12/100</f>
        <v>498.94391316069436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638.6360268184512</v>
      </c>
      <c r="N23" s="5">
        <f>'Sheet2(F_12)'!$I23*('Sheet6(p_6)'!$L23+'Sheet6(p_6)'!$M23)</f>
        <v>1137.5799399791456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15383.069999999998</v>
      </c>
      <c r="L24" s="5">
        <f>($K24)*Partcipation!$E81*Title_RESULTS!$C$12/100</f>
        <v>546.1914626211984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645.022387086636</v>
      </c>
      <c r="N24" s="5">
        <f>'Sheet2(F_12)'!$I24*('Sheet6(p_6)'!$L24+'Sheet6(p_6)'!$M24)</f>
        <v>1191.2138497078345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15383.069999999998</v>
      </c>
      <c r="L25" s="5">
        <f>($K25)*Partcipation!$E82*Title_RESULTS!$C$12/100</f>
        <v>574.0186877618901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651.4726109575024</v>
      </c>
      <c r="N25" s="5">
        <f>'Sheet2(F_12)'!$I25*('Sheet6(p_6)'!$L25+'Sheet6(p_6)'!$M25)</f>
        <v>1225.4912987193925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2:18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t="s">
        <v>87</v>
      </c>
      <c r="B27" s="5">
        <f aca="true" t="shared" si="4" ref="B27:R27">SUM(B16:B26)</f>
        <v>537.7008000000001</v>
      </c>
      <c r="C27" s="5">
        <f t="shared" si="4"/>
        <v>0</v>
      </c>
      <c r="D27" s="5">
        <f t="shared" si="4"/>
        <v>537.7008000000001</v>
      </c>
      <c r="E27" s="5">
        <f t="shared" si="4"/>
        <v>659.6684288115355</v>
      </c>
      <c r="F27" s="5">
        <f t="shared" si="4"/>
        <v>0</v>
      </c>
      <c r="G27" s="5">
        <f t="shared" si="4"/>
        <v>659.6684288115355</v>
      </c>
      <c r="H27" s="5">
        <f t="shared" si="4"/>
        <v>3087.9461739999997</v>
      </c>
      <c r="I27" s="5">
        <f t="shared" si="4"/>
        <v>0</v>
      </c>
      <c r="J27" s="5">
        <f t="shared" si="4"/>
        <v>3087.9461739999997</v>
      </c>
      <c r="K27" s="5">
        <f t="shared" si="4"/>
        <v>130756.09499999996</v>
      </c>
      <c r="L27" s="5">
        <f t="shared" si="4"/>
        <v>3968.5606849929454</v>
      </c>
      <c r="M27" s="5">
        <f t="shared" si="4"/>
        <v>5333.523595413527</v>
      </c>
      <c r="N27" s="5">
        <f t="shared" si="4"/>
        <v>9302.084280406474</v>
      </c>
      <c r="O27" s="5">
        <f t="shared" si="4"/>
        <v>0</v>
      </c>
      <c r="P27" s="5">
        <f t="shared" si="4"/>
        <v>0</v>
      </c>
      <c r="Q27" s="5">
        <f t="shared" si="4"/>
        <v>0</v>
      </c>
      <c r="R27" s="5">
        <f t="shared" si="4"/>
        <v>0</v>
      </c>
    </row>
    <row r="28" spans="2:18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>
      <c r="A29" t="s">
        <v>89</v>
      </c>
      <c r="B29" s="5">
        <f>NPV(Title_RESULTS!$C$37,'Sheet6(p_6)'!B17:B26)+'Sheet6(p_6)'!B16</f>
        <v>502.3888206918773</v>
      </c>
      <c r="C29" s="5">
        <f>NPV(Title_RESULTS!$C$37,'Sheet6(p_6)'!C17:C26)+'Sheet6(p_6)'!C16</f>
        <v>0</v>
      </c>
      <c r="D29" s="5">
        <f>NPV(Title_RESULTS!$C$37,'Sheet6(p_6)'!D17:D26)+'Sheet6(p_6)'!D16</f>
        <v>502.3888206918773</v>
      </c>
      <c r="E29" s="5">
        <f>NPV(Title_RESULTS!$C$37,'Sheet6(p_6)'!E17:E26)+'Sheet6(p_6)'!E16</f>
        <v>617.0132402828953</v>
      </c>
      <c r="F29" s="5">
        <f>NPV(Title_RESULTS!$C$37,'Sheet6(p_6)'!F17:F26)+'Sheet6(p_6)'!F16</f>
        <v>0</v>
      </c>
      <c r="G29" s="5">
        <f>NPV(Title_RESULTS!$C$37,'Sheet6(p_6)'!G17:G26)+'Sheet6(p_6)'!G16</f>
        <v>617.0132402828953</v>
      </c>
      <c r="H29" s="5">
        <f>NPV(Title_RESULTS!$C$37,'Sheet6(p_6)'!H17:H26)+'Sheet6(p_6)'!H16</f>
        <v>2885.282566080904</v>
      </c>
      <c r="I29" s="5">
        <f>NPV(Title_RESULTS!$C$37,'Sheet6(p_6)'!I17:I26)+'Sheet6(p_6)'!I16</f>
        <v>0</v>
      </c>
      <c r="J29" s="5">
        <f>NPV(Title_RESULTS!$C$37,'Sheet6(p_6)'!J17:J26)+'Sheet6(p_6)'!J16</f>
        <v>2885.282566080904</v>
      </c>
      <c r="K29" s="5"/>
      <c r="L29" s="5">
        <f>NPV(Title_RESULTS!$C$37,'Sheet6(p_6)'!L17:L26)+'Sheet6(p_6)'!L16</f>
        <v>2762.187514306041</v>
      </c>
      <c r="M29" s="5">
        <f>NPV(Title_RESULTS!$C$37,'Sheet6(p_6)'!M17:M26)+'Sheet6(p_6)'!M16</f>
        <v>3778.0878521044433</v>
      </c>
      <c r="N29" s="5">
        <f>NPV(Title_RESULTS!$C$37,'Sheet6(p_6)'!N17:N26)+'Sheet6(p_6)'!N16</f>
        <v>6540.275366410485</v>
      </c>
      <c r="O29" s="5"/>
      <c r="P29" s="5">
        <f>NPV(Title_RESULTS!$C$37,'Sheet6(p_6)'!P17:P26)+'Sheet6(p_6)'!P16</f>
        <v>0</v>
      </c>
      <c r="Q29" s="5">
        <f>NPV(Title_RESULTS!$C$37,'Sheet6(p_6)'!Q17:Q26)+'Sheet6(p_6)'!Q16</f>
        <v>0</v>
      </c>
      <c r="R29" s="5">
        <f>NPV(Title_RESULTS!$C$37,'Sheet6(p_6)'!R17:R26)+'Sheet6(p_6)'!R16</f>
        <v>0</v>
      </c>
    </row>
    <row r="31" ht="12.75">
      <c r="A31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Heat Pump Water Heater</v>
      </c>
      <c r="M2" t="s">
        <v>55</v>
      </c>
    </row>
    <row r="3" ht="12.75">
      <c r="M3" s="35">
        <f>+Title_RESULTS!I4</f>
        <v>43599.31931655093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IF(A16&gt;=(Title_RESULTS!$H$7+Title_RESULTS!$C$17),0,(+'Sheet6(p_6)'!$J16))</f>
        <v>1006</v>
      </c>
      <c r="E16" s="5">
        <f>IF(A16&gt;=(Title_RESULTS!$H$7+Title_RESULTS!$C$17),0,(+'f-11B'!$N15))</f>
        <v>0</v>
      </c>
      <c r="F16" s="5">
        <f>IF(A16&gt;=(Title_RESULTS!$H$7+Title_RESULTS!$C$17),0,(SUM(B16:E16)))</f>
        <v>1181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78.4490492068673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78.4490492068673</v>
      </c>
      <c r="L16" s="23">
        <f>IF(A16&gt;=(Title_RESULTS!$H$7+Title_RESULTS!$C$17),0,(+$K16-$F16))</f>
        <v>-1102.5509507931326</v>
      </c>
      <c r="M16" s="23">
        <f>IF(A16&gt;=(Title_RESULTS!$H$7+Title_RESULTS!$C$17),0,(+$L16/(1+Title_RESULTS!$C$37)^('Sheet7(F_23)'!$A16-Title_RESULTS!$H$7)))</f>
        <v>-1102.5509507931326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IF(A17&gt;=(Title_RESULTS!$H$7+Title_RESULTS!$C$17),0,(+'Sheet6(p_6)'!$J17))</f>
        <v>1029.138</v>
      </c>
      <c r="E17" s="5">
        <f>IF(A17&gt;=(Title_RESULTS!$H$7+Title_RESULTS!$C$17),0,(+'f-11B'!$N16))</f>
        <v>0</v>
      </c>
      <c r="F17" s="5">
        <f>IF(A17&gt;=(Title_RESULTS!$H$7+Title_RESULTS!$C$17),0,(SUM(B17:E17)))</f>
        <v>1208.338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69.33449004872638</v>
      </c>
      <c r="I17" s="5">
        <f>IF(A17&gt;=(Title_RESULTS!$H$7+Title_RESULTS!$C$17),0,(+'Sheet4(F_22)'!$H17))</f>
        <v>233.43286847219812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302.7673585209245</v>
      </c>
      <c r="L17" s="23">
        <f>IF(A17&gt;=(Title_RESULTS!$H$7+Title_RESULTS!$C$17),0,(+$K17-$F17))</f>
        <v>-905.5706414790754</v>
      </c>
      <c r="M17" s="23">
        <f>IF(A17&gt;=(Title_RESULTS!$H$7+Title_RESULTS!$C$17),0,(+M16+$L17/(1+Title_RESULTS!$C$37)^('Sheet7(F_23)'!$A17-Title_RESULTS!$H$7)))</f>
        <v>-1948.2463574788587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IF(A18&gt;=(Title_RESULTS!$H$7+Title_RESULTS!$C$17),0,(+'Sheet6(p_6)'!$J18))</f>
        <v>1052.8081739999998</v>
      </c>
      <c r="E18" s="5">
        <f>IF(A18&gt;=(Title_RESULTS!$H$7+Title_RESULTS!$C$17),0,(+'f-11B'!$N17))</f>
        <v>0</v>
      </c>
      <c r="F18" s="5">
        <f>IF(A18&gt;=(Title_RESULTS!$H$7+Title_RESULTS!$C$17),0,(SUM(B18:E18)))</f>
        <v>1236.3089739999998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70.9985178098958</v>
      </c>
      <c r="I18" s="5">
        <f>IF(A18&gt;=(Title_RESULTS!$H$7+Title_RESULTS!$C$17),0,(+'Sheet4(F_22)'!$H18))</f>
        <v>401.5305741479298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472.52909195782564</v>
      </c>
      <c r="L18" s="23">
        <f>IF(A18&gt;=(Title_RESULTS!$H$7+Title_RESULTS!$C$17),0,(+$K18-$F18))</f>
        <v>-763.7798820421742</v>
      </c>
      <c r="M18" s="23">
        <f>IF(A18&gt;=(Title_RESULTS!$H$7+Title_RESULTS!$C$17),0,(+M17+$L18/(1+Title_RESULTS!$C$37)^('Sheet7(F_23)'!$A18-Title_RESULTS!$H$7)))</f>
        <v>-2614.3648489357247</v>
      </c>
    </row>
    <row r="19" spans="1:13" ht="12.75">
      <c r="A19">
        <f aca="true" t="shared" si="0" ref="A19:A25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209.81621111293146</v>
      </c>
      <c r="H19" s="5">
        <f>IF(A19&gt;=(Title_RESULTS!$H$7+Title_RESULTS!$C$17),0,(+'Sheet4(F_22)'!$D19+'Sheet4(F_22)'!$G19))</f>
        <v>72.70248223733331</v>
      </c>
      <c r="I19" s="5">
        <f>IF(A19&gt;=(Title_RESULTS!$H$7+Title_RESULTS!$C$17),0,(+'Sheet4(F_22)'!$H19))</f>
        <v>501.60345823579564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784.1221515860605</v>
      </c>
      <c r="L19" s="23">
        <f>IF(A19&gt;=(Title_RESULTS!$H$7+Title_RESULTS!$C$17),0,(+$K19-$F19))</f>
        <v>784.1221515860605</v>
      </c>
      <c r="M19" s="23">
        <f>IF(A19&gt;=(Title_RESULTS!$H$7+Title_RESULTS!$C$17),0,(+M18+$L19/(1+Title_RESULTS!$C$37)^('Sheet7(F_23)'!$A19-Title_RESULTS!$H$7)))</f>
        <v>-1975.721144507253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215.4108454339538</v>
      </c>
      <c r="H20" s="5">
        <f>IF(A20&gt;=(Title_RESULTS!$H$7+Title_RESULTS!$C$17),0,(+'Sheet4(F_22)'!$D20+'Sheet4(F_22)'!$G20))</f>
        <v>74.44734181102932</v>
      </c>
      <c r="I20" s="5">
        <f>IF(A20&gt;=(Title_RESULTS!$H$7+Title_RESULTS!$C$17),0,(+'Sheet4(F_22)'!$H20))</f>
        <v>521.3145834882467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811.1727707332299</v>
      </c>
      <c r="L20" s="23">
        <f>IF(A20&gt;=(Title_RESULTS!$H$7+Title_RESULTS!$C$17),0,(+$K20-$F20))</f>
        <v>811.1727707332299</v>
      </c>
      <c r="M20" s="23">
        <f>IF(A20&gt;=(Title_RESULTS!$H$7+Title_RESULTS!$C$17),0,(+M19+$L20/(1+Title_RESULTS!$C$37)^('Sheet7(F_23)'!$A20-Title_RESULTS!$H$7)))</f>
        <v>-1358.728603337186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221.53136829537652</v>
      </c>
      <c r="H21" s="5">
        <f>IF(A21&gt;=(Title_RESULTS!$H$7+Title_RESULTS!$C$17),0,(+'Sheet4(F_22)'!$D21+'Sheet4(F_22)'!$G21))</f>
        <v>76.23407801449402</v>
      </c>
      <c r="I21" s="5">
        <f>IF(A21&gt;=(Title_RESULTS!$H$7+Title_RESULTS!$C$17),0,(+'Sheet4(F_22)'!$H21))</f>
        <v>559.7349129132708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857.5003592231413</v>
      </c>
      <c r="L21" s="23">
        <f>IF(A21&gt;=(Title_RESULTS!$H$7+Title_RESULTS!$C$17),0,(+$K21-$F21))</f>
        <v>857.5003592231413</v>
      </c>
      <c r="M21" s="23">
        <f>IF(A21&gt;=(Title_RESULTS!$H$7+Title_RESULTS!$C$17),0,(+M20+$L21/(1+Title_RESULTS!$C$37)^('Sheet7(F_23)'!$A21-Title_RESULTS!$H$7)))</f>
        <v>-749.6231355459684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228.38597906889927</v>
      </c>
      <c r="H22" s="5">
        <f>IF(A22&gt;=(Title_RESULTS!$H$7+Title_RESULTS!$C$17),0,(+'Sheet4(F_22)'!$D22+'Sheet4(F_22)'!$G22))</f>
        <v>78.06369588684187</v>
      </c>
      <c r="I22" s="5">
        <f>IF(A22&gt;=(Title_RESULTS!$H$7+Title_RESULTS!$C$17),0,(+'Sheet4(F_22)'!$H22))</f>
        <v>577.6882001076526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884.1378750633937</v>
      </c>
      <c r="L22" s="23">
        <f>IF(A22&gt;=(Title_RESULTS!$H$7+Title_RESULTS!$C$17),0,(+$K22-$F22))</f>
        <v>884.1378750633937</v>
      </c>
      <c r="M22" s="23">
        <f>IF(A22&gt;=(Title_RESULTS!$H$7+Title_RESULTS!$C$17),0,(+M21+$L22/(1+Title_RESULTS!$C$37)^('Sheet7(F_23)'!$A22-Title_RESULTS!$H$7)))</f>
        <v>-163.12069941673587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234.53402890799015</v>
      </c>
      <c r="H23" s="5">
        <f>IF(A23&gt;=(Title_RESULTS!$H$7+Title_RESULTS!$C$17),0,(+'Sheet4(F_22)'!$D23+'Sheet4(F_22)'!$G23))</f>
        <v>79.93722458812609</v>
      </c>
      <c r="I23" s="5">
        <f>IF(A23&gt;=(Title_RESULTS!$H$7+Title_RESULTS!$C$17),0,(+'Sheet4(F_22)'!$H23))</f>
        <v>613.7911269977169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928.2623804938331</v>
      </c>
      <c r="L23" s="23">
        <f>IF(A23&gt;=(Title_RESULTS!$H$7+Title_RESULTS!$C$17),0,(+$K23-$F23))</f>
        <v>928.2623804938331</v>
      </c>
      <c r="M23" s="23">
        <f>IF(A23&gt;=(Title_RESULTS!$H$7+Title_RESULTS!$C$17),0,(+M22+$L23/(1+Title_RESULTS!$C$37)^('Sheet7(F_23)'!$A23-Title_RESULTS!$H$7)))</f>
        <v>411.938046146774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238.33355033202434</v>
      </c>
      <c r="H24" s="5">
        <f>IF(A24&gt;=(Title_RESULTS!$H$7+Title_RESULTS!$C$17),0,(+'Sheet4(F_22)'!$D24+'Sheet4(F_22)'!$G24))</f>
        <v>81.85571797824109</v>
      </c>
      <c r="I24" s="5">
        <f>IF(A24&gt;=(Title_RESULTS!$H$7+Title_RESULTS!$C$17),0,(+'Sheet4(F_22)'!$H24))</f>
        <v>680.151547851675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1000.3408161619404</v>
      </c>
      <c r="L24" s="23">
        <f>IF(A24&gt;=(Title_RESULTS!$H$7+Title_RESULTS!$C$17),0,(+$K24-$F24))</f>
        <v>1000.3408161619404</v>
      </c>
      <c r="M24" s="23">
        <f>IF(A24&gt;=(Title_RESULTS!$H$7+Title_RESULTS!$C$17),0,(+M23+$L24/(1+Title_RESULTS!$C$37)^('Sheet7(F_23)'!$A24-Title_RESULTS!$H$7)))</f>
        <v>990.6748336472136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244.80738906366946</v>
      </c>
      <c r="H25" s="5">
        <f>IF(A25&gt;=(Title_RESULTS!$H$7+Title_RESULTS!$C$17),0,(+'Sheet4(F_22)'!$D25+'Sheet4(F_22)'!$G25))</f>
        <v>83.82025520971888</v>
      </c>
      <c r="I25" s="5">
        <f>IF(A25&gt;=(Title_RESULTS!$H$7+Title_RESULTS!$C$17),0,(+'Sheet4(F_22)'!$H25))</f>
        <v>728.6900656753944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1057.3177099487827</v>
      </c>
      <c r="L25" s="23">
        <f>IF(A25&gt;=(Title_RESULTS!$H$7+Title_RESULTS!$C$17),0,(+$K25-$F25))</f>
        <v>1057.3177099487827</v>
      </c>
      <c r="M25" s="23">
        <f>IF(A25&gt;=(Title_RESULTS!$H$7+Title_RESULTS!$C$17),0,(+M24+$L25/(1+Title_RESULTS!$C$37)^('Sheet7(F_23)'!$A25-Title_RESULTS!$H$7)))</f>
        <v>1561.930135773027</v>
      </c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L27">SUM(B16:B26)</f>
        <v>0</v>
      </c>
      <c r="C27" s="5">
        <f t="shared" si="1"/>
        <v>537.7008000000001</v>
      </c>
      <c r="D27" s="5">
        <f t="shared" si="1"/>
        <v>3087.9461739999997</v>
      </c>
      <c r="E27" s="5">
        <f t="shared" si="1"/>
        <v>0</v>
      </c>
      <c r="F27" s="5">
        <f t="shared" si="1"/>
        <v>3625.6469739999993</v>
      </c>
      <c r="G27" s="5">
        <f t="shared" si="1"/>
        <v>1592.8193722148449</v>
      </c>
      <c r="H27" s="5">
        <f t="shared" si="1"/>
        <v>687.3938035844067</v>
      </c>
      <c r="I27" s="5">
        <f t="shared" si="1"/>
        <v>4896.386387096747</v>
      </c>
      <c r="J27" s="5">
        <f t="shared" si="1"/>
        <v>0</v>
      </c>
      <c r="K27" s="5">
        <f t="shared" si="1"/>
        <v>7176.599562896</v>
      </c>
      <c r="L27" s="5">
        <f t="shared" si="1"/>
        <v>3550.9525888959997</v>
      </c>
      <c r="M27" s="5"/>
    </row>
    <row r="28" spans="2:13" ht="12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t="s">
        <v>118</v>
      </c>
      <c r="B29" s="5">
        <f>NPV(Title_RESULTS!$C$37,'Sheet7(F_23)'!B17:B26)+'Sheet7(F_23)'!B16</f>
        <v>0</v>
      </c>
      <c r="C29" s="5">
        <f>NPV(Title_RESULTS!$C$37,'Sheet7(F_23)'!C17:C26)+'Sheet7(F_23)'!C16</f>
        <v>502.3888206918773</v>
      </c>
      <c r="D29" s="5">
        <f>NPV(Title_RESULTS!$C$37,'Sheet7(F_23)'!D17:D26)+'Sheet7(F_23)'!D16</f>
        <v>2885.282566080904</v>
      </c>
      <c r="E29" s="5">
        <f>NPV(Title_RESULTS!$C$37,'Sheet7(F_23)'!E17:E26)+'Sheet7(F_23)'!E16</f>
        <v>0</v>
      </c>
      <c r="F29" s="5">
        <f>NPV(Title_RESULTS!$C$37,'Sheet7(F_23)'!F17:F26)+'Sheet7(F_23)'!F16</f>
        <v>3387.6713867727813</v>
      </c>
      <c r="G29" s="5">
        <f>NPV(Title_RESULTS!$C$37,'Sheet7(F_23)'!G17:G26)+'Sheet7(F_23)'!G16</f>
        <v>1059.0418609363787</v>
      </c>
      <c r="H29" s="5">
        <f>NPV(Title_RESULTS!$C$37,'Sheet7(F_23)'!H17:H26)+'Sheet7(F_23)'!H16</f>
        <v>490.61078066088794</v>
      </c>
      <c r="I29" s="5">
        <f>NPV(Title_RESULTS!$C$37,'Sheet7(F_23)'!I17:I26)+'Sheet7(F_23)'!I16</f>
        <v>3399.948880948541</v>
      </c>
      <c r="J29" s="5">
        <f>NPV(Title_RESULTS!$C$37,'Sheet7(F_23)'!J17:J26)+'Sheet7(F_23)'!J16</f>
        <v>0</v>
      </c>
      <c r="K29" s="5">
        <f>NPV(Title_RESULTS!$C$37,'Sheet7(F_23)'!K17:K26)+'Sheet7(F_23)'!K16</f>
        <v>4949.601522545808</v>
      </c>
      <c r="L29" s="5">
        <f>NPV(Title_RESULTS!$C$37,'Sheet7(F_23)'!L17:L26)+'Sheet7(F_23)'!L16</f>
        <v>1561.9301357730271</v>
      </c>
      <c r="M29" s="5"/>
    </row>
    <row r="31" spans="1:8" ht="12.75">
      <c r="A31" t="s">
        <v>162</v>
      </c>
      <c r="C31">
        <f>+Title_RESULTS!C37</f>
        <v>0.0708</v>
      </c>
      <c r="D31" t="s">
        <v>163</v>
      </c>
      <c r="H31" s="10">
        <f>+K29/F29</f>
        <v>1.4610630599743553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Heat Pump Water Heater</v>
      </c>
      <c r="L2" t="s">
        <v>55</v>
      </c>
    </row>
    <row r="3" ht="12.75">
      <c r="L3" s="35">
        <f>+Title_RESULTS!I4</f>
        <v>43599.31931655093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161.69758401620206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219.88947627051184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381.5870602867139</v>
      </c>
      <c r="G16" s="5">
        <f>IF(A16&gt;=(Title_RESULTS!$H$7+Title_RESULTS!$C$17),0,(+'Sheet6(p_6)'!$H16))</f>
        <v>1006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1006</v>
      </c>
      <c r="K16" s="23">
        <f>IF(A16&gt;=(Title_RESULTS!$H$7+Title_RESULTS!$C$17),0,(+F16-J16))</f>
        <v>-624.412939713286</v>
      </c>
      <c r="L16" s="23">
        <f>IF(A16&gt;=(Title_RESULTS!$H$7+Title_RESULTS!$C$17),0,(+$K16/((1+Title_RESULTS!$C$37)^('Sheet8(F_24)'!$A16-Title_RESULTS!$H$7))))</f>
        <v>-624.412939713286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496.9834005995907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219.88947627051184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716.8728768701026</v>
      </c>
      <c r="G17" s="5">
        <f>IF(A17&gt;=(Title_RESULTS!$H$7+Title_RESULTS!$C$17),0,(+'Sheet6(p_6)'!$H17))</f>
        <v>1029.138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1029.138</v>
      </c>
      <c r="K17" s="23">
        <f>IF(A17&gt;=(Title_RESULTS!$H$7+Title_RESULTS!$C$17),0,(+F17-J17))</f>
        <v>-312.26512312989735</v>
      </c>
      <c r="L17" s="23">
        <f>IF(A16&gt;=(Title_RESULTS!$H$7+Title_RESULTS!$C$17),0,(+$K17/((1+Title_RESULTS!$C$37)^('Sheet8(F_24)'!$A17-Title_RESULTS!$H$7))+L16))</f>
        <v>-916.031470839451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845.3626165338062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219.88947627051184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1065.252092804318</v>
      </c>
      <c r="G18" s="5">
        <f>IF(A18&gt;=(Title_RESULTS!$H$7+Title_RESULTS!$C$17),0,(+'Sheet6(p_6)'!$H18))</f>
        <v>1052.8081739999998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1052.8081739999998</v>
      </c>
      <c r="K18" s="23">
        <f>IF(A18&gt;=(Title_RESULTS!$H$7+Title_RESULTS!$C$17),0,(+F18-J18))</f>
        <v>12.443918804318173</v>
      </c>
      <c r="L18" s="23">
        <f>IF(A17&gt;=(Title_RESULTS!$H$7+Title_RESULTS!$C$17),0,(+$K18/((1+Title_RESULTS!$C$37)^('Sheet8(F_24)'!$A18-Title_RESULTS!$H$7))+L17))</f>
        <v>-905.1787047262865</v>
      </c>
      <c r="M18" s="5"/>
    </row>
    <row r="19" spans="1:13" ht="12.75">
      <c r="A19">
        <f aca="true" t="shared" si="0" ref="A19:A25">+A18+1</f>
        <v>2023</v>
      </c>
      <c r="B19" s="5">
        <f>IF(A19&gt;=(Title_RESULTS!$H$7+Title_RESULTS!$C$17),0,(+'Sheet6(p_6)'!N19-'Sheet6(p_6)'!R19))</f>
        <v>1017.1768868959036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1017.1768868959036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1017.1768868959036</v>
      </c>
      <c r="L19" s="23">
        <f>IF(A18&gt;=(Title_RESULTS!$H$7+Title_RESULTS!$C$17),0,(+$K19/((1+Title_RESULTS!$C$37)^('Sheet8(F_24)'!$A19-Title_RESULTS!$H$7))+L18))</f>
        <v>-76.71898860650435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1046.198209638672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1046.198209638672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1046.198209638672</v>
      </c>
      <c r="L20" s="23">
        <f>IF(A19&gt;=(Title_RESULTS!$H$7+Title_RESULTS!$C$17),0,(+$K20/((1+Title_RESULTS!$C$37)^('Sheet8(F_24)'!$A20-Title_RESULTS!$H$7))+L19))</f>
        <v>719.0381117570417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1076.8683509763957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1076.8683509763957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1076.8683509763957</v>
      </c>
      <c r="L21" s="23">
        <f>IF(A20&gt;=(Title_RESULTS!$H$7+Title_RESULTS!$C$17),0,(+$K21/((1+Title_RESULTS!$C$37)^('Sheet8(F_24)'!$A21-Title_RESULTS!$H$7))+L20))</f>
        <v>1483.966538452135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1103.5121433395298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1103.5121433395298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1103.5121433395298</v>
      </c>
      <c r="L22" s="23">
        <f>IF(A21&gt;=(Title_RESULTS!$H$7+Title_RESULTS!$C$17),0,(+$K22/((1+Title_RESULTS!$C$37)^('Sheet8(F_24)'!$A22-Title_RESULTS!$H$7))+L21))</f>
        <v>2215.9932716360504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1137.5799399791456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1137.5799399791456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1137.5799399791456</v>
      </c>
      <c r="L23" s="23">
        <f>IF(A22&gt;=(Title_RESULTS!$H$7+Title_RESULTS!$C$17),0,(+$K23/((1+Title_RESULTS!$C$37)^('Sheet8(F_24)'!$A23-Title_RESULTS!$H$7))+L22))</f>
        <v>2920.7242905906273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1191.2138497078345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1191.2138497078345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1191.2138497078345</v>
      </c>
      <c r="L24" s="23">
        <f>IF(A23&gt;=(Title_RESULTS!$H$7+Title_RESULTS!$C$17),0,(+$K24/((1+Title_RESULTS!$C$37)^('Sheet8(F_24)'!$A24-Title_RESULTS!$H$7))+L23))</f>
        <v>3609.8886888314164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1225.4912987193925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1225.4912987193925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1225.4912987193925</v>
      </c>
      <c r="L25" s="23">
        <f>IF(A24&gt;=(Title_RESULTS!$H$7+Title_RESULTS!$C$17),0,(+$K25/((1+Title_RESULTS!$C$37)^('Sheet8(F_24)'!$A25-Title_RESULTS!$H$7))+L24))</f>
        <v>4272.006040612475</v>
      </c>
      <c r="M25" s="5"/>
    </row>
    <row r="26" spans="2:13" ht="12.7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t="s">
        <v>87</v>
      </c>
      <c r="B27" s="5">
        <f aca="true" t="shared" si="1" ref="B27:K27">SUM(B16:B26)</f>
        <v>9302.084280406474</v>
      </c>
      <c r="C27" s="5">
        <f t="shared" si="1"/>
        <v>0</v>
      </c>
      <c r="D27" s="5">
        <f t="shared" si="1"/>
        <v>659.6684288115355</v>
      </c>
      <c r="E27" s="5">
        <f t="shared" si="1"/>
        <v>0</v>
      </c>
      <c r="F27" s="5">
        <f t="shared" si="1"/>
        <v>9961.752709218008</v>
      </c>
      <c r="G27" s="5">
        <f t="shared" si="1"/>
        <v>3087.9461739999997</v>
      </c>
      <c r="H27" s="5">
        <f t="shared" si="1"/>
        <v>0</v>
      </c>
      <c r="I27" s="5">
        <f t="shared" si="1"/>
        <v>0</v>
      </c>
      <c r="J27" s="5">
        <f t="shared" si="1"/>
        <v>3087.9461739999997</v>
      </c>
      <c r="K27" s="5">
        <f t="shared" si="1"/>
        <v>6873.806535218009</v>
      </c>
      <c r="L27" s="5"/>
      <c r="M27" s="5"/>
    </row>
    <row r="28" ht="12.75">
      <c r="M28" s="5"/>
    </row>
    <row r="29" spans="1:13" ht="12.75">
      <c r="A29" t="s">
        <v>118</v>
      </c>
      <c r="B29" s="5">
        <f>NPV(Title_RESULTS!$C$37,'Sheet8(F_24)'!B17:B26)+'Sheet8(F_24)'!B16</f>
        <v>6540.275366410485</v>
      </c>
      <c r="C29" s="5">
        <f>NPV(Title_RESULTS!$C$37,'Sheet8(F_24)'!C17:C26)+'Sheet8(F_24)'!C16</f>
        <v>0</v>
      </c>
      <c r="D29" s="5">
        <f>NPV(Title_RESULTS!$C$37,'Sheet8(F_24)'!D17:D26)+'Sheet8(F_24)'!D16</f>
        <v>617.0132402828953</v>
      </c>
      <c r="E29" s="5">
        <f>NPV(Title_RESULTS!$C$37,'Sheet8(F_24)'!E17:E26)+'Sheet8(F_24)'!E16</f>
        <v>0</v>
      </c>
      <c r="F29" s="5">
        <f>NPV(Title_RESULTS!$C$37,'Sheet8(F_24)'!F17:F26)+'Sheet8(F_24)'!F16</f>
        <v>7157.288606693378</v>
      </c>
      <c r="G29" s="5">
        <f>NPV(Title_RESULTS!$C$37,'Sheet8(F_24)'!G17:G26)+'Sheet8(F_24)'!G16</f>
        <v>2885.282566080904</v>
      </c>
      <c r="H29" s="5">
        <f>NPV(Title_RESULTS!$C$37,'Sheet8(F_24)'!H17:H26)+'Sheet8(F_24)'!H16</f>
        <v>0</v>
      </c>
      <c r="I29" s="5">
        <f>NPV(Title_RESULTS!$C$37,'Sheet8(F_24)'!I17:I26)+'Sheet8(F_24)'!I16</f>
        <v>0</v>
      </c>
      <c r="J29" s="5">
        <f>NPV(Title_RESULTS!$C$37,'Sheet8(F_24)'!J17:J26)+'Sheet8(F_24)'!J16</f>
        <v>2885.282566080904</v>
      </c>
      <c r="K29" s="5">
        <f>NPV(Title_RESULTS!$C$37,'Sheet8(F_24)'!K17:K26)+'Sheet8(F_24)'!K16</f>
        <v>4272.006040612476</v>
      </c>
      <c r="L29" s="5"/>
      <c r="M29" s="5"/>
    </row>
    <row r="30" spans="2:12" ht="12.7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1" ht="12.75">
      <c r="A31" t="s">
        <v>174</v>
      </c>
      <c r="D31">
        <f>+Title_RESULTS!H8</f>
        <v>2023</v>
      </c>
      <c r="F31">
        <f>+F29/J29</f>
        <v>2.480619642191636</v>
      </c>
      <c r="K31" s="10"/>
    </row>
    <row r="32" spans="1:10" ht="12.75">
      <c r="A32" t="s">
        <v>175</v>
      </c>
      <c r="D32">
        <f>+Title_RESULTS!C37</f>
        <v>0.0708</v>
      </c>
      <c r="J32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Heat Pump Water Heater</v>
      </c>
      <c r="N2" t="s">
        <v>55</v>
      </c>
    </row>
    <row r="3" ht="12.75">
      <c r="N3" s="35">
        <f>+Title_RESULTS!I4</f>
        <v>43599.31931655093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IF(A16&gt;=(Title_RESULTS!$H$7+Title_RESULTS!$C$17),0,(+'Sheet6(p_6)'!$G16))</f>
        <v>219.88947627051184</v>
      </c>
      <c r="E16" s="5">
        <f>+'Sheet6(p_6)'!M16</f>
        <v>99.27789209999999</v>
      </c>
      <c r="F16">
        <f>IF(A16&gt;=(Title_RESULTS!$H$7+Title_RESULTS!$C$17),0,(+'f-11B'!$R15))</f>
        <v>0</v>
      </c>
      <c r="G16" s="5">
        <f>IF(A16&gt;=(Title_RESULTS!$H$7+Title_RESULTS!$C$17),0,(SUM(B16:F16)))</f>
        <v>494.16736837051184</v>
      </c>
      <c r="H16" s="5">
        <f>IF(A16&gt;=(Title_RESULTS!$H$7+Title_RESULTS!$C$17),0,(+'Sheet3(F_21)'!$J16+'Sheet4(F_22)'!$H16))</f>
        <v>78.4490492068673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78.4490492068673</v>
      </c>
      <c r="M16" s="23">
        <f>IF(A16&gt;=(Title_RESULTS!$H$7+Title_RESULTS!$C$17),0,(+L16-G16))</f>
        <v>-415.71831916364454</v>
      </c>
      <c r="N16" s="24">
        <f>IF(A16&gt;=(Title_RESULTS!$H$7+Title_RESULTS!$C$17),0,(+$M16/((1+Title_RESULTS!$C$37)^('Sheet9(F_25)'!$A16-Title_RESULTS!$H$7))))</f>
        <v>-415.71831916364454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IF(A17&gt;=(Title_RESULTS!$H$7+Title_RESULTS!$C$17),0,(+'Sheet6(p_6)'!$G17))</f>
        <v>219.88947627051184</v>
      </c>
      <c r="E17" s="5">
        <f>+'Sheet6(p_6)'!M17</f>
        <v>300.81201306299994</v>
      </c>
      <c r="F17">
        <f>IF(A17&gt;=(Title_RESULTS!$H$7+Title_RESULTS!$C$17),0,(+'f-11B'!$R16))</f>
        <v>0</v>
      </c>
      <c r="G17" s="5">
        <f>IF(A17&gt;=(Title_RESULTS!$H$7+Title_RESULTS!$C$17),0,(SUM(B17:F17)))</f>
        <v>699.9014893335118</v>
      </c>
      <c r="H17" s="5">
        <f>IF(A17&gt;=(Title_RESULTS!$H$7+Title_RESULTS!$C$17),0,(+'Sheet3(F_21)'!$J17+'Sheet4(F_22)'!$H17))</f>
        <v>233.43286847219812</v>
      </c>
      <c r="I17" s="5">
        <f>IF(A17&gt;=(Title_RESULTS!$H$7+Title_RESULTS!$C$17),0,(+'Sheet4(F_22)'!$D17+'Sheet4(F_22)'!$G17))</f>
        <v>69.33449004872638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302.7673585209245</v>
      </c>
      <c r="M17" s="23">
        <f>IF(A17&gt;=(Title_RESULTS!$H$7+Title_RESULTS!$C$17),0,(+L17-G17))</f>
        <v>-397.1341308125873</v>
      </c>
      <c r="N17" s="24">
        <f>(IF(A16&gt;=(Title_RESULTS!$H$7+Title_RESULTS!$C$17),0,(+$M17/((1+Title_RESULTS!$C$37)^('Sheet9(F_25)'!$A17-Title_RESULTS!$H$7))+N16)))</f>
        <v>-786.5944219023327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IF(A18&gt;=(Title_RESULTS!$H$7+Title_RESULTS!$C$17),0,(+'Sheet6(p_6)'!$G18))</f>
        <v>219.88947627051184</v>
      </c>
      <c r="E18" s="5">
        <f>+'Sheet6(p_6)'!M18</f>
        <v>506.3668886560499</v>
      </c>
      <c r="F18">
        <f>IF(A18&gt;=(Title_RESULTS!$H$7+Title_RESULTS!$C$17),0,(+'f-11B'!$R17))</f>
        <v>0</v>
      </c>
      <c r="G18" s="5">
        <f>IF(A18&gt;=(Title_RESULTS!$H$7+Title_RESULTS!$C$17),0,(SUM(B18:F18)))</f>
        <v>909.7571649265617</v>
      </c>
      <c r="H18" s="5">
        <f>IF(A18&gt;=(Title_RESULTS!$H$7+Title_RESULTS!$C$17),0,(+'Sheet3(F_21)'!$J18+'Sheet4(F_22)'!$H18))</f>
        <v>401.5305741479298</v>
      </c>
      <c r="I18" s="5">
        <f>IF(A18&gt;=(Title_RESULTS!$H$7+Title_RESULTS!$C$17),0,(+'Sheet4(F_22)'!$D18+'Sheet4(F_22)'!$G18))</f>
        <v>70.9985178098958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472.52909195782564</v>
      </c>
      <c r="M18" s="23">
        <f>IF(A18&gt;=(Title_RESULTS!$H$7+Title_RESULTS!$C$17),0,(+L18-G18))</f>
        <v>-437.22807296873606</v>
      </c>
      <c r="N18" s="24">
        <f>(IF(A17&gt;=(Title_RESULTS!$H$7+Title_RESULTS!$C$17),0,(+$M18/((1+Title_RESULTS!$C$37)^('Sheet9(F_25)'!$A18-Title_RESULTS!$H$7))+N17)))</f>
        <v>-1167.9159403610304</v>
      </c>
    </row>
    <row r="19" spans="1:14" ht="12.75">
      <c r="A19">
        <f aca="true" t="shared" si="0" ref="A19:A25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613.7166690511324</v>
      </c>
      <c r="F19">
        <f>IF(A19&gt;=(Title_RESULTS!$H$7+Title_RESULTS!$C$17),0,(+'f-11B'!$R18))</f>
        <v>0</v>
      </c>
      <c r="G19" s="5">
        <f>IF(A19&gt;=(Title_RESULTS!$H$7+Title_RESULTS!$C$17),0,(SUM(B19:F19)))</f>
        <v>613.7166690511324</v>
      </c>
      <c r="H19" s="5">
        <f>IF(A19&gt;=(Title_RESULTS!$H$7+Title_RESULTS!$C$17),0,(+'Sheet3(F_21)'!$J19+'Sheet4(F_22)'!$H19))</f>
        <v>711.4196693487271</v>
      </c>
      <c r="I19" s="5">
        <f>IF(A19&gt;=(Title_RESULTS!$H$7+Title_RESULTS!$C$17),0,(+'Sheet4(F_22)'!$D19+'Sheet4(F_22)'!$G19))</f>
        <v>72.70248223733331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784.1221515860605</v>
      </c>
      <c r="M19" s="23">
        <f>IF(A19&gt;=(Title_RESULTS!$H$7+Title_RESULTS!$C$17),0,(+L19-G19))</f>
        <v>170.40548253492807</v>
      </c>
      <c r="N19" s="24">
        <f>(IF(A18&gt;=(Title_RESULTS!$H$7+Title_RESULTS!$C$17),0,(+$M19/((1+Title_RESULTS!$C$37)^('Sheet9(F_25)'!$A19-Title_RESULTS!$H$7))+N18)))</f>
        <v>-1029.1258444545467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619.8538357416439</v>
      </c>
      <c r="F20">
        <f>IF(A20&gt;=(Title_RESULTS!$H$7+Title_RESULTS!$C$17),0,(+'f-11B'!$R19))</f>
        <v>0</v>
      </c>
      <c r="G20" s="5">
        <f>IF(A20&gt;=(Title_RESULTS!$H$7+Title_RESULTS!$C$17),0,(SUM(B20:F20)))</f>
        <v>619.8538357416439</v>
      </c>
      <c r="H20" s="5">
        <f>IF(A20&gt;=(Title_RESULTS!$H$7+Title_RESULTS!$C$17),0,(+'Sheet3(F_21)'!$J20+'Sheet4(F_22)'!$H20))</f>
        <v>736.7254289222005</v>
      </c>
      <c r="I20" s="5">
        <f>IF(A20&gt;=(Title_RESULTS!$H$7+Title_RESULTS!$C$17),0,(+'Sheet4(F_22)'!$D20+'Sheet4(F_22)'!$G20))</f>
        <v>74.44734181102932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811.1727707332299</v>
      </c>
      <c r="M20" s="23">
        <f>IF(A20&gt;=(Title_RESULTS!$H$7+Title_RESULTS!$C$17),0,(+L20-G20))</f>
        <v>191.31893499158593</v>
      </c>
      <c r="N20" s="24">
        <f>(IF(A19&gt;=(Title_RESULTS!$H$7+Title_RESULTS!$C$17),0,(+$M20/((1+Title_RESULTS!$C$37)^('Sheet9(F_25)'!$A20-Title_RESULTS!$H$7))+N19)))</f>
        <v>-883.605235117883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626.0523740990602</v>
      </c>
      <c r="F21">
        <f>IF(A21&gt;=(Title_RESULTS!$H$7+Title_RESULTS!$C$17),0,(+'f-11B'!$R20))</f>
        <v>0</v>
      </c>
      <c r="G21" s="5">
        <f>IF(A21&gt;=(Title_RESULTS!$H$7+Title_RESULTS!$C$17),0,(SUM(B21:F21)))</f>
        <v>626.0523740990602</v>
      </c>
      <c r="H21" s="5">
        <f>IF(A21&gt;=(Title_RESULTS!$H$7+Title_RESULTS!$C$17),0,(+'Sheet3(F_21)'!$J21+'Sheet4(F_22)'!$H21))</f>
        <v>781.2662812086473</v>
      </c>
      <c r="I21" s="5">
        <f>IF(A21&gt;=(Title_RESULTS!$H$7+Title_RESULTS!$C$17),0,(+'Sheet4(F_22)'!$D21+'Sheet4(F_22)'!$G21))</f>
        <v>76.23407801449402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857.5003592231413</v>
      </c>
      <c r="M21" s="23">
        <f>IF(A21&gt;=(Title_RESULTS!$H$7+Title_RESULTS!$C$17),0,(+L21-G21))</f>
        <v>231.44798512408113</v>
      </c>
      <c r="N21" s="24">
        <f>(IF(A20&gt;=(Title_RESULTS!$H$7+Title_RESULTS!$C$17),0,(+$M21/((1+Title_RESULTS!$C$37)^('Sheet9(F_25)'!$A21-Title_RESULTS!$H$7))+N20)))</f>
        <v>-719.2015334377384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632.3128978400509</v>
      </c>
      <c r="F22">
        <f>IF(A22&gt;=(Title_RESULTS!$H$7+Title_RESULTS!$C$17),0,(+'f-11B'!$R21))</f>
        <v>0</v>
      </c>
      <c r="G22" s="5">
        <f>IF(A22&gt;=(Title_RESULTS!$H$7+Title_RESULTS!$C$17),0,(SUM(B22:F22)))</f>
        <v>632.3128978400509</v>
      </c>
      <c r="H22" s="5">
        <f>IF(A22&gt;=(Title_RESULTS!$H$7+Title_RESULTS!$C$17),0,(+'Sheet3(F_21)'!$J22+'Sheet4(F_22)'!$H22))</f>
        <v>806.0741791765519</v>
      </c>
      <c r="I22" s="5">
        <f>IF(A22&gt;=(Title_RESULTS!$H$7+Title_RESULTS!$C$17),0,(+'Sheet4(F_22)'!$D22+'Sheet4(F_22)'!$G22))</f>
        <v>78.06369588684187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884.1378750633937</v>
      </c>
      <c r="M22" s="23">
        <f>IF(A22&gt;=(Title_RESULTS!$H$7+Title_RESULTS!$C$17),0,(+L22-G22))</f>
        <v>251.82497722334278</v>
      </c>
      <c r="N22" s="24">
        <f>(IF(A21&gt;=(Title_RESULTS!$H$7+Title_RESULTS!$C$17),0,(+$M22/((1+Title_RESULTS!$C$37)^('Sheet9(F_25)'!$A22-Title_RESULTS!$H$7))+N21)))</f>
        <v>-552.1507071069593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638.6360268184512</v>
      </c>
      <c r="F23">
        <f>IF(A23&gt;=(Title_RESULTS!$H$7+Title_RESULTS!$C$17),0,(+'f-11B'!$R22))</f>
        <v>0</v>
      </c>
      <c r="G23" s="5">
        <f>IF(A23&gt;=(Title_RESULTS!$H$7+Title_RESULTS!$C$17),0,(SUM(B23:F23)))</f>
        <v>638.6360268184512</v>
      </c>
      <c r="H23" s="5">
        <f>IF(A23&gt;=(Title_RESULTS!$H$7+Title_RESULTS!$C$17),0,(+'Sheet3(F_21)'!$J23+'Sheet4(F_22)'!$H23))</f>
        <v>848.3251559057071</v>
      </c>
      <c r="I23" s="5">
        <f>IF(A23&gt;=(Title_RESULTS!$H$7+Title_RESULTS!$C$17),0,(+'Sheet4(F_22)'!$D23+'Sheet4(F_22)'!$G23))</f>
        <v>79.93722458812609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928.2623804938332</v>
      </c>
      <c r="M23" s="23">
        <f>IF(A23&gt;=(Title_RESULTS!$H$7+Title_RESULTS!$C$17),0,(+L23-G23))</f>
        <v>289.626353675382</v>
      </c>
      <c r="N23" s="24">
        <f>(IF(A22&gt;=(Title_RESULTS!$H$7+Title_RESULTS!$C$17),0,(+$M23/((1+Title_RESULTS!$C$37)^('Sheet9(F_25)'!$A23-Title_RESULTS!$H$7))+N22)))</f>
        <v>-372.7271183387779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645.022387086636</v>
      </c>
      <c r="F24">
        <f>IF(A24&gt;=(Title_RESULTS!$H$7+Title_RESULTS!$C$17),0,(+'f-11B'!$R23))</f>
        <v>0</v>
      </c>
      <c r="G24" s="5">
        <f>IF(A24&gt;=(Title_RESULTS!$H$7+Title_RESULTS!$C$17),0,(SUM(B24:F24)))</f>
        <v>645.022387086636</v>
      </c>
      <c r="H24" s="5">
        <f>IF(A24&gt;=(Title_RESULTS!$H$7+Title_RESULTS!$C$17),0,(+'Sheet3(F_21)'!$J24+'Sheet4(F_22)'!$H24))</f>
        <v>918.4850981836994</v>
      </c>
      <c r="I24" s="5">
        <f>IF(A24&gt;=(Title_RESULTS!$H$7+Title_RESULTS!$C$17),0,(+'Sheet4(F_22)'!$D24+'Sheet4(F_22)'!$G24))</f>
        <v>81.85571797824109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1000.3408161619404</v>
      </c>
      <c r="M24" s="23">
        <f>IF(A24&gt;=(Title_RESULTS!$H$7+Title_RESULTS!$C$17),0,(+L24-G24))</f>
        <v>355.3184290753045</v>
      </c>
      <c r="N24" s="24">
        <f>(IF(A23&gt;=(Title_RESULTS!$H$7+Title_RESULTS!$C$17),0,(+$M24/((1+Title_RESULTS!$C$37)^('Sheet9(F_25)'!$A24-Title_RESULTS!$H$7))+N23)))</f>
        <v>-167.161332298258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651.4726109575024</v>
      </c>
      <c r="F25">
        <f>IF(A25&gt;=(Title_RESULTS!$H$7+Title_RESULTS!$C$17),0,(+'f-11B'!$R24))</f>
        <v>0</v>
      </c>
      <c r="G25" s="5">
        <f>IF(A25&gt;=(Title_RESULTS!$H$7+Title_RESULTS!$C$17),0,(SUM(B25:F25)))</f>
        <v>651.4726109575024</v>
      </c>
      <c r="H25" s="5">
        <f>IF(A25&gt;=(Title_RESULTS!$H$7+Title_RESULTS!$C$17),0,(+'Sheet3(F_21)'!$J25+'Sheet4(F_22)'!$H25))</f>
        <v>973.4974547390639</v>
      </c>
      <c r="I25" s="5">
        <f>IF(A25&gt;=(Title_RESULTS!$H$7+Title_RESULTS!$C$17),0,(+'Sheet4(F_22)'!$D25+'Sheet4(F_22)'!$G25))</f>
        <v>83.82025520971888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1057.3177099487827</v>
      </c>
      <c r="M25" s="23">
        <f>IF(A25&gt;=(Title_RESULTS!$H$7+Title_RESULTS!$C$17),0,(+L25-G25))</f>
        <v>405.84509899128034</v>
      </c>
      <c r="N25" s="24">
        <f>(IF(A24&gt;=(Title_RESULTS!$H$7+Title_RESULTS!$C$17),0,(+$M25/((1+Title_RESULTS!$C$37)^('Sheet9(F_25)'!$A25-Title_RESULTS!$H$7))+N24)))</f>
        <v>52.11160946659237</v>
      </c>
    </row>
    <row r="26" ht="12.75">
      <c r="E26" s="5"/>
    </row>
    <row r="27" spans="1:13" ht="12.75">
      <c r="A27" t="s">
        <v>87</v>
      </c>
      <c r="B27" s="5">
        <f aca="true" t="shared" si="1" ref="B27:M27">SUM(B16:B26)</f>
        <v>0</v>
      </c>
      <c r="C27" s="5">
        <f t="shared" si="1"/>
        <v>537.7008000000001</v>
      </c>
      <c r="D27" s="5">
        <f t="shared" si="1"/>
        <v>659.6684288115355</v>
      </c>
      <c r="E27" s="5">
        <f t="shared" si="1"/>
        <v>5333.523595413527</v>
      </c>
      <c r="F27" s="5">
        <f t="shared" si="1"/>
        <v>0</v>
      </c>
      <c r="G27" s="5">
        <f t="shared" si="1"/>
        <v>6530.892824225062</v>
      </c>
      <c r="H27" s="5">
        <f t="shared" si="1"/>
        <v>6489.205759311592</v>
      </c>
      <c r="I27" s="5">
        <f t="shared" si="1"/>
        <v>687.3938035844067</v>
      </c>
      <c r="J27" s="5">
        <f t="shared" si="1"/>
        <v>0</v>
      </c>
      <c r="K27" s="9">
        <f t="shared" si="1"/>
        <v>0</v>
      </c>
      <c r="L27" s="5">
        <f t="shared" si="1"/>
        <v>7176.599562896</v>
      </c>
      <c r="M27" s="5">
        <f t="shared" si="1"/>
        <v>645.7067386709368</v>
      </c>
    </row>
    <row r="29" spans="1:13" ht="12.75">
      <c r="A29" t="s">
        <v>118</v>
      </c>
      <c r="B29" s="5">
        <f>NPV(Title_RESULTS!$C$37,'Sheet9(F_25)'!B17:B26)+'Sheet9(F_25)'!B16</f>
        <v>0</v>
      </c>
      <c r="C29" s="5">
        <f>NPV(Title_RESULTS!$C$37,'Sheet9(F_25)'!C17:C26)+'Sheet9(F_25)'!C16</f>
        <v>502.3888206918773</v>
      </c>
      <c r="D29" s="5">
        <f>NPV(Title_RESULTS!$C$37,'Sheet9(F_25)'!D17:D26)+'Sheet9(F_25)'!D16</f>
        <v>617.0132402828953</v>
      </c>
      <c r="E29" s="5">
        <f>NPV(Title_RESULTS!$C$37,'Sheet9(F_25)'!E17:E26)+'Sheet9(F_25)'!E16</f>
        <v>3778.0878521044433</v>
      </c>
      <c r="F29" s="5">
        <f>NPV(Title_RESULTS!$C$37,'Sheet9(F_25)'!F17:F26)+'Sheet9(F_25)'!F16</f>
        <v>0</v>
      </c>
      <c r="G29" s="5">
        <f>NPV(Title_RESULTS!$C$37,'Sheet9(F_25)'!G17:G26)+'Sheet9(F_25)'!G16</f>
        <v>4897.4899130792155</v>
      </c>
      <c r="H29" s="5">
        <f>NPV(Title_RESULTS!$C$37,'Sheet9(F_25)'!H17:H26)+'Sheet9(F_25)'!H16</f>
        <v>4458.990741884921</v>
      </c>
      <c r="I29" s="5">
        <f>NPV(Title_RESULTS!$C$37,'Sheet9(F_25)'!I17:I26)+'Sheet9(F_25)'!I16</f>
        <v>490.61078066088794</v>
      </c>
      <c r="J29" s="5">
        <f>NPV(Title_RESULTS!$C$37,'Sheet9(F_25)'!J17:J26)+'Sheet9(F_25)'!J16</f>
        <v>0</v>
      </c>
      <c r="K29" s="9">
        <f>NPV(Title_RESULTS!$C$37,'Sheet9(F_25)'!K17:K26)+'Sheet9(F_25)'!K16</f>
        <v>0</v>
      </c>
      <c r="L29" s="5">
        <f>NPV(Title_RESULTS!$C$37,'Sheet9(F_25)'!L17:L26)+'Sheet9(F_25)'!L16</f>
        <v>4949.601522545808</v>
      </c>
      <c r="M29" s="5">
        <f>NPV(Title_RESULTS!$C$37,'Sheet9(F_25)'!M17:M26)+'Sheet9(F_25)'!M16</f>
        <v>52.11160946659243</v>
      </c>
    </row>
    <row r="31" spans="1:10" ht="12.75">
      <c r="A31" t="s">
        <v>175</v>
      </c>
      <c r="D31">
        <f>+Title_RESULTS!C37</f>
        <v>0.0708</v>
      </c>
      <c r="F31" t="s">
        <v>183</v>
      </c>
      <c r="J31" s="10">
        <f>+L29/G29</f>
        <v>1.0106404730569067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1659.054093352192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96.7774208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220.1453568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9.563767655520985</v>
      </c>
      <c r="P24" s="48">
        <f aca="true" t="shared" si="4" ref="P24:P61">N24*$L$5</f>
        <v>21.755271275807413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9.793298079253487</v>
      </c>
      <c r="P25" s="48">
        <f t="shared" si="4"/>
        <v>22.27739778642679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228.27035143332705</v>
      </c>
      <c r="E26" s="11">
        <f>IF(B26=Title_RESULTS!$H$8,$F$16,+E25*(1+$F$7))</f>
        <v>0.09882230355451863</v>
      </c>
      <c r="F26" s="9">
        <f t="shared" si="1"/>
        <v>163.951547226617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13.315669419910412</v>
      </c>
      <c r="L26" s="5">
        <f t="shared" si="3"/>
        <v>30.28994543608489</v>
      </c>
      <c r="N26" s="11">
        <f>IF(+B26=Title_RESULTS!$H$9,'Value of Defferal'!$O$16,+'Value of Defferal'!N25*(1+'Value of Defferal'!$F$7))</f>
        <v>0.10362269577198292</v>
      </c>
      <c r="O26" s="5">
        <f t="shared" si="7"/>
        <v>10.028337233155572</v>
      </c>
      <c r="P26" s="48">
        <f t="shared" si="4"/>
        <v>22.812055333301032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221.52955440799536</v>
      </c>
      <c r="E27" s="11">
        <f>IF(B27=Title_RESULTS!$H$8,$F$16,+E26*(1+$F$7))</f>
        <v>0.10119403883982707</v>
      </c>
      <c r="F27" s="9">
        <f t="shared" si="1"/>
        <v>167.8863843600558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12.92245924499092</v>
      </c>
      <c r="L27" s="5">
        <f t="shared" si="3"/>
        <v>29.39548685742599</v>
      </c>
      <c r="N27" s="11">
        <f>IF(+B27=Title_RESULTS!$H$9,'Value of Defferal'!$O$16,+'Value of Defferal'!N26*(1+'Value of Defferal'!$F$7))</f>
        <v>0.10610964047051051</v>
      </c>
      <c r="O27" s="5">
        <f t="shared" si="7"/>
        <v>10.269017326751305</v>
      </c>
      <c r="P27" s="48">
        <f t="shared" si="4"/>
        <v>23.359544661300255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214.08776365327086</v>
      </c>
      <c r="E28" s="11">
        <f>IF(B28=Title_RESULTS!$H$8,$F$16,+E27*(1+$F$7))</f>
        <v>0.10362269577198292</v>
      </c>
      <c r="F28" s="9">
        <f t="shared" si="1"/>
        <v>171.91565758469716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12.48835807959713</v>
      </c>
      <c r="L28" s="5">
        <f t="shared" si="3"/>
        <v>28.40801110995379</v>
      </c>
      <c r="N28" s="11">
        <f>IF(+B28=Title_RESULTS!$H$9,'Value of Defferal'!$O$16,+'Value of Defferal'!N27*(1+'Value of Defferal'!$F$7))</f>
        <v>0.10865627184180277</v>
      </c>
      <c r="O28" s="5">
        <f t="shared" si="7"/>
        <v>10.515473742593338</v>
      </c>
      <c r="P28" s="48">
        <f t="shared" si="4"/>
        <v>23.920173733171463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207.00239365391369</v>
      </c>
      <c r="E29" s="11">
        <f>IF(B29=Title_RESULTS!$H$8,$F$16,+E28*(1+$F$7))</f>
        <v>0.10610964047051051</v>
      </c>
      <c r="F29" s="9">
        <f t="shared" si="1"/>
        <v>176.04163336672988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12.075047967106471</v>
      </c>
      <c r="L29" s="5">
        <f t="shared" si="3"/>
        <v>27.467830007469768</v>
      </c>
      <c r="N29" s="11">
        <f>IF(+B29=Title_RESULTS!$H$9,'Value of Defferal'!$O$16,+'Value of Defferal'!N28*(1+'Value of Defferal'!$F$7))</f>
        <v>0.11126402236600604</v>
      </c>
      <c r="O29" s="5">
        <f t="shared" si="7"/>
        <v>10.767845112415579</v>
      </c>
      <c r="P29" s="48">
        <f t="shared" si="4"/>
        <v>24.49425790276758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200.2377036028759</v>
      </c>
      <c r="E30" s="11">
        <f>IF(B30=Title_RESULTS!$H$8,$F$16,+E29*(1+$F$7))</f>
        <v>0.10865627184180277</v>
      </c>
      <c r="F30" s="9">
        <f t="shared" si="1"/>
        <v>180.2666325675314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11.680444042934193</v>
      </c>
      <c r="L30" s="5">
        <f t="shared" si="3"/>
        <v>26.5702009844654</v>
      </c>
      <c r="N30" s="11">
        <f>IF(+B30=Title_RESULTS!$H$9,'Value of Defferal'!$O$16,+'Value of Defferal'!N29*(1+'Value of Defferal'!$F$7))</f>
        <v>0.11393435890279018</v>
      </c>
      <c r="O30" s="5">
        <f t="shared" si="7"/>
        <v>11.02627339511355</v>
      </c>
      <c r="P30" s="48">
        <f t="shared" si="4"/>
        <v>25.082120092434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193.7619019535569</v>
      </c>
      <c r="E31" s="11">
        <f>IF(B31=Title_RESULTS!$H$8,$F$16,+E30*(1+$F$7))</f>
        <v>0.11126402236600604</v>
      </c>
      <c r="F31" s="9">
        <f t="shared" si="1"/>
        <v>184.59303174915215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11.302691814272869</v>
      </c>
      <c r="L31" s="5">
        <f t="shared" si="3"/>
        <v>25.710905515819864</v>
      </c>
      <c r="N31" s="11">
        <f>IF(+B31=Title_RESULTS!$H$9,'Value of Defferal'!$O$16,+'Value of Defferal'!N30*(1+'Value of Defferal'!$F$7))</f>
        <v>0.11666878351645714</v>
      </c>
      <c r="O31" s="5">
        <f t="shared" si="7"/>
        <v>11.290903956596276</v>
      </c>
      <c r="P31" s="48">
        <f t="shared" si="4"/>
        <v>25.684090974652417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187.4877100500717</v>
      </c>
      <c r="E32" s="11">
        <f>IF(B32=Title_RESULTS!$H$8,$F$16,+E31*(1+$F$7))</f>
        <v>0.11393435890279018</v>
      </c>
      <c r="F32" s="9">
        <f t="shared" si="1"/>
        <v>189.0232645111318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10.936700064843732</v>
      </c>
      <c r="L32" s="5">
        <f t="shared" si="3"/>
        <v>24.878362308965425</v>
      </c>
      <c r="N32" s="11">
        <f>IF(+B32=Title_RESULTS!$H$9,'Value of Defferal'!$O$16,+'Value of Defferal'!N31*(1+'Value of Defferal'!$F$7))</f>
        <v>0.11946883432085212</v>
      </c>
      <c r="O32" s="5">
        <f t="shared" si="7"/>
        <v>11.561885651554588</v>
      </c>
      <c r="P32" s="48">
        <f t="shared" si="4"/>
        <v>26.300509158044076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181.27808855489963</v>
      </c>
      <c r="E33" s="11">
        <f>IF(B33=Title_RESULTS!$H$8,$F$16,+E32*(1+$F$7))</f>
        <v>0.11666878351645714</v>
      </c>
      <c r="F33" s="9">
        <f t="shared" si="1"/>
        <v>193.55982285939896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10.574474893973779</v>
      </c>
      <c r="L33" s="5">
        <f t="shared" si="3"/>
        <v>24.05438716244957</v>
      </c>
      <c r="N33" s="11">
        <f>IF(+B33=Title_RESULTS!$H$9,'Value of Defferal'!$O$16,+'Value of Defferal'!N32*(1+'Value of Defferal'!$F$7))</f>
        <v>0.12233608634455258</v>
      </c>
      <c r="O33" s="5">
        <f t="shared" si="7"/>
        <v>11.839370907191899</v>
      </c>
      <c r="P33" s="48">
        <f t="shared" si="4"/>
        <v>26.931721377837135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175.0684670597275</v>
      </c>
      <c r="E34" s="11">
        <f>IF(B34=Title_RESULTS!$H$8,$F$16,+E33*(1+$F$7))</f>
        <v>0.11946883432085212</v>
      </c>
      <c r="F34" s="9">
        <f t="shared" si="1"/>
        <v>198.20525860802456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10.212249723103824</v>
      </c>
      <c r="L34" s="5">
        <f t="shared" si="3"/>
        <v>23.230412015933705</v>
      </c>
      <c r="N34" s="11">
        <f>IF(+B34=Title_RESULTS!$H$9,'Value of Defferal'!$O$16,+'Value of Defferal'!N33*(1+'Value of Defferal'!$F$7))</f>
        <v>0.12527215241682185</v>
      </c>
      <c r="O34" s="5">
        <f t="shared" si="7"/>
        <v>12.123515808964505</v>
      </c>
      <c r="P34" s="48">
        <f t="shared" si="4"/>
        <v>27.57808269090523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168.85884556455542</v>
      </c>
      <c r="E35" s="11">
        <f>IF(B35=Title_RESULTS!$H$8,$F$16,+E34*(1+$F$7))</f>
        <v>0.12233608634455258</v>
      </c>
      <c r="F35" s="9">
        <f t="shared" si="1"/>
        <v>202.96218481461716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9.850024552233869</v>
      </c>
      <c r="L35" s="5">
        <f t="shared" si="3"/>
        <v>22.406436869417846</v>
      </c>
      <c r="N35" s="11">
        <f>IF(+B35=Title_RESULTS!$H$9,'Value of Defferal'!$O$16,+'Value of Defferal'!N34*(1+'Value of Defferal'!$F$7))</f>
        <v>0.12827868407482557</v>
      </c>
      <c r="O35" s="5">
        <f t="shared" si="7"/>
        <v>12.414480188379653</v>
      </c>
      <c r="P35" s="48">
        <f t="shared" si="4"/>
        <v>28.23995667548695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162.64922406938334</v>
      </c>
      <c r="E36" s="11">
        <f>IF(B36=Title_RESULTS!$H$8,$F$16,+E35*(1+$F$7))</f>
        <v>0.12527215241682185</v>
      </c>
      <c r="F36" s="9">
        <f t="shared" si="1"/>
        <v>207.83327725016798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9.487799381363917</v>
      </c>
      <c r="L36" s="5">
        <f t="shared" si="3"/>
        <v>21.58246172290199</v>
      </c>
      <c r="N36" s="11">
        <f>IF(+B36=Title_RESULTS!$H$9,'Value of Defferal'!$O$16,+'Value of Defferal'!N35*(1+'Value of Defferal'!$F$7))</f>
        <v>0.1313573724926214</v>
      </c>
      <c r="O36" s="5">
        <f t="shared" si="7"/>
        <v>12.712427712900766</v>
      </c>
      <c r="P36" s="48">
        <f t="shared" si="4"/>
        <v>28.91771563569864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156.43960257421122</v>
      </c>
      <c r="E37" s="11">
        <f>IF(B37&gt;Title_RESULTS!$H$8-1+Title_RESULTS!$C$18,0,+E36*(1+$F$7))</f>
        <v>0.12827868407482557</v>
      </c>
      <c r="F37" s="9">
        <f t="shared" si="1"/>
        <v>212.821275904172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9.12557421049396</v>
      </c>
      <c r="L37" s="5">
        <f t="shared" si="3"/>
        <v>20.758486576386126</v>
      </c>
      <c r="N37" s="11">
        <f>IF(+B37=Title_RESULTS!$H$9,'Value of Defferal'!$O$16,+'Value of Defferal'!N36*(1+'Value of Defferal'!$F$7))</f>
        <v>0.1345099494324443</v>
      </c>
      <c r="O37" s="5">
        <f t="shared" si="7"/>
        <v>13.017525978010383</v>
      </c>
      <c r="P37" s="48">
        <f t="shared" si="4"/>
        <v>29.611740810955407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150.2299810790391</v>
      </c>
      <c r="E38" s="11">
        <f>IF(B38&gt;Title_RESULTS!$H$8-1+Title_RESULTS!$C$18,0,+E37*(1+$F$7))</f>
        <v>0.1313573724926214</v>
      </c>
      <c r="F38" s="9">
        <f t="shared" si="1"/>
        <v>217.92898652587215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8.763349039624005</v>
      </c>
      <c r="L38" s="5">
        <f t="shared" si="3"/>
        <v>19.93451142987026</v>
      </c>
      <c r="N38" s="11">
        <f>IF(+B38=Title_RESULTS!$H$9,'Value of Defferal'!$O$16,+'Value of Defferal'!N37*(1+'Value of Defferal'!$F$7))</f>
        <v>0.13773818821882297</v>
      </c>
      <c r="O38" s="5">
        <f t="shared" si="7"/>
        <v>13.329946601482634</v>
      </c>
      <c r="P38" s="48">
        <f t="shared" si="4"/>
        <v>30.32242259041834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144.020359583867</v>
      </c>
      <c r="E39" s="11">
        <f>IF(B39&gt;Title_RESULTS!$H$8-1+Title_RESULTS!$C$18,0,+E38*(1+$F$7))</f>
        <v>0.1345099494324443</v>
      </c>
      <c r="F39" s="9">
        <f t="shared" si="1"/>
        <v>223.15928220249307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8.401123868754048</v>
      </c>
      <c r="L39" s="5">
        <f t="shared" si="3"/>
        <v>19.110536283354396</v>
      </c>
      <c r="N39" s="11">
        <f>IF(+B39&gt;Title_RESULTS!$H$9+Title_RESULTS!$C$19-1,0,+'Value of Defferal'!N38*(1+'Value of Defferal'!$F$7))</f>
        <v>0.14104390473607473</v>
      </c>
      <c r="O39" s="5">
        <f t="shared" si="7"/>
        <v>13.649865319918216</v>
      </c>
      <c r="P39" s="48">
        <f t="shared" si="4"/>
        <v>31.05016073258838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137.81073808869493</v>
      </c>
      <c r="E40" s="11">
        <f>IF(B40&gt;Title_RESULTS!$H$8-1+Title_RESULTS!$C$18,0,+E39*(1+$F$7))</f>
        <v>0.13773818821882297</v>
      </c>
      <c r="F40" s="9">
        <f t="shared" si="1"/>
        <v>228.51510497535293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8.038898697884097</v>
      </c>
      <c r="L40" s="5">
        <f t="shared" si="3"/>
        <v>18.286561136838543</v>
      </c>
      <c r="N40" s="11">
        <f>IF(+B40&gt;Title_RESULTS!$H$9+Title_RESULTS!$C$19-1,0,+'Value of Defferal'!N39*(1+'Value of Defferal'!$F$7))</f>
        <v>0.14442895844974052</v>
      </c>
      <c r="O40" s="5">
        <f t="shared" si="7"/>
        <v>13.977462087596255</v>
      </c>
      <c r="P40" s="48">
        <f t="shared" si="4"/>
        <v>31.7953645901705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132.1842248985642</v>
      </c>
      <c r="E41" s="11">
        <f>IF(B41&gt;Title_RESULTS!$H$8-1+Title_RESULTS!$C$18,0,+E40*(1+$F$7))</f>
        <v>0.14104390473607473</v>
      </c>
      <c r="F41" s="9">
        <f t="shared" si="1"/>
        <v>233.9994674947614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7.710687919935436</v>
      </c>
      <c r="L41" s="5">
        <f t="shared" si="3"/>
        <v>17.539960553563713</v>
      </c>
      <c r="N41" s="11">
        <f>IF(+B41&gt;Title_RESULTS!$H$9+Title_RESULTS!$C$19-1,0,+'Value of Defferal'!N40*(1+'Value of Defferal'!$F$7))</f>
        <v>0.1478952534525343</v>
      </c>
      <c r="O41" s="5">
        <f t="shared" si="7"/>
        <v>14.312921177698565</v>
      </c>
      <c r="P41" s="48">
        <f t="shared" si="4"/>
        <v>32.558453340334594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127.72373085549387</v>
      </c>
      <c r="E42" s="11">
        <f>IF(B42&gt;Title_RESULTS!$H$8-1+Title_RESULTS!$C$18,0,+E41*(1+$F$7))</f>
        <v>0.14442895844974052</v>
      </c>
      <c r="F42" s="9">
        <f t="shared" si="1"/>
        <v>239.61545471463566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7.450494409240501</v>
      </c>
      <c r="L42" s="5">
        <f t="shared" si="3"/>
        <v>16.948082894751575</v>
      </c>
      <c r="N42" s="11">
        <f>IF(+B42&gt;Title_RESULTS!$H$9+Title_RESULTS!$C$19-1,0,+'Value of Defferal'!N41*(1+'Value of Defferal'!$F$7))</f>
        <v>0.1514447395353951</v>
      </c>
      <c r="O42" s="5">
        <f t="shared" si="7"/>
        <v>14.656431285963329</v>
      </c>
      <c r="P42" s="48">
        <f t="shared" si="4"/>
        <v>33.339856220502625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123.84614765444258</v>
      </c>
      <c r="E43" s="11">
        <f>IF(B43&gt;Title_RESULTS!$H$8-1+Title_RESULTS!$C$18,0,+E42*(1+$F$7))</f>
        <v>0.1478952534525343</v>
      </c>
      <c r="F43" s="9">
        <f t="shared" si="1"/>
        <v>245.36622562778692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7.224303772877995</v>
      </c>
      <c r="L43" s="5">
        <f t="shared" si="3"/>
        <v>16.43355359716109</v>
      </c>
      <c r="N43" s="11">
        <f>IF(+B43&gt;Title_RESULTS!$H$9+Title_RESULTS!$C$19-1,0,+'Value of Defferal'!N42*(1+'Value of Defferal'!$F$7))</f>
        <v>0.1550794132842446</v>
      </c>
      <c r="O43" s="5">
        <f t="shared" si="7"/>
        <v>15.00818563682645</v>
      </c>
      <c r="P43" s="48">
        <f t="shared" si="4"/>
        <v>34.14001276979469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119.9685644533913</v>
      </c>
      <c r="E44" s="11">
        <f>IF(B44&gt;Title_RESULTS!$H$8-1+Title_RESULTS!$C$18,0,+E43*(1+$F$7))</f>
        <v>0.1514447395353951</v>
      </c>
      <c r="F44" s="9">
        <f t="shared" si="1"/>
        <v>251.2550150428538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6.9981131365154905</v>
      </c>
      <c r="L44" s="5">
        <f t="shared" si="3"/>
        <v>15.919024299570607</v>
      </c>
      <c r="N44" s="11">
        <f>IF(+B44&gt;Title_RESULTS!$H$9+Title_RESULTS!$C$19-1,0,+'Value of Defferal'!N43*(1+'Value of Defferal'!$F$7))</f>
        <v>0.15880131920306648</v>
      </c>
      <c r="O44" s="5">
        <f t="shared" si="7"/>
        <v>15.368382092110286</v>
      </c>
      <c r="P44" s="48">
        <f t="shared" si="4"/>
        <v>34.95937307626976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116.09098125233996</v>
      </c>
      <c r="E45" s="11">
        <f>IF(B45&gt;Title_RESULTS!$H$8-1+Title_RESULTS!$C$18,0,+E44*(1+$F$7))</f>
        <v>0.1550794132842446</v>
      </c>
      <c r="F45" s="9">
        <f t="shared" si="1"/>
        <v>257.2851354038823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6.771922500152982</v>
      </c>
      <c r="L45" s="5">
        <f t="shared" si="3"/>
        <v>15.404495001980115</v>
      </c>
      <c r="N45" s="11">
        <f>IF(+B45&gt;Title_RESULTS!$H$9+Title_RESULTS!$C$19-1,0,+'Value of Defferal'!N44*(1+'Value of Defferal'!$F$7))</f>
        <v>0.16261255086394008</v>
      </c>
      <c r="O45" s="5">
        <f t="shared" si="7"/>
        <v>15.737223262320933</v>
      </c>
      <c r="P45" s="48">
        <f t="shared" si="4"/>
        <v>35.79839803010024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112.21339805128866</v>
      </c>
      <c r="E46" s="11">
        <f>IF(B46&gt;Title_RESULTS!$H$8-1+Title_RESULTS!$C$18,0,+E45*(1+$F$7))</f>
        <v>0.15880131920306648</v>
      </c>
      <c r="F46" s="9">
        <f t="shared" si="1"/>
        <v>263.4599786535755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6.5457318637904764</v>
      </c>
      <c r="L46" s="5">
        <f t="shared" si="3"/>
        <v>14.889965704389628</v>
      </c>
      <c r="N46" s="11">
        <f>IF(+B46&gt;Title_RESULTS!$H$9+Title_RESULTS!$C$19-1,0,+'Value of Defferal'!N45*(1+'Value of Defferal'!$F$7))</f>
        <v>0.16651525208467466</v>
      </c>
      <c r="O46" s="5">
        <f t="shared" si="7"/>
        <v>16.114916620616636</v>
      </c>
      <c r="P46" s="48">
        <f t="shared" si="4"/>
        <v>36.65755958282265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108.33581485023738</v>
      </c>
      <c r="E47" s="11">
        <f>IF(B47&gt;Title_RESULTS!$H$8-1+Title_RESULTS!$C$18,0,+E46*(1+$F$7))</f>
        <v>0.16261255086394008</v>
      </c>
      <c r="F47" s="9">
        <f t="shared" si="1"/>
        <v>269.7830181412613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6.319541227427972</v>
      </c>
      <c r="L47" s="5">
        <f t="shared" si="3"/>
        <v>14.375436406799144</v>
      </c>
      <c r="N47" s="11">
        <f>IF(+B47&gt;Title_RESULTS!$H$9+Title_RESULTS!$C$19-1,0,+'Value of Defferal'!N46*(1+'Value of Defferal'!$F$7))</f>
        <v>0.17051161813470686</v>
      </c>
      <c r="O47" s="5">
        <f t="shared" si="7"/>
        <v>16.501674619511437</v>
      </c>
      <c r="P47" s="48">
        <f t="shared" si="4"/>
        <v>37.537341012810394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104.45823164918609</v>
      </c>
      <c r="E48" s="11">
        <f>IF(B48&gt;Title_RESULTS!$H$8-1+Title_RESULTS!$C$18,0,+E47*(1+$F$7))</f>
        <v>0.16651525208467466</v>
      </c>
      <c r="F48" s="9">
        <f t="shared" si="1"/>
        <v>276.2578105766516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6.093350591065466</v>
      </c>
      <c r="L48" s="5">
        <f t="shared" si="3"/>
        <v>13.860907109208659</v>
      </c>
      <c r="N48" s="11">
        <f>IF(+B48&gt;Title_RESULTS!$H$9+Title_RESULTS!$C$19-1,0,+'Value of Defferal'!N47*(1+'Value of Defferal'!$F$7))</f>
        <v>0.17460389696993983</v>
      </c>
      <c r="O48" s="5">
        <f t="shared" si="7"/>
        <v>16.89771481037971</v>
      </c>
      <c r="P48" s="48">
        <f t="shared" si="4"/>
        <v>38.43823719711784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100.58064844813475</v>
      </c>
      <c r="E49" s="11">
        <f>IF(B49&gt;Title_RESULTS!$H$8-1+Title_RESULTS!$C$18,0,+E48*(1+$F$7))</f>
        <v>0.17051161813470686</v>
      </c>
      <c r="F49" s="9">
        <f t="shared" si="1"/>
        <v>282.88799803049125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5.8671599547029585</v>
      </c>
      <c r="L49" s="5">
        <f t="shared" si="3"/>
        <v>13.346377811618169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96.70306524708346</v>
      </c>
      <c r="E50" s="11">
        <f>IF(B50&gt;Title_RESULTS!$H$8-1+Title_RESULTS!$C$18,0,+E49*(1+$F$7))</f>
        <v>0.17460389696993983</v>
      </c>
      <c r="F50" s="9">
        <f t="shared" si="1"/>
        <v>289.6773099832231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5.640969318340453</v>
      </c>
      <c r="L50" s="5">
        <f t="shared" si="3"/>
        <v>12.831848514027682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92.82548204603218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5.414778681977947</v>
      </c>
      <c r="L51" s="5">
        <f t="shared" si="3"/>
        <v>12.317319216437198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3963.6629747355837</v>
      </c>
      <c r="F63" s="9">
        <f>SUM(F23:F61)</f>
        <v>5528.250758175137</v>
      </c>
      <c r="J63" t="s">
        <v>87</v>
      </c>
      <c r="K63" s="9">
        <f>SUM(K23:K61)</f>
        <v>231.21191837711487</v>
      </c>
      <c r="O63" s="9">
        <f>SUM(O23:O61)</f>
        <v>322.4788462628263</v>
      </c>
    </row>
    <row r="64" spans="3:15" ht="12.75">
      <c r="C64" t="s">
        <v>89</v>
      </c>
      <c r="D64" s="9">
        <f>NPV(+Title_RESULTS!$C$37,'Value of Defferal'!D24:D61)+'Value of Defferal'!D23</f>
        <v>1769.799490043666</v>
      </c>
      <c r="F64" s="9">
        <f>NPV(+Title_RESULTS!$C$37,'Value of Defferal'!F24:F61)+'Value of Defferal'!F23</f>
        <v>2055.655450628768</v>
      </c>
      <c r="J64" t="s">
        <v>89</v>
      </c>
      <c r="K64" s="9">
        <f>NPV(+Title_RESULTS!$C$37,'Value of Defferal'!K24:K61)+'Value of Defferal'!K23</f>
        <v>103.2375199011801</v>
      </c>
      <c r="O64" s="9">
        <f>NPV(+Title_RESULTS!$C$37,'Value of Defferal'!O24:O61)+'Value of Defferal'!O23</f>
        <v>137.4929867977588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0.9054464523016655</v>
      </c>
      <c r="C25" t="s">
        <v>372</v>
      </c>
    </row>
    <row r="26" spans="2:3" ht="18">
      <c r="B26" s="15">
        <f>+((Input!$C$6*'EUE_Line Losses'!C4)+(Input!$C$7*'EUE_Line Losses'!C3))/'EUE_Line Losses'!C22</f>
        <v>0.9025256572942408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0">
      <selection activeCell="C40" sqref="C4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0.58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0.87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5127.69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10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175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1006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219.88947627051184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Heat Pump Water Heater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43599.31931655093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0.87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0.9025256572942408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5408.955696202532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5127.69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10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175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1006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219.88947627051184</v>
      </c>
      <c r="D39" s="13" t="s">
        <v>189</v>
      </c>
      <c r="G39" s="20" t="s">
        <v>346</v>
      </c>
      <c r="H39" s="79">
        <f>+'Sheet7(F_23)'!H31</f>
        <v>1.4610630599743553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+'Sheet8(F_24)'!K29</f>
        <v>4272.006040612476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+'Sheet9(F_25)'!J31</f>
        <v>1.0106404730569067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2019-05-14T11:39:50Z</dcterms:created>
  <dcterms:modified xsi:type="dcterms:W3CDTF">2019-05-14T11:39:51Z</dcterms:modified>
  <cp:category/>
  <cp:version/>
  <cp:contentType/>
  <cp:contentStatus/>
</cp:coreProperties>
</file>