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<sst xmlns="http://schemas.openxmlformats.org/spreadsheetml/2006/main" count="1258" uniqueCount="468">
  <si>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</si>
  <si>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</si>
  <si>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</si>
  <si>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</si>
  <si>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</si>
  <si>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</si>
  <si>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</si>
  <si>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</si>
  <si>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</si>
  <si>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</si>
  <si>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</si>
  <si>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</si>
  <si>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</si>
  <si>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</si>
  <si>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</si>
  <si>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</si>
  <si>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</si>
  <si>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</si>
  <si>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</si>
  <si>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</si>
  <si>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</si>
  <si>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</si>
  <si>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</si>
  <si>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</si>
  <si>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</si>
  <si>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</si>
  <si>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</si>
  <si>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</si>
  <si>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</si>
  <si>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</si>
  <si>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</si>
  <si>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</si>
  <si>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</si>
  <si>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</si>
  <si>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</si>
  <si>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</si>
  <si>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</si>
  <si>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</si>
  <si>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</si>
  <si>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</si>
  <si>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</si>
  <si>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</si>
  <si>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</si>
  <si>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</si>
  <si>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</si>
  <si>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</si>
  <si>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</si>
  <si>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</si>
  <si>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</si>
  <si>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</si>
  <si>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</si>
  <si>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</si>
  <si>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</si>
  <si>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</si>
  <si>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</si>
  <si>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</si>
  <si>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</si>
  <si>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</si>
  <si>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</si>
  <si>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</si>
  <si>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</si>
  <si>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</si>
  <si>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</si>
  <si>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</si>
  <si>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</si>
  <si>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</si>
  <si>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</si>
  <si>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</si>
  <si>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</si>
  <si>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</si>
  <si>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</si>
  <si>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</si>
  <si>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</si>
  <si>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</si>
  <si>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</si>
  <si>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</si>
  <si>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</si>
  <si>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</si>
  <si>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</si>
  <si>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</si>
  <si>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</si>
  <si>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</si>
  <si>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</si>
  <si>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</si>
  <si>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</si>
  <si>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</si>
  <si>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</si>
  <si>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</si>
  <si>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</si>
  <si>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</si>
  <si>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</si>
  <si>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</si>
  <si>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</si>
  <si>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</si>
  <si>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</si>
  <si>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</si>
  <si>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</si>
  <si>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</si>
  <si>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</si>
  <si>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</si>
  <si>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</si>
  <si>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</si>
  <si>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</si>
  <si>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</si>
  <si>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</si>
  <si>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</si>
  <si>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</si>
  <si>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</si>
  <si>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</si>
  <si>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</si>
  <si>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</si>
  <si>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</si>
  <si>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</si>
  <si>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</si>
  <si>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</si>
  <si>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</si>
  <si>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</si>
  <si>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</si>
  <si>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</si>
  <si>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</si>
  <si>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</si>
  <si>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</si>
  <si>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</si>
  <si>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</si>
  <si>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</si>
  <si>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</si>
  <si>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</si>
  <si>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</si>
  <si>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</si>
  <si>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</si>
  <si>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</si>
  <si>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</si>
  <si>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</si>
  <si>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</si>
  <si>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</si>
  <si>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</si>
  <si>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</si>
  <si>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</si>
  <si>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</si>
  <si>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</si>
  <si>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</si>
  <si>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</si>
  <si>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</si>
  <si>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</si>
  <si>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</si>
  <si>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</si>
  <si>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</si>
  <si>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</si>
  <si>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</si>
  <si>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</si>
  <si>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</si>
  <si>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</si>
  <si>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</si>
  <si>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</si>
  <si>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</si>
  <si>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</si>
  <si>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</si>
  <si>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</si>
  <si>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</si>
  <si>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</si>
  <si>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</si>
  <si>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</si>
  <si>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</si>
  <si>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</si>
  <si>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</si>
  <si>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</si>
  <si>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</si>
  <si>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</si>
  <si>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</si>
  <si>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</si>
  <si>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</si>
  <si>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</si>
  <si>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</si>
  <si>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</si>
  <si>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</si>
  <si>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</si>
  <si>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</si>
  <si>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</si>
  <si>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</si>
  <si>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</si>
  <si>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</si>
  <si>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</si>
  <si>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</si>
  <si>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</si>
  <si>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</si>
  <si>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</si>
  <si>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</si>
  <si>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</si>
  <si>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</si>
  <si>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</si>
  <si>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</si>
  <si>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</si>
  <si>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</si>
  <si>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</si>
  <si>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</si>
  <si>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</si>
  <si>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</si>
  <si>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</si>
  <si>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</si>
  <si>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</si>
  <si>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</si>
  <si>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</si>
  <si>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</si>
  <si>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</si>
  <si>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</si>
  <si>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</si>
  <si>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</si>
  <si>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</si>
  <si>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</si>
  <si>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</si>
  <si>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</si>
  <si>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</si>
  <si>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</si>
  <si>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</si>
  <si>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</si>
  <si>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</si>
  <si>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</si>
  <si>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</si>
  <si>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</si>
  <si>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</si>
  <si>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</si>
  <si>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</si>
  <si>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</si>
  <si>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</si>
  <si>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</si>
  <si>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</si>
  <si>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</si>
  <si>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</si>
  <si>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</si>
  <si>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</si>
  <si>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</si>
  <si>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</si>
  <si>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</si>
  <si>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</si>
  <si>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</si>
  <si>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</si>
  <si>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</si>
  <si>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</si>
  <si>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</si>
  <si>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</si>
  <si>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</si>
  <si>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</si>
  <si>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</si>
  <si>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</si>
  <si>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</si>
  <si>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</si>
  <si>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</si>
  <si>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</si>
  <si>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</si>
  <si>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</si>
  <si>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</si>
  <si>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</si>
  <si>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</si>
  <si>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</si>
  <si>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</si>
  <si>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</si>
  <si>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</si>
  <si>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</si>
  <si>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</si>
  <si>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</si>
  <si>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</si>
  <si>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</si>
  <si>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</si>
  <si>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</si>
  <si>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</si>
  <si>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</si>
  <si>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</si>
  <si>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</si>
  <si>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</si>
  <si>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</si>
  <si>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</si>
  <si>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</si>
  <si>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</si>
  <si>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</si>
  <si>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</si>
  <si>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</si>
  <si>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</si>
  <si>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</si>
  <si>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</si>
  <si>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</si>
  <si>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</si>
  <si>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</si>
  <si>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</si>
  <si>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</si>
  <si>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</si>
  <si>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</si>
  <si>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</si>
  <si>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</si>
  <si>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</si>
  <si>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</si>
  <si>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</si>
  <si>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</si>
  <si>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</si>
  <si>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</si>
  <si>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</si>
  <si>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</si>
  <si>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</si>
  <si>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</si>
  <si>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</si>
  <si>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</si>
  <si>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</si>
  <si>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</si>
  <si>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</si>
  <si>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</si>
  <si>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</si>
  <si>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</si>
  <si>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</si>
  <si>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</si>
  <si>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</si>
  <si>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</si>
  <si>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</si>
  <si>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</si>
  <si>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</si>
  <si>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</si>
  <si>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</si>
  <si>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</si>
  <si>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</si>
  <si>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</si>
  <si>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</si>
  <si>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</si>
  <si>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</si>
  <si>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</si>
  <si>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</si>
  <si>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</si>
  <si>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</si>
  <si>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</si>
  <si>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</si>
  <si>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</si>
  <si>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</si>
  <si>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</si>
  <si>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</si>
  <si>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</si>
  <si>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</si>
  <si>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</si>
  <si>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</si>
  <si>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</si>
  <si>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</si>
  <si>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</si>
  <si>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</si>
  <si>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</si>
  <si>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</si>
  <si>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</si>
  <si>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</si>
  <si>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</si>
  <si>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</si>
  <si>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</si>
  <si>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</si>
  <si>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</si>
  <si>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</si>
  <si>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</si>
  <si>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</si>
  <si>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</si>
  <si>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</si>
  <si>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</si>
  <si>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</si>
  <si>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</si>
  <si>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</si>
  <si>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</si>
  <si>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</si>
  <si>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</si>
  <si>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</si>
  <si>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</si>
  <si>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</si>
  <si>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</si>
  <si>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</si>
  <si>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</si>
  <si>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</si>
  <si>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</si>
  <si>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</si>
  <si>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</si>
  <si>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</si>
  <si>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</si>
  <si>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</si>
  <si>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</si>
  <si>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</si>
  <si>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</si>
  <si>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</si>
  <si>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</si>
  <si>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</si>
  <si>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</si>
  <si>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</si>
  <si>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</si>
  <si>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</si>
  <si>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</si>
  <si>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</si>
  <si>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</si>
  <si>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</si>
  <si>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</si>
  <si>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</si>
  <si>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</si>
  <si>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</si>
  <si>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</si>
  <si>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</si>
  <si>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</si>
  <si>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</si>
  <si>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</si>
  <si>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</si>
  <si>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</si>
  <si>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</si>
  <si>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</si>
  <si>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</si>
  <si>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</si>
  <si>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</si>
  <si>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</si>
  <si>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</si>
  <si>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</si>
  <si>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</si>
  <si>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</si>
  <si>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</si>
  <si>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</si>
  <si>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</si>
  <si>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</si>
  <si>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</si>
  <si>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</si>
  <si>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</si>
  <si>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</si>
  <si>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</si>
  <si>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</si>
  <si>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</si>
  <si>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</si>
  <si>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</si>
  <si>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</si>
  <si>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</si>
  <si>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</si>
  <si>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</si>
  <si>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</si>
  <si>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</si>
  <si>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</si>
  <si>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</si>
  <si>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</si>
  <si>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</si>
  <si>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</si>
  <si>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</si>
  <si>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</si>
  <si>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</si>
  <si>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</si>
  <si>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</si>
  <si>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</si>
  <si>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</si>
  <si>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</si>
  <si>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</si>
  <si>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</si>
  <si>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</si>
  <si>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</si>
  <si>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</si>
  <si>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</si>
  <si>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</si>
  <si>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</si>
  <si>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</si>
  <si>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</si>
  <si>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</si>
  <si>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</si>
  <si>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</si>
  <si>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</si>
  <si>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</si>
  <si>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</si>
  <si>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</si>
  <si>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</si>
  <si>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</si>
  <si>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</si>
  <si>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</si>
  <si>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</si>
  <si>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</si>
  <si>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</si>
  <si>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</si>
  <si>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</si>
  <si>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</si>
  <si>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High Efficiency PTAC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</si>
</sst>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43599.319501736114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850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43599.319501736114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High Efficiency PTAC</v>
      </c>
      <c r="J2" t="s">
        <v>55</v>
      </c>
    </row>
    <row r="3" ht="12.75">
      <c r="J3" s="35">
        <f>+Title_RESULTS!I4</f>
        <v>43599.319501736114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850</v>
      </c>
      <c r="H5" t="s">
        <v>59</v>
      </c>
    </row>
    <row r="6" spans="3:7" ht="12.75">
      <c r="C6" t="s">
        <v>61</v>
      </c>
      <c r="G6" s="36">
        <f>+'Value of Defferal'!E3</f>
        <v>520.751838755304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51.46189628605039</v>
      </c>
      <c r="D19" s="5">
        <f>IF((Title_RESULTS!$H$8-Title_RESULTS!$H$7)&lt;=('Sheet3(F_21)'!A19-Title_RESULTS!$H$7),((Title_RESULTS!$C$8*Partcipation!$C$26*8760*Title_RESULTS!$H$21/100000)),0)</f>
        <v>677.9773127629735</v>
      </c>
      <c r="E19" s="5">
        <f>IF($G19=0,0,((Title_RESULTS!$H$14*((1+Title_RESULTS!$H$15/100)^($A19-Title_RESULTS!$H$7))*'EUE_Line Losses'!$B$25*Partcipation!$C$26))/1000)</f>
        <v>5.341230273377078</v>
      </c>
      <c r="F19" s="5">
        <f>IF($G19=0,0,(Title_RESULTS!$H$19/100*((1+Title_RESULTS!$H$20/100)^($A19-Title_RESULTS!$H$7))*$D19*1000)/1000)</f>
        <v>1.5287424525171407</v>
      </c>
      <c r="G19" s="5">
        <f>(+Title_RESULTS!$H$22/100*((1+Title_RESULTS!$H$23/100)^(+'Sheet4(F_22)'!A19-Title_RESULTS!$H$7)))*'Sheet3(F_21)'!D19</f>
        <v>29.046507178890387</v>
      </c>
      <c r="H19" s="5">
        <f>IF($G19=0,0,(($D19))*(Partcipation!$G19/100))</f>
        <v>21.509695196785277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65.86868099404973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52.696981796915594</v>
      </c>
      <c r="D20" s="5">
        <f>IF((Title_RESULTS!$H$8-Title_RESULTS!$H$7)&lt;=('Sheet3(F_21)'!A20-Title_RESULTS!$H$7),((Title_RESULTS!$C$8*Partcipation!$C$26*8760*Title_RESULTS!$H$21/100000)),0)</f>
        <v>677.9773127629735</v>
      </c>
      <c r="E20" s="5">
        <f>IF($G20=0,0,((Title_RESULTS!$H$14*((1+Title_RESULTS!$H$15/100)^($A20-Title_RESULTS!$H$7))*'EUE_Line Losses'!$B$25*Partcipation!$C$26))/1000)</f>
        <v>5.469419799938127</v>
      </c>
      <c r="F20" s="5">
        <f>IF($G20=0,0,(Title_RESULTS!$H$19/100*((1+Title_RESULTS!$H$20/100)^($A20-Title_RESULTS!$H$7))*$D20*1000)/1000)</f>
        <v>1.565432271377552</v>
      </c>
      <c r="G20" s="5">
        <f>(+Title_RESULTS!$H$22/100*((1+Title_RESULTS!$H$23/100)^(+'Sheet4(F_22)'!A20-Title_RESULTS!$H$7)))*'Sheet3(F_21)'!D20</f>
        <v>30.365218604812014</v>
      </c>
      <c r="H20" s="5">
        <f>IF($G20=0,0,(($D20))*(Partcipation!$G20/100))</f>
        <v>22.47191856424349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67.62513390879978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53.961709360041574</v>
      </c>
      <c r="D21" s="5">
        <f>IF((Title_RESULTS!$H$8-Title_RESULTS!$H$7)&lt;=('Sheet3(F_21)'!A21-Title_RESULTS!$H$7),((Title_RESULTS!$C$8*Partcipation!$C$26*8760*Title_RESULTS!$H$21/100000)),0)</f>
        <v>677.9773127629735</v>
      </c>
      <c r="E21" s="5">
        <f>IF($G21=0,0,((Title_RESULTS!$H$14*((1+Title_RESULTS!$H$15/100)^($A21-Title_RESULTS!$H$7))*'EUE_Line Losses'!$B$25*Partcipation!$C$26))/1000)</f>
        <v>5.600685875136643</v>
      </c>
      <c r="F21" s="5">
        <f>IF($G21=0,0,(Title_RESULTS!$H$19/100*((1+Title_RESULTS!$H$20/100)^($A21-Title_RESULTS!$H$7))*$D21*1000)/1000)</f>
        <v>1.6030026458906133</v>
      </c>
      <c r="G21" s="5">
        <f>(+Title_RESULTS!$H$22/100*((1+Title_RESULTS!$H$23/100)^(+'Sheet4(F_22)'!A21-Title_RESULTS!$H$7)))*'Sheet3(F_21)'!D21</f>
        <v>31.743799529470483</v>
      </c>
      <c r="H21" s="5">
        <f>IF($G21=0,0,(($D21))*(Partcipation!$G21/100))</f>
        <v>23.362442793981106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69.54675461655822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55.25679038468257</v>
      </c>
      <c r="D22" s="5">
        <f>IF((Title_RESULTS!$H$8-Title_RESULTS!$H$7)&lt;=('Sheet3(F_21)'!A22-Title_RESULTS!$H$7),((Title_RESULTS!$C$8*Partcipation!$C$26*8760*Title_RESULTS!$H$21/100000)),0)</f>
        <v>677.9773127629735</v>
      </c>
      <c r="E22" s="5">
        <f>IF($G22=0,0,((Title_RESULTS!$H$14*((1+Title_RESULTS!$H$15/100)^($A22-Title_RESULTS!$H$7))*'EUE_Line Losses'!$B$25*Partcipation!$C$26))/1000)</f>
        <v>5.73510233613992</v>
      </c>
      <c r="F22" s="5">
        <f>IF($G22=0,0,(Title_RESULTS!$H$19/100*((1+Title_RESULTS!$H$20/100)^($A22-Title_RESULTS!$H$7))*$D22*1000)/1000)</f>
        <v>1.6414747093919877</v>
      </c>
      <c r="G22" s="5">
        <f>(+Title_RESULTS!$H$22/100*((1+Title_RESULTS!$H$23/100)^(+'Sheet4(F_22)'!A22-Title_RESULTS!$H$7)))*'Sheet3(F_21)'!D22</f>
        <v>33.18496802810844</v>
      </c>
      <c r="H22" s="5">
        <f>IF($G22=0,0,(($D22))*(Partcipation!$G22/100))</f>
        <v>24.119394291036127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71.69894116728679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56.58295335391495</v>
      </c>
      <c r="D23" s="5">
        <f>IF((Title_RESULTS!$H$8-Title_RESULTS!$H$7)&lt;=('Sheet3(F_21)'!A23-Title_RESULTS!$H$7),((Title_RESULTS!$C$8*Partcipation!$C$26*8760*Title_RESULTS!$H$21/100000)),0)</f>
        <v>677.9773127629735</v>
      </c>
      <c r="E23" s="5">
        <f>IF($G23=0,0,((Title_RESULTS!$H$14*((1+Title_RESULTS!$H$15/100)^($A23-Title_RESULTS!$H$7))*'EUE_Line Losses'!$B$25*Partcipation!$C$26))/1000)</f>
        <v>5.872744792207279</v>
      </c>
      <c r="F23" s="5">
        <f>IF($G23=0,0,(Title_RESULTS!$H$19/100*((1+Title_RESULTS!$H$20/100)^($A23-Title_RESULTS!$H$7))*$D23*1000)/1000)</f>
        <v>1.6808701024173955</v>
      </c>
      <c r="G23" s="5">
        <f>(+Title_RESULTS!$H$22/100*((1+Title_RESULTS!$H$23/100)^(+'Sheet4(F_22)'!A23-Title_RESULTS!$H$7)))*'Sheet3(F_21)'!D23</f>
        <v>34.69156557658457</v>
      </c>
      <c r="H23" s="5">
        <f>IF($G23=0,0,(($D23))*(Partcipation!$G23/100))</f>
        <v>25.198970393695795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73.62916343142842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57.94094423440891</v>
      </c>
      <c r="D24" s="5">
        <f>IF((Title_RESULTS!$H$8-Title_RESULTS!$H$7)&lt;=('Sheet3(F_21)'!A24-Title_RESULTS!$H$7),((Title_RESULTS!$C$8*Partcipation!$C$26*8760*Title_RESULTS!$H$21/100000)),0)</f>
        <v>677.9773127629735</v>
      </c>
      <c r="E24" s="5">
        <f>IF($G24=0,0,((Title_RESULTS!$H$14*((1+Title_RESULTS!$H$15/100)^($A24-Title_RESULTS!$H$7))*'EUE_Line Losses'!$B$25*Partcipation!$C$26))/1000)</f>
        <v>6.013690667220253</v>
      </c>
      <c r="F24" s="5">
        <f>IF($G24=0,0,(Title_RESULTS!$H$19/100*((1+Title_RESULTS!$H$20/100)^($A24-Title_RESULTS!$H$7))*$D24*1000)/1000)</f>
        <v>1.7212109848754131</v>
      </c>
      <c r="G24" s="5">
        <f>(+Title_RESULTS!$H$22/100*((1+Title_RESULTS!$H$23/100)^(+'Sheet4(F_22)'!A24-Title_RESULTS!$H$7)))*'Sheet3(F_21)'!D24</f>
        <v>36.26656265376152</v>
      </c>
      <c r="H24" s="5">
        <f>IF($G24=0,0,(($D24))*(Partcipation!$G24/100))</f>
        <v>27.120754501926843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74.82165403833926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59.331526896034724</v>
      </c>
      <c r="D25" s="5">
        <f>IF((Title_RESULTS!$H$8-Title_RESULTS!$H$7)&lt;=('Sheet3(F_21)'!A25-Title_RESULTS!$H$7),((Title_RESULTS!$C$8*Partcipation!$C$26*8760*Title_RESULTS!$H$21/100000)),0)</f>
        <v>677.9773127629735</v>
      </c>
      <c r="E25" s="5">
        <f>IF($G25=0,0,((Title_RESULTS!$H$14*((1+Title_RESULTS!$H$15/100)^($A25-Title_RESULTS!$H$7))*'EUE_Line Losses'!$B$25*Partcipation!$C$26))/1000)</f>
        <v>6.158019243233539</v>
      </c>
      <c r="F25" s="5">
        <f>IF($G25=0,0,(Title_RESULTS!$H$19/100*((1+Title_RESULTS!$H$20/100)^($A25-Title_RESULTS!$H$7))*$D25*1000)/1000)</f>
        <v>1.7625200485124226</v>
      </c>
      <c r="G25" s="5">
        <f>(+Title_RESULTS!$H$22/100*((1+Title_RESULTS!$H$23/100)^(+'Sheet4(F_22)'!A25-Title_RESULTS!$H$7)))*'Sheet3(F_21)'!D25</f>
        <v>37.91306459824229</v>
      </c>
      <c r="H25" s="5">
        <f>IF($G25=0,0,(($D25))*(Partcipation!$G25/100))</f>
        <v>28.310966537958368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76.85416424806462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60.755483541539554</v>
      </c>
      <c r="D26" s="5">
        <f>IF((Title_RESULTS!$H$8-Title_RESULTS!$H$7)&lt;=('Sheet3(F_21)'!A26-Title_RESULTS!$H$7),((Title_RESULTS!$C$8*Partcipation!$C$26*8760*Title_RESULTS!$H$21/100000)),0)</f>
        <v>677.9773127629735</v>
      </c>
      <c r="E26" s="5">
        <f>IF($G26=0,0,((Title_RESULTS!$H$14*((1+Title_RESULTS!$H$15/100)^($A26-Title_RESULTS!$H$7))*'EUE_Line Losses'!$B$25*Partcipation!$C$26))/1000)</f>
        <v>6.305811705071144</v>
      </c>
      <c r="F26" s="5">
        <f>IF($G26=0,0,(Title_RESULTS!$H$19/100*((1+Title_RESULTS!$H$20/100)^($A26-Title_RESULTS!$H$7))*$D26*1000)/1000)</f>
        <v>1.8048205296767208</v>
      </c>
      <c r="G26" s="5">
        <f>(+Title_RESULTS!$H$22/100*((1+Title_RESULTS!$H$23/100)^(+'Sheet4(F_22)'!A26-Title_RESULTS!$H$7)))*'Sheet3(F_21)'!D26</f>
        <v>39.6343177310025</v>
      </c>
      <c r="H26" s="5">
        <f>IF($G26=0,0,(($D26))*(Partcipation!$G26/100))</f>
        <v>30.415969191252234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78.0844643160377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62.21361514653651</v>
      </c>
      <c r="D27" s="5">
        <f>IF((Title_RESULTS!$H$8-Title_RESULTS!$H$7)&lt;=('Sheet3(F_21)'!A27-Title_RESULTS!$H$7),((Title_RESULTS!$C$8*Partcipation!$C$26*8760*Title_RESULTS!$H$21/100000)),0)</f>
        <v>677.9773127629735</v>
      </c>
      <c r="E27" s="5">
        <f>IF($G27=0,0,((Title_RESULTS!$H$14*((1+Title_RESULTS!$H$15/100)^($A27-Title_RESULTS!$H$7))*'EUE_Line Losses'!$B$25*Partcipation!$C$26))/1000)</f>
        <v>6.457151185992854</v>
      </c>
      <c r="F27" s="5">
        <f>IF($G27=0,0,(Title_RESULTS!$H$19/100*((1+Title_RESULTS!$H$20/100)^($A27-Title_RESULTS!$H$7))*$D27*1000)/1000)</f>
        <v>1.8481362223889626</v>
      </c>
      <c r="G27" s="5">
        <f>(+Title_RESULTS!$H$22/100*((1+Title_RESULTS!$H$23/100)^(+'Sheet4(F_22)'!A27-Title_RESULTS!$H$7)))*'Sheet3(F_21)'!D27</f>
        <v>41.433715755990015</v>
      </c>
      <c r="H27" s="5">
        <f>IF($G27=0,0,(($D27))*(Partcipation!$G27/100))</f>
        <v>31.172324821228415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80.78029348967993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63.70674191005339</v>
      </c>
      <c r="D28" s="5">
        <f>IF((Title_RESULTS!$H$8-Title_RESULTS!$H$7)&lt;=('Sheet3(F_21)'!A28-Title_RESULTS!$H$7),((Title_RESULTS!$C$8*Partcipation!$C$26*8760*Title_RESULTS!$H$21/100000)),0)</f>
        <v>677.9773127629735</v>
      </c>
      <c r="E28" s="5">
        <f>IF($G28=0,0,((Title_RESULTS!$H$14*((1+Title_RESULTS!$H$15/100)^($A28-Title_RESULTS!$H$7))*'EUE_Line Losses'!$B$25*Partcipation!$C$26))/1000)</f>
        <v>6.612122814456681</v>
      </c>
      <c r="F28" s="5">
        <f>IF($G28=0,0,(Title_RESULTS!$H$19/100*((1+Title_RESULTS!$H$20/100)^($A28-Title_RESULTS!$H$7))*$D28*1000)/1000)</f>
        <v>1.8924914917262974</v>
      </c>
      <c r="G28" s="5">
        <f>(+Title_RESULTS!$H$22/100*((1+Title_RESULTS!$H$23/100)^(+'Sheet4(F_22)'!A28-Title_RESULTS!$H$7)))*'Sheet3(F_21)'!D28</f>
        <v>43.314806451311966</v>
      </c>
      <c r="H28" s="5">
        <f>IF($G28=0,0,(($D28))*(Partcipation!$G28/100))</f>
        <v>33.04297327458162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82.48318939296672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65.23570371589467</v>
      </c>
      <c r="D29" s="5">
        <f>IF((Title_RESULTS!$H$8-Title_RESULTS!$H$7)&lt;=('Sheet3(F_21)'!A29-Title_RESULTS!$H$7),((Title_RESULTS!$C$8*Partcipation!$C$26*8760*Title_RESULTS!$H$21/100000)),0)</f>
        <v>677.9773127629735</v>
      </c>
      <c r="E29" s="5">
        <f>IF($G29=0,0,((Title_RESULTS!$H$14*((1+Title_RESULTS!$H$15/100)^($A29-Title_RESULTS!$H$7))*'EUE_Line Losses'!$B$25*Partcipation!$C$26))/1000)</f>
        <v>6.770813762003641</v>
      </c>
      <c r="F29" s="5">
        <f>IF($G29=0,0,(Title_RESULTS!$H$19/100*((1+Title_RESULTS!$H$20/100)^($A29-Title_RESULTS!$H$7))*$D29*1000)/1000)</f>
        <v>1.9379112875277287</v>
      </c>
      <c r="G29" s="5">
        <f>(+Title_RESULTS!$H$22/100*((1+Title_RESULTS!$H$23/100)^(+'Sheet4(F_22)'!A29-Title_RESULTS!$H$7)))*'Sheet3(F_21)'!D29</f>
        <v>45.28129866420153</v>
      </c>
      <c r="H29" s="5">
        <f>IF($G29=0,0,(($D29))*(Partcipation!$G29/100))</f>
        <v>33.79659952739622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85.42912790223136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66.80136060507614</v>
      </c>
      <c r="D30" s="5">
        <f>IF((Title_RESULTS!$H$8-Title_RESULTS!$H$7)&lt;=('Sheet3(F_21)'!A30-Title_RESULTS!$H$7),((Title_RESULTS!$C$8*Partcipation!$C$26*8760*Title_RESULTS!$H$21/100000)),0)</f>
        <v>677.9773127629735</v>
      </c>
      <c r="E30" s="5">
        <f>IF($G30=0,0,((Title_RESULTS!$H$14*((1+Title_RESULTS!$H$15/100)^($A30-Title_RESULTS!$H$7))*'EUE_Line Losses'!$B$25*Partcipation!$C$26))/1000)</f>
        <v>6.933313292291728</v>
      </c>
      <c r="F30" s="5">
        <f>IF($G30=0,0,(Title_RESULTS!$H$19/100*((1+Title_RESULTS!$H$20/100)^($A30-Title_RESULTS!$H$7))*$D30*1000)/1000)</f>
        <v>1.984421158428394</v>
      </c>
      <c r="G30" s="5">
        <f>(+Title_RESULTS!$H$22/100*((1+Title_RESULTS!$H$23/100)^(+'Sheet4(F_22)'!A30-Title_RESULTS!$H$7)))*'Sheet3(F_21)'!D30</f>
        <v>47.33706962355628</v>
      </c>
      <c r="H30" s="5">
        <f>IF($G30=0,0,(($D30))*(Partcipation!$G30/100))</f>
        <v>35.977396019482605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87.07876865986992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705.9457072311492</v>
      </c>
      <c r="D32" s="9">
        <f t="shared" si="1"/>
        <v>8135.72775315568</v>
      </c>
      <c r="E32" s="9">
        <f t="shared" si="1"/>
        <v>73.2701057470689</v>
      </c>
      <c r="F32" s="9">
        <f t="shared" si="1"/>
        <v>20.97103390473063</v>
      </c>
      <c r="G32" s="9">
        <f t="shared" si="1"/>
        <v>450.21289439593204</v>
      </c>
      <c r="H32" s="9">
        <f t="shared" si="1"/>
        <v>336.4994051135681</v>
      </c>
      <c r="I32" s="9">
        <f t="shared" si="1"/>
        <v>0</v>
      </c>
      <c r="J32" s="9">
        <f t="shared" si="1"/>
        <v>913.9003361653124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398.0625028158442</v>
      </c>
      <c r="D34" s="5"/>
      <c r="E34" s="5">
        <f>NPV(Title_RESULTS!$C$37,E17:E31)+'Sheet3(F_21)'!E16</f>
        <v>41.31490761471534</v>
      </c>
      <c r="F34" s="5">
        <f>NPV(Title_RESULTS!$C$37,F17:F31)+'Sheet3(F_21)'!F16</f>
        <v>11.824963530828116</v>
      </c>
      <c r="G34" s="5">
        <f>NPV(Title_RESULTS!$C$37,G17:G31)+'Sheet3(F_21)'!G16</f>
        <v>249.63074327115405</v>
      </c>
      <c r="H34" s="5">
        <f>NPV(Title_RESULTS!$C$37,H17:H31)+'Sheet3(F_21)'!H16</f>
        <v>186.07561117399192</v>
      </c>
      <c r="I34" s="5">
        <f>NPV(Title_RESULTS!$C$37,I17:I31)+'Sheet3(F_21)'!I16</f>
        <v>0</v>
      </c>
      <c r="J34" s="5">
        <f>NPV(Title_RESULTS!$C$37,J17:J31)+'Sheet3(F_21)'!J16</f>
        <v>514.7575060585497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High Efficiency PTAC</v>
      </c>
      <c r="F2" t="s">
        <v>55</v>
      </c>
    </row>
    <row r="3" spans="6:7" ht="12.75">
      <c r="F3" s="35">
        <f>+Title_RESULTS!I4</f>
        <v>43599.319501736114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434.83122362869204</v>
      </c>
      <c r="C16" s="5">
        <f>$B16*'Sheet2(F_12)'!$E16/100</f>
        <v>12.61319115003241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12.61319115003241</v>
      </c>
      <c r="G16" s="5">
        <f>+$F16*'Sheet2(F_12)'!$I16</f>
        <v>12.61319115003241</v>
      </c>
    </row>
    <row r="17" spans="1:7" ht="12.75">
      <c r="A17">
        <f>+A16+1</f>
        <v>2021</v>
      </c>
      <c r="B17" s="5">
        <f>(+Partcipation!$C16+(Partcipation!$C17-Partcipation!$C16)/2)*Title_RESULTS!$C$10/1000</f>
        <v>1304.493670886076</v>
      </c>
      <c r="C17" s="5">
        <f>$B17*'Sheet2(F_12)'!$E17/100</f>
        <v>37.531791914725545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37.531791914725545</v>
      </c>
      <c r="G17" s="5">
        <f>+$F17*'Sheet2(F_12)'!$I17</f>
        <v>37.531791914725545</v>
      </c>
    </row>
    <row r="18" spans="1:7" ht="12.75">
      <c r="A18">
        <f>+A17+1</f>
        <v>2022</v>
      </c>
      <c r="B18" s="5">
        <f>(+Partcipation!$C17+(Partcipation!$C18-Partcipation!$C17)/2)*Title_RESULTS!$C$10/1000</f>
        <v>2174.1561181434604</v>
      </c>
      <c r="C18" s="5">
        <f>$B18*'Sheet2(F_12)'!$E18/100</f>
        <v>64.55886891573385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64.55886891573385</v>
      </c>
      <c r="G18" s="5">
        <f>+$F18*'Sheet2(F_12)'!$I18</f>
        <v>64.55886891573385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2608.987341772152</v>
      </c>
      <c r="C19" s="5">
        <f>$B19*'Sheet2(F_12)'!$E19/100</f>
        <v>80.64878241623799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80.64878241623799</v>
      </c>
      <c r="G19" s="5">
        <f>+$F19*'Sheet2(F_12)'!$I19</f>
        <v>80.64878241623799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2608.987341772152</v>
      </c>
      <c r="C20" s="5">
        <f>$B20*'Sheet2(F_12)'!$E20/100</f>
        <v>83.81797558180199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83.81797558180199</v>
      </c>
      <c r="G20" s="5">
        <f>+$F20*'Sheet2(F_12)'!$I20</f>
        <v>83.81797558180199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2608.987341772152</v>
      </c>
      <c r="C21" s="5">
        <f>$B21*'Sheet2(F_12)'!$E21/100</f>
        <v>89.99527108741306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89.99527108741306</v>
      </c>
      <c r="G21" s="5">
        <f>+$F21*'Sheet2(F_12)'!$I21</f>
        <v>89.99527108741306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2608.987341772152</v>
      </c>
      <c r="C22" s="5">
        <f>$B22*'Sheet2(F_12)'!$E22/100</f>
        <v>92.88183562125504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92.88183562125504</v>
      </c>
      <c r="G22" s="5">
        <f>+$F22*'Sheet2(F_12)'!$I22</f>
        <v>92.88183562125504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2608.987341772152</v>
      </c>
      <c r="C23" s="5">
        <f>$B23*'Sheet2(F_12)'!$E23/100</f>
        <v>98.68653462709284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98.68653462709284</v>
      </c>
      <c r="G23" s="5">
        <f>+$F23*'Sheet2(F_12)'!$I23</f>
        <v>98.68653462709284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2608.987341772152</v>
      </c>
      <c r="C24" s="5">
        <f>$B24*'Sheet2(F_12)'!$E24/100</f>
        <v>109.35609253110756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109.35609253110756</v>
      </c>
      <c r="G24" s="5">
        <f>+$F24*'Sheet2(F_12)'!$I24</f>
        <v>109.35609253110756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2608.987341772152</v>
      </c>
      <c r="C25" s="5">
        <f>$B25*'Sheet2(F_12)'!$E25/100</f>
        <v>117.16021010346222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117.16021010346222</v>
      </c>
      <c r="G25" s="5">
        <f>+$F25*'Sheet2(F_12)'!$I25</f>
        <v>117.16021010346222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2608.987341772152</v>
      </c>
      <c r="C26" s="5">
        <f>$B26*'Sheet2(F_12)'!$E26/100</f>
        <v>130.86146398570415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130.86146398570415</v>
      </c>
      <c r="G26" s="5">
        <f>+$F26*'Sheet2(F_12)'!$I26</f>
        <v>130.86146398570415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2608.987341772152</v>
      </c>
      <c r="C27" s="5">
        <f>$B27*'Sheet2(F_12)'!$E27/100</f>
        <v>130.37481041076626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130.37481041076626</v>
      </c>
      <c r="G27" s="5">
        <f>+$F27*'Sheet2(F_12)'!$I27</f>
        <v>130.37481041076626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2608.987341772152</v>
      </c>
      <c r="C28" s="5">
        <f>$B28*'Sheet2(F_12)'!$E28/100</f>
        <v>142.48761803201825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142.48761803201825</v>
      </c>
      <c r="G28" s="5">
        <f>+$F28*'Sheet2(F_12)'!$I28</f>
        <v>142.48761803201825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2608.987341772152</v>
      </c>
      <c r="C29" s="5">
        <f>$B29*'Sheet2(F_12)'!$E29/100</f>
        <v>151.95008339595014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151.95008339595014</v>
      </c>
      <c r="G29" s="5">
        <f>+$F29*'Sheet2(F_12)'!$I29</f>
        <v>151.95008339595014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2608.987341772152</v>
      </c>
      <c r="C30" s="5">
        <f>$B30*'Sheet2(F_12)'!$E30/100</f>
        <v>159.02522422114328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159.02522422114328</v>
      </c>
      <c r="G30" s="5">
        <f>+$F30*'Sheet2(F_12)'!$I30</f>
        <v>159.02522422114328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35221.32911392406</v>
      </c>
      <c r="C32" s="5">
        <f t="shared" si="2"/>
        <v>1501.9497539944446</v>
      </c>
      <c r="D32" s="5">
        <f t="shared" si="2"/>
        <v>0</v>
      </c>
      <c r="E32" s="5">
        <f t="shared" si="2"/>
        <v>0</v>
      </c>
      <c r="F32" s="5">
        <f t="shared" si="2"/>
        <v>1501.9497539944446</v>
      </c>
      <c r="G32" s="5">
        <f t="shared" si="2"/>
        <v>1501.9497539944446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860.2877449122504</v>
      </c>
      <c r="D34" s="5"/>
      <c r="E34" s="5">
        <f>NPV(+Title_RESULTS!$C$37,E17:E31)+E16</f>
        <v>0</v>
      </c>
      <c r="F34" s="5">
        <f>NPV(+Title_RESULTS!$C$37,F17:F31)+F16</f>
        <v>860.2877449122504</v>
      </c>
      <c r="G34" s="5">
        <f>NPV(+Title_RESULTS!$C$37,G17:G31)+G16</f>
        <v>860.2877449122504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High Efficiency PTAC</v>
      </c>
      <c r="J2" t="s">
        <v>42</v>
      </c>
    </row>
    <row r="3" spans="9:10" ht="12.75">
      <c r="I3" s="4"/>
      <c r="J3" s="35">
        <f>+Title_RESULTS!I4</f>
        <v>43599.319501736114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High Efficiency PTAC</v>
      </c>
      <c r="H2" t="s">
        <v>108</v>
      </c>
    </row>
    <row r="3" ht="12.75">
      <c r="H3" s="35">
        <f>+Title_RESULTS!I4</f>
        <v>43599.319501736114</v>
      </c>
    </row>
    <row r="5" spans="3:6" ht="12.75">
      <c r="C5" t="s">
        <v>60</v>
      </c>
      <c r="F5" s="38">
        <f>+'Value of Defferal'!L4</f>
        <v>30.37696</v>
      </c>
    </row>
    <row r="6" spans="3:6" ht="12.75">
      <c r="C6" t="s">
        <v>62</v>
      </c>
      <c r="F6" s="38">
        <f>+'Value of Defferal'!L5</f>
        <v>80.97300480000001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12.61319115003241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3.00192116218347</v>
      </c>
      <c r="C17" s="5">
        <f>IF(+Title_RESULTS!$H$9&lt;='Sheet4(F_22)'!$A17,(+Title_RESULTS!$H$16*((1+Title_RESULTS!$H$18/100)^('Sheet4(F_22)'!$A17-Title_RESULTS!$H$7))*Title_RESULTS!$C$8*Partcipation!$C$26/1000),0)</f>
        <v>2.421109408134643</v>
      </c>
      <c r="D17" s="5">
        <f>(+B17+C17)*+Partcipation!$H17</f>
        <v>5.423030570318113</v>
      </c>
      <c r="E17" s="5">
        <f>VLOOKUP(A17,'Value of Defferal'!$I24:$P$58,'Value of Defferal'!$K$13)</f>
        <v>8.001938860067096</v>
      </c>
      <c r="F17" s="5">
        <f>IF(+'Value of Defferal'!P24=0,0,Title_RESULTS!$H$17*Title_RESULTS!$C$7*Partcipation!$C$26*(1+Title_RESULTS!$H$18/100)^('Sheet4(F_22)'!A17-Title_RESULTS!$H$7))/1000</f>
        <v>11.147673600000001</v>
      </c>
      <c r="G17" s="5">
        <f>(+E17+F17)*Partcipation!$H17</f>
        <v>19.149612460067097</v>
      </c>
      <c r="H17" s="5">
        <f>+'Sheet5(p_5)'!$F17*'Sheet2(F_12)'!$I17</f>
        <v>37.531791914725545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3.0739672700758733</v>
      </c>
      <c r="C18" s="5">
        <f>IF(+Title_RESULTS!$H$9&lt;='Sheet4(F_22)'!$A18,(+Title_RESULTS!$H$16*((1+Title_RESULTS!$H$18/100)^('Sheet4(F_22)'!$A18-Title_RESULTS!$H$7))*Title_RESULTS!$C$8*Partcipation!$C$26/1000),0)</f>
        <v>2.479216033929874</v>
      </c>
      <c r="D18" s="5">
        <f>(+B18+C18)*+Partcipation!$H18</f>
        <v>5.5531833040057474</v>
      </c>
      <c r="E18" s="5">
        <f>VLOOKUP(A18,'Value of Defferal'!$I25:$P$58,'Value of Defferal'!$K$13)</f>
        <v>8.193985392708704</v>
      </c>
      <c r="F18" s="5">
        <f>IF(+'Value of Defferal'!P25=0,0,Title_RESULTS!$H$17*Title_RESULTS!$C$7*Partcipation!$C$26*(1+Title_RESULTS!$H$18/100)^('Sheet4(F_22)'!A18-Title_RESULTS!$H$7))/1000</f>
        <v>11.4152177664</v>
      </c>
      <c r="G18" s="5">
        <f>(+E18+F18)*Partcipation!$H18</f>
        <v>19.609203159108702</v>
      </c>
      <c r="H18" s="5">
        <f>+'Sheet5(p_5)'!$F18*'Sheet2(F_12)'!$I18</f>
        <v>64.55886891573385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3.1477424845576945</v>
      </c>
      <c r="C19" s="5">
        <f>IF(+Title_RESULTS!$H$9&lt;='Sheet4(F_22)'!$A19,(+Title_RESULTS!$H$16*((1+Title_RESULTS!$H$18/100)^('Sheet4(F_22)'!$A19-Title_RESULTS!$H$7))*Title_RESULTS!$C$8*Partcipation!$C$26/1000),0)</f>
        <v>2.538717218744191</v>
      </c>
      <c r="D19" s="5">
        <f>(+B19+C19)*+Partcipation!$H19</f>
        <v>5.686459703301885</v>
      </c>
      <c r="E19" s="5">
        <f>VLOOKUP(A19,'Value of Defferal'!$I26:$P$58,'Value of Defferal'!$K$13)</f>
        <v>8.390641042133714</v>
      </c>
      <c r="F19" s="5">
        <f>IF(+'Value of Defferal'!P26=0,0,Title_RESULTS!$H$17*Title_RESULTS!$C$7*Partcipation!$C$26*(1+Title_RESULTS!$H$18/100)^('Sheet4(F_22)'!A19-Title_RESULTS!$H$7))/1000</f>
        <v>11.689182992793599</v>
      </c>
      <c r="G19" s="5">
        <f>(+E19+F19)*Partcipation!$H19</f>
        <v>20.079824034927313</v>
      </c>
      <c r="H19" s="5">
        <f>+'Sheet5(p_5)'!$F19*'Sheet2(F_12)'!$I19</f>
        <v>80.64878241623799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3.223288304187079</v>
      </c>
      <c r="C20" s="5">
        <f>IF(+Title_RESULTS!$H$9&lt;='Sheet4(F_22)'!$A20,(+Title_RESULTS!$H$16*((1+Title_RESULTS!$H$18/100)^('Sheet4(F_22)'!$A20-Title_RESULTS!$H$7))*Title_RESULTS!$C$8*Partcipation!$C$26/1000),0)</f>
        <v>2.599646431994052</v>
      </c>
      <c r="D20" s="5">
        <f>(+B20+C20)*+Partcipation!$H20</f>
        <v>5.82293473618113</v>
      </c>
      <c r="E20" s="5">
        <f>VLOOKUP(A20,'Value of Defferal'!$I27:$P$58,'Value of Defferal'!$K$13)</f>
        <v>8.592016427144923</v>
      </c>
      <c r="F20" s="5">
        <f>IF(+'Value of Defferal'!P27=0,0,Title_RESULTS!$H$17*Title_RESULTS!$C$7*Partcipation!$C$26*(1+Title_RESULTS!$H$18/100)^('Sheet4(F_22)'!A20-Title_RESULTS!$H$7))/1000</f>
        <v>11.969723384620645</v>
      </c>
      <c r="G20" s="5">
        <f>(+E20+F20)*Partcipation!$H20</f>
        <v>20.56173981176557</v>
      </c>
      <c r="H20" s="5">
        <f>+'Sheet5(p_5)'!$F20*'Sheet2(F_12)'!$I20</f>
        <v>83.81797558180199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3.300647223487569</v>
      </c>
      <c r="C21" s="5">
        <f>IF(+Title_RESULTS!$H$9&lt;='Sheet4(F_22)'!$A21,(+Title_RESULTS!$H$16*((1+Title_RESULTS!$H$18/100)^('Sheet4(F_22)'!$A21-Title_RESULTS!$H$7))*Title_RESULTS!$C$8*Partcipation!$C$26/1000),0)</f>
        <v>2.662037946361909</v>
      </c>
      <c r="D21" s="5">
        <f>(+B21+C21)*+Partcipation!$H21</f>
        <v>5.962685169849478</v>
      </c>
      <c r="E21" s="5">
        <f>VLOOKUP(A21,'Value of Defferal'!$I28:$P$58,'Value of Defferal'!$K$13)</f>
        <v>8.798224821396401</v>
      </c>
      <c r="F21" s="5">
        <f>IF(+'Value of Defferal'!P28=0,0,Title_RESULTS!$H$17*Title_RESULTS!$C$7*Partcipation!$C$26*(1+Title_RESULTS!$H$18/100)^('Sheet4(F_22)'!A21-Title_RESULTS!$H$7))/1000</f>
        <v>12.256996745851541</v>
      </c>
      <c r="G21" s="5">
        <f>(+E21+F21)*Partcipation!$H21</f>
        <v>21.05522156724794</v>
      </c>
      <c r="H21" s="5">
        <f>+'Sheet5(p_5)'!$F21*'Sheet2(F_12)'!$I21</f>
        <v>89.99527108741306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3.3798627568512707</v>
      </c>
      <c r="C22" s="5">
        <f>IF(+Title_RESULTS!$H$9&lt;='Sheet4(F_22)'!$A22,(+Title_RESULTS!$H$16*((1+Title_RESULTS!$H$18/100)^('Sheet4(F_22)'!$A22-Title_RESULTS!$H$7))*Title_RESULTS!$C$8*Partcipation!$C$26/1000),0)</f>
        <v>2.7259268570745943</v>
      </c>
      <c r="D22" s="5">
        <f>(+B22+C22)*+Partcipation!$H22</f>
        <v>6.1057896139258645</v>
      </c>
      <c r="E22" s="5">
        <f>VLOOKUP(A22,'Value of Defferal'!$I29:$P$58,'Value of Defferal'!$K$13)</f>
        <v>9.009382217109916</v>
      </c>
      <c r="F22" s="5">
        <f>IF(+'Value of Defferal'!P29=0,0,Title_RESULTS!$H$17*Title_RESULTS!$C$7*Partcipation!$C$26*(1+Title_RESULTS!$H$18/100)^('Sheet4(F_22)'!A22-Title_RESULTS!$H$7))/1000</f>
        <v>12.551164667751976</v>
      </c>
      <c r="G22" s="5">
        <f>(+E22+F22)*Partcipation!$H22</f>
        <v>21.560546884861893</v>
      </c>
      <c r="H22" s="5">
        <f>+'Sheet5(p_5)'!$F22*'Sheet2(F_12)'!$I22</f>
        <v>92.88183562125504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3.460979463015701</v>
      </c>
      <c r="C23" s="5">
        <f>IF(+Title_RESULTS!$H$9&lt;='Sheet4(F_22)'!$A23,(+Title_RESULTS!$H$16*((1+Title_RESULTS!$H$18/100)^('Sheet4(F_22)'!$A23-Title_RESULTS!$H$7))*Title_RESULTS!$C$8*Partcipation!$C$26/1000),0)</f>
        <v>2.7913491016443848</v>
      </c>
      <c r="D23" s="5">
        <f>(+B23+C23)*+Partcipation!$H23</f>
        <v>6.252328564660086</v>
      </c>
      <c r="E23" s="5">
        <f>VLOOKUP(A23,'Value of Defferal'!$I30:$P$58,'Value of Defferal'!$K$13)</f>
        <v>9.225607390320553</v>
      </c>
      <c r="F23" s="5">
        <f>IF(+'Value of Defferal'!P30=0,0,Title_RESULTS!$H$17*Title_RESULTS!$C$7*Partcipation!$C$26*(1+Title_RESULTS!$H$18/100)^('Sheet4(F_22)'!A23-Title_RESULTS!$H$7))/1000</f>
        <v>12.852392619778028</v>
      </c>
      <c r="G23" s="5">
        <f>(+E23+F23)*Partcipation!$H23</f>
        <v>22.07800001009858</v>
      </c>
      <c r="H23" s="5">
        <f>+'Sheet5(p_5)'!$F23*'Sheet2(F_12)'!$I23</f>
        <v>98.68653462709284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3.544042970128078</v>
      </c>
      <c r="C24" s="5">
        <f>IF(+Title_RESULTS!$H$9&lt;='Sheet4(F_22)'!$A24,(+Title_RESULTS!$H$16*((1+Title_RESULTS!$H$18/100)^('Sheet4(F_22)'!$A24-Title_RESULTS!$H$7))*Title_RESULTS!$C$8*Partcipation!$C$26/1000),0)</f>
        <v>2.8583414800838494</v>
      </c>
      <c r="D24" s="5">
        <f>(+B24+C24)*+Partcipation!$H24</f>
        <v>6.402384450211928</v>
      </c>
      <c r="E24" s="5">
        <f>VLOOKUP(A24,'Value of Defferal'!$I31:$P$58,'Value of Defferal'!$K$13)</f>
        <v>9.447021967688245</v>
      </c>
      <c r="F24" s="5">
        <f>IF(+'Value of Defferal'!P31=0,0,Title_RESULTS!$H$17*Title_RESULTS!$C$7*Partcipation!$C$26*(1+Title_RESULTS!$H$18/100)^('Sheet4(F_22)'!A24-Title_RESULTS!$H$7))/1000</f>
        <v>13.160850042652697</v>
      </c>
      <c r="G24" s="5">
        <f>(+E24+F24)*Partcipation!$H24</f>
        <v>22.60787201034094</v>
      </c>
      <c r="H24" s="5">
        <f>+'Sheet5(p_5)'!$F24*'Sheet2(F_12)'!$I24</f>
        <v>109.35609253110756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3.629100001411152</v>
      </c>
      <c r="C25" s="5">
        <f>IF(+Title_RESULTS!$H$9&lt;='Sheet4(F_22)'!$A25,(+Title_RESULTS!$H$16*((1+Title_RESULTS!$H$18/100)^('Sheet4(F_22)'!$A25-Title_RESULTS!$H$7))*Title_RESULTS!$C$8*Partcipation!$C$26/1000),0)</f>
        <v>2.926941675605862</v>
      </c>
      <c r="D25" s="5">
        <f>(+B25+C25)*+Partcipation!$H25</f>
        <v>6.556041677017014</v>
      </c>
      <c r="E25" s="5">
        <f>VLOOKUP(A25,'Value of Defferal'!$I32:$P$58,'Value of Defferal'!$K$13)</f>
        <v>9.673750494912765</v>
      </c>
      <c r="F25" s="5">
        <f>IF(+'Value of Defferal'!P32=0,0,Title_RESULTS!$H$17*Title_RESULTS!$C$7*Partcipation!$C$26*(1+Title_RESULTS!$H$18/100)^('Sheet4(F_22)'!A25-Title_RESULTS!$H$7))/1000</f>
        <v>13.476710443676362</v>
      </c>
      <c r="G25" s="5">
        <f>(+E25+F25)*Partcipation!$H25</f>
        <v>23.150460938589127</v>
      </c>
      <c r="H25" s="5">
        <f>+'Sheet5(p_5)'!$F25*'Sheet2(F_12)'!$I25</f>
        <v>117.16021010346222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3.71619840144502</v>
      </c>
      <c r="C26" s="5">
        <f>IF(+Title_RESULTS!$H$9&lt;='Sheet4(F_22)'!$A26,(+Title_RESULTS!$H$16*((1+Title_RESULTS!$H$18/100)^('Sheet4(F_22)'!$A26-Title_RESULTS!$H$7))*Title_RESULTS!$C$8*Partcipation!$C$26/1000),0)</f>
        <v>2.9971882758204034</v>
      </c>
      <c r="D26" s="5">
        <f>(+B26+C26)*+Partcipation!$H26</f>
        <v>6.713386677265423</v>
      </c>
      <c r="E26" s="5">
        <f>VLOOKUP(A26,'Value of Defferal'!$I33:$P$58,'Value of Defferal'!$K$13)</f>
        <v>9.905920506790672</v>
      </c>
      <c r="F26" s="5">
        <f>IF(+'Value of Defferal'!P33=0,0,Title_RESULTS!$H$17*Title_RESULTS!$C$7*Partcipation!$C$26*(1+Title_RESULTS!$H$18/100)^('Sheet4(F_22)'!A26-Title_RESULTS!$H$7))/1000</f>
        <v>13.800151494324595</v>
      </c>
      <c r="G26" s="5">
        <f>(+E26+F26)*Partcipation!$H26</f>
        <v>23.706072001115267</v>
      </c>
      <c r="H26" s="5">
        <f>+'Sheet5(p_5)'!$F26*'Sheet2(F_12)'!$I26</f>
        <v>130.86146398570415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3.805387163079701</v>
      </c>
      <c r="C27" s="5">
        <f>IF(+Title_RESULTS!$H$9&lt;='Sheet4(F_22)'!$A27,(+Title_RESULTS!$H$16*((1+Title_RESULTS!$H$18/100)^('Sheet4(F_22)'!$A27-Title_RESULTS!$H$7))*Title_RESULTS!$C$8*Partcipation!$C$26/1000),0)</f>
        <v>3.069120794440093</v>
      </c>
      <c r="D27" s="5">
        <f>(+B27+C27)*+Partcipation!$H27</f>
        <v>6.8745079575197945</v>
      </c>
      <c r="E27" s="5">
        <f>VLOOKUP(A27,'Value of Defferal'!$I34:$P$58,'Value of Defferal'!$K$13)</f>
        <v>10.143662598953648</v>
      </c>
      <c r="F27" s="5">
        <f>IF(+'Value of Defferal'!P34=0,0,Title_RESULTS!$H$17*Title_RESULTS!$C$7*Partcipation!$C$26*(1+Title_RESULTS!$H$18/100)^('Sheet4(F_22)'!A27-Title_RESULTS!$H$7))/1000</f>
        <v>14.131355130188387</v>
      </c>
      <c r="G27" s="5">
        <f>(+E27+F27)*Partcipation!$H27</f>
        <v>24.275017729142036</v>
      </c>
      <c r="H27" s="5">
        <f>+'Sheet5(p_5)'!$F27*'Sheet2(F_12)'!$I27</f>
        <v>130.37481041076626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3.896716454993613</v>
      </c>
      <c r="C28" s="5">
        <f>IF(+Title_RESULTS!$H$9&lt;='Sheet4(F_22)'!$A28,(+Title_RESULTS!$H$16*((1+Title_RESULTS!$H$18/100)^('Sheet4(F_22)'!$A28-Title_RESULTS!$H$7))*Title_RESULTS!$C$8*Partcipation!$C$26/1000),0)</f>
        <v>3.1427796935066548</v>
      </c>
      <c r="D28" s="5">
        <f>(+B28+C28)*+Partcipation!$H28</f>
        <v>7.039496148500268</v>
      </c>
      <c r="E28" s="5">
        <f>VLOOKUP(A28,'Value of Defferal'!$I35:$P$58,'Value of Defferal'!$K$13)</f>
        <v>10.387110501328536</v>
      </c>
      <c r="F28" s="5">
        <f>IF(+'Value of Defferal'!P35=0,0,Title_RESULTS!$H$17*Title_RESULTS!$C$7*Partcipation!$C$26*(1+Title_RESULTS!$H$18/100)^('Sheet4(F_22)'!A28-Title_RESULTS!$H$7))/1000</f>
        <v>14.470507653312907</v>
      </c>
      <c r="G28" s="5">
        <f>(+E28+F28)*Partcipation!$H28</f>
        <v>24.857618154641443</v>
      </c>
      <c r="H28" s="5">
        <f>+'Sheet5(p_5)'!$F28*'Sheet2(F_12)'!$I28</f>
        <v>142.48761803201825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3.9902376499134604</v>
      </c>
      <c r="C29" s="5">
        <f>IF(+Title_RESULTS!$H$9&lt;='Sheet4(F_22)'!$A29,(+Title_RESULTS!$H$16*((1+Title_RESULTS!$H$18/100)^('Sheet4(F_22)'!$A29-Title_RESULTS!$H$7))*Title_RESULTS!$C$8*Partcipation!$C$26/1000),0)</f>
        <v>3.2182064061508147</v>
      </c>
      <c r="D29" s="5">
        <f>(+B29+C29)*+Partcipation!$H29</f>
        <v>7.208444056064275</v>
      </c>
      <c r="E29" s="5">
        <f>VLOOKUP(A29,'Value of Defferal'!$I36:$P$58,'Value of Defferal'!$K$13)</f>
        <v>10.63640115336042</v>
      </c>
      <c r="F29" s="5">
        <f>IF(+'Value of Defferal'!P36=0,0,Title_RESULTS!$H$17*Title_RESULTS!$C$7*Partcipation!$C$26*(1+Title_RESULTS!$H$18/100)^('Sheet4(F_22)'!A29-Title_RESULTS!$H$7))/1000</f>
        <v>14.817799836992418</v>
      </c>
      <c r="G29" s="5">
        <f>(+E29+F29)*Partcipation!$H29</f>
        <v>25.454200990352838</v>
      </c>
      <c r="H29" s="5">
        <f>+'Sheet5(p_5)'!$F29*'Sheet2(F_12)'!$I29</f>
        <v>151.95008339595014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4.086003353511383</v>
      </c>
      <c r="C30" s="5">
        <f>IF(+Title_RESULTS!$H$9&lt;='Sheet4(F_22)'!$A30,(+Title_RESULTS!$H$16*((1+Title_RESULTS!$H$18/100)^('Sheet4(F_22)'!$A30-Title_RESULTS!$H$7))*Title_RESULTS!$C$8*Partcipation!$C$26/1000),0)</f>
        <v>3.2954433598984347</v>
      </c>
      <c r="D30" s="5">
        <f>(+B30+C30)*+Partcipation!$H30</f>
        <v>7.381446713409817</v>
      </c>
      <c r="E30" s="5">
        <f>VLOOKUP(A30,'Value of Defferal'!$I37:$P$58,'Value of Defferal'!$K$13)</f>
        <v>10.89167478104107</v>
      </c>
      <c r="F30" s="5">
        <f>IF(+'Value of Defferal'!P37=0,0,Title_RESULTS!$H$17*Title_RESULTS!$C$7*Partcipation!$C$26*(1+Title_RESULTS!$H$18/100)^('Sheet4(F_22)'!A30-Title_RESULTS!$H$7))/1000</f>
        <v>15.173427033080234</v>
      </c>
      <c r="G30" s="5">
        <f>(+E30+F30)*Partcipation!$H30</f>
        <v>26.065101814121306</v>
      </c>
      <c r="H30" s="5">
        <f>+'Sheet5(p_5)'!$F30*'Sheet2(F_12)'!$I30</f>
        <v>159.02522422114328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49.256094658841064</v>
      </c>
      <c r="C32" s="5">
        <f t="shared" si="1"/>
        <v>39.72602468338975</v>
      </c>
      <c r="D32" s="5">
        <f t="shared" si="1"/>
        <v>88.98211934223083</v>
      </c>
      <c r="E32" s="5">
        <f t="shared" si="1"/>
        <v>131.29733815495666</v>
      </c>
      <c r="F32" s="5">
        <f t="shared" si="1"/>
        <v>182.91315341142337</v>
      </c>
      <c r="G32" s="5">
        <f t="shared" si="1"/>
        <v>314.21049156638</v>
      </c>
      <c r="H32" s="5">
        <f t="shared" si="1"/>
        <v>1501.9497539944446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29.832427236659765</v>
      </c>
      <c r="C34" s="5">
        <f>NPV(Title_RESULTS!$C$37,'Sheet4(F_22)'!C17:C31)+'Sheet4(F_22)'!C16</f>
        <v>24.06044874197623</v>
      </c>
      <c r="D34" s="5">
        <f>NPV(Title_RESULTS!$C$37,'Sheet4(F_22)'!D17:D31)+'Sheet4(F_22)'!D16</f>
        <v>53.89287597863599</v>
      </c>
      <c r="E34" s="5">
        <f>NPV(Title_RESULTS!$C$37,'Sheet4(F_22)'!E17:E31)+'Sheet4(F_22)'!E16</f>
        <v>79.52149503537227</v>
      </c>
      <c r="F34" s="5">
        <f>NPV(Title_RESULTS!$C$37,'Sheet4(F_22)'!F17:F31)+'Sheet4(F_22)'!F16</f>
        <v>110.78310973634674</v>
      </c>
      <c r="G34" s="5">
        <f>NPV(Title_RESULTS!$C$37,'Sheet4(F_22)'!G17:G31)+'Sheet4(F_22)'!G16</f>
        <v>190.304604771719</v>
      </c>
      <c r="H34" s="5">
        <f>NPV(Title_RESULTS!$C$37,'Sheet4(F_22)'!H17:H31)+'Sheet4(F_22)'!H16</f>
        <v>860.2877449122504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High Efficiency PTAC</v>
      </c>
      <c r="P2" t="s">
        <v>121</v>
      </c>
    </row>
    <row r="3" ht="12.75">
      <c r="P3" s="35">
        <f>+Title_RESULTS!I4</f>
        <v>43599.319501736114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40</v>
      </c>
      <c r="E16" s="5">
        <f>IF(+'Sheet9(F_25)'!$A16&gt;=Title_RESULTS!$H$8,0,((Partcipation!$B16-Partcipation!$B15)*(Title_RESULTS!$C$39*((1+Title_RESULTS!$C$41/100)^('Sheet9(F_25)'!$A16-Title_RESULTS!$H$7)))/1000))</f>
        <v>5.99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5.99</v>
      </c>
      <c r="H16" s="5">
        <f>IF(Partcipation!$B17&lt;Partcipation!$B16,0,IF(Partcipation!$B16=0,0,(Partcipation!$B16-Partcipation!$B15)*(+Title_RESULTS!$C$29*(1+Title_RESULTS!$C$30/100)^(+'Sheet8(F_24)'!$A16-Title_RESULTS!$H$7))/1000))</f>
        <v>126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126</v>
      </c>
      <c r="K16" s="5">
        <f>(+Partcipation!$B15+(Partcipation!$B16-Partcipation!$B15)/2)*(+Title_RESULTS!$C$14)/1000</f>
        <v>412.22</v>
      </c>
      <c r="L16" s="5">
        <f>($K16)*Partcipation!$E73*Title_RESULTS!$C$12/100</f>
        <v>10.03595981882556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26.865999600000002</v>
      </c>
      <c r="N16" s="5">
        <f>'Sheet2(F_12)'!$I16*('Sheet6(p_6)'!$L16+'Sheet6(p_6)'!$M16)</f>
        <v>36.90195941882556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40.96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40.96</v>
      </c>
      <c r="E17" s="5">
        <f>IF(+'Sheet9(F_25)'!$A17&gt;=Title_RESULTS!$H$8,0,((Partcipation!$B17-Partcipation!$B16)*(Title_RESULTS!$C$39*((1+Title_RESULTS!$C$41/100)^('Sheet9(F_25)'!$A17-Title_RESULTS!$H$7)))/1000))</f>
        <v>5.99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5.99</v>
      </c>
      <c r="H17" s="5">
        <f>IF(Partcipation!$B18&lt;Partcipation!$B17,0,IF(Partcipation!$B17=0,0,(Partcipation!$B17-Partcipation!$B16)*(+Title_RESULTS!$C$29*(1+Title_RESULTS!$C$30/100)^(+'Sheet8(F_24)'!$A17-Title_RESULTS!$H$7))/1000))</f>
        <v>128.898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128.898</v>
      </c>
      <c r="K17" s="5">
        <f>(+Partcipation!$B16+(Partcipation!$B17-Partcipation!$B16)/2)*(+Title_RESULTS!$C$14)/1000</f>
        <v>1236.66</v>
      </c>
      <c r="L17" s="5">
        <f>($K17)*Partcipation!$E74*Title_RESULTS!$C$12/100</f>
        <v>31.54081832963126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81.40397878799999</v>
      </c>
      <c r="N17" s="5">
        <f>'Sheet2(F_12)'!$I17*('Sheet6(p_6)'!$L17+'Sheet6(p_6)'!$M17)</f>
        <v>112.94479711763125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41.943039999999996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41.943039999999996</v>
      </c>
      <c r="E18" s="5">
        <f>IF(+'Sheet9(F_25)'!$A18&gt;=Title_RESULTS!$H$8,0,((Partcipation!$B18-Partcipation!$B17)*(Title_RESULTS!$C$39*((1+Title_RESULTS!$C$41/100)^('Sheet9(F_25)'!$A18-Title_RESULTS!$H$7)))/1000))</f>
        <v>5.99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5.99</v>
      </c>
      <c r="H18" s="5">
        <f>IF(Partcipation!$B19&lt;Partcipation!$B18,0,IF(Partcipation!$B18=0,0,(Partcipation!$B18-Partcipation!$B17)*(+Title_RESULTS!$C$29*(1+Title_RESULTS!$C$30/100)^(+'Sheet8(F_24)'!$A18-Title_RESULTS!$H$7))/1000))</f>
        <v>131.86265399999996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131.86265399999996</v>
      </c>
      <c r="K18" s="5">
        <f>(+Partcipation!$B17+(Partcipation!$B18-Partcipation!$B17)/2)*(+Title_RESULTS!$C$14)/1000</f>
        <v>2061.1000000000004</v>
      </c>
      <c r="L18" s="5">
        <f>($K18)*Partcipation!$E75*Title_RESULTS!$C$12/100</f>
        <v>54.50439435526278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137.0300309598</v>
      </c>
      <c r="N18" s="5">
        <f>'Sheet2(F_12)'!$I18*('Sheet6(p_6)'!$L18+'Sheet6(p_6)'!$M18)</f>
        <v>191.53442531506278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2473.32</v>
      </c>
      <c r="L19" s="5">
        <f>($K19)*Partcipation!$E76*Title_RESULTS!$C$12/100</f>
        <v>64.86912079317263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166.08039752327758</v>
      </c>
      <c r="N19" s="5">
        <f>'Sheet2(F_12)'!$I19*('Sheet6(p_6)'!$L19+'Sheet6(p_6)'!$M19)</f>
        <v>230.94951831645022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2473.32</v>
      </c>
      <c r="L20" s="5">
        <f>($K20)*Partcipation!$E77*Title_RESULTS!$C$12/100</f>
        <v>68.54848003987486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167.74120149851038</v>
      </c>
      <c r="N20" s="5">
        <f>'Sheet2(F_12)'!$I20*('Sheet6(p_6)'!$L20+'Sheet6(p_6)'!$M20)</f>
        <v>236.28968153838525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2473.32</v>
      </c>
      <c r="L21" s="5">
        <f>($K21)*Partcipation!$E78*Title_RESULTS!$C$12/100</f>
        <v>72.4830721000588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169.41861351349547</v>
      </c>
      <c r="N21" s="5">
        <f>'Sheet2(F_12)'!$I21*('Sheet6(p_6)'!$L21+'Sheet6(p_6)'!$M21)</f>
        <v>241.90168561355426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2473.32</v>
      </c>
      <c r="L22" s="5">
        <f>($K22)*Partcipation!$E79*Title_RESULTS!$C$12/100</f>
        <v>75.76033378764909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171.11279964863044</v>
      </c>
      <c r="N22" s="5">
        <f>'Sheet2(F_12)'!$I22*('Sheet6(p_6)'!$L22+'Sheet6(p_6)'!$M22)</f>
        <v>246.87313343627955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2473.32</v>
      </c>
      <c r="L23" s="5">
        <f>($K23)*Partcipation!$E80*Title_RESULTS!$C$12/100</f>
        <v>80.22117557149573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172.82392764511673</v>
      </c>
      <c r="N23" s="5">
        <f>'Sheet2(F_12)'!$I23*('Sheet6(p_6)'!$L23+'Sheet6(p_6)'!$M23)</f>
        <v>253.04510321661246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2473.32</v>
      </c>
      <c r="L24" s="5">
        <f>($K24)*Partcipation!$E81*Title_RESULTS!$C$12/100</f>
        <v>87.81772873231824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174.55216692156793</v>
      </c>
      <c r="N24" s="5">
        <f>'Sheet2(F_12)'!$I24*('Sheet6(p_6)'!$L24+'Sheet6(p_6)'!$M24)</f>
        <v>262.36989565388615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2473.32</v>
      </c>
      <c r="L25" s="5">
        <f>($K25)*Partcipation!$E82*Title_RESULTS!$C$12/100</f>
        <v>92.29184426874728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176.2976885907836</v>
      </c>
      <c r="N25" s="5">
        <f>'Sheet2(F_12)'!$I25*('Sheet6(p_6)'!$L25+'Sheet6(p_6)'!$M25)</f>
        <v>268.5895328595309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2473.32</v>
      </c>
      <c r="L26" s="5">
        <f>($K26)*Partcipation!$E83*Title_RESULTS!$C$12/100</f>
        <v>100.5567623272415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178.06066547669144</v>
      </c>
      <c r="N26" s="5">
        <f>'Sheet2(F_12)'!$I26*('Sheet6(p_6)'!$L26+'Sheet6(p_6)'!$M26)</f>
        <v>278.61742780393297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2473.32</v>
      </c>
      <c r="L27" s="5">
        <f>($K27)*Partcipation!$E84*Title_RESULTS!$C$12/100</f>
        <v>104.02316329377884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179.84127213145834</v>
      </c>
      <c r="N27" s="5">
        <f>'Sheet2(F_12)'!$I27*('Sheet6(p_6)'!$L27+'Sheet6(p_6)'!$M27)</f>
        <v>283.86443542523716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2473.32</v>
      </c>
      <c r="L28" s="5">
        <f>($K28)*Partcipation!$E85*Title_RESULTS!$C$12/100</f>
        <v>111.44532499469733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181.63968485277292</v>
      </c>
      <c r="N28" s="5">
        <f>'Sheet2(F_12)'!$I28*('Sheet6(p_6)'!$L28+'Sheet6(p_6)'!$M28)</f>
        <v>293.08500984747025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2473.32</v>
      </c>
      <c r="L29" s="5">
        <f>($K29)*Partcipation!$E86*Title_RESULTS!$C$12/100</f>
        <v>113.78293346009794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183.45608170130066</v>
      </c>
      <c r="N29" s="5">
        <f>'Sheet2(F_12)'!$I29*('Sheet6(p_6)'!$L29+'Sheet6(p_6)'!$M29)</f>
        <v>297.2390151613986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2473.32</v>
      </c>
      <c r="L30" s="5">
        <f>($K30)*Partcipation!$E87*Title_RESULTS!$C$12/100</f>
        <v>121.29770058637457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185.2906425183137</v>
      </c>
      <c r="N30" s="5">
        <f>'Sheet2(F_12)'!$I30*('Sheet6(p_6)'!$L30+'Sheet6(p_6)'!$M30)</f>
        <v>306.58834310468825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122.90304</v>
      </c>
      <c r="C32" s="5">
        <f t="shared" si="4"/>
        <v>0</v>
      </c>
      <c r="D32" s="5">
        <f t="shared" si="4"/>
        <v>122.90304</v>
      </c>
      <c r="E32" s="5">
        <f t="shared" si="4"/>
        <v>17.97</v>
      </c>
      <c r="F32" s="5">
        <f t="shared" si="4"/>
        <v>0</v>
      </c>
      <c r="G32" s="5">
        <f t="shared" si="4"/>
        <v>17.97</v>
      </c>
      <c r="H32" s="5">
        <f t="shared" si="4"/>
        <v>386.76065399999993</v>
      </c>
      <c r="I32" s="5">
        <f t="shared" si="4"/>
        <v>0</v>
      </c>
      <c r="J32" s="5">
        <f t="shared" si="4"/>
        <v>386.76065399999993</v>
      </c>
      <c r="K32" s="5">
        <f t="shared" si="4"/>
        <v>33389.82</v>
      </c>
      <c r="L32" s="5">
        <f t="shared" si="4"/>
        <v>1189.1788124592263</v>
      </c>
      <c r="M32" s="5">
        <f t="shared" si="4"/>
        <v>2351.615151369719</v>
      </c>
      <c r="N32" s="5">
        <f t="shared" si="4"/>
        <v>3540.7939638289454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114.83173044385765</v>
      </c>
      <c r="C34" s="5">
        <f>NPV(Title_RESULTS!$C$37,'Sheet6(p_6)'!C17:C31)+'Sheet6(p_6)'!C16</f>
        <v>0</v>
      </c>
      <c r="D34" s="5">
        <f>NPV(Title_RESULTS!$C$37,'Sheet6(p_6)'!D17:D31)+'Sheet6(p_6)'!D16</f>
        <v>114.83173044385765</v>
      </c>
      <c r="E34" s="5">
        <f>NPV(Title_RESULTS!$C$37,'Sheet6(p_6)'!E17:E31)+'Sheet6(p_6)'!E16</f>
        <v>16.80803179842846</v>
      </c>
      <c r="F34" s="5">
        <f>NPV(Title_RESULTS!$C$37,'Sheet6(p_6)'!F17:F31)+'Sheet6(p_6)'!F16</f>
        <v>0</v>
      </c>
      <c r="G34" s="5">
        <f>NPV(Title_RESULTS!$C$37,'Sheet6(p_6)'!G17:G31)+'Sheet6(p_6)'!G16</f>
        <v>16.80803179842846</v>
      </c>
      <c r="H34" s="5">
        <f>NPV(Title_RESULTS!$C$37,'Sheet6(p_6)'!H17:H31)+'Sheet6(p_6)'!H16</f>
        <v>361.3773392904512</v>
      </c>
      <c r="I34" s="5">
        <f>NPV(Title_RESULTS!$C$37,'Sheet6(p_6)'!I17:I31)+'Sheet6(p_6)'!I16</f>
        <v>0</v>
      </c>
      <c r="J34" s="5">
        <f>NPV(Title_RESULTS!$C$37,'Sheet6(p_6)'!J17:J31)+'Sheet6(p_6)'!J16</f>
        <v>361.3773392904512</v>
      </c>
      <c r="K34" s="5"/>
      <c r="L34" s="5">
        <f>NPV(Title_RESULTS!$C$37,'Sheet6(p_6)'!L17:L31)+'Sheet6(p_6)'!L16</f>
        <v>686.2155403877483</v>
      </c>
      <c r="M34" s="5">
        <f>NPV(Title_RESULTS!$C$37,'Sheet6(p_6)'!M17:M31)+'Sheet6(p_6)'!M16</f>
        <v>1423.4214135486259</v>
      </c>
      <c r="N34" s="5">
        <f>NPV(Title_RESULTS!$C$37,'Sheet6(p_6)'!N17:N31)+'Sheet6(p_6)'!N16</f>
        <v>2109.636953936374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High Efficiency PTAC</v>
      </c>
      <c r="M2" t="s">
        <v>55</v>
      </c>
    </row>
    <row r="3" ht="12.75">
      <c r="M3" s="35">
        <f>+Title_RESULTS!I4</f>
        <v>43599.319501736114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IF(A16&gt;=(Title_RESULTS!$H$7+Title_RESULTS!$C$17),0,(+'Sheet6(p_6)'!$J16))</f>
        <v>126</v>
      </c>
      <c r="E16" s="5">
        <f>IF(A16&gt;=(Title_RESULTS!$H$7+Title_RESULTS!$C$17),0,(+'f-11B'!$N15))</f>
        <v>0</v>
      </c>
      <c r="F16" s="5">
        <f>IF(A16&gt;=(Title_RESULTS!$H$7+Title_RESULTS!$C$17),0,(SUM(B16:E16)))</f>
        <v>166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12.61319115003241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12.61319115003241</v>
      </c>
      <c r="L16" s="23">
        <f>IF(A16&gt;=(Title_RESULTS!$H$7+Title_RESULTS!$C$17),0,(+$K16-$F16))</f>
        <v>-153.3868088499676</v>
      </c>
      <c r="M16" s="23">
        <f>IF(A16&gt;=(Title_RESULTS!$H$7+Title_RESULTS!$C$17),0,(+$L16/(1+Title_RESULTS!$C$37)^('Sheet7(F_23)'!$A16-Title_RESULTS!$H$7)))</f>
        <v>-153.3868088499676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IF(A17&gt;=(Title_RESULTS!$H$7+Title_RESULTS!$C$17),0,(+'Sheet6(p_6)'!$J17))</f>
        <v>128.898</v>
      </c>
      <c r="E17" s="5">
        <f>IF(A17&gt;=(Title_RESULTS!$H$7+Title_RESULTS!$C$17),0,(+'f-11B'!$N16))</f>
        <v>0</v>
      </c>
      <c r="F17" s="5">
        <f>IF(A17&gt;=(Title_RESULTS!$H$7+Title_RESULTS!$C$17),0,(SUM(B17:E17)))</f>
        <v>169.858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24.57264303038521</v>
      </c>
      <c r="I17" s="5">
        <f>IF(A17&gt;=(Title_RESULTS!$H$7+Title_RESULTS!$C$17),0,(+'Sheet4(F_22)'!$H17))</f>
        <v>37.531791914725545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62.104434945110754</v>
      </c>
      <c r="L17" s="23">
        <f>IF(A17&gt;=(Title_RESULTS!$H$7+Title_RESULTS!$C$17),0,(+$K17-$F17))</f>
        <v>-107.75356505488925</v>
      </c>
      <c r="M17" s="23">
        <f>IF(A17&gt;=(Title_RESULTS!$H$7+Title_RESULTS!$C$17),0,(+M16+$L17/(1+Title_RESULTS!$C$37)^('Sheet7(F_23)'!$A17-Title_RESULTS!$H$7)))</f>
        <v>-254.01583859865013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IF(A18&gt;=(Title_RESULTS!$H$7+Title_RESULTS!$C$17),0,(+'Sheet6(p_6)'!$J18))</f>
        <v>131.86265399999996</v>
      </c>
      <c r="E18" s="5">
        <f>IF(A18&gt;=(Title_RESULTS!$H$7+Title_RESULTS!$C$17),0,(+'f-11B'!$N17))</f>
        <v>0</v>
      </c>
      <c r="F18" s="5">
        <f>IF(A18&gt;=(Title_RESULTS!$H$7+Title_RESULTS!$C$17),0,(SUM(B18:E18)))</f>
        <v>173.80569399999996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25.16238646311445</v>
      </c>
      <c r="I18" s="5">
        <f>IF(A18&gt;=(Title_RESULTS!$H$7+Title_RESULTS!$C$17),0,(+'Sheet4(F_22)'!$H18))</f>
        <v>64.55886891573385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89.7212553788483</v>
      </c>
      <c r="L18" s="23">
        <f>IF(A18&gt;=(Title_RESULTS!$H$7+Title_RESULTS!$C$17),0,(+$K18-$F18))</f>
        <v>-84.08443862115166</v>
      </c>
      <c r="M18" s="23">
        <f>IF(A18&gt;=(Title_RESULTS!$H$7+Title_RESULTS!$C$17),0,(+M17+$L18/(1+Title_RESULTS!$C$37)^('Sheet7(F_23)'!$A18-Title_RESULTS!$H$7)))</f>
        <v>-327.3487460582711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65.86868099404973</v>
      </c>
      <c r="H19" s="5">
        <f>IF(A19&gt;=(Title_RESULTS!$H$7+Title_RESULTS!$C$17),0,(+'Sheet4(F_22)'!$D19+'Sheet4(F_22)'!$G19))</f>
        <v>25.7662837382292</v>
      </c>
      <c r="I19" s="5">
        <f>IF(A19&gt;=(Title_RESULTS!$H$7+Title_RESULTS!$C$17),0,(+'Sheet4(F_22)'!$H19))</f>
        <v>80.64878241623799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172.2837471485169</v>
      </c>
      <c r="L19" s="23">
        <f>IF(A19&gt;=(Title_RESULTS!$H$7+Title_RESULTS!$C$17),0,(+$K19-$F19))</f>
        <v>172.2837471485169</v>
      </c>
      <c r="M19" s="23">
        <f>IF(A19&gt;=(Title_RESULTS!$H$7+Title_RESULTS!$C$17),0,(+M18+$L19/(1+Title_RESULTS!$C$37)^('Sheet7(F_23)'!$A19-Title_RESULTS!$H$7)))</f>
        <v>-187.02886060523147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67.62513390879978</v>
      </c>
      <c r="H20" s="5">
        <f>IF(A20&gt;=(Title_RESULTS!$H$7+Title_RESULTS!$C$17),0,(+'Sheet4(F_22)'!$D20+'Sheet4(F_22)'!$G20))</f>
        <v>26.3846745479467</v>
      </c>
      <c r="I20" s="5">
        <f>IF(A20&gt;=(Title_RESULTS!$H$7+Title_RESULTS!$C$17),0,(+'Sheet4(F_22)'!$H20))</f>
        <v>83.81797558180199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177.8277840385485</v>
      </c>
      <c r="L20" s="23">
        <f>IF(A20&gt;=(Title_RESULTS!$H$7+Title_RESULTS!$C$17),0,(+$K20-$F20))</f>
        <v>177.8277840385485</v>
      </c>
      <c r="M20" s="23">
        <f>IF(A20&gt;=(Title_RESULTS!$H$7+Title_RESULTS!$C$17),0,(+M19+$L20/(1+Title_RESULTS!$C$37)^('Sheet7(F_23)'!$A20-Title_RESULTS!$H$7)))</f>
        <v>-51.76986237060146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69.54675461655822</v>
      </c>
      <c r="H21" s="5">
        <f>IF(A21&gt;=(Title_RESULTS!$H$7+Title_RESULTS!$C$17),0,(+'Sheet4(F_22)'!$D21+'Sheet4(F_22)'!$G21))</f>
        <v>27.01790673709742</v>
      </c>
      <c r="I21" s="5">
        <f>IF(A21&gt;=(Title_RESULTS!$H$7+Title_RESULTS!$C$17),0,(+'Sheet4(F_22)'!$H21))</f>
        <v>89.99527108741306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186.5599324410687</v>
      </c>
      <c r="L21" s="23">
        <f>IF(A21&gt;=(Title_RESULTS!$H$7+Title_RESULTS!$C$17),0,(+$K21-$F21))</f>
        <v>186.5599324410687</v>
      </c>
      <c r="M21" s="23">
        <f>IF(A21&gt;=(Title_RESULTS!$H$7+Title_RESULTS!$C$17),0,(+M20+$L21/(1+Title_RESULTS!$C$37)^('Sheet7(F_23)'!$A21-Title_RESULTS!$H$7)))</f>
        <v>80.74865345085345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71.69894116728679</v>
      </c>
      <c r="H22" s="5">
        <f>IF(A22&gt;=(Title_RESULTS!$H$7+Title_RESULTS!$C$17),0,(+'Sheet4(F_22)'!$D22+'Sheet4(F_22)'!$G22))</f>
        <v>27.666336498787757</v>
      </c>
      <c r="I22" s="5">
        <f>IF(A22&gt;=(Title_RESULTS!$H$7+Title_RESULTS!$C$17),0,(+'Sheet4(F_22)'!$H22))</f>
        <v>92.88183562125504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192.24711328732957</v>
      </c>
      <c r="L22" s="23">
        <f>IF(A22&gt;=(Title_RESULTS!$H$7+Title_RESULTS!$C$17),0,(+$K22-$F22))</f>
        <v>192.24711328732957</v>
      </c>
      <c r="M22" s="23">
        <f>IF(A22&gt;=(Title_RESULTS!$H$7+Title_RESULTS!$C$17),0,(+M21+$L22/(1+Title_RESULTS!$C$37)^('Sheet7(F_23)'!$A22-Title_RESULTS!$H$7)))</f>
        <v>208.27785841082283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73.62916343142842</v>
      </c>
      <c r="H23" s="5">
        <f>IF(A23&gt;=(Title_RESULTS!$H$7+Title_RESULTS!$C$17),0,(+'Sheet4(F_22)'!$D23+'Sheet4(F_22)'!$G23))</f>
        <v>28.330328574758667</v>
      </c>
      <c r="I23" s="5">
        <f>IF(A23&gt;=(Title_RESULTS!$H$7+Title_RESULTS!$C$17),0,(+'Sheet4(F_22)'!$H23))</f>
        <v>98.68653462709284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200.64602663327992</v>
      </c>
      <c r="L23" s="23">
        <f>IF(A23&gt;=(Title_RESULTS!$H$7+Title_RESULTS!$C$17),0,(+$K23-$F23))</f>
        <v>200.64602663327992</v>
      </c>
      <c r="M23" s="23">
        <f>IF(A23&gt;=(Title_RESULTS!$H$7+Title_RESULTS!$C$17),0,(+M22+$L23/(1+Title_RESULTS!$C$37)^('Sheet7(F_23)'!$A23-Title_RESULTS!$H$7)))</f>
        <v>332.5781153238014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74.82165403833926</v>
      </c>
      <c r="H24" s="5">
        <f>IF(A24&gt;=(Title_RESULTS!$H$7+Title_RESULTS!$C$17),0,(+'Sheet4(F_22)'!$D24+'Sheet4(F_22)'!$G24))</f>
        <v>29.010256460552867</v>
      </c>
      <c r="I24" s="5">
        <f>IF(A24&gt;=(Title_RESULTS!$H$7+Title_RESULTS!$C$17),0,(+'Sheet4(F_22)'!$H24))</f>
        <v>109.35609253110756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213.1880030299997</v>
      </c>
      <c r="L24" s="23">
        <f>IF(A24&gt;=(Title_RESULTS!$H$7+Title_RESULTS!$C$17),0,(+$K24-$F24))</f>
        <v>213.1880030299997</v>
      </c>
      <c r="M24" s="23">
        <f>IF(A24&gt;=(Title_RESULTS!$H$7+Title_RESULTS!$C$17),0,(+M23+$L24/(1+Title_RESULTS!$C$37)^('Sheet7(F_23)'!$A24-Title_RESULTS!$H$7)))</f>
        <v>455.91581984793896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76.85416424806462</v>
      </c>
      <c r="H25" s="5">
        <f>IF(A25&gt;=(Title_RESULTS!$H$7+Title_RESULTS!$C$17),0,(+'Sheet4(F_22)'!$D25+'Sheet4(F_22)'!$G25))</f>
        <v>29.70650261560614</v>
      </c>
      <c r="I25" s="5">
        <f>IF(A25&gt;=(Title_RESULTS!$H$7+Title_RESULTS!$C$17),0,(+'Sheet4(F_22)'!$H25))</f>
        <v>117.16021010346222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223.720876967133</v>
      </c>
      <c r="L25" s="23">
        <f>IF(A25&gt;=(Title_RESULTS!$H$7+Title_RESULTS!$C$17),0,(+$K25-$F25))</f>
        <v>223.720876967133</v>
      </c>
      <c r="M25" s="23">
        <f>IF(A25&gt;=(Title_RESULTS!$H$7+Title_RESULTS!$C$17),0,(+M24+$L25/(1+Title_RESULTS!$C$37)^('Sheet7(F_23)'!$A25-Title_RESULTS!$H$7)))</f>
        <v>576.7893623613829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78.0844643160377</v>
      </c>
      <c r="H26" s="5">
        <f>IF(A26&gt;=(Title_RESULTS!$H$7+Title_RESULTS!$C$17),0,(+'Sheet4(F_22)'!$D26+'Sheet4(F_22)'!$G26))</f>
        <v>30.41945867838069</v>
      </c>
      <c r="I26" s="5">
        <f>IF(A26&gt;=(Title_RESULTS!$H$7+Title_RESULTS!$C$17),0,(+'Sheet4(F_22)'!$H26))</f>
        <v>130.86146398570415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239.36538698012254</v>
      </c>
      <c r="L26" s="23">
        <f>IF(A26&gt;=(Title_RESULTS!$H$7+Title_RESULTS!$C$17),0,(+$K26-$F26))</f>
        <v>239.36538698012254</v>
      </c>
      <c r="M26" s="23">
        <f>IF(A26&gt;=(Title_RESULTS!$H$7+Title_RESULTS!$C$17),0,(+M25+$L26/(1+Title_RESULTS!$C$37)^('Sheet7(F_23)'!$A26-Title_RESULTS!$H$7)))</f>
        <v>697.564551159145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80.78029348967993</v>
      </c>
      <c r="H27" s="5">
        <f>IF(A27&gt;=(Title_RESULTS!$H$7+Title_RESULTS!$C$17),0,(+'Sheet4(F_22)'!$D27+'Sheet4(F_22)'!$G27))</f>
        <v>31.149525686661832</v>
      </c>
      <c r="I27" s="5">
        <f>IF(A27&gt;=(Title_RESULTS!$H$7+Title_RESULTS!$C$17),0,(+'Sheet4(F_22)'!$H27))</f>
        <v>130.37481041076626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242.30462958710802</v>
      </c>
      <c r="L27" s="23">
        <f>IF(A27&gt;=(Title_RESULTS!$H$7+Title_RESULTS!$C$17),0,(+$K27-$F27))</f>
        <v>242.30462958710802</v>
      </c>
      <c r="M27" s="23">
        <f>IF(A27&gt;=(Title_RESULTS!$H$7+Title_RESULTS!$C$17),0,(+M26+$L27/(1+Title_RESULTS!$C$37)^('Sheet7(F_23)'!$A27-Title_RESULTS!$H$7)))</f>
        <v>811.7392104732471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82.48318939296672</v>
      </c>
      <c r="H28" s="5">
        <f>IF(A28&gt;=(Title_RESULTS!$H$7+Title_RESULTS!$C$17),0,(+'Sheet4(F_22)'!$D28+'Sheet4(F_22)'!$G28))</f>
        <v>31.897114303141713</v>
      </c>
      <c r="I28" s="5">
        <f>IF(A28&gt;=(Title_RESULTS!$H$7+Title_RESULTS!$C$17),0,(+'Sheet4(F_22)'!$H28))</f>
        <v>142.48761803201825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256.8679217281267</v>
      </c>
      <c r="L28" s="23">
        <f>IF(A28&gt;=(Title_RESULTS!$H$7+Title_RESULTS!$C$17),0,(+$K28-$F28))</f>
        <v>256.8679217281267</v>
      </c>
      <c r="M28" s="23">
        <f>IF(A28&gt;=(Title_RESULTS!$H$7+Title_RESULTS!$C$17),0,(+M27+$L28/(1+Title_RESULTS!$C$37)^('Sheet7(F_23)'!$A28-Title_RESULTS!$H$7)))</f>
        <v>924.7733211533155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85.42912790223136</v>
      </c>
      <c r="H29" s="5">
        <f>IF(A29&gt;=(Title_RESULTS!$H$7+Title_RESULTS!$C$17),0,(+'Sheet4(F_22)'!$D29+'Sheet4(F_22)'!$G29))</f>
        <v>32.66264504641711</v>
      </c>
      <c r="I29" s="5">
        <f>IF(A29&gt;=(Title_RESULTS!$H$7+Title_RESULTS!$C$17),0,(+'Sheet4(F_22)'!$H29))</f>
        <v>151.95008339595014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270.0418563445986</v>
      </c>
      <c r="L29" s="23">
        <f>IF(A29&gt;=(Title_RESULTS!$H$7+Title_RESULTS!$C$17),0,(+$K29-$F29))</f>
        <v>270.0418563445986</v>
      </c>
      <c r="M29" s="23">
        <f>IF(A29&gt;=(Title_RESULTS!$H$7+Title_RESULTS!$C$17),0,(+M28+$L29/(1+Title_RESULTS!$C$37)^('Sheet7(F_23)'!$A29-Title_RESULTS!$H$7)))</f>
        <v>1035.747610375044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87.07876865986992</v>
      </c>
      <c r="H30" s="5">
        <f>IF(A30&gt;=(Title_RESULTS!$H$7+Title_RESULTS!$C$17),0,(+'Sheet4(F_22)'!$D30+'Sheet4(F_22)'!$G30))</f>
        <v>33.44654852753112</v>
      </c>
      <c r="I30" s="5">
        <f>IF(A30&gt;=(Title_RESULTS!$H$7+Title_RESULTS!$C$17),0,(+'Sheet4(F_22)'!$H30))</f>
        <v>159.02522422114328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279.5505414085443</v>
      </c>
      <c r="L30" s="23">
        <f>IF(A30&gt;=(Title_RESULTS!$H$7+Title_RESULTS!$C$17),0,(+$K30-$F30))</f>
        <v>279.5505414085443</v>
      </c>
      <c r="M30" s="23">
        <f>IF(A30&gt;=(Title_RESULTS!$H$7+Title_RESULTS!$C$17),0,(+M29+$L30/(1+Title_RESULTS!$C$37)^('Sheet7(F_23)'!$A30-Title_RESULTS!$H$7)))</f>
        <v>1143.0336619868463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122.90304</v>
      </c>
      <c r="D32" s="5">
        <f t="shared" si="1"/>
        <v>386.76065399999993</v>
      </c>
      <c r="E32" s="5">
        <f t="shared" si="1"/>
        <v>0</v>
      </c>
      <c r="F32" s="5">
        <f t="shared" si="1"/>
        <v>509.66369399999996</v>
      </c>
      <c r="G32" s="5">
        <f t="shared" si="1"/>
        <v>913.9003361653124</v>
      </c>
      <c r="H32" s="5">
        <f t="shared" si="1"/>
        <v>403.19261090861096</v>
      </c>
      <c r="I32" s="5">
        <f t="shared" si="1"/>
        <v>1501.9497539944446</v>
      </c>
      <c r="J32" s="5">
        <f t="shared" si="1"/>
        <v>0</v>
      </c>
      <c r="K32" s="5">
        <f t="shared" si="1"/>
        <v>2819.042701068368</v>
      </c>
      <c r="L32" s="5">
        <f t="shared" si="1"/>
        <v>2309.3790070683676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114.83173044385765</v>
      </c>
      <c r="D34" s="5">
        <f>NPV(Title_RESULTS!$C$37,'Sheet7(F_23)'!D17:D31)+'Sheet7(F_23)'!D16</f>
        <v>361.3773392904512</v>
      </c>
      <c r="E34" s="5">
        <f>NPV(Title_RESULTS!$C$37,'Sheet7(F_23)'!E17:E31)+'Sheet7(F_23)'!E16</f>
        <v>0</v>
      </c>
      <c r="F34" s="5">
        <f>NPV(Title_RESULTS!$C$37,'Sheet7(F_23)'!F17:F31)+'Sheet7(F_23)'!F16</f>
        <v>476.2090697343089</v>
      </c>
      <c r="G34" s="5">
        <f>NPV(Title_RESULTS!$C$37,'Sheet7(F_23)'!G17:G31)+'Sheet7(F_23)'!G16</f>
        <v>514.7575060585497</v>
      </c>
      <c r="H34" s="5">
        <f>NPV(Title_RESULTS!$C$37,'Sheet7(F_23)'!H17:H31)+'Sheet7(F_23)'!H16</f>
        <v>244.197480750355</v>
      </c>
      <c r="I34" s="5">
        <f>NPV(Title_RESULTS!$C$37,'Sheet7(F_23)'!I17:I31)+'Sheet7(F_23)'!I16</f>
        <v>860.2877449122504</v>
      </c>
      <c r="J34" s="5">
        <f>NPV(Title_RESULTS!$C$37,'Sheet7(F_23)'!J17:J31)+'Sheet7(F_23)'!J16</f>
        <v>0</v>
      </c>
      <c r="K34" s="5">
        <f>NPV(Title_RESULTS!$C$37,'Sheet7(F_23)'!K17:K31)+'Sheet7(F_23)'!K16</f>
        <v>1619.242731721155</v>
      </c>
      <c r="L34" s="5">
        <f>NPV(Title_RESULTS!$C$37,'Sheet7(F_23)'!L17:L31)+'Sheet7(F_23)'!L16</f>
        <v>1143.0336619868465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3.4002769678968487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High Efficiency PTAC</v>
      </c>
      <c r="L2" t="s">
        <v>55</v>
      </c>
    </row>
    <row r="3" ht="12.75">
      <c r="L3" s="35">
        <f>+Title_RESULTS!I4</f>
        <v>43599.319501736114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36.90195941882556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5.99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42.891959418825564</v>
      </c>
      <c r="G16" s="5">
        <f>IF(A16&gt;=(Title_RESULTS!$H$7+Title_RESULTS!$C$17),0,(+'Sheet6(p_6)'!$H16))</f>
        <v>126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126</v>
      </c>
      <c r="K16" s="23">
        <f>IF(A16&gt;=(Title_RESULTS!$H$7+Title_RESULTS!$C$17),0,(+F16-J16))</f>
        <v>-83.10804058117444</v>
      </c>
      <c r="L16" s="23">
        <f>IF(A16&gt;=(Title_RESULTS!$H$7+Title_RESULTS!$C$17),0,(+$K16/((1+Title_RESULTS!$C$37)^('Sheet8(F_24)'!$A16-Title_RESULTS!$H$7))))</f>
        <v>-83.10804058117444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112.94479711763125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5.99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118.93479711763125</v>
      </c>
      <c r="G17" s="5">
        <f>IF(A17&gt;=(Title_RESULTS!$H$7+Title_RESULTS!$C$17),0,(+'Sheet6(p_6)'!$H17))</f>
        <v>128.898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128.898</v>
      </c>
      <c r="K17" s="23">
        <f>IF(A17&gt;=(Title_RESULTS!$H$7+Title_RESULTS!$C$17),0,(+F17-J17))</f>
        <v>-9.963202882368748</v>
      </c>
      <c r="L17" s="23">
        <f>IF(A16&gt;=(Title_RESULTS!$H$7+Title_RESULTS!$C$17),0,(+$K17/((1+Title_RESULTS!$C$37)^('Sheet8(F_24)'!$A17-Title_RESULTS!$H$7))+L16))</f>
        <v>-92.41248854752553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191.53442531506278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5.99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197.52442531506279</v>
      </c>
      <c r="G18" s="5">
        <f>IF(A18&gt;=(Title_RESULTS!$H$7+Title_RESULTS!$C$17),0,(+'Sheet6(p_6)'!$H18))</f>
        <v>131.86265399999996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131.86265399999996</v>
      </c>
      <c r="K18" s="23">
        <f>IF(A18&gt;=(Title_RESULTS!$H$7+Title_RESULTS!$C$17),0,(+F18-J18))</f>
        <v>65.66177131506282</v>
      </c>
      <c r="L18" s="23">
        <f>IF(A17&gt;=(Title_RESULTS!$H$7+Title_RESULTS!$C$17),0,(+$K18/((1+Title_RESULTS!$C$37)^('Sheet8(F_24)'!$A18-Title_RESULTS!$H$7))+L17))</f>
        <v>-35.14661773429009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230.94951831645022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230.94951831645022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230.94951831645022</v>
      </c>
      <c r="L19" s="23">
        <f>IF(A18&gt;=(Title_RESULTS!$H$7+Title_RESULTS!$C$17),0,(+$K19/((1+Title_RESULTS!$C$37)^('Sheet8(F_24)'!$A19-Title_RESULTS!$H$7))+L18))</f>
        <v>152.95475858220445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236.28968153838525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236.28968153838525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236.28968153838525</v>
      </c>
      <c r="L20" s="23">
        <f>IF(A19&gt;=(Title_RESULTS!$H$7+Title_RESULTS!$C$17),0,(+$K20/((1+Title_RESULTS!$C$37)^('Sheet8(F_24)'!$A20-Title_RESULTS!$H$7))+L19))</f>
        <v>332.6809233705683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241.90168561355426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241.90168561355426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241.90168561355426</v>
      </c>
      <c r="L21" s="23">
        <f>IF(A20&gt;=(Title_RESULTS!$H$7+Title_RESULTS!$C$17),0,(+$K21/((1+Title_RESULTS!$C$37)^('Sheet8(F_24)'!$A21-Title_RESULTS!$H$7))+L20))</f>
        <v>504.5101684435559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246.87313343627955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246.87313343627955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246.87313343627955</v>
      </c>
      <c r="L22" s="23">
        <f>IF(A21&gt;=(Title_RESULTS!$H$7+Title_RESULTS!$C$17),0,(+$K22/((1+Title_RESULTS!$C$37)^('Sheet8(F_24)'!$A22-Title_RESULTS!$H$7))+L21))</f>
        <v>668.2761355613579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253.04510321661246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253.04510321661246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253.04510321661246</v>
      </c>
      <c r="L23" s="23">
        <f>IF(A22&gt;=(Title_RESULTS!$H$7+Title_RESULTS!$C$17),0,(+$K23/((1+Title_RESULTS!$C$37)^('Sheet8(F_24)'!$A23-Title_RESULTS!$H$7))+L22))</f>
        <v>825.0376317552681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262.36989565388615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262.36989565388615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262.36989565388615</v>
      </c>
      <c r="L24" s="23">
        <f>IF(A23&gt;=(Title_RESULTS!$H$7+Title_RESULTS!$C$17),0,(+$K24/((1+Title_RESULTS!$C$37)^('Sheet8(F_24)'!$A24-Title_RESULTS!$H$7))+L23))</f>
        <v>976.8290093480969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268.5895328595309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268.5895328595309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268.5895328595309</v>
      </c>
      <c r="L25" s="23">
        <f>IF(A24&gt;=(Title_RESULTS!$H$7+Title_RESULTS!$C$17),0,(+$K25/((1+Title_RESULTS!$C$37)^('Sheet8(F_24)'!$A25-Title_RESULTS!$H$7))+L24))</f>
        <v>1121.9445155935514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278.61742780393297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278.61742780393297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278.61742780393297</v>
      </c>
      <c r="L26" s="23">
        <f>IF(A25&gt;=(Title_RESULTS!$H$7+Title_RESULTS!$C$17),0,(+$K26/((1+Title_RESULTS!$C$37)^('Sheet8(F_24)'!$A26-Title_RESULTS!$H$7))+L25))</f>
        <v>1262.5248763127945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283.86443542523716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283.86443542523716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283.86443542523716</v>
      </c>
      <c r="L27" s="23">
        <f>IF(A26&gt;=(Title_RESULTS!$H$7+Title_RESULTS!$C$17),0,(+$K27/((1+Title_RESULTS!$C$37)^('Sheet8(F_24)'!$A27-Title_RESULTS!$H$7))+L26))</f>
        <v>1396.2826392630686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293.08500984747025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293.08500984747025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293.08500984747025</v>
      </c>
      <c r="L28" s="23">
        <f>IF(A27&gt;=(Title_RESULTS!$H$7+Title_RESULTS!$C$17),0,(+$K28/((1+Title_RESULTS!$C$37)^('Sheet8(F_24)'!$A28-Title_RESULTS!$H$7))+L27))</f>
        <v>1525.253992396185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297.2390151613986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297.2390151613986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297.2390151613986</v>
      </c>
      <c r="L29" s="23">
        <f>IF(A28&gt;=(Title_RESULTS!$H$7+Title_RESULTS!$C$17),0,(+$K29/((1+Title_RESULTS!$C$37)^('Sheet8(F_24)'!$A29-Title_RESULTS!$H$7))+L28))</f>
        <v>1647.4050132898117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306.58834310468825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306.58834310468825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306.58834310468825</v>
      </c>
      <c r="L30" s="23">
        <f>IF(A29&gt;=(Title_RESULTS!$H$7+Title_RESULTS!$C$17),0,(+$K30/((1+Title_RESULTS!$C$37)^('Sheet8(F_24)'!$A30-Title_RESULTS!$H$7))+L29))</f>
        <v>1765.0676464443516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3540.7939638289454</v>
      </c>
      <c r="C32" s="5">
        <f t="shared" si="1"/>
        <v>0</v>
      </c>
      <c r="D32" s="5">
        <f t="shared" si="1"/>
        <v>17.97</v>
      </c>
      <c r="E32" s="5">
        <f t="shared" si="1"/>
        <v>0</v>
      </c>
      <c r="F32" s="5">
        <f t="shared" si="1"/>
        <v>3558.7639638289456</v>
      </c>
      <c r="G32" s="5">
        <f t="shared" si="1"/>
        <v>386.76065399999993</v>
      </c>
      <c r="H32" s="5">
        <f t="shared" si="1"/>
        <v>0</v>
      </c>
      <c r="I32" s="5">
        <f t="shared" si="1"/>
        <v>0</v>
      </c>
      <c r="J32" s="5">
        <f t="shared" si="1"/>
        <v>386.76065399999993</v>
      </c>
      <c r="K32" s="5">
        <f t="shared" si="1"/>
        <v>3172.0033098289455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2109.636953936374</v>
      </c>
      <c r="C34" s="5">
        <f>NPV(Title_RESULTS!$C$37,'Sheet8(F_24)'!C17:C31)+'Sheet8(F_24)'!C16</f>
        <v>0</v>
      </c>
      <c r="D34" s="5">
        <f>NPV(Title_RESULTS!$C$37,'Sheet8(F_24)'!D17:D31)+'Sheet8(F_24)'!D16</f>
        <v>16.80803179842846</v>
      </c>
      <c r="E34" s="5">
        <f>NPV(Title_RESULTS!$C$37,'Sheet8(F_24)'!E17:E31)+'Sheet8(F_24)'!E16</f>
        <v>0</v>
      </c>
      <c r="F34" s="5">
        <f>NPV(Title_RESULTS!$C$37,'Sheet8(F_24)'!F17:F31)+'Sheet8(F_24)'!F16</f>
        <v>2126.4449857348022</v>
      </c>
      <c r="G34" s="5">
        <f>NPV(Title_RESULTS!$C$37,'Sheet8(F_24)'!G17:G31)+'Sheet8(F_24)'!G16</f>
        <v>361.3773392904512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361.3773392904512</v>
      </c>
      <c r="K34" s="5">
        <f>NPV(Title_RESULTS!$C$37,'Sheet8(F_24)'!K17:K31)+'Sheet8(F_24)'!K16</f>
        <v>1765.0676464443513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5.884278715178946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High Efficiency PTAC</v>
      </c>
      <c r="N2" t="s">
        <v>55</v>
      </c>
    </row>
    <row r="3" ht="12.75">
      <c r="N3" s="35">
        <f>+Title_RESULTS!I4</f>
        <v>43599.319501736114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IF(A16&gt;=(Title_RESULTS!$H$7+Title_RESULTS!$C$17),0,(+'Sheet6(p_6)'!$G16))</f>
        <v>5.99</v>
      </c>
      <c r="E16" s="5">
        <f>+'Sheet6(p_6)'!M16</f>
        <v>26.865999600000002</v>
      </c>
      <c r="F16">
        <f>IF(A16&gt;=(Title_RESULTS!$H$7+Title_RESULTS!$C$17),0,(+'f-11B'!$R15))</f>
        <v>0</v>
      </c>
      <c r="G16" s="5">
        <f>IF(A16&gt;=(Title_RESULTS!$H$7+Title_RESULTS!$C$17),0,(SUM(B16:F16)))</f>
        <v>72.8559996</v>
      </c>
      <c r="H16" s="5">
        <f>IF(A16&gt;=(Title_RESULTS!$H$7+Title_RESULTS!$C$17),0,(+'Sheet3(F_21)'!$J16+'Sheet4(F_22)'!$H16))</f>
        <v>12.61319115003241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12.61319115003241</v>
      </c>
      <c r="M16" s="23">
        <f>IF(A16&gt;=(Title_RESULTS!$H$7+Title_RESULTS!$C$17),0,(+L16-G16))</f>
        <v>-60.2428084499676</v>
      </c>
      <c r="N16" s="24">
        <f>IF(A16&gt;=(Title_RESULTS!$H$7+Title_RESULTS!$C$17),0,(+$M16/((1+Title_RESULTS!$C$37)^('Sheet9(F_25)'!$A16-Title_RESULTS!$H$7))))</f>
        <v>-60.2428084499676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IF(A17&gt;=(Title_RESULTS!$H$7+Title_RESULTS!$C$17),0,(+'Sheet6(p_6)'!$G17))</f>
        <v>5.99</v>
      </c>
      <c r="E17" s="5">
        <f>+'Sheet6(p_6)'!M17</f>
        <v>81.40397878799999</v>
      </c>
      <c r="F17">
        <f>IF(A17&gt;=(Title_RESULTS!$H$7+Title_RESULTS!$C$17),0,(+'f-11B'!$R16))</f>
        <v>0</v>
      </c>
      <c r="G17" s="5">
        <f>IF(A17&gt;=(Title_RESULTS!$H$7+Title_RESULTS!$C$17),0,(SUM(B17:F17)))</f>
        <v>128.353978788</v>
      </c>
      <c r="H17" s="5">
        <f>IF(A17&gt;=(Title_RESULTS!$H$7+Title_RESULTS!$C$17),0,(+'Sheet3(F_21)'!$J17+'Sheet4(F_22)'!$H17))</f>
        <v>37.531791914725545</v>
      </c>
      <c r="I17" s="5">
        <f>IF(A17&gt;=(Title_RESULTS!$H$7+Title_RESULTS!$C$17),0,(+'Sheet4(F_22)'!$D17+'Sheet4(F_22)'!$G17))</f>
        <v>24.57264303038521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62.104434945110754</v>
      </c>
      <c r="M17" s="23">
        <f>IF(A17&gt;=(Title_RESULTS!$H$7+Title_RESULTS!$C$17),0,(+L17-G17))</f>
        <v>-66.24954384288925</v>
      </c>
      <c r="N17" s="24">
        <f>(IF(A16&gt;=(Title_RESULTS!$H$7+Title_RESULTS!$C$17),0,(+$M17/((1+Title_RESULTS!$C$37)^('Sheet9(F_25)'!$A17-Title_RESULTS!$H$7))+N16)))</f>
        <v>-122.11201263645364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IF(A18&gt;=(Title_RESULTS!$H$7+Title_RESULTS!$C$17),0,(+'Sheet6(p_6)'!$G18))</f>
        <v>5.99</v>
      </c>
      <c r="E18" s="5">
        <f>+'Sheet6(p_6)'!M18</f>
        <v>137.0300309598</v>
      </c>
      <c r="F18">
        <f>IF(A18&gt;=(Title_RESULTS!$H$7+Title_RESULTS!$C$17),0,(+'f-11B'!$R17))</f>
        <v>0</v>
      </c>
      <c r="G18" s="5">
        <f>IF(A18&gt;=(Title_RESULTS!$H$7+Title_RESULTS!$C$17),0,(SUM(B18:F18)))</f>
        <v>184.9630709598</v>
      </c>
      <c r="H18" s="5">
        <f>IF(A18&gt;=(Title_RESULTS!$H$7+Title_RESULTS!$C$17),0,(+'Sheet3(F_21)'!$J18+'Sheet4(F_22)'!$H18))</f>
        <v>64.55886891573385</v>
      </c>
      <c r="I18" s="5">
        <f>IF(A18&gt;=(Title_RESULTS!$H$7+Title_RESULTS!$C$17),0,(+'Sheet4(F_22)'!$D18+'Sheet4(F_22)'!$G18))</f>
        <v>25.16238646311445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89.7212553788483</v>
      </c>
      <c r="M18" s="23">
        <f>IF(A18&gt;=(Title_RESULTS!$H$7+Title_RESULTS!$C$17),0,(+L18-G18))</f>
        <v>-95.24181558095171</v>
      </c>
      <c r="N18" s="24">
        <f>(IF(A17&gt;=(Title_RESULTS!$H$7+Title_RESULTS!$C$17),0,(+$M18/((1+Title_RESULTS!$C$37)^('Sheet9(F_25)'!$A18-Title_RESULTS!$H$7))+N17)))</f>
        <v>-205.1756491762983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166.08039752327758</v>
      </c>
      <c r="F19">
        <f>IF(A19&gt;=(Title_RESULTS!$H$7+Title_RESULTS!$C$17),0,(+'f-11B'!$R18))</f>
        <v>0</v>
      </c>
      <c r="G19" s="5">
        <f>IF(A19&gt;=(Title_RESULTS!$H$7+Title_RESULTS!$C$17),0,(SUM(B19:F19)))</f>
        <v>166.08039752327758</v>
      </c>
      <c r="H19" s="5">
        <f>IF(A19&gt;=(Title_RESULTS!$H$7+Title_RESULTS!$C$17),0,(+'Sheet3(F_21)'!$J19+'Sheet4(F_22)'!$H19))</f>
        <v>146.51746341028772</v>
      </c>
      <c r="I19" s="5">
        <f>IF(A19&gt;=(Title_RESULTS!$H$7+Title_RESULTS!$C$17),0,(+'Sheet4(F_22)'!$D19+'Sheet4(F_22)'!$G19))</f>
        <v>25.7662837382292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172.2837471485169</v>
      </c>
      <c r="M19" s="23">
        <f>IF(A19&gt;=(Title_RESULTS!$H$7+Title_RESULTS!$C$17),0,(+L19-G19))</f>
        <v>6.203349625239326</v>
      </c>
      <c r="N19" s="24">
        <f>(IF(A18&gt;=(Title_RESULTS!$H$7+Title_RESULTS!$C$17),0,(+$M19/((1+Title_RESULTS!$C$37)^('Sheet9(F_25)'!$A19-Title_RESULTS!$H$7))+N18)))</f>
        <v>-200.12320909854466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167.74120149851038</v>
      </c>
      <c r="F20">
        <f>IF(A20&gt;=(Title_RESULTS!$H$7+Title_RESULTS!$C$17),0,(+'f-11B'!$R19))</f>
        <v>0</v>
      </c>
      <c r="G20" s="5">
        <f>IF(A20&gt;=(Title_RESULTS!$H$7+Title_RESULTS!$C$17),0,(SUM(B20:F20)))</f>
        <v>167.74120149851038</v>
      </c>
      <c r="H20" s="5">
        <f>IF(A20&gt;=(Title_RESULTS!$H$7+Title_RESULTS!$C$17),0,(+'Sheet3(F_21)'!$J20+'Sheet4(F_22)'!$H20))</f>
        <v>151.44310949060178</v>
      </c>
      <c r="I20" s="5">
        <f>IF(A20&gt;=(Title_RESULTS!$H$7+Title_RESULTS!$C$17),0,(+'Sheet4(F_22)'!$D20+'Sheet4(F_22)'!$G20))</f>
        <v>26.3846745479467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177.8277840385485</v>
      </c>
      <c r="M20" s="23">
        <f>IF(A20&gt;=(Title_RESULTS!$H$7+Title_RESULTS!$C$17),0,(+L20-G20))</f>
        <v>10.086582540038108</v>
      </c>
      <c r="N20" s="24">
        <f>(IF(A19&gt;=(Title_RESULTS!$H$7+Title_RESULTS!$C$17),0,(+$M20/((1+Title_RESULTS!$C$37)^('Sheet9(F_25)'!$A20-Title_RESULTS!$H$7))+N19)))</f>
        <v>-192.45117372256135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169.41861351349547</v>
      </c>
      <c r="F21">
        <f>IF(A21&gt;=(Title_RESULTS!$H$7+Title_RESULTS!$C$17),0,(+'f-11B'!$R20))</f>
        <v>0</v>
      </c>
      <c r="G21" s="5">
        <f>IF(A21&gt;=(Title_RESULTS!$H$7+Title_RESULTS!$C$17),0,(SUM(B21:F21)))</f>
        <v>169.41861351349547</v>
      </c>
      <c r="H21" s="5">
        <f>IF(A21&gt;=(Title_RESULTS!$H$7+Title_RESULTS!$C$17),0,(+'Sheet3(F_21)'!$J21+'Sheet4(F_22)'!$H21))</f>
        <v>159.54202570397126</v>
      </c>
      <c r="I21" s="5">
        <f>IF(A21&gt;=(Title_RESULTS!$H$7+Title_RESULTS!$C$17),0,(+'Sheet4(F_22)'!$D21+'Sheet4(F_22)'!$G21))</f>
        <v>27.01790673709742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186.55993244106867</v>
      </c>
      <c r="M21" s="23">
        <f>IF(A21&gt;=(Title_RESULTS!$H$7+Title_RESULTS!$C$17),0,(+L21-G21))</f>
        <v>17.141318927573195</v>
      </c>
      <c r="N21" s="24">
        <f>(IF(A20&gt;=(Title_RESULTS!$H$7+Title_RESULTS!$C$17),0,(+$M21/((1+Title_RESULTS!$C$37)^('Sheet9(F_25)'!$A21-Title_RESULTS!$H$7))+N20)))</f>
        <v>-180.27523586826482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171.11279964863044</v>
      </c>
      <c r="F22">
        <f>IF(A22&gt;=(Title_RESULTS!$H$7+Title_RESULTS!$C$17),0,(+'f-11B'!$R21))</f>
        <v>0</v>
      </c>
      <c r="G22" s="5">
        <f>IF(A22&gt;=(Title_RESULTS!$H$7+Title_RESULTS!$C$17),0,(SUM(B22:F22)))</f>
        <v>171.11279964863044</v>
      </c>
      <c r="H22" s="5">
        <f>IF(A22&gt;=(Title_RESULTS!$H$7+Title_RESULTS!$C$17),0,(+'Sheet3(F_21)'!$J22+'Sheet4(F_22)'!$H22))</f>
        <v>164.5807767885418</v>
      </c>
      <c r="I22" s="5">
        <f>IF(A22&gt;=(Title_RESULTS!$H$7+Title_RESULTS!$C$17),0,(+'Sheet4(F_22)'!$D22+'Sheet4(F_22)'!$G22))</f>
        <v>27.666336498787757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192.24711328732957</v>
      </c>
      <c r="M22" s="23">
        <f>IF(A22&gt;=(Title_RESULTS!$H$7+Title_RESULTS!$C$17),0,(+L22-G22))</f>
        <v>21.134313638699126</v>
      </c>
      <c r="N22" s="24">
        <f>(IF(A21&gt;=(Title_RESULTS!$H$7+Title_RESULTS!$C$17),0,(+$M22/((1+Title_RESULTS!$C$37)^('Sheet9(F_25)'!$A22-Title_RESULTS!$H$7))+N21)))</f>
        <v>-166.2555599957347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172.82392764511673</v>
      </c>
      <c r="F23">
        <f>IF(A23&gt;=(Title_RESULTS!$H$7+Title_RESULTS!$C$17),0,(+'f-11B'!$R22))</f>
        <v>0</v>
      </c>
      <c r="G23" s="5">
        <f>IF(A23&gt;=(Title_RESULTS!$H$7+Title_RESULTS!$C$17),0,(SUM(B23:F23)))</f>
        <v>172.82392764511673</v>
      </c>
      <c r="H23" s="5">
        <f>IF(A23&gt;=(Title_RESULTS!$H$7+Title_RESULTS!$C$17),0,(+'Sheet3(F_21)'!$J23+'Sheet4(F_22)'!$H23))</f>
        <v>172.31569805852126</v>
      </c>
      <c r="I23" s="5">
        <f>IF(A23&gt;=(Title_RESULTS!$H$7+Title_RESULTS!$C$17),0,(+'Sheet4(F_22)'!$D23+'Sheet4(F_22)'!$G23))</f>
        <v>28.330328574758667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200.64602663327992</v>
      </c>
      <c r="M23" s="23">
        <f>IF(A23&gt;=(Title_RESULTS!$H$7+Title_RESULTS!$C$17),0,(+L23-G23))</f>
        <v>27.82209898816319</v>
      </c>
      <c r="N23" s="24">
        <f>(IF(A22&gt;=(Title_RESULTS!$H$7+Title_RESULTS!$C$17),0,(+$M23/((1+Title_RESULTS!$C$37)^('Sheet9(F_25)'!$A23-Title_RESULTS!$H$7))+N22)))</f>
        <v>-149.01976365271656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174.55216692156793</v>
      </c>
      <c r="F24">
        <f>IF(A24&gt;=(Title_RESULTS!$H$7+Title_RESULTS!$C$17),0,(+'f-11B'!$R23))</f>
        <v>0</v>
      </c>
      <c r="G24" s="5">
        <f>IF(A24&gt;=(Title_RESULTS!$H$7+Title_RESULTS!$C$17),0,(SUM(B24:F24)))</f>
        <v>174.55216692156793</v>
      </c>
      <c r="H24" s="5">
        <f>IF(A24&gt;=(Title_RESULTS!$H$7+Title_RESULTS!$C$17),0,(+'Sheet3(F_21)'!$J24+'Sheet4(F_22)'!$H24))</f>
        <v>184.1777465694468</v>
      </c>
      <c r="I24" s="5">
        <f>IF(A24&gt;=(Title_RESULTS!$H$7+Title_RESULTS!$C$17),0,(+'Sheet4(F_22)'!$D24+'Sheet4(F_22)'!$G24))</f>
        <v>29.010256460552867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213.18800302999966</v>
      </c>
      <c r="M24" s="23">
        <f>IF(A24&gt;=(Title_RESULTS!$H$7+Title_RESULTS!$C$17),0,(+L24-G24))</f>
        <v>38.63583610843173</v>
      </c>
      <c r="N24" s="24">
        <f>(IF(A23&gt;=(Title_RESULTS!$H$7+Title_RESULTS!$C$17),0,(+$M24/((1+Title_RESULTS!$C$37)^('Sheet9(F_25)'!$A24-Title_RESULTS!$H$7))+N23)))</f>
        <v>-126.66740202702887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176.2976885907836</v>
      </c>
      <c r="F25">
        <f>IF(A25&gt;=(Title_RESULTS!$H$7+Title_RESULTS!$C$17),0,(+'f-11B'!$R24))</f>
        <v>0</v>
      </c>
      <c r="G25" s="5">
        <f>IF(A25&gt;=(Title_RESULTS!$H$7+Title_RESULTS!$C$17),0,(SUM(B25:F25)))</f>
        <v>176.2976885907836</v>
      </c>
      <c r="H25" s="5">
        <f>IF(A25&gt;=(Title_RESULTS!$H$7+Title_RESULTS!$C$17),0,(+'Sheet3(F_21)'!$J25+'Sheet4(F_22)'!$H25))</f>
        <v>194.01437435152684</v>
      </c>
      <c r="I25" s="5">
        <f>IF(A25&gt;=(Title_RESULTS!$H$7+Title_RESULTS!$C$17),0,(+'Sheet4(F_22)'!$D25+'Sheet4(F_22)'!$G25))</f>
        <v>29.70650261560614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223.720876967133</v>
      </c>
      <c r="M25" s="23">
        <f>IF(A25&gt;=(Title_RESULTS!$H$7+Title_RESULTS!$C$17),0,(+L25-G25))</f>
        <v>47.4231883763494</v>
      </c>
      <c r="N25" s="24">
        <f>(IF(A24&gt;=(Title_RESULTS!$H$7+Title_RESULTS!$C$17),0,(+$M25/((1+Title_RESULTS!$C$37)^('Sheet9(F_25)'!$A25-Title_RESULTS!$H$7))+N24)))</f>
        <v>-101.04525690566027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178.06066547669144</v>
      </c>
      <c r="F26">
        <f>IF(A26&gt;=(Title_RESULTS!$H$7+Title_RESULTS!$C$17),0,(+'f-11B'!$R25))</f>
        <v>0</v>
      </c>
      <c r="G26" s="5">
        <f>IF(A26&gt;=(Title_RESULTS!$H$7+Title_RESULTS!$C$17),0,(SUM(B26:F26)))</f>
        <v>178.06066547669144</v>
      </c>
      <c r="H26" s="5">
        <f>IF(A26&gt;=(Title_RESULTS!$H$7+Title_RESULTS!$C$17),0,(+'Sheet3(F_21)'!$J26+'Sheet4(F_22)'!$H26))</f>
        <v>208.94592830174184</v>
      </c>
      <c r="I26" s="5">
        <f>IF(A26&gt;=(Title_RESULTS!$H$7+Title_RESULTS!$C$17),0,(+'Sheet4(F_22)'!$D26+'Sheet4(F_22)'!$G26))</f>
        <v>30.41945867838069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239.36538698012254</v>
      </c>
      <c r="M26" s="23">
        <f>IF(A26&gt;=(Title_RESULTS!$H$7+Title_RESULTS!$C$17),0,(+L26-G26))</f>
        <v>61.3047215034311</v>
      </c>
      <c r="N26" s="24">
        <f>(IF(A25&gt;=(Title_RESULTS!$H$7+Title_RESULTS!$C$17),0,(+$M26/((1+Title_RESULTS!$C$37)^('Sheet9(F_25)'!$A26-Title_RESULTS!$H$7))+N25)))</f>
        <v>-70.11309329093525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179.84127213145834</v>
      </c>
      <c r="F27">
        <f>IF(A27&gt;=(Title_RESULTS!$H$7+Title_RESULTS!$C$17),0,(+'f-11B'!$R26))</f>
        <v>0</v>
      </c>
      <c r="G27" s="5">
        <f>IF(A27&gt;=(Title_RESULTS!$H$7+Title_RESULTS!$C$17),0,(SUM(B27:F27)))</f>
        <v>179.84127213145834</v>
      </c>
      <c r="H27" s="5">
        <f>IF(A27&gt;=(Title_RESULTS!$H$7+Title_RESULTS!$C$17),0,(+'Sheet3(F_21)'!$J27+'Sheet4(F_22)'!$H27))</f>
        <v>211.1551039004462</v>
      </c>
      <c r="I27" s="5">
        <f>IF(A27&gt;=(Title_RESULTS!$H$7+Title_RESULTS!$C$17),0,(+'Sheet4(F_22)'!$D27+'Sheet4(F_22)'!$G27))</f>
        <v>31.149525686661832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242.30462958710802</v>
      </c>
      <c r="M27" s="23">
        <f>IF(A27&gt;=(Title_RESULTS!$H$7+Title_RESULTS!$C$17),0,(+L27-G27))</f>
        <v>62.463357455649685</v>
      </c>
      <c r="N27" s="24">
        <f>(IF(A26&gt;=(Title_RESULTS!$H$7+Title_RESULTS!$C$17),0,(+$M27/((1+Title_RESULTS!$C$37)^('Sheet9(F_25)'!$A27-Title_RESULTS!$H$7))+N26)))</f>
        <v>-40.68017420364254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181.63968485277292</v>
      </c>
      <c r="F28">
        <f>IF(A28&gt;=(Title_RESULTS!$H$7+Title_RESULTS!$C$17),0,(+'f-11B'!$R27))</f>
        <v>0</v>
      </c>
      <c r="G28" s="5">
        <f>IF(A28&gt;=(Title_RESULTS!$H$7+Title_RESULTS!$C$17),0,(SUM(B28:F28)))</f>
        <v>181.63968485277292</v>
      </c>
      <c r="H28" s="5">
        <f>IF(A28&gt;=(Title_RESULTS!$H$7+Title_RESULTS!$C$17),0,(+'Sheet3(F_21)'!$J28+'Sheet4(F_22)'!$H28))</f>
        <v>224.97080742498497</v>
      </c>
      <c r="I28" s="5">
        <f>IF(A28&gt;=(Title_RESULTS!$H$7+Title_RESULTS!$C$17),0,(+'Sheet4(F_22)'!$D28+'Sheet4(F_22)'!$G28))</f>
        <v>31.897114303141713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256.8679217281267</v>
      </c>
      <c r="M28" s="23">
        <f>IF(A28&gt;=(Title_RESULTS!$H$7+Title_RESULTS!$C$17),0,(+L28-G28))</f>
        <v>75.22823687535379</v>
      </c>
      <c r="N28" s="24">
        <f>(IF(A27&gt;=(Title_RESULTS!$H$7+Title_RESULTS!$C$17),0,(+$M28/((1+Title_RESULTS!$C$37)^('Sheet9(F_25)'!$A28-Title_RESULTS!$H$7))+N27)))</f>
        <v>-7.576169639634607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183.45608170130066</v>
      </c>
      <c r="F29">
        <f>IF(A29&gt;=(Title_RESULTS!$H$7+Title_RESULTS!$C$17),0,(+'f-11B'!$R28))</f>
        <v>0</v>
      </c>
      <c r="G29" s="5">
        <f>IF(A29&gt;=(Title_RESULTS!$H$7+Title_RESULTS!$C$17),0,(SUM(B29:F29)))</f>
        <v>183.45608170130066</v>
      </c>
      <c r="H29" s="5">
        <f>IF(A29&gt;=(Title_RESULTS!$H$7+Title_RESULTS!$C$17),0,(+'Sheet3(F_21)'!$J29+'Sheet4(F_22)'!$H29))</f>
        <v>237.3792112981815</v>
      </c>
      <c r="I29" s="5">
        <f>IF(A29&gt;=(Title_RESULTS!$H$7+Title_RESULTS!$C$17),0,(+'Sheet4(F_22)'!$D29+'Sheet4(F_22)'!$G29))</f>
        <v>32.66264504641711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270.0418563445986</v>
      </c>
      <c r="M29" s="23">
        <f>IF(A29&gt;=(Title_RESULTS!$H$7+Title_RESULTS!$C$17),0,(+L29-G29))</f>
        <v>86.58577464329795</v>
      </c>
      <c r="N29" s="24">
        <f>(IF(A28&gt;=(Title_RESULTS!$H$7+Title_RESULTS!$C$17),0,(+$M29/((1+Title_RESULTS!$C$37)^('Sheet9(F_25)'!$A29-Title_RESULTS!$H$7))+N28)))</f>
        <v>28.006443099818043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185.2906425183137</v>
      </c>
      <c r="F30">
        <f>IF(A30&gt;=(Title_RESULTS!$H$7+Title_RESULTS!$C$17),0,(+'f-11B'!$R29))</f>
        <v>0</v>
      </c>
      <c r="G30" s="5">
        <f>IF(A30&gt;=(Title_RESULTS!$H$7+Title_RESULTS!$C$17),0,(SUM(B30:F30)))</f>
        <v>185.2906425183137</v>
      </c>
      <c r="H30" s="5">
        <f>IF(A30&gt;=(Title_RESULTS!$H$7+Title_RESULTS!$C$17),0,(+'Sheet3(F_21)'!$J30+'Sheet4(F_22)'!$H30))</f>
        <v>246.1039928810132</v>
      </c>
      <c r="I30" s="5">
        <f>IF(A30&gt;=(Title_RESULTS!$H$7+Title_RESULTS!$C$17),0,(+'Sheet4(F_22)'!$D30+'Sheet4(F_22)'!$G30))</f>
        <v>33.44654852753112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279.5505414085443</v>
      </c>
      <c r="M30" s="23">
        <f>IF(A30&gt;=(Title_RESULTS!$H$7+Title_RESULTS!$C$17),0,(+L30-G30))</f>
        <v>94.2598988902306</v>
      </c>
      <c r="N30" s="24">
        <f>(IF(A29&gt;=(Title_RESULTS!$H$7+Title_RESULTS!$C$17),0,(+$M30/((1+Title_RESULTS!$C$37)^('Sheet9(F_25)'!$A30-Title_RESULTS!$H$7))+N29)))</f>
        <v>64.18155593024329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122.90304</v>
      </c>
      <c r="D32" s="5">
        <f t="shared" si="1"/>
        <v>17.97</v>
      </c>
      <c r="E32" s="5">
        <f t="shared" si="1"/>
        <v>2351.615151369719</v>
      </c>
      <c r="F32" s="5">
        <f t="shared" si="1"/>
        <v>0</v>
      </c>
      <c r="G32" s="5">
        <f t="shared" si="1"/>
        <v>2492.488191369719</v>
      </c>
      <c r="H32" s="5">
        <f t="shared" si="1"/>
        <v>2415.8500901597567</v>
      </c>
      <c r="I32" s="5">
        <f t="shared" si="1"/>
        <v>403.19261090861096</v>
      </c>
      <c r="J32" s="5">
        <f t="shared" si="1"/>
        <v>0</v>
      </c>
      <c r="K32" s="9">
        <f t="shared" si="1"/>
        <v>0</v>
      </c>
      <c r="L32" s="5">
        <f t="shared" si="1"/>
        <v>2819.042701068368</v>
      </c>
      <c r="M32" s="5">
        <f t="shared" si="1"/>
        <v>326.55450969864864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114.83173044385765</v>
      </c>
      <c r="D34" s="5">
        <f>NPV(Title_RESULTS!$C$37,'Sheet9(F_25)'!D17:D31)+'Sheet9(F_25)'!D16</f>
        <v>16.80803179842846</v>
      </c>
      <c r="E34" s="5">
        <f>NPV(Title_RESULTS!$C$37,'Sheet9(F_25)'!E17:E31)+'Sheet9(F_25)'!E16</f>
        <v>1423.4214135486259</v>
      </c>
      <c r="F34" s="5">
        <f>NPV(Title_RESULTS!$C$37,'Sheet9(F_25)'!F17:F31)+'Sheet9(F_25)'!F16</f>
        <v>0</v>
      </c>
      <c r="G34" s="5">
        <f>NPV(Title_RESULTS!$C$37,'Sheet9(F_25)'!G17:G31)+'Sheet9(F_25)'!G16</f>
        <v>1555.0611757909119</v>
      </c>
      <c r="H34" s="5">
        <f>NPV(Title_RESULTS!$C$37,'Sheet9(F_25)'!H17:H31)+'Sheet9(F_25)'!H16</f>
        <v>1375.0452509708005</v>
      </c>
      <c r="I34" s="5">
        <f>NPV(Title_RESULTS!$C$37,'Sheet9(F_25)'!I17:I31)+'Sheet9(F_25)'!I16</f>
        <v>244.197480750355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1619.242731721155</v>
      </c>
      <c r="M34" s="5">
        <f>NPV(Title_RESULTS!$C$37,'Sheet9(F_25)'!M17:M31)+'Sheet9(F_25)'!M16</f>
        <v>64.1815559302432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1.04127268877226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520.751838755304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30.37696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80.97300480000001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3.00192116218347</v>
      </c>
      <c r="P24" s="48">
        <f aca="true" t="shared" si="4" ref="P24:P61">N24*$L$5</f>
        <v>8.001938860067096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3.0739672700758733</v>
      </c>
      <c r="P25" s="48">
        <f t="shared" si="4"/>
        <v>8.193985392708704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71.6505903686588</v>
      </c>
      <c r="E26" s="11">
        <f>IF(B26=Title_RESULTS!$H$8,$F$16,+E25*(1+$F$7))</f>
        <v>0.09882230355451863</v>
      </c>
      <c r="F26" s="9">
        <f t="shared" si="1"/>
        <v>51.46189628605039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4.17958604391575</v>
      </c>
      <c r="L26" s="5">
        <f t="shared" si="3"/>
        <v>11.14112935580134</v>
      </c>
      <c r="N26" s="11">
        <f>IF(+B26=Title_RESULTS!$H$9,'Value of Defferal'!$O$16,+'Value of Defferal'!N25*(1+'Value of Defferal'!$F$7))</f>
        <v>0.10362269577198292</v>
      </c>
      <c r="O26" s="5">
        <f t="shared" si="7"/>
        <v>3.1477424845576945</v>
      </c>
      <c r="P26" s="48">
        <f t="shared" si="4"/>
        <v>8.390641042133714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69.53475673810784</v>
      </c>
      <c r="E27" s="11">
        <f>IF(B27=Title_RESULTS!$H$8,$F$16,+E26*(1+$F$7))</f>
        <v>0.10119403883982707</v>
      </c>
      <c r="F27" s="9">
        <f t="shared" si="1"/>
        <v>52.696981796915594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4.056163352378982</v>
      </c>
      <c r="L27" s="5">
        <f t="shared" si="3"/>
        <v>10.812133096984274</v>
      </c>
      <c r="N27" s="11">
        <f>IF(+B27=Title_RESULTS!$H$9,'Value of Defferal'!$O$16,+'Value of Defferal'!N26*(1+'Value of Defferal'!$F$7))</f>
        <v>0.10610964047051051</v>
      </c>
      <c r="O27" s="5">
        <f t="shared" si="7"/>
        <v>3.223288304187079</v>
      </c>
      <c r="P27" s="48">
        <f t="shared" si="4"/>
        <v>8.592016427144923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67.19889184094544</v>
      </c>
      <c r="E28" s="11">
        <f>IF(B28=Title_RESULTS!$H$8,$F$16,+E27*(1+$F$7))</f>
        <v>0.10362269577198292</v>
      </c>
      <c r="F28" s="9">
        <f t="shared" si="1"/>
        <v>53.961709360041574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3.9199056010552296</v>
      </c>
      <c r="L28" s="5">
        <f t="shared" si="3"/>
        <v>10.448923626649671</v>
      </c>
      <c r="N28" s="11">
        <f>IF(+B28=Title_RESULTS!$H$9,'Value of Defferal'!$O$16,+'Value of Defferal'!N27*(1+'Value of Defferal'!$F$7))</f>
        <v>0.10865627184180277</v>
      </c>
      <c r="O28" s="5">
        <f t="shared" si="7"/>
        <v>3.300647223487569</v>
      </c>
      <c r="P28" s="48">
        <f t="shared" si="4"/>
        <v>8.798224821396401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64.97490199624322</v>
      </c>
      <c r="E29" s="11">
        <f>IF(B29=Title_RESULTS!$H$8,$F$16,+E28*(1+$F$7))</f>
        <v>0.10610964047051051</v>
      </c>
      <c r="F29" s="9">
        <f t="shared" si="1"/>
        <v>55.25679038468257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3.790173844918944</v>
      </c>
      <c r="L29" s="5">
        <f t="shared" si="3"/>
        <v>10.103109887804973</v>
      </c>
      <c r="N29" s="11">
        <f>IF(+B29=Title_RESULTS!$H$9,'Value of Defferal'!$O$16,+'Value of Defferal'!N28*(1+'Value of Defferal'!$F$7))</f>
        <v>0.11126402236600604</v>
      </c>
      <c r="O29" s="5">
        <f t="shared" si="7"/>
        <v>3.3798627568512707</v>
      </c>
      <c r="P29" s="48">
        <f t="shared" si="4"/>
        <v>9.009382217109916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62.85156870843594</v>
      </c>
      <c r="E30" s="11">
        <f>IF(B30=Title_RESULTS!$H$8,$F$16,+E29*(1+$F$7))</f>
        <v>0.10865627184180277</v>
      </c>
      <c r="F30" s="9">
        <f t="shared" si="1"/>
        <v>56.58295335391495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3.6663136766964786</v>
      </c>
      <c r="L30" s="5">
        <f t="shared" si="3"/>
        <v>9.772947488539</v>
      </c>
      <c r="N30" s="11">
        <f>IF(+B30=Title_RESULTS!$H$9,'Value of Defferal'!$O$16,+'Value of Defferal'!N29*(1+'Value of Defferal'!$F$7))</f>
        <v>0.11393435890279018</v>
      </c>
      <c r="O30" s="5">
        <f t="shared" si="7"/>
        <v>3.460979463015701</v>
      </c>
      <c r="P30" s="48">
        <f t="shared" si="4"/>
        <v>9.225607390320553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60.818913094727975</v>
      </c>
      <c r="E31" s="11">
        <f>IF(B31=Title_RESULTS!$H$8,$F$16,+E30*(1+$F$7))</f>
        <v>0.11126402236600604</v>
      </c>
      <c r="F31" s="9">
        <f t="shared" si="1"/>
        <v>57.94094423440891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3.5477429993101697</v>
      </c>
      <c r="L31" s="5">
        <f t="shared" si="3"/>
        <v>9.456884787427997</v>
      </c>
      <c r="N31" s="11">
        <f>IF(+B31=Title_RESULTS!$H$9,'Value of Defferal'!$O$16,+'Value of Defferal'!N30*(1+'Value of Defferal'!$F$7))</f>
        <v>0.11666878351645714</v>
      </c>
      <c r="O31" s="5">
        <f t="shared" si="7"/>
        <v>3.544042970128078</v>
      </c>
      <c r="P31" s="48">
        <f t="shared" si="4"/>
        <v>9.447021967688245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58.84953971291025</v>
      </c>
      <c r="E32" s="11">
        <f>IF(B32=Title_RESULTS!$H$8,$F$16,+E31*(1+$F$7))</f>
        <v>0.11393435890279018</v>
      </c>
      <c r="F32" s="9">
        <f t="shared" si="1"/>
        <v>59.331526896034724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3.4328637574287937</v>
      </c>
      <c r="L32" s="5">
        <f t="shared" si="3"/>
        <v>9.150661998699928</v>
      </c>
      <c r="N32" s="11">
        <f>IF(+B32=Title_RESULTS!$H$9,'Value of Defferal'!$O$16,+'Value of Defferal'!N31*(1+'Value of Defferal'!$F$7))</f>
        <v>0.11946883432085212</v>
      </c>
      <c r="O32" s="5">
        <f t="shared" si="7"/>
        <v>3.629100001411152</v>
      </c>
      <c r="P32" s="48">
        <f t="shared" si="4"/>
        <v>9.673750494912765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56.90043399987618</v>
      </c>
      <c r="E33" s="11">
        <f>IF(B33=Title_RESULTS!$H$8,$F$16,+E32*(1+$F$7))</f>
        <v>0.11666878351645714</v>
      </c>
      <c r="F33" s="9">
        <f t="shared" si="1"/>
        <v>60.755483541539554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3.3191667872517403</v>
      </c>
      <c r="L33" s="5">
        <f t="shared" si="3"/>
        <v>8.847590680441222</v>
      </c>
      <c r="N33" s="11">
        <f>IF(+B33=Title_RESULTS!$H$9,'Value of Defferal'!$O$16,+'Value of Defferal'!N32*(1+'Value of Defferal'!$F$7))</f>
        <v>0.12233608634455258</v>
      </c>
      <c r="O33" s="5">
        <f t="shared" si="7"/>
        <v>3.71619840144502</v>
      </c>
      <c r="P33" s="48">
        <f t="shared" si="4"/>
        <v>9.905920506790672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54.95132828684209</v>
      </c>
      <c r="E34" s="11">
        <f>IF(B34=Title_RESULTS!$H$8,$F$16,+E33*(1+$F$7))</f>
        <v>0.11946883432085212</v>
      </c>
      <c r="F34" s="9">
        <f t="shared" si="1"/>
        <v>62.21361514653651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3.2054698170746865</v>
      </c>
      <c r="L34" s="5">
        <f t="shared" si="3"/>
        <v>8.544519362182514</v>
      </c>
      <c r="N34" s="11">
        <f>IF(+B34=Title_RESULTS!$H$9,'Value of Defferal'!$O$16,+'Value of Defferal'!N33*(1+'Value of Defferal'!$F$7))</f>
        <v>0.12527215241682185</v>
      </c>
      <c r="O34" s="5">
        <f t="shared" si="7"/>
        <v>3.805387163079701</v>
      </c>
      <c r="P34" s="48">
        <f t="shared" si="4"/>
        <v>10.143662598953648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53.00222257380801</v>
      </c>
      <c r="E35" s="11">
        <f>IF(B35=Title_RESULTS!$H$8,$F$16,+E34*(1+$F$7))</f>
        <v>0.12233608634455258</v>
      </c>
      <c r="F35" s="9">
        <f t="shared" si="1"/>
        <v>63.70674191005339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3.0917728468976327</v>
      </c>
      <c r="L35" s="5">
        <f t="shared" si="3"/>
        <v>8.241448043923807</v>
      </c>
      <c r="N35" s="11">
        <f>IF(+B35=Title_RESULTS!$H$9,'Value of Defferal'!$O$16,+'Value of Defferal'!N34*(1+'Value of Defferal'!$F$7))</f>
        <v>0.12827868407482557</v>
      </c>
      <c r="O35" s="5">
        <f t="shared" si="7"/>
        <v>3.896716454993613</v>
      </c>
      <c r="P35" s="48">
        <f t="shared" si="4"/>
        <v>10.387110501328536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51.05311686077395</v>
      </c>
      <c r="E36" s="11">
        <f>IF(B36=Title_RESULTS!$H$8,$F$16,+E35*(1+$F$7))</f>
        <v>0.12527215241682185</v>
      </c>
      <c r="F36" s="9">
        <f t="shared" si="1"/>
        <v>65.23570371589467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2.9780758767205793</v>
      </c>
      <c r="L36" s="5">
        <f t="shared" si="3"/>
        <v>7.9383767256651</v>
      </c>
      <c r="N36" s="11">
        <f>IF(+B36=Title_RESULTS!$H$9,'Value of Defferal'!$O$16,+'Value of Defferal'!N35*(1+'Value of Defferal'!$F$7))</f>
        <v>0.1313573724926214</v>
      </c>
      <c r="O36" s="5">
        <f t="shared" si="7"/>
        <v>3.9902376499134604</v>
      </c>
      <c r="P36" s="48">
        <f t="shared" si="4"/>
        <v>10.63640115336042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49.10401114773986</v>
      </c>
      <c r="E37" s="11">
        <f>IF(B37&gt;Title_RESULTS!$H$8-1+Title_RESULTS!$C$18,0,+E36*(1+$F$7))</f>
        <v>0.12827868407482557</v>
      </c>
      <c r="F37" s="9">
        <f t="shared" si="1"/>
        <v>66.80136060507614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2.8643789065435254</v>
      </c>
      <c r="L37" s="5">
        <f t="shared" si="3"/>
        <v>7.635305407406392</v>
      </c>
      <c r="N37" s="11">
        <f>IF(+B37=Title_RESULTS!$H$9,'Value of Defferal'!$O$16,+'Value of Defferal'!N36*(1+'Value of Defferal'!$F$7))</f>
        <v>0.1345099494324443</v>
      </c>
      <c r="O37" s="5">
        <f t="shared" si="7"/>
        <v>4.086003353511383</v>
      </c>
      <c r="P37" s="48">
        <f t="shared" si="4"/>
        <v>10.89167478104107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47.154905434705775</v>
      </c>
      <c r="E38" s="11">
        <f>IF(B38&gt;Title_RESULTS!$H$8-1+Title_RESULTS!$C$18,0,+E37*(1+$F$7))</f>
        <v>0.1313573724926214</v>
      </c>
      <c r="F38" s="9">
        <f t="shared" si="1"/>
        <v>68.40459325959797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2.750681936366471</v>
      </c>
      <c r="L38" s="5">
        <f t="shared" si="3"/>
        <v>7.332234089147683</v>
      </c>
      <c r="N38" s="11">
        <f>IF(+B38=Title_RESULTS!$H$9,'Value of Defferal'!$O$16,+'Value of Defferal'!N37*(1+'Value of Defferal'!$F$7))</f>
        <v>0.13773818821882297</v>
      </c>
      <c r="O38" s="5">
        <f t="shared" si="7"/>
        <v>4.184067433995657</v>
      </c>
      <c r="P38" s="48">
        <f t="shared" si="4"/>
        <v>11.153074975786058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45.205799721671696</v>
      </c>
      <c r="E39" s="11">
        <f>IF(B39&gt;Title_RESULTS!$H$8-1+Title_RESULTS!$C$18,0,+E38*(1+$F$7))</f>
        <v>0.1345099494324443</v>
      </c>
      <c r="F39" s="9">
        <f t="shared" si="1"/>
        <v>70.04630349782832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2.6369849661894174</v>
      </c>
      <c r="L39" s="5">
        <f t="shared" si="3"/>
        <v>7.029162770888974</v>
      </c>
      <c r="N39" s="11">
        <f>IF(+B39&gt;Title_RESULTS!$H$9+Title_RESULTS!$C$19-1,0,+'Value of Defferal'!N38*(1+'Value of Defferal'!$F$7))</f>
        <v>0.14104390473607473</v>
      </c>
      <c r="O39" s="5">
        <f t="shared" si="7"/>
        <v>4.2844850524115525</v>
      </c>
      <c r="P39" s="48">
        <f t="shared" si="4"/>
        <v>11.420748775204924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43.25669400863763</v>
      </c>
      <c r="E40" s="11">
        <f>IF(B40&gt;Title_RESULTS!$H$8-1+Title_RESULTS!$C$18,0,+E39*(1+$F$7))</f>
        <v>0.13773818821882297</v>
      </c>
      <c r="F40" s="9">
        <f t="shared" si="1"/>
        <v>71.72741478177622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2.5232879960123644</v>
      </c>
      <c r="L40" s="5">
        <f t="shared" si="3"/>
        <v>6.7260914526302695</v>
      </c>
      <c r="N40" s="11">
        <f>IF(+B40&gt;Title_RESULTS!$H$9+Title_RESULTS!$C$19-1,0,+'Value of Defferal'!N39*(1+'Value of Defferal'!$F$7))</f>
        <v>0.14442895844974052</v>
      </c>
      <c r="O40" s="5">
        <f t="shared" si="7"/>
        <v>4.38731269366943</v>
      </c>
      <c r="P40" s="48">
        <f t="shared" si="4"/>
        <v>11.69484674580984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41.4906171210412</v>
      </c>
      <c r="E41" s="11">
        <f>IF(B41&gt;Title_RESULTS!$H$8-1+Title_RESULTS!$C$18,0,+E40*(1+$F$7))</f>
        <v>0.14104390473607473</v>
      </c>
      <c r="F41" s="9">
        <f t="shared" si="1"/>
        <v>73.44887273653885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2.420267626272201</v>
      </c>
      <c r="L41" s="5">
        <f t="shared" si="3"/>
        <v>6.451479743839528</v>
      </c>
      <c r="N41" s="11">
        <f>IF(+B41&gt;Title_RESULTS!$H$9+Title_RESULTS!$C$19-1,0,+'Value of Defferal'!N40*(1+'Value of Defferal'!$F$7))</f>
        <v>0.1478952534525343</v>
      </c>
      <c r="O41" s="5">
        <f t="shared" si="7"/>
        <v>4.492608198317496</v>
      </c>
      <c r="P41" s="48">
        <f t="shared" si="4"/>
        <v>11.975523067709277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40.090535903681605</v>
      </c>
      <c r="E42" s="11">
        <f>IF(B42&gt;Title_RESULTS!$H$8-1+Title_RESULTS!$C$18,0,+E41*(1+$F$7))</f>
        <v>0.14442895844974052</v>
      </c>
      <c r="F42" s="9">
        <f t="shared" si="1"/>
        <v>75.21164568221577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2.3385968418960212</v>
      </c>
      <c r="L42" s="5">
        <f t="shared" si="3"/>
        <v>6.23377761646035</v>
      </c>
      <c r="N42" s="11">
        <f>IF(+B42&gt;Title_RESULTS!$H$9+Title_RESULTS!$C$19-1,0,+'Value of Defferal'!N41*(1+'Value of Defferal'!$F$7))</f>
        <v>0.1514447395353951</v>
      </c>
      <c r="O42" s="5">
        <f t="shared" si="7"/>
        <v>4.600430795077116</v>
      </c>
      <c r="P42" s="48">
        <f t="shared" si="4"/>
        <v>12.2629356213343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38.873421531121195</v>
      </c>
      <c r="E43" s="11">
        <f>IF(B43&gt;Title_RESULTS!$H$8-1+Title_RESULTS!$C$18,0,+E42*(1+$F$7))</f>
        <v>0.1478952534525343</v>
      </c>
      <c r="F43" s="9">
        <f t="shared" si="1"/>
        <v>77.01672517858896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2.2675990424469337</v>
      </c>
      <c r="L43" s="5">
        <f t="shared" si="3"/>
        <v>6.04452546102477</v>
      </c>
      <c r="N43" s="11">
        <f>IF(+B43&gt;Title_RESULTS!$H$9+Title_RESULTS!$C$19-1,0,+'Value of Defferal'!N42*(1+'Value of Defferal'!$F$7))</f>
        <v>0.1550794132842446</v>
      </c>
      <c r="O43" s="5">
        <f t="shared" si="7"/>
        <v>4.710841134158967</v>
      </c>
      <c r="P43" s="48">
        <f t="shared" si="4"/>
        <v>12.557246076246324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37.656307158560786</v>
      </c>
      <c r="E44" s="11">
        <f>IF(B44&gt;Title_RESULTS!$H$8-1+Title_RESULTS!$C$18,0,+E43*(1+$F$7))</f>
        <v>0.1514447395353951</v>
      </c>
      <c r="F44" s="9">
        <f t="shared" si="1"/>
        <v>78.86512658287509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2.196601242997846</v>
      </c>
      <c r="L44" s="5">
        <f t="shared" si="3"/>
        <v>5.855273305589189</v>
      </c>
      <c r="N44" s="11">
        <f>IF(+B44&gt;Title_RESULTS!$H$9+Title_RESULTS!$C$19-1,0,+'Value of Defferal'!N43*(1+'Value of Defferal'!$F$7))</f>
        <v>0.15880131920306648</v>
      </c>
      <c r="O44" s="5">
        <f t="shared" si="7"/>
        <v>4.8239013213787825</v>
      </c>
      <c r="P44" s="48">
        <f t="shared" si="4"/>
        <v>12.858619982076236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36.439192786000355</v>
      </c>
      <c r="E45" s="11">
        <f>IF(B45&gt;Title_RESULTS!$H$8-1+Title_RESULTS!$C$18,0,+E44*(1+$F$7))</f>
        <v>0.1550794132842446</v>
      </c>
      <c r="F45" s="9">
        <f t="shared" si="1"/>
        <v>80.75788962086409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2.125603443548757</v>
      </c>
      <c r="L45" s="5">
        <f t="shared" si="3"/>
        <v>5.666021150153606</v>
      </c>
      <c r="N45" s="11">
        <f>IF(+B45&gt;Title_RESULTS!$H$9+Title_RESULTS!$C$19-1,0,+'Value of Defferal'!N44*(1+'Value of Defferal'!$F$7))</f>
        <v>0.16261255086394008</v>
      </c>
      <c r="O45" s="5">
        <f t="shared" si="7"/>
        <v>4.939674953091873</v>
      </c>
      <c r="P45" s="48">
        <f t="shared" si="4"/>
        <v>13.167226861646066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35.222078413439945</v>
      </c>
      <c r="E46" s="11">
        <f>IF(B46&gt;Title_RESULTS!$H$8-1+Title_RESULTS!$C$18,0,+E45*(1+$F$7))</f>
        <v>0.15880131920306648</v>
      </c>
      <c r="F46" s="9">
        <f t="shared" si="1"/>
        <v>82.69607897176483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2.0546056440996696</v>
      </c>
      <c r="L46" s="5">
        <f t="shared" si="3"/>
        <v>5.476768994718025</v>
      </c>
      <c r="N46" s="11">
        <f>IF(+B46&gt;Title_RESULTS!$H$9+Title_RESULTS!$C$19-1,0,+'Value of Defferal'!N45*(1+'Value of Defferal'!$F$7))</f>
        <v>0.16651525208467466</v>
      </c>
      <c r="O46" s="5">
        <f t="shared" si="7"/>
        <v>5.058227151966078</v>
      </c>
      <c r="P46" s="48">
        <f t="shared" si="4"/>
        <v>13.483240306325573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34.004964040879536</v>
      </c>
      <c r="E47" s="11">
        <f>IF(B47&gt;Title_RESULTS!$H$8-1+Title_RESULTS!$C$18,0,+E46*(1+$F$7))</f>
        <v>0.16261255086394008</v>
      </c>
      <c r="F47" s="9">
        <f t="shared" si="1"/>
        <v>84.6807848670872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1.983607844650582</v>
      </c>
      <c r="L47" s="5">
        <f t="shared" si="3"/>
        <v>5.2875168392824445</v>
      </c>
      <c r="N47" s="11">
        <f>IF(+B47&gt;Title_RESULTS!$H$9+Title_RESULTS!$C$19-1,0,+'Value of Defferal'!N46*(1+'Value of Defferal'!$F$7))</f>
        <v>0.17051161813470686</v>
      </c>
      <c r="O47" s="5">
        <f t="shared" si="7"/>
        <v>5.179624603613265</v>
      </c>
      <c r="P47" s="48">
        <f t="shared" si="4"/>
        <v>13.806838073677389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32.78784966831912</v>
      </c>
      <c r="E48" s="11">
        <f>IF(B48&gt;Title_RESULTS!$H$8-1+Title_RESULTS!$C$18,0,+E47*(1+$F$7))</f>
        <v>0.16651525208467466</v>
      </c>
      <c r="F48" s="9">
        <f t="shared" si="1"/>
        <v>86.7131237038973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1.9126100452014942</v>
      </c>
      <c r="L48" s="5">
        <f t="shared" si="3"/>
        <v>5.098264683846864</v>
      </c>
      <c r="N48" s="11">
        <f>IF(+B48&gt;Title_RESULTS!$H$9+Title_RESULTS!$C$19-1,0,+'Value of Defferal'!N47*(1+'Value of Defferal'!$F$7))</f>
        <v>0.17460389696993983</v>
      </c>
      <c r="O48" s="5">
        <f t="shared" si="7"/>
        <v>5.3039355940999835</v>
      </c>
      <c r="P48" s="48">
        <f t="shared" si="4"/>
        <v>14.138202187445646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31.570735295758695</v>
      </c>
      <c r="E49" s="11">
        <f>IF(B49&gt;Title_RESULTS!$H$8-1+Title_RESULTS!$C$18,0,+E48*(1+$F$7))</f>
        <v>0.17051161813470686</v>
      </c>
      <c r="F49" s="9">
        <f t="shared" si="1"/>
        <v>88.79423867279084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1.8416122457524058</v>
      </c>
      <c r="L49" s="5">
        <f t="shared" si="3"/>
        <v>4.909012528411281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30.353620923198278</v>
      </c>
      <c r="E50" s="11">
        <f>IF(B50&gt;Title_RESULTS!$H$8-1+Title_RESULTS!$C$18,0,+E49*(1+$F$7))</f>
        <v>0.17460389696993983</v>
      </c>
      <c r="F50" s="9">
        <f t="shared" si="1"/>
        <v>90.92530040093781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1.7706144463033178</v>
      </c>
      <c r="L50" s="5">
        <f t="shared" si="3"/>
        <v>4.7197603729757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29.13650655063787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1.6996166468542302</v>
      </c>
      <c r="L51" s="5">
        <f t="shared" si="3"/>
        <v>4.5305082175401195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1244.133503886723</v>
      </c>
      <c r="F63" s="9">
        <f>SUM(F23:F61)</f>
        <v>1735.2338051879124</v>
      </c>
      <c r="J63" t="s">
        <v>87</v>
      </c>
      <c r="K63" s="9">
        <f>SUM(K23:K61)</f>
        <v>72.57390347878419</v>
      </c>
      <c r="O63" s="9">
        <f>SUM(O23:O61)</f>
        <v>101.22120359062126</v>
      </c>
    </row>
    <row r="64" spans="3:15" ht="12.75">
      <c r="C64" t="s">
        <v>89</v>
      </c>
      <c r="D64" s="9">
        <f>NPV(+Title_RESULTS!$C$37,'Value of Defferal'!D24:D61)+'Value of Defferal'!D23</f>
        <v>555.5131338763352</v>
      </c>
      <c r="F64" s="9">
        <f>NPV(+Title_RESULTS!$C$37,'Value of Defferal'!F24:F61)+'Value of Defferal'!F23</f>
        <v>645.2389708399015</v>
      </c>
      <c r="J64" t="s">
        <v>89</v>
      </c>
      <c r="K64" s="9">
        <f>NPV(+Title_RESULTS!$C$37,'Value of Defferal'!K24:K61)+'Value of Defferal'!K23</f>
        <v>32.40468682274856</v>
      </c>
      <c r="O64" s="9">
        <f>NPV(+Title_RESULTS!$C$37,'Value of Defferal'!O24:O61)+'Value of Defferal'!O23</f>
        <v>43.15695671273816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0.28441442709066184</v>
      </c>
      <c r="C25" t="s">
        <v>372</v>
      </c>
    </row>
    <row r="26" spans="2:3" ht="18">
      <c r="B26" s="15">
        <f>+((Input!$C$6*'EUE_Line Losses'!C4)+(Input!$C$7*'EUE_Line Losses'!C3))/'EUE_Line Losses'!C22</f>
        <v>0.283496961196821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0.32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824.44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126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5.99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4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High Efficiency PTAC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43599.319501736114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0.32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0.283496961196821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869.6624472573841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824.44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126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5.99</v>
      </c>
      <c r="D39" s="13" t="s">
        <v>189</v>
      </c>
      <c r="G39" s="20" t="s">
        <v>346</v>
      </c>
      <c r="H39" s="79">
        <f>+'Sheet7(F_23)'!H36</f>
        <v>3.4002769678968487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1765.0676464443513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1.04127268877226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2019-05-14T11:40:06Z</dcterms:created>
  <dcterms:modified xsi:type="dcterms:W3CDTF">2019-05-14T11:40:09Z</dcterms:modified>
  <cp:category/>
  <cp:version/>
  <cp:contentType/>
  <cp:contentStatus/>
</cp:coreProperties>
</file>