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'Sheet2(F_12)'!$A$1:$K$45</definedName>
    <definedName name="_xlnm.Print_Area" localSheetId="11">'Sheet3(F_21)'!$A$1:$J$34</definedName>
    <definedName name="_xlnm.Print_Area" localSheetId="14">'Sheet4(F_22)'!$A$1:$J$34</definedName>
    <definedName name="_xlnm.Print_Area" localSheetId="12">'Sheet5(p_5)'!$A$1:$H$34</definedName>
    <definedName name="_xlnm.Print_Area" localSheetId="15">'Sheet6(p_6)'!$A$1:$R$34</definedName>
    <definedName name="_xlnm.Print_Area" localSheetId="16">'Sheet7(F_23)'!$A$1:$M$34</definedName>
    <definedName name="_xlnm.Print_Area" localSheetId="17">'Sheet8(F_24)'!$A$1:$M$34</definedName>
    <definedName name="_xlnm.Print_Area" localSheetId="18">'Sheet9(F_25)'!$A$1:$N$34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<sst xmlns="http://schemas.openxmlformats.org/spreadsheetml/2006/main" count="1258" uniqueCount="468">
  <si>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</si>
  <si>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</si>
  <si>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</si>
  <si>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</si>
  <si>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</si>
  <si>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</si>
  <si>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</si>
  <si>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</si>
  <si>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</si>
  <si>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</si>
  <si>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</si>
  <si>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</si>
  <si>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</si>
  <si>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</si>
  <si>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</si>
  <si>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</si>
  <si>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</si>
  <si>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</si>
  <si>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</si>
  <si>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</si>
  <si>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</si>
  <si>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</si>
  <si>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</si>
  <si>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</si>
  <si>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</si>
  <si>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</si>
  <si>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</si>
  <si>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</si>
  <si>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</si>
  <si>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</si>
  <si>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</si>
  <si>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</si>
  <si>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</si>
  <si>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</si>
  <si>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</si>
  <si>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</si>
  <si>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</si>
  <si>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</si>
  <si>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</si>
  <si>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</si>
  <si>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</si>
  <si>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</si>
  <si>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</si>
  <si>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</si>
  <si>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</si>
  <si>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</si>
  <si>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</si>
  <si>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</si>
  <si>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</si>
  <si>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</si>
  <si>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</si>
  <si>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</si>
  <si>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</si>
  <si>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</si>
  <si>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</si>
  <si>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</si>
  <si>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</si>
  <si>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</si>
  <si>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</si>
  <si>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</si>
  <si>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</si>
  <si>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</si>
  <si>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</si>
  <si>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</si>
  <si>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</si>
  <si>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</si>
  <si>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</si>
  <si>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</si>
  <si>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</si>
  <si>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</si>
  <si>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</si>
  <si>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</si>
  <si>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</si>
  <si>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</si>
  <si>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</si>
  <si>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</si>
  <si>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</si>
  <si>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</si>
  <si>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</si>
  <si>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</si>
  <si>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</si>
  <si>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</si>
  <si>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</si>
  <si>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</si>
  <si>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</si>
  <si>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</si>
  <si>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</si>
  <si>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</si>
  <si>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</si>
  <si>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</si>
  <si>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</si>
  <si>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</si>
  <si>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</si>
  <si>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</si>
  <si>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</si>
  <si>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</si>
  <si>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</si>
  <si>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</si>
  <si>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</si>
  <si>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</si>
  <si>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</si>
  <si>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</si>
  <si>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</si>
  <si>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</si>
  <si>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</si>
  <si>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</si>
  <si>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</si>
  <si>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</si>
  <si>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</si>
  <si>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</si>
  <si>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</si>
  <si>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</si>
  <si>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</si>
  <si>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</si>
  <si>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</si>
  <si>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</si>
  <si>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</si>
  <si>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</si>
  <si>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</si>
  <si>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</si>
  <si>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</si>
  <si>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</si>
  <si>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</si>
  <si>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</si>
  <si>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</si>
  <si>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</si>
  <si>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</si>
  <si>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</si>
  <si>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</si>
  <si>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</si>
  <si>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</si>
  <si>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</si>
  <si>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</si>
  <si>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</si>
  <si>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</si>
  <si>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</si>
  <si>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</si>
  <si>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</si>
  <si>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</si>
  <si>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</si>
  <si>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</si>
  <si>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</si>
  <si>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</si>
  <si>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</si>
  <si>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</si>
  <si>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</si>
  <si>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</si>
  <si>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</si>
  <si>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</si>
  <si>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</si>
  <si>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</si>
  <si>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</si>
  <si>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</si>
  <si>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</si>
  <si>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</si>
  <si>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</si>
  <si>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</si>
  <si>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</si>
  <si>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</si>
  <si>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</si>
  <si>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</si>
  <si>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</si>
  <si>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</si>
  <si>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</si>
  <si>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</si>
  <si>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</si>
  <si>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</si>
  <si>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</si>
  <si>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</si>
  <si>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</si>
  <si>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</si>
  <si>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</si>
  <si>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</si>
  <si>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</si>
  <si>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</si>
  <si>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</si>
  <si>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</si>
  <si>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</si>
  <si>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</si>
  <si>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</si>
  <si>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</si>
  <si>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</si>
  <si>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</si>
  <si>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</si>
  <si>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</si>
  <si>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</si>
  <si>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</si>
  <si>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</si>
  <si>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</si>
  <si>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</si>
  <si>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</si>
  <si>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</si>
  <si>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</si>
  <si>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</si>
  <si>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</si>
  <si>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</si>
  <si>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</si>
  <si>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</si>
  <si>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</si>
  <si>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</si>
  <si>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</si>
  <si>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</si>
  <si>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</si>
  <si>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</si>
  <si>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</si>
  <si>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</si>
  <si>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</si>
  <si>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</si>
  <si>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</si>
  <si>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</si>
  <si>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</si>
  <si>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</si>
  <si>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</si>
  <si>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</si>
  <si>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</si>
  <si>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</si>
  <si>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</si>
  <si>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</si>
  <si>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</si>
  <si>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</si>
  <si>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</si>
  <si>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</si>
  <si>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</si>
  <si>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</si>
  <si>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</si>
  <si>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</si>
  <si>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</si>
  <si>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</si>
  <si>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</si>
  <si>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</si>
  <si>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</si>
  <si>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</si>
  <si>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</si>
  <si>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</si>
  <si>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</si>
  <si>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</si>
  <si>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</si>
  <si>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</si>
  <si>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</si>
  <si>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</si>
  <si>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</si>
  <si>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</si>
  <si>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</si>
  <si>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</si>
  <si>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</si>
  <si>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</si>
  <si>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</si>
  <si>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</si>
  <si>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</si>
  <si>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</si>
  <si>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</si>
  <si>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</si>
  <si>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</si>
  <si>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</si>
  <si>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</si>
  <si>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</si>
  <si>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</si>
  <si>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</si>
  <si>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</si>
  <si>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</si>
  <si>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</si>
  <si>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</si>
  <si>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</si>
  <si>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</si>
  <si>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</si>
  <si>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</si>
  <si>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</si>
  <si>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</si>
  <si>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</si>
  <si>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</si>
  <si>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</si>
  <si>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</si>
  <si>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</si>
  <si>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</si>
  <si>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</si>
  <si>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</si>
  <si>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</si>
  <si>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</si>
  <si>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</si>
  <si>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</si>
  <si>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</si>
  <si>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</si>
  <si>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</si>
  <si>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</si>
  <si>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</si>
  <si>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</si>
  <si>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</si>
  <si>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</si>
  <si>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</si>
  <si>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</si>
  <si>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</si>
  <si>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</si>
  <si>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</si>
  <si>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</si>
  <si>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</si>
  <si>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</si>
  <si>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</si>
  <si>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</si>
  <si>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</si>
  <si>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</si>
  <si>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</si>
  <si>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</si>
  <si>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</si>
  <si>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</si>
  <si>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</si>
  <si>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</si>
  <si>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</si>
  <si>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</si>
  <si>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</si>
  <si>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</si>
  <si>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</si>
  <si>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</si>
  <si>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</si>
  <si>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</si>
  <si>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</si>
  <si>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</si>
  <si>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</si>
  <si>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</si>
  <si>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</si>
  <si>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</si>
  <si>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</si>
  <si>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</si>
  <si>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</si>
  <si>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</si>
  <si>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</si>
  <si>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</si>
  <si>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</si>
  <si>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</si>
  <si>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</si>
  <si>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</si>
  <si>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</si>
  <si>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</si>
  <si>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</si>
  <si>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</si>
  <si>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</si>
  <si>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</si>
  <si>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</si>
  <si>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</si>
  <si>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</si>
  <si>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</si>
  <si>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</si>
  <si>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</si>
  <si>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</si>
  <si>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</si>
  <si>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</si>
  <si>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</si>
  <si>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</si>
  <si>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</si>
  <si>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</si>
  <si>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</si>
  <si>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</si>
  <si>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</si>
  <si>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</si>
  <si>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</si>
  <si>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</si>
  <si>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</si>
  <si>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</si>
  <si>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</si>
  <si>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</si>
  <si>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</si>
  <si>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</si>
  <si>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</si>
  <si>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</si>
  <si>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</si>
  <si>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</si>
  <si>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</si>
  <si>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</si>
  <si>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</si>
  <si>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</si>
  <si>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</si>
  <si>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</si>
  <si>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</si>
  <si>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</si>
  <si>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</si>
  <si>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</si>
  <si>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</si>
  <si>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</si>
  <si>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</si>
  <si>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</si>
  <si>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</si>
  <si>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</si>
  <si>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</si>
  <si>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</si>
  <si>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</si>
  <si>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</si>
  <si>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</si>
  <si>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</si>
  <si>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</si>
  <si>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</si>
  <si>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</si>
  <si>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</si>
  <si>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</si>
  <si>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</si>
  <si>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</si>
  <si>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</si>
  <si>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</si>
  <si>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</si>
  <si>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</si>
  <si>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</si>
  <si>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</si>
  <si>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</si>
  <si>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</si>
  <si>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</si>
  <si>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</si>
  <si>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</si>
  <si>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</si>
  <si>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</si>
  <si>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</si>
  <si>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</si>
  <si>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</si>
  <si>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</si>
  <si>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</si>
  <si>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</si>
  <si>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</si>
  <si>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</si>
  <si>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</si>
  <si>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</si>
  <si>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</si>
  <si>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</si>
  <si>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</si>
  <si>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</si>
  <si>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</si>
  <si>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</si>
  <si>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</si>
  <si>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</si>
  <si>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</si>
  <si>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</si>
  <si>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</si>
  <si>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</si>
  <si>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</si>
  <si>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</si>
  <si>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</si>
  <si>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</si>
  <si>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</si>
  <si>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</si>
  <si>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</si>
  <si>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</si>
  <si>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</si>
  <si>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</si>
  <si>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</si>
  <si>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</si>
  <si>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</si>
  <si>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</si>
  <si>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</si>
  <si>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</si>
  <si>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</si>
  <si>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</si>
  <si>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</si>
  <si>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</si>
  <si>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</si>
  <si>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</si>
  <si>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</si>
  <si>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</si>
  <si>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</si>
  <si>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</si>
  <si>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</si>
  <si>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</si>
  <si>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</si>
  <si>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</si>
  <si>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</si>
  <si>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</si>
  <si>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</si>
  <si>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</si>
  <si>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</si>
  <si>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</si>
  <si>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</si>
  <si>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</si>
  <si>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Hot Water Pipe Insulation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</si>
</sst>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43599.31985625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3361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43599.31985625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Hot Water Pipe Insulation</v>
      </c>
      <c r="J2" t="s">
        <v>55</v>
      </c>
    </row>
    <row r="3" ht="12.75">
      <c r="J3" s="35">
        <f>+Title_RESULTS!I4</f>
        <v>43599.31985625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3361</v>
      </c>
      <c r="H5" t="s">
        <v>59</v>
      </c>
    </row>
    <row r="6" spans="3:7" ht="12.75">
      <c r="C6" t="s">
        <v>61</v>
      </c>
      <c r="G6" s="36">
        <f>+'Value of Defferal'!E3</f>
        <v>2059.1140353606784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28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203.48639225578276</v>
      </c>
      <c r="D19" s="5">
        <f>IF((Title_RESULTS!$H$8-Title_RESULTS!$H$7)&lt;=('Sheet3(F_21)'!A19-Title_RESULTS!$H$7),((Title_RESULTS!$C$8*Partcipation!$C$26*8760*Title_RESULTS!$H$21/100000)),0)</f>
        <v>2679.3823758765784</v>
      </c>
      <c r="E19" s="5">
        <f>IF($G19=0,0,((Title_RESULTS!$H$14*((1+Title_RESULTS!$H$15/100)^($A19-Title_RESULTS!$H$7))*'EUE_Line Losses'!$B$25*Partcipation!$C$26))/1000)</f>
        <v>21.108668373669158</v>
      </c>
      <c r="F19" s="5">
        <f>IF($G19=0,0,(Title_RESULTS!$H$19/100*((1+Title_RESULTS!$H$20/100)^($A19-Title_RESULTS!$H$7))*$D19*1000)/1000)</f>
        <v>6.0416263308810585</v>
      </c>
      <c r="G19" s="5">
        <f>(+Title_RESULTS!$H$22/100*((1+Title_RESULTS!$H$23/100)^(+'Sheet4(F_22)'!A19-Title_RESULTS!$H$7)))*'Sheet3(F_21)'!D19</f>
        <v>114.7924833925826</v>
      </c>
      <c r="H19" s="5">
        <f>IF($G19=0,0,(($D19))*(Partcipation!$G19/100))</f>
        <v>85.00682417509216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260.4223461778234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208.37006566992153</v>
      </c>
      <c r="D20" s="5">
        <f>IF((Title_RESULTS!$H$8-Title_RESULTS!$H$7)&lt;=('Sheet3(F_21)'!A20-Title_RESULTS!$H$7),((Title_RESULTS!$C$8*Partcipation!$C$26*8760*Title_RESULTS!$H$21/100000)),0)</f>
        <v>2679.3823758765784</v>
      </c>
      <c r="E20" s="5">
        <f>IF($G20=0,0,((Title_RESULTS!$H$14*((1+Title_RESULTS!$H$15/100)^($A20-Title_RESULTS!$H$7))*'EUE_Line Losses'!$B$25*Partcipation!$C$26))/1000)</f>
        <v>21.615276414637215</v>
      </c>
      <c r="F20" s="5">
        <f>IF($G20=0,0,(Title_RESULTS!$H$19/100*((1+Title_RESULTS!$H$20/100)^($A20-Title_RESULTS!$H$7))*$D20*1000)/1000)</f>
        <v>6.186625362822204</v>
      </c>
      <c r="G20" s="5">
        <f>(+Title_RESULTS!$H$22/100*((1+Title_RESULTS!$H$23/100)^(+'Sheet4(F_22)'!A20-Title_RESULTS!$H$7)))*'Sheet3(F_21)'!D20</f>
        <v>120.00406213860586</v>
      </c>
      <c r="H20" s="5">
        <f>IF($G20=0,0,(($D20))*(Partcipation!$G20/100))</f>
        <v>88.80955368224532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267.3664759037415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213.37094724599967</v>
      </c>
      <c r="D21" s="5">
        <f>IF((Title_RESULTS!$H$8-Title_RESULTS!$H$7)&lt;=('Sheet3(F_21)'!A21-Title_RESULTS!$H$7),((Title_RESULTS!$C$8*Partcipation!$C$26*8760*Title_RESULTS!$H$21/100000)),0)</f>
        <v>2679.3823758765784</v>
      </c>
      <c r="E21" s="5">
        <f>IF($G21=0,0,((Title_RESULTS!$H$14*((1+Title_RESULTS!$H$15/100)^($A21-Title_RESULTS!$H$7))*'EUE_Line Losses'!$B$25*Partcipation!$C$26))/1000)</f>
        <v>22.134043048588513</v>
      </c>
      <c r="F21" s="5">
        <f>IF($G21=0,0,(Title_RESULTS!$H$19/100*((1+Title_RESULTS!$H$20/100)^($A21-Title_RESULTS!$H$7))*$D21*1000)/1000)</f>
        <v>6.335104371529937</v>
      </c>
      <c r="G21" s="5">
        <f>(+Title_RESULTS!$H$22/100*((1+Title_RESULTS!$H$23/100)^(+'Sheet4(F_22)'!A21-Title_RESULTS!$H$7)))*'Sheet3(F_21)'!D21</f>
        <v>125.45224655969858</v>
      </c>
      <c r="H21" s="5">
        <f>IF($G21=0,0,(($D21))*(Partcipation!$G21/100))</f>
        <v>92.32892650126502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274.9634147245517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218.49184997990366</v>
      </c>
      <c r="D22" s="5">
        <f>IF((Title_RESULTS!$H$8-Title_RESULTS!$H$7)&lt;=('Sheet3(F_21)'!A22-Title_RESULTS!$H$7),((Title_RESULTS!$C$8*Partcipation!$C$26*8760*Title_RESULTS!$H$21/100000)),0)</f>
        <v>2679.3823758765784</v>
      </c>
      <c r="E22" s="5">
        <f>IF($G22=0,0,((Title_RESULTS!$H$14*((1+Title_RESULTS!$H$15/100)^($A22-Title_RESULTS!$H$7))*'EUE_Line Losses'!$B$25*Partcipation!$C$26))/1000)</f>
        <v>22.665260081754628</v>
      </c>
      <c r="F22" s="5">
        <f>IF($G22=0,0,(Title_RESULTS!$H$19/100*((1+Title_RESULTS!$H$20/100)^($A22-Title_RESULTS!$H$7))*$D22*1000)/1000)</f>
        <v>6.487146876446655</v>
      </c>
      <c r="G22" s="5">
        <f>(+Title_RESULTS!$H$22/100*((1+Title_RESULTS!$H$23/100)^(+'Sheet4(F_22)'!A22-Title_RESULTS!$H$7)))*'Sheet3(F_21)'!D22</f>
        <v>131.1477785535089</v>
      </c>
      <c r="H22" s="5">
        <f>IF($G22=0,0,(($D22))*(Partcipation!$G22/100))</f>
        <v>95.3204167213982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283.4716187702157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223.73565437942133</v>
      </c>
      <c r="D23" s="5">
        <f>IF((Title_RESULTS!$H$8-Title_RESULTS!$H$7)&lt;=('Sheet3(F_21)'!A23-Title_RESULTS!$H$7),((Title_RESULTS!$C$8*Partcipation!$C$26*8760*Title_RESULTS!$H$21/100000)),0)</f>
        <v>2679.3823758765784</v>
      </c>
      <c r="E23" s="5">
        <f>IF($G23=0,0,((Title_RESULTS!$H$14*((1+Title_RESULTS!$H$15/100)^($A23-Title_RESULTS!$H$7))*'EUE_Line Losses'!$B$25*Partcipation!$C$26))/1000)</f>
        <v>23.20922632371674</v>
      </c>
      <c r="F23" s="5">
        <f>IF($G23=0,0,(Title_RESULTS!$H$19/100*((1+Title_RESULTS!$H$20/100)^($A23-Title_RESULTS!$H$7))*$D23*1000)/1000)</f>
        <v>6.6428384014813755</v>
      </c>
      <c r="G23" s="5">
        <f>(+Title_RESULTS!$H$22/100*((1+Title_RESULTS!$H$23/100)^(+'Sheet4(F_22)'!A23-Title_RESULTS!$H$7)))*'Sheet3(F_21)'!D23</f>
        <v>137.10188769983824</v>
      </c>
      <c r="H23" s="5">
        <f>IF($G23=0,0,(($D23))*(Partcipation!$G23/100))</f>
        <v>99.58692701374942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291.1026797907083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229.10531008452747</v>
      </c>
      <c r="D24" s="5">
        <f>IF((Title_RESULTS!$H$8-Title_RESULTS!$H$7)&lt;=('Sheet3(F_21)'!A24-Title_RESULTS!$H$7),((Title_RESULTS!$C$8*Partcipation!$C$26*8760*Title_RESULTS!$H$21/100000)),0)</f>
        <v>2679.3823758765784</v>
      </c>
      <c r="E24" s="5">
        <f>IF($G24=0,0,((Title_RESULTS!$H$14*((1+Title_RESULTS!$H$15/100)^($A24-Title_RESULTS!$H$7))*'EUE_Line Losses'!$B$25*Partcipation!$C$26))/1000)</f>
        <v>23.766247755485942</v>
      </c>
      <c r="F24" s="5">
        <f>IF($G24=0,0,(Title_RESULTS!$H$19/100*((1+Title_RESULTS!$H$20/100)^($A24-Title_RESULTS!$H$7))*$D24*1000)/1000)</f>
        <v>6.802266523116928</v>
      </c>
      <c r="G24" s="5">
        <f>(+Title_RESULTS!$H$22/100*((1+Title_RESULTS!$H$23/100)^(+'Sheet4(F_22)'!A24-Title_RESULTS!$H$7)))*'Sheet3(F_21)'!D24</f>
        <v>143.3263134014109</v>
      </c>
      <c r="H24" s="5">
        <f>IF($G24=0,0,(($D24))*(Partcipation!$G24/100))</f>
        <v>107.18186326441737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295.81827450012395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234.6038375265561</v>
      </c>
      <c r="D25" s="5">
        <f>IF((Title_RESULTS!$H$8-Title_RESULTS!$H$7)&lt;=('Sheet3(F_21)'!A25-Title_RESULTS!$H$7),((Title_RESULTS!$C$8*Partcipation!$C$26*8760*Title_RESULTS!$H$21/100000)),0)</f>
        <v>2679.3823758765784</v>
      </c>
      <c r="E25" s="5">
        <f>IF($G25=0,0,((Title_RESULTS!$H$14*((1+Title_RESULTS!$H$15/100)^($A25-Title_RESULTS!$H$7))*'EUE_Line Losses'!$B$25*Partcipation!$C$26))/1000)</f>
        <v>24.3366377016176</v>
      </c>
      <c r="F25" s="5">
        <f>IF($G25=0,0,(Title_RESULTS!$H$19/100*((1+Title_RESULTS!$H$20/100)^($A25-Title_RESULTS!$H$7))*$D25*1000)/1000)</f>
        <v>6.965520919671733</v>
      </c>
      <c r="G25" s="5">
        <f>(+Title_RESULTS!$H$22/100*((1+Title_RESULTS!$H$23/100)^(+'Sheet4(F_22)'!A25-Title_RESULTS!$H$7)))*'Sheet3(F_21)'!D25</f>
        <v>149.83332802983497</v>
      </c>
      <c r="H25" s="5">
        <f>IF($G25=0,0,(($D25))*(Partcipation!$G25/100))</f>
        <v>111.88560938226712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303.8537147954132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240.23432962719346</v>
      </c>
      <c r="D26" s="5">
        <f>IF((Title_RESULTS!$H$8-Title_RESULTS!$H$7)&lt;=('Sheet3(F_21)'!A26-Title_RESULTS!$H$7),((Title_RESULTS!$C$8*Partcipation!$C$26*8760*Title_RESULTS!$H$21/100000)),0)</f>
        <v>2679.3823758765784</v>
      </c>
      <c r="E26" s="5">
        <f>IF($G26=0,0,((Title_RESULTS!$H$14*((1+Title_RESULTS!$H$15/100)^($A26-Title_RESULTS!$H$7))*'EUE_Line Losses'!$B$25*Partcipation!$C$26))/1000)</f>
        <v>24.920717006456428</v>
      </c>
      <c r="F26" s="5">
        <f>IF($G26=0,0,(Title_RESULTS!$H$19/100*((1+Title_RESULTS!$H$20/100)^($A26-Title_RESULTS!$H$7))*$D26*1000)/1000)</f>
        <v>7.132693421743855</v>
      </c>
      <c r="G26" s="5">
        <f>(+Title_RESULTS!$H$22/100*((1+Title_RESULTS!$H$23/100)^(+'Sheet4(F_22)'!A26-Title_RESULTS!$H$7)))*'Sheet3(F_21)'!D26</f>
        <v>156.6357611223895</v>
      </c>
      <c r="H26" s="5">
        <f>IF($G26=0,0,(($D26))*(Partcipation!$G26/100))</f>
        <v>120.20462965659428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308.71887152118893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245.9999535382461</v>
      </c>
      <c r="D27" s="5">
        <f>IF((Title_RESULTS!$H$8-Title_RESULTS!$H$7)&lt;=('Sheet3(F_21)'!A27-Title_RESULTS!$H$7),((Title_RESULTS!$C$8*Partcipation!$C$26*8760*Title_RESULTS!$H$21/100000)),0)</f>
        <v>2679.3823758765784</v>
      </c>
      <c r="E27" s="5">
        <f>IF($G27=0,0,((Title_RESULTS!$H$14*((1+Title_RESULTS!$H$15/100)^($A27-Title_RESULTS!$H$7))*'EUE_Line Losses'!$B$25*Partcipation!$C$26))/1000)</f>
        <v>25.518814214611385</v>
      </c>
      <c r="F27" s="5">
        <f>IF($G27=0,0,(Title_RESULTS!$H$19/100*((1+Title_RESULTS!$H$20/100)^($A27-Title_RESULTS!$H$7))*$D27*1000)/1000)</f>
        <v>7.303878063865708</v>
      </c>
      <c r="G27" s="5">
        <f>(+Title_RESULTS!$H$22/100*((1+Title_RESULTS!$H$23/100)^(+'Sheet4(F_22)'!A27-Title_RESULTS!$H$7)))*'Sheet3(F_21)'!D27</f>
        <v>163.747024677346</v>
      </c>
      <c r="H27" s="5">
        <f>IF($G27=0,0,(($D27))*(Partcipation!$G27/100))</f>
        <v>123.19376499593817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319.375905498131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251.90395242316404</v>
      </c>
      <c r="D28" s="5">
        <f>IF((Title_RESULTS!$H$8-Title_RESULTS!$H$7)&lt;=('Sheet3(F_21)'!A28-Title_RESULTS!$H$7),((Title_RESULTS!$C$8*Partcipation!$C$26*8760*Title_RESULTS!$H$21/100000)),0)</f>
        <v>2679.3823758765784</v>
      </c>
      <c r="E28" s="5">
        <f>IF($G28=0,0,((Title_RESULTS!$H$14*((1+Title_RESULTS!$H$15/100)^($A28-Title_RESULTS!$H$7))*'EUE_Line Losses'!$B$25*Partcipation!$C$26))/1000)</f>
        <v>26.131265755762055</v>
      </c>
      <c r="F28" s="5">
        <f>IF($G28=0,0,(Title_RESULTS!$H$19/100*((1+Title_RESULTS!$H$20/100)^($A28-Title_RESULTS!$H$7))*$D28*1000)/1000)</f>
        <v>7.479171137398485</v>
      </c>
      <c r="G28" s="5">
        <f>(+Title_RESULTS!$H$22/100*((1+Title_RESULTS!$H$23/100)^(+'Sheet4(F_22)'!A28-Title_RESULTS!$H$7)))*'Sheet3(F_21)'!D28</f>
        <v>171.18113959769752</v>
      </c>
      <c r="H28" s="5">
        <f>IF($G28=0,0,(($D28))*(Partcipation!$G28/100))</f>
        <v>130.58661192904438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326.1089169849778</v>
      </c>
    </row>
    <row r="29" spans="3:10" ht="12.75"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87</v>
      </c>
      <c r="B30" s="9"/>
      <c r="C30" s="9">
        <f aca="true" t="shared" si="1" ref="C30:J30">SUM(C16:C29)</f>
        <v>2269.302292730716</v>
      </c>
      <c r="D30" s="9">
        <f t="shared" si="1"/>
        <v>26793.82375876579</v>
      </c>
      <c r="E30" s="9">
        <f t="shared" si="1"/>
        <v>235.40615667629964</v>
      </c>
      <c r="F30" s="9">
        <f t="shared" si="1"/>
        <v>67.37687140895794</v>
      </c>
      <c r="G30" s="9">
        <f t="shared" si="1"/>
        <v>1413.2220251729132</v>
      </c>
      <c r="H30" s="9">
        <f t="shared" si="1"/>
        <v>1054.1051273220116</v>
      </c>
      <c r="I30" s="9">
        <f t="shared" si="1"/>
        <v>0</v>
      </c>
      <c r="J30" s="9">
        <f t="shared" si="1"/>
        <v>2931.2022186668755</v>
      </c>
    </row>
    <row r="31" spans="3:10" ht="12.75"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89</v>
      </c>
      <c r="C32" s="5">
        <f>NPV(Title_RESULTS!$C$37,C17:C29)+'Sheet3(F_21)'!C16</f>
        <v>1366.6090430002318</v>
      </c>
      <c r="D32" s="5"/>
      <c r="E32" s="5">
        <f>NPV(Title_RESULTS!$C$37,E17:E29)+'Sheet3(F_21)'!E16</f>
        <v>141.76523926419688</v>
      </c>
      <c r="F32" s="5">
        <f>NPV(Title_RESULTS!$C$37,F17:F29)+'Sheet3(F_21)'!F16</f>
        <v>40.57539713924397</v>
      </c>
      <c r="G32" s="5">
        <f>NPV(Title_RESULTS!$C$37,G17:G29)+'Sheet3(F_21)'!G16</f>
        <v>841.2089818539812</v>
      </c>
      <c r="H32" s="5">
        <f>NPV(Title_RESULTS!$C$37,H17:H29)+'Sheet3(F_21)'!H16</f>
        <v>625.91913992193</v>
      </c>
      <c r="I32" s="5">
        <f>NPV(Title_RESULTS!$C$37,I17:I29)+'Sheet3(F_21)'!I16</f>
        <v>0</v>
      </c>
      <c r="J32" s="5">
        <f>NPV(Title_RESULTS!$C$37,J17:J29)+'Sheet3(F_21)'!J16</f>
        <v>1764.239521335724</v>
      </c>
    </row>
    <row r="34" ht="12.75">
      <c r="A34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Hot Water Pipe Insulation</v>
      </c>
      <c r="F2" t="s">
        <v>55</v>
      </c>
    </row>
    <row r="3" spans="6:7" ht="12.75">
      <c r="F3" s="35">
        <f>+Title_RESULTS!I4</f>
        <v>43599.31985625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4729.831223628692</v>
      </c>
      <c r="C16" s="5">
        <f>$B16*'Sheet2(F_12)'!$E16/100</f>
        <v>137.19866948184782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137.19866948184782</v>
      </c>
      <c r="G16" s="5">
        <f>+$F16*'Sheet2(F_12)'!$I16</f>
        <v>137.19866948184782</v>
      </c>
    </row>
    <row r="17" spans="1:7" ht="12.75">
      <c r="A17">
        <f>+A16+1</f>
        <v>2021</v>
      </c>
      <c r="B17" s="5">
        <f>(+Partcipation!$C16+(Partcipation!$C17-Partcipation!$C16)/2)*Title_RESULTS!$C$10/1000</f>
        <v>14189.493670886075</v>
      </c>
      <c r="C17" s="5">
        <f>$B17*'Sheet2(F_12)'!$E17/100</f>
        <v>408.2481469375566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408.2481469375566</v>
      </c>
      <c r="G17" s="5">
        <f>+$F17*'Sheet2(F_12)'!$I17</f>
        <v>408.2481469375566</v>
      </c>
    </row>
    <row r="18" spans="1:7" ht="12.75">
      <c r="A18">
        <f>+A17+1</f>
        <v>2022</v>
      </c>
      <c r="B18" s="5">
        <f>(+Partcipation!$C17+(Partcipation!$C18-Partcipation!$C17)/2)*Title_RESULTS!$C$10/1000</f>
        <v>23649.156118143463</v>
      </c>
      <c r="C18" s="5">
        <f>$B18*'Sheet2(F_12)'!$E18/100</f>
        <v>702.2323544560688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702.2323544560688</v>
      </c>
      <c r="G18" s="5">
        <f>+$F18*'Sheet2(F_12)'!$I18</f>
        <v>702.2323544560688</v>
      </c>
    </row>
    <row r="19" spans="1:7" ht="12.75">
      <c r="A19">
        <f aca="true" t="shared" si="0" ref="A19:A28">+A18+1</f>
        <v>2023</v>
      </c>
      <c r="B19" s="5">
        <f>(+Partcipation!$C18+(Partcipation!$C19-Partcipation!$C18)/2)*Title_RESULTS!$C$10/1000</f>
        <v>28378.98734177215</v>
      </c>
      <c r="C19" s="5">
        <f>$B19*'Sheet2(F_12)'!$E19/100</f>
        <v>877.2487082153248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28">+C19-E19</f>
        <v>877.2487082153248</v>
      </c>
      <c r="G19" s="5">
        <f>+$F19*'Sheet2(F_12)'!$I19</f>
        <v>877.2487082153248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28378.98734177215</v>
      </c>
      <c r="C20" s="5">
        <f>$B20*'Sheet2(F_12)'!$E20/100</f>
        <v>911.7212759005633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911.7212759005633</v>
      </c>
      <c r="G20" s="5">
        <f>+$F20*'Sheet2(F_12)'!$I20</f>
        <v>911.7212759005633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28378.98734177215</v>
      </c>
      <c r="C21" s="5">
        <f>$B21*'Sheet2(F_12)'!$E21/100</f>
        <v>978.9141626399244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978.9141626399244</v>
      </c>
      <c r="G21" s="5">
        <f>+$F21*'Sheet2(F_12)'!$I21</f>
        <v>978.9141626399244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28378.98734177215</v>
      </c>
      <c r="C22" s="5">
        <f>$B22*'Sheet2(F_12)'!$E22/100</f>
        <v>1010.3124668997937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1010.3124668997937</v>
      </c>
      <c r="G22" s="5">
        <f>+$F22*'Sheet2(F_12)'!$I22</f>
        <v>1010.3124668997937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28378.98734177215</v>
      </c>
      <c r="C23" s="5">
        <f>$B23*'Sheet2(F_12)'!$E23/100</f>
        <v>1073.4524741248097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1073.4524741248097</v>
      </c>
      <c r="G23" s="5">
        <f>+$F23*'Sheet2(F_12)'!$I23</f>
        <v>1073.4524741248097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28378.98734177215</v>
      </c>
      <c r="C24" s="5">
        <f>$B24*'Sheet2(F_12)'!$E24/100</f>
        <v>1189.5094759555154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1189.5094759555154</v>
      </c>
      <c r="G24" s="5">
        <f>+$F24*'Sheet2(F_12)'!$I24</f>
        <v>1189.5094759555154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28378.98734177215</v>
      </c>
      <c r="C25" s="5">
        <f>$B25*'Sheet2(F_12)'!$E25/100</f>
        <v>1274.3979498294893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1274.3979498294893</v>
      </c>
      <c r="G25" s="5">
        <f>+$F25*'Sheet2(F_12)'!$I25</f>
        <v>1274.3979498294893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28378.98734177215</v>
      </c>
      <c r="C26" s="5">
        <f>$B26*'Sheet2(F_12)'!$E26/100</f>
        <v>1423.4319080496314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1423.4319080496314</v>
      </c>
      <c r="G26" s="5">
        <f>+$F26*'Sheet2(F_12)'!$I26</f>
        <v>1423.4319080496314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28378.98734177215</v>
      </c>
      <c r="C27" s="5">
        <f>$B27*'Sheet2(F_12)'!$E27/100</f>
        <v>1418.1383846116796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1418.1383846116796</v>
      </c>
      <c r="G27" s="5">
        <f>+$F27*'Sheet2(F_12)'!$I27</f>
        <v>1418.1383846116796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28378.98734177215</v>
      </c>
      <c r="C28" s="5">
        <f>$B28*'Sheet2(F_12)'!$E28/100</f>
        <v>1549.8941845165348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1549.8941845165348</v>
      </c>
      <c r="G28" s="5">
        <f>+$F28*'Sheet2(F_12)'!$I28</f>
        <v>1549.8941845165348</v>
      </c>
    </row>
    <row r="29" spans="2:7" ht="12.75">
      <c r="B29" s="5"/>
      <c r="C29" s="5"/>
      <c r="D29" s="5"/>
      <c r="E29" s="5"/>
      <c r="F29" s="5"/>
      <c r="G29" s="5"/>
    </row>
    <row r="30" spans="1:7" ht="12.75">
      <c r="A30" t="s">
        <v>87</v>
      </c>
      <c r="B30" s="5">
        <f aca="true" t="shared" si="2" ref="B30:G30">SUM(B16:B29)</f>
        <v>326358.3544303797</v>
      </c>
      <c r="C30" s="5">
        <f t="shared" si="2"/>
        <v>12954.70016161874</v>
      </c>
      <c r="D30" s="5">
        <f t="shared" si="2"/>
        <v>0</v>
      </c>
      <c r="E30" s="5">
        <f t="shared" si="2"/>
        <v>0</v>
      </c>
      <c r="F30" s="5">
        <f t="shared" si="2"/>
        <v>12954.70016161874</v>
      </c>
      <c r="G30" s="5">
        <f t="shared" si="2"/>
        <v>12954.70016161874</v>
      </c>
    </row>
    <row r="31" spans="2:7" ht="12.75">
      <c r="B31" s="5"/>
      <c r="C31" s="5"/>
      <c r="D31" s="5"/>
      <c r="E31" s="5"/>
      <c r="F31" s="5"/>
      <c r="G31" s="5"/>
    </row>
    <row r="32" spans="1:7" ht="12.75">
      <c r="A32" t="s">
        <v>118</v>
      </c>
      <c r="B32" s="5"/>
      <c r="C32" s="5">
        <f>NPV(+Title_RESULTS!$C$37,C17:C29)+C16</f>
        <v>8014.603675671661</v>
      </c>
      <c r="D32" s="5"/>
      <c r="E32" s="5">
        <f>NPV(+Title_RESULTS!$C$37,E17:E29)+E16</f>
        <v>0</v>
      </c>
      <c r="F32" s="5">
        <f>NPV(+Title_RESULTS!$C$37,F17:F29)+F16</f>
        <v>8014.603675671661</v>
      </c>
      <c r="G32" s="5">
        <f>NPV(+Title_RESULTS!$C$37,G17:G29)+G16</f>
        <v>8014.603675671661</v>
      </c>
    </row>
    <row r="33" spans="6:7" ht="12.75">
      <c r="F33" s="9"/>
      <c r="G33" s="9"/>
    </row>
    <row r="34" ht="12.75">
      <c r="A34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3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Hot Water Pipe Insulation</v>
      </c>
      <c r="J2" t="s">
        <v>42</v>
      </c>
    </row>
    <row r="3" spans="9:10" ht="12.75">
      <c r="I3" s="4"/>
      <c r="J3" s="35">
        <f>+Title_RESULTS!I4</f>
        <v>43599.31985625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28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2:14" ht="15">
      <c r="B29" s="28"/>
      <c r="C29" s="28"/>
      <c r="D29" s="10"/>
      <c r="E29" s="10"/>
      <c r="N29" s="64"/>
    </row>
    <row r="30" spans="2:14" ht="15">
      <c r="B30" s="28"/>
      <c r="C30" s="28"/>
      <c r="D30" s="10"/>
      <c r="E30" s="10"/>
      <c r="N30" s="64"/>
    </row>
    <row r="31" spans="2:14" ht="15">
      <c r="B31" s="28"/>
      <c r="C31" s="28"/>
      <c r="D31" s="10"/>
      <c r="E31" s="10"/>
      <c r="N31" s="64"/>
    </row>
    <row r="32" spans="2:14" ht="15">
      <c r="B32" s="28"/>
      <c r="C32" s="28"/>
      <c r="D32" s="10"/>
      <c r="E32" s="10"/>
      <c r="N32" s="64"/>
    </row>
    <row r="33" spans="2:14" ht="15">
      <c r="B33" s="28"/>
      <c r="C33" s="28"/>
      <c r="D33" s="10"/>
      <c r="E33" s="10"/>
      <c r="N33" s="64"/>
    </row>
    <row r="34" spans="2:5" ht="12.75">
      <c r="B34" s="28"/>
      <c r="C34" s="28"/>
      <c r="D34" s="10"/>
      <c r="E34" s="10"/>
    </row>
    <row r="35" spans="2:5" ht="12.75">
      <c r="B35" s="28"/>
      <c r="C35" s="28"/>
      <c r="D35" s="10"/>
      <c r="E35" s="10"/>
    </row>
    <row r="36" spans="2:5" ht="12.75">
      <c r="B36" s="28"/>
      <c r="C36" s="28"/>
      <c r="D36" s="10"/>
      <c r="E36" s="10"/>
    </row>
    <row r="37" spans="2:5" ht="12.75">
      <c r="B37" s="28"/>
      <c r="C37" s="28"/>
      <c r="D37" s="10"/>
      <c r="E37" s="10"/>
    </row>
    <row r="38" spans="2:5" ht="12.75">
      <c r="B38" s="28"/>
      <c r="C38" s="28"/>
      <c r="D38" s="10"/>
      <c r="E38" s="10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Hot Water Pipe Insulation</v>
      </c>
      <c r="H2" t="s">
        <v>108</v>
      </c>
    </row>
    <row r="3" ht="12.75">
      <c r="H3" s="35">
        <f>+Title_RESULTS!I4</f>
        <v>43599.31985625</v>
      </c>
    </row>
    <row r="5" spans="3:6" ht="12.75">
      <c r="C5" t="s">
        <v>60</v>
      </c>
      <c r="F5" s="38">
        <f>+'Value of Defferal'!L4</f>
        <v>120.1140736</v>
      </c>
    </row>
    <row r="6" spans="3:6" ht="12.75">
      <c r="C6" t="s">
        <v>62</v>
      </c>
      <c r="F6" s="38">
        <f>+'Value of Defferal'!L5</f>
        <v>280.8751104000001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137.19866948184782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11.869949442468991</v>
      </c>
      <c r="C17" s="5">
        <f>IF(+Title_RESULTS!$H$9&lt;='Sheet4(F_22)'!$A17,(+Title_RESULTS!$H$16*((1+Title_RESULTS!$H$18/100)^('Sheet4(F_22)'!$A17-Title_RESULTS!$H$7))*Title_RESULTS!$C$8*Partcipation!$C$26/1000),0)</f>
        <v>9.568281646163095</v>
      </c>
      <c r="D17" s="5">
        <f>(+B17+C17)*+Partcipation!$H17</f>
        <v>21.438231088632087</v>
      </c>
      <c r="E17" s="5">
        <f>VLOOKUP(A17,'Value of Defferal'!$I24:$P$58,'Value of Defferal'!$K$13)</f>
        <v>27.75672542085774</v>
      </c>
      <c r="F17" s="5">
        <f>IF(+'Value of Defferal'!P24=0,0,Title_RESULTS!$H$17*Title_RESULTS!$C$7*Partcipation!$C$26*(1+Title_RESULTS!$H$18/100)^('Sheet4(F_22)'!A17-Title_RESULTS!$H$7))/1000</f>
        <v>38.66849280000001</v>
      </c>
      <c r="G17" s="5">
        <f>(+E17+F17)*Partcipation!$H17</f>
        <v>66.42521822085774</v>
      </c>
      <c r="H17" s="5">
        <f>+'Sheet5(p_5)'!$F17*'Sheet2(F_12)'!$I17</f>
        <v>408.2481469375566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12.154828229088247</v>
      </c>
      <c r="C18" s="5">
        <f>IF(+Title_RESULTS!$H$9&lt;='Sheet4(F_22)'!$A18,(+Title_RESULTS!$H$16*((1+Title_RESULTS!$H$18/100)^('Sheet4(F_22)'!$A18-Title_RESULTS!$H$7))*Title_RESULTS!$C$8*Partcipation!$C$26/1000),0)</f>
        <v>9.797920405671007</v>
      </c>
      <c r="D18" s="5">
        <f>(+B18+C18)*+Partcipation!$H18</f>
        <v>21.952748634759253</v>
      </c>
      <c r="E18" s="5">
        <f>VLOOKUP(A18,'Value of Defferal'!$I25:$P$58,'Value of Defferal'!$K$13)</f>
        <v>28.422886830958326</v>
      </c>
      <c r="F18" s="5">
        <f>IF(+'Value of Defferal'!P25=0,0,Title_RESULTS!$H$17*Title_RESULTS!$C$7*Partcipation!$C$26*(1+Title_RESULTS!$H$18/100)^('Sheet4(F_22)'!A18-Title_RESULTS!$H$7))/1000</f>
        <v>39.5965366272</v>
      </c>
      <c r="G18" s="5">
        <f>(+E18+F18)*Partcipation!$H18</f>
        <v>68.01942345815833</v>
      </c>
      <c r="H18" s="5">
        <f>+'Sheet5(p_5)'!$F18*'Sheet2(F_12)'!$I18</f>
        <v>702.2323544560688</v>
      </c>
      <c r="I18" s="5"/>
      <c r="J18" s="5"/>
    </row>
    <row r="19" spans="1:10" ht="12.75">
      <c r="A19">
        <f aca="true" t="shared" si="0" ref="A19:A28">+A18+1</f>
        <v>2023</v>
      </c>
      <c r="B19" s="5">
        <f>VLOOKUP(A19,'Value of Defferal'!$I26:$P$58,'Value of Defferal'!$K$9)</f>
        <v>12.446544106586366</v>
      </c>
      <c r="C19" s="5">
        <f>IF(+Title_RESULTS!$H$9&lt;='Sheet4(F_22)'!$A19,(+Title_RESULTS!$H$16*((1+Title_RESULTS!$H$18/100)^('Sheet4(F_22)'!$A19-Title_RESULTS!$H$7))*Title_RESULTS!$C$8*Partcipation!$C$26/1000),0)</f>
        <v>10.033070495407113</v>
      </c>
      <c r="D19" s="5">
        <f>(+B19+C19)*+Partcipation!$H19</f>
        <v>22.47961460199348</v>
      </c>
      <c r="E19" s="5">
        <f>VLOOKUP(A19,'Value of Defferal'!$I26:$P$58,'Value of Defferal'!$K$13)</f>
        <v>29.105036114901328</v>
      </c>
      <c r="F19" s="5">
        <f>IF(+'Value of Defferal'!P26=0,0,Title_RESULTS!$H$17*Title_RESULTS!$C$7*Partcipation!$C$26*(1+Title_RESULTS!$H$18/100)^('Sheet4(F_22)'!A19-Title_RESULTS!$H$7))/1000</f>
        <v>40.54685350625281</v>
      </c>
      <c r="G19" s="5">
        <f>(+E19+F19)*Partcipation!$H19</f>
        <v>69.65188962115414</v>
      </c>
      <c r="H19" s="5">
        <f>+'Sheet5(p_5)'!$F19*'Sheet2(F_12)'!$I19</f>
        <v>877.2487082153248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12.745261165144438</v>
      </c>
      <c r="C20" s="5">
        <f>IF(+Title_RESULTS!$H$9&lt;='Sheet4(F_22)'!$A20,(+Title_RESULTS!$H$16*((1+Title_RESULTS!$H$18/100)^('Sheet4(F_22)'!$A20-Title_RESULTS!$H$7))*Title_RESULTS!$C$8*Partcipation!$C$26/1000),0)</f>
        <v>10.273864187296883</v>
      </c>
      <c r="D20" s="5">
        <f>(+B20+C20)*+Partcipation!$H20</f>
        <v>23.01912535244132</v>
      </c>
      <c r="E20" s="5">
        <f>VLOOKUP(A20,'Value of Defferal'!$I27:$P$58,'Value of Defferal'!$K$13)</f>
        <v>29.803556981658957</v>
      </c>
      <c r="F20" s="5">
        <f>IF(+'Value of Defferal'!P27=0,0,Title_RESULTS!$H$17*Title_RESULTS!$C$7*Partcipation!$C$26*(1+Title_RESULTS!$H$18/100)^('Sheet4(F_22)'!A20-Title_RESULTS!$H$7))/1000</f>
        <v>41.51997799040287</v>
      </c>
      <c r="G20" s="5">
        <f>(+E20+F20)*Partcipation!$H20</f>
        <v>71.32353497206182</v>
      </c>
      <c r="H20" s="5">
        <f>+'Sheet5(p_5)'!$F20*'Sheet2(F_12)'!$I20</f>
        <v>911.7212759005633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13.051147433107905</v>
      </c>
      <c r="C21" s="5">
        <f>IF(+Title_RESULTS!$H$9&lt;='Sheet4(F_22)'!$A21,(+Title_RESULTS!$H$16*((1+Title_RESULTS!$H$18/100)^('Sheet4(F_22)'!$A21-Title_RESULTS!$H$7))*Title_RESULTS!$C$8*Partcipation!$C$26/1000),0)</f>
        <v>10.52043692779201</v>
      </c>
      <c r="D21" s="5">
        <f>(+B21+C21)*+Partcipation!$H21</f>
        <v>23.571584360899916</v>
      </c>
      <c r="E21" s="5">
        <f>VLOOKUP(A21,'Value of Defferal'!$I28:$P$58,'Value of Defferal'!$K$13)</f>
        <v>30.518842349218772</v>
      </c>
      <c r="F21" s="5">
        <f>IF(+'Value of Defferal'!P28=0,0,Title_RESULTS!$H$17*Title_RESULTS!$C$7*Partcipation!$C$26*(1+Title_RESULTS!$H$18/100)^('Sheet4(F_22)'!A21-Title_RESULTS!$H$7))/1000</f>
        <v>42.516457462172546</v>
      </c>
      <c r="G21" s="5">
        <f>(+E21+F21)*Partcipation!$H21</f>
        <v>73.03529981139133</v>
      </c>
      <c r="H21" s="5">
        <f>+'Sheet5(p_5)'!$F21*'Sheet2(F_12)'!$I21</f>
        <v>978.9141626399244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13.364374971502494</v>
      </c>
      <c r="C22" s="5">
        <f>IF(+Title_RESULTS!$H$9&lt;='Sheet4(F_22)'!$A22,(+Title_RESULTS!$H$16*((1+Title_RESULTS!$H$18/100)^('Sheet4(F_22)'!$A22-Title_RESULTS!$H$7))*Title_RESULTS!$C$8*Partcipation!$C$26/1000),0)</f>
        <v>10.772927414059017</v>
      </c>
      <c r="D22" s="5">
        <f>(+B22+C22)*+Partcipation!$H22</f>
        <v>24.13730238556151</v>
      </c>
      <c r="E22" s="5">
        <f>VLOOKUP(A22,'Value of Defferal'!$I29:$P$58,'Value of Defferal'!$K$13)</f>
        <v>31.251294565600023</v>
      </c>
      <c r="F22" s="5">
        <f>IF(+'Value of Defferal'!P29=0,0,Title_RESULTS!$H$17*Title_RESULTS!$C$7*Partcipation!$C$26*(1+Title_RESULTS!$H$18/100)^('Sheet4(F_22)'!A22-Title_RESULTS!$H$7))/1000</f>
        <v>43.53685244126468</v>
      </c>
      <c r="G22" s="5">
        <f>(+E22+F22)*Partcipation!$H22</f>
        <v>74.7881470068647</v>
      </c>
      <c r="H22" s="5">
        <f>+'Sheet5(p_5)'!$F22*'Sheet2(F_12)'!$I22</f>
        <v>1010.3124668997937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13.685119970818555</v>
      </c>
      <c r="C23" s="5">
        <f>IF(+Title_RESULTS!$H$9&lt;='Sheet4(F_22)'!$A23,(+Title_RESULTS!$H$16*((1+Title_RESULTS!$H$18/100)^('Sheet4(F_22)'!$A23-Title_RESULTS!$H$7))*Title_RESULTS!$C$8*Partcipation!$C$26/1000),0)</f>
        <v>11.031477671996434</v>
      </c>
      <c r="D23" s="5">
        <f>(+B23+C23)*+Partcipation!$H23</f>
        <v>24.71659764281499</v>
      </c>
      <c r="E23" s="5">
        <f>VLOOKUP(A23,'Value of Defferal'!$I30:$P$58,'Value of Defferal'!$K$13)</f>
        <v>32.001325635174425</v>
      </c>
      <c r="F23" s="5">
        <f>IF(+'Value of Defferal'!P30=0,0,Title_RESULTS!$H$17*Title_RESULTS!$C$7*Partcipation!$C$26*(1+Title_RESULTS!$H$18/100)^('Sheet4(F_22)'!A23-Title_RESULTS!$H$7))/1000</f>
        <v>44.58173689985504</v>
      </c>
      <c r="G23" s="5">
        <f>(+E23+F23)*Partcipation!$H23</f>
        <v>76.58306253502946</v>
      </c>
      <c r="H23" s="5">
        <f>+'Sheet5(p_5)'!$F23*'Sheet2(F_12)'!$I23</f>
        <v>1073.4524741248097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14.0135628501182</v>
      </c>
      <c r="C24" s="5">
        <f>IF(+Title_RESULTS!$H$9&lt;='Sheet4(F_22)'!$A24,(+Title_RESULTS!$H$16*((1+Title_RESULTS!$H$18/100)^('Sheet4(F_22)'!$A24-Title_RESULTS!$H$7))*Title_RESULTS!$C$8*Partcipation!$C$26/1000),0)</f>
        <v>11.296233136124346</v>
      </c>
      <c r="D24" s="5">
        <f>(+B24+C24)*+Partcipation!$H24</f>
        <v>25.30979598624255</v>
      </c>
      <c r="E24" s="5">
        <f>VLOOKUP(A24,'Value of Defferal'!$I31:$P$58,'Value of Defferal'!$K$13)</f>
        <v>32.76935745041861</v>
      </c>
      <c r="F24" s="5">
        <f>IF(+'Value of Defferal'!P31=0,0,Title_RESULTS!$H$17*Title_RESULTS!$C$7*Partcipation!$C$26*(1+Title_RESULTS!$H$18/100)^('Sheet4(F_22)'!A24-Title_RESULTS!$H$7))/1000</f>
        <v>45.65169858545155</v>
      </c>
      <c r="G24" s="5">
        <f>(+E24+F24)*Partcipation!$H24</f>
        <v>78.42105603587015</v>
      </c>
      <c r="H24" s="5">
        <f>+'Sheet5(p_5)'!$F24*'Sheet2(F_12)'!$I24</f>
        <v>1189.5094759555154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14.349888358521037</v>
      </c>
      <c r="C25" s="5">
        <f>IF(+Title_RESULTS!$H$9&lt;='Sheet4(F_22)'!$A25,(+Title_RESULTS!$H$16*((1+Title_RESULTS!$H$18/100)^('Sheet4(F_22)'!$A25-Title_RESULTS!$H$7))*Title_RESULTS!$C$8*Partcipation!$C$26/1000),0)</f>
        <v>11.567342731391332</v>
      </c>
      <c r="D25" s="5">
        <f>(+B25+C25)*+Partcipation!$H25</f>
        <v>25.91723108991237</v>
      </c>
      <c r="E25" s="5">
        <f>VLOOKUP(A25,'Value of Defferal'!$I32:$P$58,'Value of Defferal'!$K$13)</f>
        <v>33.55582202922866</v>
      </c>
      <c r="F25" s="5">
        <f>IF(+'Value of Defferal'!P32=0,0,Title_RESULTS!$H$17*Title_RESULTS!$C$7*Partcipation!$C$26*(1+Title_RESULTS!$H$18/100)^('Sheet4(F_22)'!A25-Title_RESULTS!$H$7))/1000</f>
        <v>46.74733935150238</v>
      </c>
      <c r="G25" s="5">
        <f>(+E25+F25)*Partcipation!$H25</f>
        <v>80.30316138073104</v>
      </c>
      <c r="H25" s="5">
        <f>+'Sheet5(p_5)'!$F25*'Sheet2(F_12)'!$I25</f>
        <v>1274.3979498294893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14.694285679125542</v>
      </c>
      <c r="C26" s="5">
        <f>IF(+Title_RESULTS!$H$9&lt;='Sheet4(F_22)'!$A26,(+Title_RESULTS!$H$16*((1+Title_RESULTS!$H$18/100)^('Sheet4(F_22)'!$A26-Title_RESULTS!$H$7))*Title_RESULTS!$C$8*Partcipation!$C$26/1000),0)</f>
        <v>11.844958956944723</v>
      </c>
      <c r="D26" s="5">
        <f>(+B26+C26)*+Partcipation!$H26</f>
        <v>26.539244636070265</v>
      </c>
      <c r="E26" s="5">
        <f>VLOOKUP(A26,'Value of Defferal'!$I33:$P$58,'Value of Defferal'!$K$13)</f>
        <v>34.36116175793015</v>
      </c>
      <c r="F26" s="5">
        <f>IF(+'Value of Defferal'!P33=0,0,Title_RESULTS!$H$17*Title_RESULTS!$C$7*Partcipation!$C$26*(1+Title_RESULTS!$H$18/100)^('Sheet4(F_22)'!A26-Title_RESULTS!$H$7))/1000</f>
        <v>47.869275495938446</v>
      </c>
      <c r="G26" s="5">
        <f>(+E26+F26)*Partcipation!$H26</f>
        <v>82.23043725386859</v>
      </c>
      <c r="H26" s="5">
        <f>+'Sheet5(p_5)'!$F26*'Sheet2(F_12)'!$I26</f>
        <v>1423.4319080496314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15.046948535424557</v>
      </c>
      <c r="C27" s="5">
        <f>IF(+Title_RESULTS!$H$9&lt;='Sheet4(F_22)'!$A27,(+Title_RESULTS!$H$16*((1+Title_RESULTS!$H$18/100)^('Sheet4(F_22)'!$A27-Title_RESULTS!$H$7))*Title_RESULTS!$C$8*Partcipation!$C$26/1000),0)</f>
        <v>12.129237971911397</v>
      </c>
      <c r="D27" s="5">
        <f>(+B27+C27)*+Partcipation!$H27</f>
        <v>27.176186507335956</v>
      </c>
      <c r="E27" s="5">
        <f>VLOOKUP(A27,'Value of Defferal'!$I34:$P$58,'Value of Defferal'!$K$13)</f>
        <v>35.185829640120474</v>
      </c>
      <c r="F27" s="5">
        <f>IF(+'Value of Defferal'!P34=0,0,Title_RESULTS!$H$17*Title_RESULTS!$C$7*Partcipation!$C$26*(1+Title_RESULTS!$H$18/100)^('Sheet4(F_22)'!A27-Title_RESULTS!$H$7))/1000</f>
        <v>49.018138107840976</v>
      </c>
      <c r="G27" s="5">
        <f>(+E27+F27)*Partcipation!$H27</f>
        <v>84.20396774796146</v>
      </c>
      <c r="H27" s="5">
        <f>+'Sheet5(p_5)'!$F27*'Sheet2(F_12)'!$I27</f>
        <v>1418.1383846116796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15.408075300274746</v>
      </c>
      <c r="C28" s="5">
        <f>IF(+Title_RESULTS!$H$9&lt;='Sheet4(F_22)'!$A28,(+Title_RESULTS!$H$16*((1+Title_RESULTS!$H$18/100)^('Sheet4(F_22)'!$A28-Title_RESULTS!$H$7))*Title_RESULTS!$C$8*Partcipation!$C$26/1000),0)</f>
        <v>12.420339683237271</v>
      </c>
      <c r="D28" s="5">
        <f>(+B28+C28)*+Partcipation!$H28</f>
        <v>27.82841498351202</v>
      </c>
      <c r="E28" s="5">
        <f>VLOOKUP(A28,'Value of Defferal'!$I35:$P$58,'Value of Defferal'!$K$13)</f>
        <v>36.030289551483364</v>
      </c>
      <c r="F28" s="5">
        <f>IF(+'Value of Defferal'!P35=0,0,Title_RESULTS!$H$17*Title_RESULTS!$C$7*Partcipation!$C$26*(1+Title_RESULTS!$H$18/100)^('Sheet4(F_22)'!A28-Title_RESULTS!$H$7))/1000</f>
        <v>50.19457342242915</v>
      </c>
      <c r="G28" s="5">
        <f>(+E28+F28)*Partcipation!$H28</f>
        <v>86.22486297391251</v>
      </c>
      <c r="H28" s="5">
        <f>+'Sheet5(p_5)'!$F28*'Sheet2(F_12)'!$I28</f>
        <v>1549.8941845165348</v>
      </c>
      <c r="I28" s="5"/>
      <c r="J28" s="5"/>
    </row>
    <row r="29" spans="2:10" ht="12.75">
      <c r="B29" s="5"/>
      <c r="C29" s="5"/>
      <c r="D29" s="5"/>
      <c r="E29" s="5"/>
      <c r="F29" s="5"/>
      <c r="G29" s="5"/>
      <c r="H29" s="5"/>
      <c r="I29" s="5"/>
      <c r="J29" s="5"/>
    </row>
    <row r="30" spans="1:10" ht="12.75">
      <c r="A30" t="s">
        <v>88</v>
      </c>
      <c r="B30" s="5">
        <f aca="true" t="shared" si="1" ref="B30:H30">SUM(B16:B29)</f>
        <v>162.82998604218108</v>
      </c>
      <c r="C30" s="5">
        <f t="shared" si="1"/>
        <v>131.25609122799463</v>
      </c>
      <c r="D30" s="5">
        <f t="shared" si="1"/>
        <v>294.08607727017574</v>
      </c>
      <c r="E30" s="5">
        <f t="shared" si="1"/>
        <v>380.7621283275508</v>
      </c>
      <c r="F30" s="5">
        <f t="shared" si="1"/>
        <v>530.4479326903104</v>
      </c>
      <c r="G30" s="5">
        <f t="shared" si="1"/>
        <v>911.2100610178612</v>
      </c>
      <c r="H30" s="5">
        <f t="shared" si="1"/>
        <v>12954.70016161874</v>
      </c>
      <c r="I30" s="5"/>
      <c r="J30" s="5"/>
    </row>
    <row r="31" spans="2:10" ht="12.75">
      <c r="B31" s="5"/>
      <c r="C31" s="5"/>
      <c r="D31" s="5"/>
      <c r="E31" s="5"/>
      <c r="F31" s="5"/>
      <c r="G31" s="5"/>
      <c r="H31" s="5"/>
      <c r="I31" s="5"/>
      <c r="J31" s="5"/>
    </row>
    <row r="32" spans="1:10" ht="12.75">
      <c r="A32" t="s">
        <v>90</v>
      </c>
      <c r="B32" s="5">
        <f>NPV(Title_RESULTS!$C$37,'Sheet4(F_22)'!B17:B29)+'Sheet4(F_22)'!B16</f>
        <v>105.2764127941125</v>
      </c>
      <c r="C32" s="5">
        <f>NPV(Title_RESULTS!$C$37,'Sheet4(F_22)'!C17:C29)+'Sheet4(F_22)'!C16</f>
        <v>84.86256602810528</v>
      </c>
      <c r="D32" s="5">
        <f>NPV(Title_RESULTS!$C$37,'Sheet4(F_22)'!D17:D29)+'Sheet4(F_22)'!D16</f>
        <v>190.13897882221778</v>
      </c>
      <c r="E32" s="5">
        <f>NPV(Title_RESULTS!$C$37,'Sheet4(F_22)'!E17:E29)+'Sheet4(F_22)'!E16</f>
        <v>246.1786798151048</v>
      </c>
      <c r="F32" s="5">
        <f>NPV(Title_RESULTS!$C$37,'Sheet4(F_22)'!F17:F29)+'Sheet4(F_22)'!F16</f>
        <v>342.95682806987685</v>
      </c>
      <c r="G32" s="5">
        <f>NPV(Title_RESULTS!$C$37,'Sheet4(F_22)'!G17:G29)+'Sheet4(F_22)'!G16</f>
        <v>589.1355078849816</v>
      </c>
      <c r="H32" s="5">
        <f>NPV(Title_RESULTS!$C$37,'Sheet4(F_22)'!H17:H29)+'Sheet4(F_22)'!H16</f>
        <v>8014.603675671661</v>
      </c>
      <c r="I32" s="5"/>
      <c r="J32" s="5"/>
    </row>
    <row r="33" spans="2:10" ht="12.75">
      <c r="B33" s="5"/>
      <c r="C33" s="5"/>
      <c r="D33" s="5"/>
      <c r="E33" s="5"/>
      <c r="F33" s="5"/>
      <c r="G33" s="5"/>
      <c r="H33" s="5"/>
      <c r="I33" s="5"/>
      <c r="J33" s="5"/>
    </row>
    <row r="34" ht="12.75">
      <c r="A34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Hot Water Pipe Insulation</v>
      </c>
      <c r="P2" t="s">
        <v>121</v>
      </c>
    </row>
    <row r="3" ht="12.75">
      <c r="P3" s="35">
        <f>+Title_RESULTS!I4</f>
        <v>43599.31985625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40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40</v>
      </c>
      <c r="E16" s="5">
        <f>IF(+'Sheet9(F_25)'!$A16&gt;=Title_RESULTS!$H$8,0,((Partcipation!$B16-Partcipation!$B15)*(Title_RESULTS!$C$39*((1+Title_RESULTS!$C$41/100)^('Sheet9(F_25)'!$A16-Title_RESULTS!$H$7)))/1000))</f>
        <v>121.61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121.61</v>
      </c>
      <c r="H16" s="5">
        <f>IF(Partcipation!$B17&lt;Partcipation!$B16,0,IF(Partcipation!$B16=0,0,(Partcipation!$B16-Partcipation!$B15)*(+Title_RESULTS!$C$29*(1+Title_RESULTS!$C$30/100)^(+'Sheet8(F_24)'!$A16-Title_RESULTS!$H$7))/1000))</f>
        <v>1190.77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1190.77</v>
      </c>
      <c r="K16" s="5">
        <f>(+Partcipation!$B15+(Partcipation!$B16-Partcipation!$B15)/2)*(+Title_RESULTS!$C$14)/1000</f>
        <v>4483.88</v>
      </c>
      <c r="L16" s="5">
        <f>($K16)*Partcipation!$E73*Title_RESULTS!$C$12/100</f>
        <v>109.16510482857588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148.7130084</v>
      </c>
      <c r="N16" s="5">
        <f>'Sheet2(F_12)'!$I16*('Sheet6(p_6)'!$L16+'Sheet6(p_6)'!$M16)</f>
        <v>257.8781132285759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40.96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40.96</v>
      </c>
      <c r="E17" s="5">
        <f>IF(+'Sheet9(F_25)'!$A17&gt;=Title_RESULTS!$H$8,0,((Partcipation!$B17-Partcipation!$B16)*(Title_RESULTS!$C$39*((1+Title_RESULTS!$C$41/100)^('Sheet9(F_25)'!$A17-Title_RESULTS!$H$7)))/1000))</f>
        <v>121.61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121.61</v>
      </c>
      <c r="H17" s="5">
        <f>IF(Partcipation!$B18&lt;Partcipation!$B17,0,IF(Partcipation!$B17=0,0,(Partcipation!$B17-Partcipation!$B16)*(+Title_RESULTS!$C$29*(1+Title_RESULTS!$C$30/100)^(+'Sheet8(F_24)'!$A17-Title_RESULTS!$H$7))/1000))</f>
        <v>1218.15771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1218.15771</v>
      </c>
      <c r="K17" s="5">
        <f>(+Partcipation!$B16+(Partcipation!$B17-Partcipation!$B16)/2)*(+Title_RESULTS!$C$14)/1000</f>
        <v>13451.64</v>
      </c>
      <c r="L17" s="5">
        <f>($K17)*Partcipation!$E74*Title_RESULTS!$C$12/100</f>
        <v>343.08195743017563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450.600415452</v>
      </c>
      <c r="N17" s="5">
        <f>'Sheet2(F_12)'!$I17*('Sheet6(p_6)'!$L17+'Sheet6(p_6)'!$M17)</f>
        <v>793.6823728821756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41.943039999999996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41.943039999999996</v>
      </c>
      <c r="E18" s="5">
        <f>IF(+'Sheet9(F_25)'!$A18&gt;=Title_RESULTS!$H$8,0,((Partcipation!$B18-Partcipation!$B17)*(Title_RESULTS!$C$39*((1+Title_RESULTS!$C$41/100)^('Sheet9(F_25)'!$A18-Title_RESULTS!$H$7)))/1000))</f>
        <v>121.61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121.61</v>
      </c>
      <c r="H18" s="5">
        <f>IF(Partcipation!$B19&lt;Partcipation!$B18,0,IF(Partcipation!$B18=0,0,(Partcipation!$B18-Partcipation!$B17)*(+Title_RESULTS!$C$29*(1+Title_RESULTS!$C$30/100)^(+'Sheet8(F_24)'!$A18-Title_RESULTS!$H$7))/1000))</f>
        <v>1246.1753373299998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1246.1753373299998</v>
      </c>
      <c r="K18" s="5">
        <f>(+Partcipation!$B17+(Partcipation!$B18-Partcipation!$B17)/2)*(+Title_RESULTS!$C$14)/1000</f>
        <v>22419.4</v>
      </c>
      <c r="L18" s="5">
        <f>($K18)*Partcipation!$E75*Title_RESULTS!$C$12/100</f>
        <v>592.8658574588221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758.5106993442</v>
      </c>
      <c r="N18" s="5">
        <f>'Sheet2(F_12)'!$I18*('Sheet6(p_6)'!$L18+'Sheet6(p_6)'!$M18)</f>
        <v>1351.3765568030221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28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28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28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28">SUM(H19:I19)</f>
        <v>0</v>
      </c>
      <c r="K19" s="5">
        <f>(+Partcipation!$B18+(Partcipation!$B19-Partcipation!$B18)/2)*(+Title_RESULTS!$C$14)/1000</f>
        <v>26903.28</v>
      </c>
      <c r="L19" s="5">
        <f>($K19)*Partcipation!$E76*Title_RESULTS!$C$12/100</f>
        <v>705.6070868519014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919.3149676051703</v>
      </c>
      <c r="N19" s="5">
        <f>'Sheet2(F_12)'!$I19*('Sheet6(p_6)'!$L19+'Sheet6(p_6)'!$M19)</f>
        <v>1624.9220544570717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26903.28</v>
      </c>
      <c r="L20" s="5">
        <f>($K20)*Partcipation!$E77*Title_RESULTS!$C$12/100</f>
        <v>745.628932805769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928.5081172812222</v>
      </c>
      <c r="N20" s="5">
        <f>'Sheet2(F_12)'!$I20*('Sheet6(p_6)'!$L20+'Sheet6(p_6)'!$M20)</f>
        <v>1674.1370500869912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26903.28</v>
      </c>
      <c r="L21" s="5">
        <f>($K21)*Partcipation!$E78*Title_RESULTS!$C$12/100</f>
        <v>788.4270470331659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937.7931984540343</v>
      </c>
      <c r="N21" s="5">
        <f>'Sheet2(F_12)'!$I21*('Sheet6(p_6)'!$L21+'Sheet6(p_6)'!$M21)</f>
        <v>1726.2202454872001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26903.28</v>
      </c>
      <c r="L22" s="5">
        <f>($K22)*Partcipation!$E79*Title_RESULTS!$C$12/100</f>
        <v>824.0751187806607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947.1711304385749</v>
      </c>
      <c r="N22" s="5">
        <f>'Sheet2(F_12)'!$I22*('Sheet6(p_6)'!$L22+'Sheet6(p_6)'!$M22)</f>
        <v>1771.2462492192356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26903.28</v>
      </c>
      <c r="L23" s="5">
        <f>($K23)*Partcipation!$E80*Title_RESULTS!$C$12/100</f>
        <v>872.5974594185586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956.6428417429604</v>
      </c>
      <c r="N23" s="5">
        <f>'Sheet2(F_12)'!$I23*('Sheet6(p_6)'!$L23+'Sheet6(p_6)'!$M23)</f>
        <v>1829.240301161519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26903.28</v>
      </c>
      <c r="L24" s="5">
        <f>($K24)*Partcipation!$E81*Title_RESULTS!$C$12/100</f>
        <v>955.2281730829825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966.2092701603901</v>
      </c>
      <c r="N24" s="5">
        <f>'Sheet2(F_12)'!$I24*('Sheet6(p_6)'!$L24+'Sheet6(p_6)'!$M24)</f>
        <v>1921.4374432433726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26903.28</v>
      </c>
      <c r="L25" s="5">
        <f>($K25)*Partcipation!$E82*Title_RESULTS!$C$12/100</f>
        <v>1003.8948975783575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975.8713628619942</v>
      </c>
      <c r="N25" s="5">
        <f>'Sheet2(F_12)'!$I25*('Sheet6(p_6)'!$L25+'Sheet6(p_6)'!$M25)</f>
        <v>1979.7662604403517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26903.28</v>
      </c>
      <c r="L26" s="5">
        <f>($K26)*Partcipation!$E83*Title_RESULTS!$C$12/100</f>
        <v>1093.7956806168347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985.6300764906141</v>
      </c>
      <c r="N26" s="5">
        <f>'Sheet2(F_12)'!$I26*('Sheet6(p_6)'!$L26+'Sheet6(p_6)'!$M26)</f>
        <v>2079.4257571074486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26903.28</v>
      </c>
      <c r="L27" s="5">
        <f>($K27)*Partcipation!$E84*Title_RESULTS!$C$12/100</f>
        <v>1131.5010951184051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995.48637725552</v>
      </c>
      <c r="N27" s="5">
        <f>'Sheet2(F_12)'!$I27*('Sheet6(p_6)'!$L27+'Sheet6(p_6)'!$M27)</f>
        <v>2126.987472373925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26903.28</v>
      </c>
      <c r="L28" s="5">
        <f>($K28)*Partcipation!$E85*Title_RESULTS!$C$12/100</f>
        <v>1212.2348838902126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1005.4412410280753</v>
      </c>
      <c r="N28" s="5">
        <f>'Sheet2(F_12)'!$I28*('Sheet6(p_6)'!$L28+'Sheet6(p_6)'!$M28)</f>
        <v>2217.6761249182878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2:18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12.75">
      <c r="A30" t="s">
        <v>87</v>
      </c>
      <c r="B30" s="5">
        <f aca="true" t="shared" si="4" ref="B30:R30">SUM(B16:B29)</f>
        <v>122.90304</v>
      </c>
      <c r="C30" s="5">
        <f t="shared" si="4"/>
        <v>0</v>
      </c>
      <c r="D30" s="5">
        <f t="shared" si="4"/>
        <v>122.90304</v>
      </c>
      <c r="E30" s="5">
        <f t="shared" si="4"/>
        <v>364.83</v>
      </c>
      <c r="F30" s="5">
        <f t="shared" si="4"/>
        <v>0</v>
      </c>
      <c r="G30" s="5">
        <f t="shared" si="4"/>
        <v>364.83</v>
      </c>
      <c r="H30" s="5">
        <f t="shared" si="4"/>
        <v>3655.1030473299998</v>
      </c>
      <c r="I30" s="5">
        <f t="shared" si="4"/>
        <v>0</v>
      </c>
      <c r="J30" s="5">
        <f t="shared" si="4"/>
        <v>3655.1030473299998</v>
      </c>
      <c r="K30" s="5">
        <f t="shared" si="4"/>
        <v>309387.72</v>
      </c>
      <c r="L30" s="5">
        <f t="shared" si="4"/>
        <v>10378.103294894423</v>
      </c>
      <c r="M30" s="5">
        <f t="shared" si="4"/>
        <v>10975.892706514756</v>
      </c>
      <c r="N30" s="5">
        <f t="shared" si="4"/>
        <v>21353.996001409178</v>
      </c>
      <c r="O30" s="5">
        <f t="shared" si="4"/>
        <v>0</v>
      </c>
      <c r="P30" s="5">
        <f t="shared" si="4"/>
        <v>0</v>
      </c>
      <c r="Q30" s="5">
        <f t="shared" si="4"/>
        <v>0</v>
      </c>
      <c r="R30" s="5">
        <f t="shared" si="4"/>
        <v>0</v>
      </c>
    </row>
    <row r="31" spans="2:18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</row>
    <row r="32" spans="1:18" ht="12.75">
      <c r="A32" t="s">
        <v>89</v>
      </c>
      <c r="B32" s="5">
        <f>NPV(Title_RESULTS!$C$37,'Sheet6(p_6)'!B17:B29)+'Sheet6(p_6)'!B16</f>
        <v>114.83173044385765</v>
      </c>
      <c r="C32" s="5">
        <f>NPV(Title_RESULTS!$C$37,'Sheet6(p_6)'!C17:C29)+'Sheet6(p_6)'!C16</f>
        <v>0</v>
      </c>
      <c r="D32" s="5">
        <f>NPV(Title_RESULTS!$C$37,'Sheet6(p_6)'!D17:D29)+'Sheet6(p_6)'!D16</f>
        <v>114.83173044385765</v>
      </c>
      <c r="E32" s="5">
        <f>NPV(Title_RESULTS!$C$37,'Sheet6(p_6)'!E17:E29)+'Sheet6(p_6)'!E16</f>
        <v>341.2395237073263</v>
      </c>
      <c r="F32" s="5">
        <f>NPV(Title_RESULTS!$C$37,'Sheet6(p_6)'!F17:F29)+'Sheet6(p_6)'!F16</f>
        <v>0</v>
      </c>
      <c r="G32" s="5">
        <f>NPV(Title_RESULTS!$C$37,'Sheet6(p_6)'!G17:G29)+'Sheet6(p_6)'!G16</f>
        <v>341.2395237073263</v>
      </c>
      <c r="H32" s="5">
        <f>NPV(Title_RESULTS!$C$37,'Sheet6(p_6)'!H17:H29)+'Sheet6(p_6)'!H16</f>
        <v>3415.216621483258</v>
      </c>
      <c r="I32" s="5">
        <f>NPV(Title_RESULTS!$C$37,'Sheet6(p_6)'!I17:I29)+'Sheet6(p_6)'!I16</f>
        <v>0</v>
      </c>
      <c r="J32" s="5">
        <f>NPV(Title_RESULTS!$C$37,'Sheet6(p_6)'!J17:J29)+'Sheet6(p_6)'!J16</f>
        <v>3415.216621483258</v>
      </c>
      <c r="K32" s="5"/>
      <c r="L32" s="5">
        <f>NPV(Title_RESULTS!$C$37,'Sheet6(p_6)'!L17:L29)+'Sheet6(p_6)'!L16</f>
        <v>6449.2567964890395</v>
      </c>
      <c r="M32" s="5">
        <f>NPV(Title_RESULTS!$C$37,'Sheet6(p_6)'!M17:M29)+'Sheet6(p_6)'!M16</f>
        <v>7068.206610688369</v>
      </c>
      <c r="N32" s="5">
        <f>NPV(Title_RESULTS!$C$37,'Sheet6(p_6)'!N17:N29)+'Sheet6(p_6)'!N16</f>
        <v>13517.463407177413</v>
      </c>
      <c r="O32" s="5"/>
      <c r="P32" s="5">
        <f>NPV(Title_RESULTS!$C$37,'Sheet6(p_6)'!P17:P29)+'Sheet6(p_6)'!P16</f>
        <v>0</v>
      </c>
      <c r="Q32" s="5">
        <f>NPV(Title_RESULTS!$C$37,'Sheet6(p_6)'!Q17:Q29)+'Sheet6(p_6)'!Q16</f>
        <v>0</v>
      </c>
      <c r="R32" s="5">
        <f>NPV(Title_RESULTS!$C$37,'Sheet6(p_6)'!R17:R29)+'Sheet6(p_6)'!R16</f>
        <v>0</v>
      </c>
    </row>
    <row r="34" ht="12.75">
      <c r="A34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Hot Water Pipe Insulation</v>
      </c>
      <c r="M2" t="s">
        <v>55</v>
      </c>
    </row>
    <row r="3" ht="12.75">
      <c r="M3" s="35">
        <f>+Title_RESULTS!I4</f>
        <v>43599.31985625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IF(A16&gt;=(Title_RESULTS!$H$7+Title_RESULTS!$C$17),0,(+'Sheet6(p_6)'!$J16))</f>
        <v>1190.77</v>
      </c>
      <c r="E16" s="5">
        <f>IF(A16&gt;=(Title_RESULTS!$H$7+Title_RESULTS!$C$17),0,(+'f-11B'!$N15))</f>
        <v>0</v>
      </c>
      <c r="F16" s="5">
        <f>IF(A16&gt;=(Title_RESULTS!$H$7+Title_RESULTS!$C$17),0,(SUM(B16:E16)))</f>
        <v>1230.77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137.19866948184782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137.19866948184782</v>
      </c>
      <c r="L16" s="23">
        <f>IF(A16&gt;=(Title_RESULTS!$H$7+Title_RESULTS!$C$17),0,(+$K16-$F16))</f>
        <v>-1093.571330518152</v>
      </c>
      <c r="M16" s="23">
        <f>IF(A16&gt;=(Title_RESULTS!$H$7+Title_RESULTS!$C$17),0,(+$L16/(1+Title_RESULTS!$C$37)^('Sheet7(F_23)'!$A16-Title_RESULTS!$H$7)))</f>
        <v>-1093.571330518152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IF(A17&gt;=(Title_RESULTS!$H$7+Title_RESULTS!$C$17),0,(+'Sheet6(p_6)'!$J17))</f>
        <v>1218.15771</v>
      </c>
      <c r="E17" s="5">
        <f>IF(A17&gt;=(Title_RESULTS!$H$7+Title_RESULTS!$C$17),0,(+'f-11B'!$N16))</f>
        <v>0</v>
      </c>
      <c r="F17" s="5">
        <f>IF(A17&gt;=(Title_RESULTS!$H$7+Title_RESULTS!$C$17),0,(SUM(B17:E17)))</f>
        <v>1259.11771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87.86344930948982</v>
      </c>
      <c r="I17" s="5">
        <f>IF(A17&gt;=(Title_RESULTS!$H$7+Title_RESULTS!$C$17),0,(+'Sheet4(F_22)'!$H17))</f>
        <v>408.2481469375566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496.11159624704646</v>
      </c>
      <c r="L17" s="23">
        <f>IF(A17&gt;=(Title_RESULTS!$H$7+Title_RESULTS!$C$17),0,(+$K17-$F17))</f>
        <v>-763.0061137529535</v>
      </c>
      <c r="M17" s="23">
        <f>IF(A17&gt;=(Title_RESULTS!$H$7+Title_RESULTS!$C$17),0,(+M16+$L17/(1+Title_RESULTS!$C$37)^('Sheet7(F_23)'!$A17-Title_RESULTS!$H$7)))</f>
        <v>-1806.128403503727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IF(A18&gt;=(Title_RESULTS!$H$7+Title_RESULTS!$C$17),0,(+'Sheet6(p_6)'!$J18))</f>
        <v>1246.1753373299998</v>
      </c>
      <c r="E18" s="5">
        <f>IF(A18&gt;=(Title_RESULTS!$H$7+Title_RESULTS!$C$17),0,(+'f-11B'!$N17))</f>
        <v>0</v>
      </c>
      <c r="F18" s="5">
        <f>IF(A18&gt;=(Title_RESULTS!$H$7+Title_RESULTS!$C$17),0,(SUM(B18:E18)))</f>
        <v>1288.11837733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89.97217209291759</v>
      </c>
      <c r="I18" s="5">
        <f>IF(A18&gt;=(Title_RESULTS!$H$7+Title_RESULTS!$C$17),0,(+'Sheet4(F_22)'!$H18))</f>
        <v>702.2323544560688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792.2045265489865</v>
      </c>
      <c r="L18" s="23">
        <f>IF(A18&gt;=(Title_RESULTS!$H$7+Title_RESULTS!$C$17),0,(+$K18-$F18))</f>
        <v>-495.9138507810135</v>
      </c>
      <c r="M18" s="23">
        <f>IF(A18&gt;=(Title_RESULTS!$H$7+Title_RESULTS!$C$17),0,(+M17+$L18/(1+Title_RESULTS!$C$37)^('Sheet7(F_23)'!$A18-Title_RESULTS!$H$7)))</f>
        <v>-2238.631790856071</v>
      </c>
    </row>
    <row r="19" spans="1:13" ht="12.75">
      <c r="A19">
        <f aca="true" t="shared" si="0" ref="A19:A28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260.4223461778234</v>
      </c>
      <c r="H19" s="5">
        <f>IF(A19&gt;=(Title_RESULTS!$H$7+Title_RESULTS!$C$17),0,(+'Sheet4(F_22)'!$D19+'Sheet4(F_22)'!$G19))</f>
        <v>92.13150422314762</v>
      </c>
      <c r="I19" s="5">
        <f>IF(A19&gt;=(Title_RESULTS!$H$7+Title_RESULTS!$C$17),0,(+'Sheet4(F_22)'!$H19))</f>
        <v>877.2487082153248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1229.8025586162958</v>
      </c>
      <c r="L19" s="23">
        <f>IF(A19&gt;=(Title_RESULTS!$H$7+Title_RESULTS!$C$17),0,(+$K19-$F19))</f>
        <v>1229.8025586162958</v>
      </c>
      <c r="M19" s="23">
        <f>IF(A19&gt;=(Title_RESULTS!$H$7+Title_RESULTS!$C$17),0,(+M18+$L19/(1+Title_RESULTS!$C$37)^('Sheet7(F_23)'!$A19-Title_RESULTS!$H$7)))</f>
        <v>-1236.9949155788363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267.3664759037415</v>
      </c>
      <c r="H20" s="5">
        <f>IF(A20&gt;=(Title_RESULTS!$H$7+Title_RESULTS!$C$17),0,(+'Sheet4(F_22)'!$D20+'Sheet4(F_22)'!$G20))</f>
        <v>94.34266032450314</v>
      </c>
      <c r="I20" s="5">
        <f>IF(A20&gt;=(Title_RESULTS!$H$7+Title_RESULTS!$C$17),0,(+'Sheet4(F_22)'!$H20))</f>
        <v>911.7212759005633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1273.430412128808</v>
      </c>
      <c r="L20" s="23">
        <f>IF(A20&gt;=(Title_RESULTS!$H$7+Title_RESULTS!$C$17),0,(+$K20-$F20))</f>
        <v>1273.430412128808</v>
      </c>
      <c r="M20" s="23">
        <f>IF(A20&gt;=(Title_RESULTS!$H$7+Title_RESULTS!$C$17),0,(+M19+$L20/(1+Title_RESULTS!$C$37)^('Sheet7(F_23)'!$A20-Title_RESULTS!$H$7)))</f>
        <v>-268.40093125118597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274.9634147245517</v>
      </c>
      <c r="H21" s="5">
        <f>IF(A21&gt;=(Title_RESULTS!$H$7+Title_RESULTS!$C$17),0,(+'Sheet4(F_22)'!$D21+'Sheet4(F_22)'!$G21))</f>
        <v>96.60688417229125</v>
      </c>
      <c r="I21" s="5">
        <f>IF(A21&gt;=(Title_RESULTS!$H$7+Title_RESULTS!$C$17),0,(+'Sheet4(F_22)'!$H21))</f>
        <v>978.9141626399244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1350.4844615367674</v>
      </c>
      <c r="L21" s="23">
        <f>IF(A21&gt;=(Title_RESULTS!$H$7+Title_RESULTS!$C$17),0,(+$K21-$F21))</f>
        <v>1350.4844615367674</v>
      </c>
      <c r="M21" s="23">
        <f>IF(A21&gt;=(Title_RESULTS!$H$7+Title_RESULTS!$C$17),0,(+M20+$L21/(1+Title_RESULTS!$C$37)^('Sheet7(F_23)'!$A21-Title_RESULTS!$H$7)))</f>
        <v>690.8843458236279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283.4716187702157</v>
      </c>
      <c r="H22" s="5">
        <f>IF(A22&gt;=(Title_RESULTS!$H$7+Title_RESULTS!$C$17),0,(+'Sheet4(F_22)'!$D22+'Sheet4(F_22)'!$G22))</f>
        <v>98.92544939242622</v>
      </c>
      <c r="I22" s="5">
        <f>IF(A22&gt;=(Title_RESULTS!$H$7+Title_RESULTS!$C$17),0,(+'Sheet4(F_22)'!$H22))</f>
        <v>1010.3124668997937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1392.7095350624356</v>
      </c>
      <c r="L22" s="23">
        <f>IF(A22&gt;=(Title_RESULTS!$H$7+Title_RESULTS!$C$17),0,(+$K22-$F22))</f>
        <v>1392.7095350624356</v>
      </c>
      <c r="M22" s="23">
        <f>IF(A22&gt;=(Title_RESULTS!$H$7+Title_RESULTS!$C$17),0,(+M21+$L22/(1+Title_RESULTS!$C$37)^('Sheet7(F_23)'!$A22-Title_RESULTS!$H$7)))</f>
        <v>1614.7533013029547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291.1026797907083</v>
      </c>
      <c r="H23" s="5">
        <f>IF(A23&gt;=(Title_RESULTS!$H$7+Title_RESULTS!$C$17),0,(+'Sheet4(F_22)'!$D23+'Sheet4(F_22)'!$G23))</f>
        <v>101.29966017784444</v>
      </c>
      <c r="I23" s="5">
        <f>IF(A23&gt;=(Title_RESULTS!$H$7+Title_RESULTS!$C$17),0,(+'Sheet4(F_22)'!$H23))</f>
        <v>1073.4524741248097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1465.8548140933624</v>
      </c>
      <c r="L23" s="23">
        <f>IF(A23&gt;=(Title_RESULTS!$H$7+Title_RESULTS!$C$17),0,(+$K23-$F23))</f>
        <v>1465.8548140933624</v>
      </c>
      <c r="M23" s="23">
        <f>IF(A23&gt;=(Title_RESULTS!$H$7+Title_RESULTS!$C$17),0,(+M22+$L23/(1+Title_RESULTS!$C$37)^('Sheet7(F_23)'!$A23-Title_RESULTS!$H$7)))</f>
        <v>2522.8506757999285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295.81827450012395</v>
      </c>
      <c r="H24" s="5">
        <f>IF(A24&gt;=(Title_RESULTS!$H$7+Title_RESULTS!$C$17),0,(+'Sheet4(F_22)'!$D24+'Sheet4(F_22)'!$G24))</f>
        <v>103.7308520221127</v>
      </c>
      <c r="I24" s="5">
        <f>IF(A24&gt;=(Title_RESULTS!$H$7+Title_RESULTS!$C$17),0,(+'Sheet4(F_22)'!$H24))</f>
        <v>1189.5094759555154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1589.0586024777522</v>
      </c>
      <c r="L24" s="23">
        <f>IF(A24&gt;=(Title_RESULTS!$H$7+Title_RESULTS!$C$17),0,(+$K24-$F24))</f>
        <v>1589.0586024777522</v>
      </c>
      <c r="M24" s="23">
        <f>IF(A24&gt;=(Title_RESULTS!$H$7+Title_RESULTS!$C$17),0,(+M23+$L24/(1+Title_RESULTS!$C$37)^('Sheet7(F_23)'!$A24-Title_RESULTS!$H$7)))</f>
        <v>3442.1840228849433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303.8537147954132</v>
      </c>
      <c r="H25" s="5">
        <f>IF(A25&gt;=(Title_RESULTS!$H$7+Title_RESULTS!$C$17),0,(+'Sheet4(F_22)'!$D25+'Sheet4(F_22)'!$G25))</f>
        <v>106.22039247064342</v>
      </c>
      <c r="I25" s="5">
        <f>IF(A25&gt;=(Title_RESULTS!$H$7+Title_RESULTS!$C$17),0,(+'Sheet4(F_22)'!$H25))</f>
        <v>1274.3979498294893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1684.472057095546</v>
      </c>
      <c r="L25" s="23">
        <f>IF(A25&gt;=(Title_RESULTS!$H$7+Title_RESULTS!$C$17),0,(+$K25-$F25))</f>
        <v>1684.472057095546</v>
      </c>
      <c r="M25" s="23">
        <f>IF(A25&gt;=(Title_RESULTS!$H$7+Title_RESULTS!$C$17),0,(+M24+$L25/(1+Title_RESULTS!$C$37)^('Sheet7(F_23)'!$A25-Title_RESULTS!$H$7)))</f>
        <v>4352.282836935092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308.71887152118893</v>
      </c>
      <c r="H26" s="5">
        <f>IF(A26&gt;=(Title_RESULTS!$H$7+Title_RESULTS!$C$17),0,(+'Sheet4(F_22)'!$D26+'Sheet4(F_22)'!$G26))</f>
        <v>108.76968188993885</v>
      </c>
      <c r="I26" s="5">
        <f>IF(A26&gt;=(Title_RESULTS!$H$7+Title_RESULTS!$C$17),0,(+'Sheet4(F_22)'!$H26))</f>
        <v>1423.4319080496314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1840.9204614607593</v>
      </c>
      <c r="L26" s="23">
        <f>IF(A26&gt;=(Title_RESULTS!$H$7+Title_RESULTS!$C$17),0,(+$K26-$F26))</f>
        <v>1840.9204614607593</v>
      </c>
      <c r="M26" s="23">
        <f>IF(A26&gt;=(Title_RESULTS!$H$7+Title_RESULTS!$C$17),0,(+M25+$L26/(1+Title_RESULTS!$C$37)^('Sheet7(F_23)'!$A26-Title_RESULTS!$H$7)))</f>
        <v>5281.14527230905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319.375905498131</v>
      </c>
      <c r="H27" s="5">
        <f>IF(A27&gt;=(Title_RESULTS!$H$7+Title_RESULTS!$C$17),0,(+'Sheet4(F_22)'!$D27+'Sheet4(F_22)'!$G27))</f>
        <v>111.38015425529741</v>
      </c>
      <c r="I27" s="5">
        <f>IF(A27&gt;=(Title_RESULTS!$H$7+Title_RESULTS!$C$17),0,(+'Sheet4(F_22)'!$H27))</f>
        <v>1418.1383846116796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1848.894444365108</v>
      </c>
      <c r="L27" s="23">
        <f>IF(A27&gt;=(Title_RESULTS!$H$7+Title_RESULTS!$C$17),0,(+$K27-$F27))</f>
        <v>1848.894444365108</v>
      </c>
      <c r="M27" s="23">
        <f>IF(A27&gt;=(Title_RESULTS!$H$7+Title_RESULTS!$C$17),0,(+M26+$L27/(1+Title_RESULTS!$C$37)^('Sheet7(F_23)'!$A27-Title_RESULTS!$H$7)))</f>
        <v>6152.349812035904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326.1089169849778</v>
      </c>
      <c r="H28" s="5">
        <f>IF(A28&gt;=(Title_RESULTS!$H$7+Title_RESULTS!$C$17),0,(+'Sheet4(F_22)'!$D28+'Sheet4(F_22)'!$G28))</f>
        <v>114.05327795742453</v>
      </c>
      <c r="I28" s="5">
        <f>IF(A28&gt;=(Title_RESULTS!$H$7+Title_RESULTS!$C$17),0,(+'Sheet4(F_22)'!$H28))</f>
        <v>1549.8941845165348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1990.056379458937</v>
      </c>
      <c r="L28" s="23">
        <f>IF(A28&gt;=(Title_RESULTS!$H$7+Title_RESULTS!$C$17),0,(+$K28-$F28))</f>
        <v>1990.056379458937</v>
      </c>
      <c r="M28" s="23">
        <f>IF(A28&gt;=(Title_RESULTS!$H$7+Title_RESULTS!$C$17),0,(+M27+$L28/(1+Title_RESULTS!$C$37)^('Sheet7(F_23)'!$A28-Title_RESULTS!$H$7)))</f>
        <v>7028.069331787468</v>
      </c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87</v>
      </c>
      <c r="B30" s="5">
        <f aca="true" t="shared" si="1" ref="B30:L30">SUM(B16:B29)</f>
        <v>0</v>
      </c>
      <c r="C30" s="5">
        <f t="shared" si="1"/>
        <v>122.90304</v>
      </c>
      <c r="D30" s="5">
        <f t="shared" si="1"/>
        <v>3655.1030473299998</v>
      </c>
      <c r="E30" s="5">
        <f t="shared" si="1"/>
        <v>0</v>
      </c>
      <c r="F30" s="5">
        <f t="shared" si="1"/>
        <v>3778.00608733</v>
      </c>
      <c r="G30" s="5">
        <f t="shared" si="1"/>
        <v>2931.2022186668755</v>
      </c>
      <c r="H30" s="5">
        <f t="shared" si="1"/>
        <v>1205.2961382880371</v>
      </c>
      <c r="I30" s="5">
        <f t="shared" si="1"/>
        <v>12954.70016161874</v>
      </c>
      <c r="J30" s="5">
        <f t="shared" si="1"/>
        <v>0</v>
      </c>
      <c r="K30" s="5">
        <f t="shared" si="1"/>
        <v>17091.198518573652</v>
      </c>
      <c r="L30" s="5">
        <f t="shared" si="1"/>
        <v>13313.192431243653</v>
      </c>
      <c r="M30" s="5"/>
    </row>
    <row r="31" spans="2:13" ht="12.75"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ht="12.75">
      <c r="A32" t="s">
        <v>118</v>
      </c>
      <c r="B32" s="5">
        <f>NPV(Title_RESULTS!$C$37,'Sheet7(F_23)'!B17:B29)+'Sheet7(F_23)'!B16</f>
        <v>0</v>
      </c>
      <c r="C32" s="5">
        <f>NPV(Title_RESULTS!$C$37,'Sheet7(F_23)'!C17:C29)+'Sheet7(F_23)'!C16</f>
        <v>114.83173044385765</v>
      </c>
      <c r="D32" s="5">
        <f>NPV(Title_RESULTS!$C$37,'Sheet7(F_23)'!D17:D29)+'Sheet7(F_23)'!D16</f>
        <v>3415.216621483258</v>
      </c>
      <c r="E32" s="5">
        <f>NPV(Title_RESULTS!$C$37,'Sheet7(F_23)'!E17:E29)+'Sheet7(F_23)'!E16</f>
        <v>0</v>
      </c>
      <c r="F32" s="5">
        <f>NPV(Title_RESULTS!$C$37,'Sheet7(F_23)'!F17:F29)+'Sheet7(F_23)'!F16</f>
        <v>3530.0483519271165</v>
      </c>
      <c r="G32" s="5">
        <f>NPV(Title_RESULTS!$C$37,'Sheet7(F_23)'!G17:G29)+'Sheet7(F_23)'!G16</f>
        <v>1764.239521335724</v>
      </c>
      <c r="H32" s="5">
        <f>NPV(Title_RESULTS!$C$37,'Sheet7(F_23)'!H17:H29)+'Sheet7(F_23)'!H16</f>
        <v>779.2744867071992</v>
      </c>
      <c r="I32" s="5">
        <f>NPV(Title_RESULTS!$C$37,'Sheet7(F_23)'!I17:I29)+'Sheet7(F_23)'!I16</f>
        <v>8014.603675671661</v>
      </c>
      <c r="J32" s="5">
        <f>NPV(Title_RESULTS!$C$37,'Sheet7(F_23)'!J17:J29)+'Sheet7(F_23)'!J16</f>
        <v>0</v>
      </c>
      <c r="K32" s="5">
        <f>NPV(Title_RESULTS!$C$37,'Sheet7(F_23)'!K17:K29)+'Sheet7(F_23)'!K16</f>
        <v>10558.117683714583</v>
      </c>
      <c r="L32" s="5">
        <f>NPV(Title_RESULTS!$C$37,'Sheet7(F_23)'!L17:L29)+'Sheet7(F_23)'!L16</f>
        <v>7028.06933178747</v>
      </c>
      <c r="M32" s="5"/>
    </row>
    <row r="34" spans="1:8" ht="12.75">
      <c r="A34" t="s">
        <v>162</v>
      </c>
      <c r="C34">
        <f>+Title_RESULTS!C37</f>
        <v>0.0708</v>
      </c>
      <c r="D34" t="s">
        <v>163</v>
      </c>
      <c r="H34" s="10">
        <f>+K32/F32</f>
        <v>2.990927214339916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Hot Water Pipe Insulation</v>
      </c>
      <c r="L2" t="s">
        <v>55</v>
      </c>
    </row>
    <row r="3" ht="12.75">
      <c r="L3" s="35">
        <f>+Title_RESULTS!I4</f>
        <v>43599.31985625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257.8781132285759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121.61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379.4881132285759</v>
      </c>
      <c r="G16" s="5">
        <f>IF(A16&gt;=(Title_RESULTS!$H$7+Title_RESULTS!$C$17),0,(+'Sheet6(p_6)'!$H16))</f>
        <v>1190.77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1190.77</v>
      </c>
      <c r="K16" s="23">
        <f>IF(A16&gt;=(Title_RESULTS!$H$7+Title_RESULTS!$C$17),0,(+F16-J16))</f>
        <v>-811.2818867714241</v>
      </c>
      <c r="L16" s="23">
        <f>IF(A16&gt;=(Title_RESULTS!$H$7+Title_RESULTS!$C$17),0,(+$K16/((1+Title_RESULTS!$C$37)^('Sheet8(F_24)'!$A16-Title_RESULTS!$H$7))))</f>
        <v>-811.2818867714241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793.6823728821756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121.61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915.2923728821756</v>
      </c>
      <c r="G17" s="5">
        <f>IF(A17&gt;=(Title_RESULTS!$H$7+Title_RESULTS!$C$17),0,(+'Sheet6(p_6)'!$H17))</f>
        <v>1218.15771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1218.15771</v>
      </c>
      <c r="K17" s="23">
        <f>IF(A17&gt;=(Title_RESULTS!$H$7+Title_RESULTS!$C$17),0,(+F17-J17))</f>
        <v>-302.8653371178243</v>
      </c>
      <c r="L17" s="23">
        <f>IF(A16&gt;=(Title_RESULTS!$H$7+Title_RESULTS!$C$17),0,(+$K17/((1+Title_RESULTS!$C$37)^('Sheet8(F_24)'!$A17-Title_RESULTS!$H$7))+L16))</f>
        <v>-1094.1221343599786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1351.3765568030221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121.61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1472.986556803022</v>
      </c>
      <c r="G18" s="5">
        <f>IF(A18&gt;=(Title_RESULTS!$H$7+Title_RESULTS!$C$17),0,(+'Sheet6(p_6)'!$H18))</f>
        <v>1246.1753373299998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1246.1753373299998</v>
      </c>
      <c r="K18" s="23">
        <f>IF(A18&gt;=(Title_RESULTS!$H$7+Title_RESULTS!$C$17),0,(+F18-J18))</f>
        <v>226.81121947302222</v>
      </c>
      <c r="L18" s="23">
        <f>IF(A17&gt;=(Title_RESULTS!$H$7+Title_RESULTS!$C$17),0,(+$K18/((1+Title_RESULTS!$C$37)^('Sheet8(F_24)'!$A18-Title_RESULTS!$H$7))+L17))</f>
        <v>-896.3123321995714</v>
      </c>
      <c r="M18" s="5"/>
    </row>
    <row r="19" spans="1:13" ht="12.75">
      <c r="A19">
        <f aca="true" t="shared" si="0" ref="A19:A28">+A18+1</f>
        <v>2023</v>
      </c>
      <c r="B19" s="5">
        <f>IF(A19&gt;=(Title_RESULTS!$H$7+Title_RESULTS!$C$17),0,(+'Sheet6(p_6)'!N19-'Sheet6(p_6)'!R19))</f>
        <v>1624.9220544570717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1624.9220544570717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1624.9220544570717</v>
      </c>
      <c r="L19" s="23">
        <f>IF(A18&gt;=(Title_RESULTS!$H$7+Title_RESULTS!$C$17),0,(+$K19/((1+Title_RESULTS!$C$37)^('Sheet8(F_24)'!$A19-Title_RESULTS!$H$7))+L18))</f>
        <v>427.1373856370127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1674.1370500869912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1674.1370500869912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1674.1370500869912</v>
      </c>
      <c r="L20" s="23">
        <f>IF(A19&gt;=(Title_RESULTS!$H$7+Title_RESULTS!$C$17),0,(+$K20/((1+Title_RESULTS!$C$37)^('Sheet8(F_24)'!$A20-Title_RESULTS!$H$7))+L19))</f>
        <v>1700.516017252634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1726.2202454872001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1726.2202454872001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1726.2202454872001</v>
      </c>
      <c r="L21" s="23">
        <f>IF(A20&gt;=(Title_RESULTS!$H$7+Title_RESULTS!$C$17),0,(+$K21/((1+Title_RESULTS!$C$37)^('Sheet8(F_24)'!$A21-Title_RESULTS!$H$7))+L20))</f>
        <v>2926.696483335145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1771.2462492192356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1771.2462492192356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1771.2462492192356</v>
      </c>
      <c r="L22" s="23">
        <f>IF(A21&gt;=(Title_RESULTS!$H$7+Title_RESULTS!$C$17),0,(+$K22/((1+Title_RESULTS!$C$37)^('Sheet8(F_24)'!$A22-Title_RESULTS!$H$7))+L21))</f>
        <v>4101.671868342106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1829.240301161519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1829.240301161519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1829.240301161519</v>
      </c>
      <c r="L23" s="23">
        <f>IF(A22&gt;=(Title_RESULTS!$H$7+Title_RESULTS!$C$17),0,(+$K23/((1+Title_RESULTS!$C$37)^('Sheet8(F_24)'!$A23-Title_RESULTS!$H$7))+L22))</f>
        <v>5234.886630703305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1921.4374432433726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1921.4374432433726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1921.4374432433726</v>
      </c>
      <c r="L24" s="23">
        <f>IF(A23&gt;=(Title_RESULTS!$H$7+Title_RESULTS!$C$17),0,(+$K24/((1+Title_RESULTS!$C$37)^('Sheet8(F_24)'!$A24-Title_RESULTS!$H$7))+L23))</f>
        <v>6346.514303312148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1979.7662604403517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1979.7662604403517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1979.7662604403517</v>
      </c>
      <c r="L25" s="23">
        <f>IF(A24&gt;=(Title_RESULTS!$H$7+Title_RESULTS!$C$17),0,(+$K25/((1+Title_RESULTS!$C$37)^('Sheet8(F_24)'!$A25-Title_RESULTS!$H$7))+L24))</f>
        <v>7416.156817198658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2079.4257571074486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2079.4257571074486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2079.4257571074486</v>
      </c>
      <c r="L26" s="23">
        <f>IF(A25&gt;=(Title_RESULTS!$H$7+Title_RESULTS!$C$17),0,(+$K26/((1+Title_RESULTS!$C$37)^('Sheet8(F_24)'!$A26-Title_RESULTS!$H$7))+L25))</f>
        <v>8465.360470132979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2126.987472373925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2126.987472373925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2126.987472373925</v>
      </c>
      <c r="L27" s="23">
        <f>IF(A26&gt;=(Title_RESULTS!$H$7+Title_RESULTS!$C$17),0,(+$K27/((1+Title_RESULTS!$C$37)^('Sheet8(F_24)'!$A27-Title_RESULTS!$H$7))+L26))</f>
        <v>9467.603268537096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2217.6761249182878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2217.6761249182878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2217.6761249182878</v>
      </c>
      <c r="L28" s="23">
        <f>IF(A27&gt;=(Title_RESULTS!$H$7+Title_RESULTS!$C$17),0,(+$K28/((1+Title_RESULTS!$C$37)^('Sheet8(F_24)'!$A28-Title_RESULTS!$H$7))+L27))</f>
        <v>10443.48630940148</v>
      </c>
      <c r="M28" s="5"/>
    </row>
    <row r="29" spans="2:13" ht="12.75"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ht="12.75">
      <c r="A30" t="s">
        <v>87</v>
      </c>
      <c r="B30" s="5">
        <f aca="true" t="shared" si="1" ref="B30:K30">SUM(B16:B29)</f>
        <v>21353.996001409178</v>
      </c>
      <c r="C30" s="5">
        <f t="shared" si="1"/>
        <v>0</v>
      </c>
      <c r="D30" s="5">
        <f t="shared" si="1"/>
        <v>364.83</v>
      </c>
      <c r="E30" s="5">
        <f t="shared" si="1"/>
        <v>0</v>
      </c>
      <c r="F30" s="5">
        <f t="shared" si="1"/>
        <v>21718.82600140918</v>
      </c>
      <c r="G30" s="5">
        <f t="shared" si="1"/>
        <v>3655.1030473299998</v>
      </c>
      <c r="H30" s="5">
        <f t="shared" si="1"/>
        <v>0</v>
      </c>
      <c r="I30" s="5">
        <f t="shared" si="1"/>
        <v>0</v>
      </c>
      <c r="J30" s="5">
        <f t="shared" si="1"/>
        <v>3655.1030473299998</v>
      </c>
      <c r="K30" s="5">
        <f t="shared" si="1"/>
        <v>18063.722954079178</v>
      </c>
      <c r="L30" s="5"/>
      <c r="M30" s="5"/>
    </row>
    <row r="31" ht="12.75">
      <c r="M31" s="5"/>
    </row>
    <row r="32" spans="1:13" ht="12.75">
      <c r="A32" t="s">
        <v>118</v>
      </c>
      <c r="B32" s="5">
        <f>NPV(Title_RESULTS!$C$37,'Sheet8(F_24)'!B17:B29)+'Sheet8(F_24)'!B16</f>
        <v>13517.463407177413</v>
      </c>
      <c r="C32" s="5">
        <f>NPV(Title_RESULTS!$C$37,'Sheet8(F_24)'!C17:C29)+'Sheet8(F_24)'!C16</f>
        <v>0</v>
      </c>
      <c r="D32" s="5">
        <f>NPV(Title_RESULTS!$C$37,'Sheet8(F_24)'!D17:D29)+'Sheet8(F_24)'!D16</f>
        <v>341.2395237073263</v>
      </c>
      <c r="E32" s="5">
        <f>NPV(Title_RESULTS!$C$37,'Sheet8(F_24)'!E17:E29)+'Sheet8(F_24)'!E16</f>
        <v>0</v>
      </c>
      <c r="F32" s="5">
        <f>NPV(Title_RESULTS!$C$37,'Sheet8(F_24)'!F17:F29)+'Sheet8(F_24)'!F16</f>
        <v>13858.702930884734</v>
      </c>
      <c r="G32" s="5">
        <f>NPV(Title_RESULTS!$C$37,'Sheet8(F_24)'!G17:G29)+'Sheet8(F_24)'!G16</f>
        <v>3415.216621483258</v>
      </c>
      <c r="H32" s="5">
        <f>NPV(Title_RESULTS!$C$37,'Sheet8(F_24)'!H17:H29)+'Sheet8(F_24)'!H16</f>
        <v>0</v>
      </c>
      <c r="I32" s="5">
        <f>NPV(Title_RESULTS!$C$37,'Sheet8(F_24)'!I17:I29)+'Sheet8(F_24)'!I16</f>
        <v>0</v>
      </c>
      <c r="J32" s="5">
        <f>NPV(Title_RESULTS!$C$37,'Sheet8(F_24)'!J17:J29)+'Sheet8(F_24)'!J16</f>
        <v>3415.216621483258</v>
      </c>
      <c r="K32" s="5">
        <f>NPV(Title_RESULTS!$C$37,'Sheet8(F_24)'!K17:K29)+'Sheet8(F_24)'!K16</f>
        <v>10443.486309401476</v>
      </c>
      <c r="L32" s="5"/>
      <c r="M32" s="5"/>
    </row>
    <row r="33" spans="2:12" ht="12.75"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</row>
    <row r="34" spans="1:11" ht="12.75">
      <c r="A34" t="s">
        <v>174</v>
      </c>
      <c r="D34">
        <f>+Title_RESULTS!H8</f>
        <v>2023</v>
      </c>
      <c r="F34">
        <f>+F32/J32</f>
        <v>4.0579279345583</v>
      </c>
      <c r="K34" s="10"/>
    </row>
    <row r="35" spans="1:10" ht="12.75">
      <c r="A35" t="s">
        <v>175</v>
      </c>
      <c r="D35">
        <f>+Title_RESULTS!C37</f>
        <v>0.0708</v>
      </c>
      <c r="J35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Hot Water Pipe Insulation</v>
      </c>
      <c r="N2" t="s">
        <v>55</v>
      </c>
    </row>
    <row r="3" ht="12.75">
      <c r="N3" s="35">
        <f>+Title_RESULTS!I4</f>
        <v>43599.31985625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40</v>
      </c>
      <c r="D16" s="5">
        <f>IF(A16&gt;=(Title_RESULTS!$H$7+Title_RESULTS!$C$17),0,(+'Sheet6(p_6)'!$G16))</f>
        <v>121.61</v>
      </c>
      <c r="E16" s="5">
        <f>+'Sheet6(p_6)'!M16</f>
        <v>148.7130084</v>
      </c>
      <c r="F16">
        <f>IF(A16&gt;=(Title_RESULTS!$H$7+Title_RESULTS!$C$17),0,(+'f-11B'!$R15))</f>
        <v>0</v>
      </c>
      <c r="G16" s="5">
        <f>IF(A16&gt;=(Title_RESULTS!$H$7+Title_RESULTS!$C$17),0,(SUM(B16:F16)))</f>
        <v>310.32300840000005</v>
      </c>
      <c r="H16" s="5">
        <f>IF(A16&gt;=(Title_RESULTS!$H$7+Title_RESULTS!$C$17),0,(+'Sheet3(F_21)'!$J16+'Sheet4(F_22)'!$H16))</f>
        <v>137.19866948184782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137.19866948184782</v>
      </c>
      <c r="M16" s="23">
        <f>IF(A16&gt;=(Title_RESULTS!$H$7+Title_RESULTS!$C$17),0,(+L16-G16))</f>
        <v>-173.12433891815223</v>
      </c>
      <c r="N16" s="24">
        <f>IF(A16&gt;=(Title_RESULTS!$H$7+Title_RESULTS!$C$17),0,(+$M16/((1+Title_RESULTS!$C$37)^('Sheet9(F_25)'!$A16-Title_RESULTS!$H$7))))</f>
        <v>-173.12433891815223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40.96</v>
      </c>
      <c r="D17" s="5">
        <f>IF(A17&gt;=(Title_RESULTS!$H$7+Title_RESULTS!$C$17),0,(+'Sheet6(p_6)'!$G17))</f>
        <v>121.61</v>
      </c>
      <c r="E17" s="5">
        <f>+'Sheet6(p_6)'!M17</f>
        <v>450.600415452</v>
      </c>
      <c r="F17">
        <f>IF(A17&gt;=(Title_RESULTS!$H$7+Title_RESULTS!$C$17),0,(+'f-11B'!$R16))</f>
        <v>0</v>
      </c>
      <c r="G17" s="5">
        <f>IF(A17&gt;=(Title_RESULTS!$H$7+Title_RESULTS!$C$17),0,(SUM(B17:F17)))</f>
        <v>613.170415452</v>
      </c>
      <c r="H17" s="5">
        <f>IF(A17&gt;=(Title_RESULTS!$H$7+Title_RESULTS!$C$17),0,(+'Sheet3(F_21)'!$J17+'Sheet4(F_22)'!$H17))</f>
        <v>408.2481469375566</v>
      </c>
      <c r="I17" s="5">
        <f>IF(A17&gt;=(Title_RESULTS!$H$7+Title_RESULTS!$C$17),0,(+'Sheet4(F_22)'!$D17+'Sheet4(F_22)'!$G17))</f>
        <v>87.86344930948982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496.11159624704646</v>
      </c>
      <c r="M17" s="23">
        <f>IF(A17&gt;=(Title_RESULTS!$H$7+Title_RESULTS!$C$17),0,(+L17-G17))</f>
        <v>-117.05881920495358</v>
      </c>
      <c r="N17" s="24">
        <f>(IF(A16&gt;=(Title_RESULTS!$H$7+Title_RESULTS!$C$17),0,(+$M17/((1+Title_RESULTS!$C$37)^('Sheet9(F_25)'!$A17-Title_RESULTS!$H$7))+N16)))</f>
        <v>-282.4433706747394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41.943039999999996</v>
      </c>
      <c r="D18" s="5">
        <f>IF(A18&gt;=(Title_RESULTS!$H$7+Title_RESULTS!$C$17),0,(+'Sheet6(p_6)'!$G18))</f>
        <v>121.61</v>
      </c>
      <c r="E18" s="5">
        <f>+'Sheet6(p_6)'!M18</f>
        <v>758.5106993442</v>
      </c>
      <c r="F18">
        <f>IF(A18&gt;=(Title_RESULTS!$H$7+Title_RESULTS!$C$17),0,(+'f-11B'!$R17))</f>
        <v>0</v>
      </c>
      <c r="G18" s="5">
        <f>IF(A18&gt;=(Title_RESULTS!$H$7+Title_RESULTS!$C$17),0,(SUM(B18:F18)))</f>
        <v>922.0637393442</v>
      </c>
      <c r="H18" s="5">
        <f>IF(A18&gt;=(Title_RESULTS!$H$7+Title_RESULTS!$C$17),0,(+'Sheet3(F_21)'!$J18+'Sheet4(F_22)'!$H18))</f>
        <v>702.2323544560688</v>
      </c>
      <c r="I18" s="5">
        <f>IF(A18&gt;=(Title_RESULTS!$H$7+Title_RESULTS!$C$17),0,(+'Sheet4(F_22)'!$D18+'Sheet4(F_22)'!$G18))</f>
        <v>89.97217209291759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792.2045265489865</v>
      </c>
      <c r="M18" s="23">
        <f>IF(A18&gt;=(Title_RESULTS!$H$7+Title_RESULTS!$C$17),0,(+L18-G18))</f>
        <v>-129.85921279521358</v>
      </c>
      <c r="N18" s="24">
        <f>(IF(A17&gt;=(Title_RESULTS!$H$7+Title_RESULTS!$C$17),0,(+$M18/((1+Title_RESULTS!$C$37)^('Sheet9(F_25)'!$A18-Title_RESULTS!$H$7))+N17)))</f>
        <v>-395.69802029661486</v>
      </c>
    </row>
    <row r="19" spans="1:14" ht="12.75">
      <c r="A19">
        <f aca="true" t="shared" si="0" ref="A19:A28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919.3149676051703</v>
      </c>
      <c r="F19">
        <f>IF(A19&gt;=(Title_RESULTS!$H$7+Title_RESULTS!$C$17),0,(+'f-11B'!$R18))</f>
        <v>0</v>
      </c>
      <c r="G19" s="5">
        <f>IF(A19&gt;=(Title_RESULTS!$H$7+Title_RESULTS!$C$17),0,(SUM(B19:F19)))</f>
        <v>919.3149676051703</v>
      </c>
      <c r="H19" s="5">
        <f>IF(A19&gt;=(Title_RESULTS!$H$7+Title_RESULTS!$C$17),0,(+'Sheet3(F_21)'!$J19+'Sheet4(F_22)'!$H19))</f>
        <v>1137.671054393148</v>
      </c>
      <c r="I19" s="5">
        <f>IF(A19&gt;=(Title_RESULTS!$H$7+Title_RESULTS!$C$17),0,(+'Sheet4(F_22)'!$D19+'Sheet4(F_22)'!$G19))</f>
        <v>92.13150422314762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1229.8025586162958</v>
      </c>
      <c r="M19" s="23">
        <f>IF(A19&gt;=(Title_RESULTS!$H$7+Title_RESULTS!$C$17),0,(+L19-G19))</f>
        <v>310.48759101112546</v>
      </c>
      <c r="N19" s="24">
        <f>(IF(A18&gt;=(Title_RESULTS!$H$7+Title_RESULTS!$C$17),0,(+$M19/((1+Title_RESULTS!$C$37)^('Sheet9(F_25)'!$A19-Title_RESULTS!$H$7))+N18)))</f>
        <v>-142.81529672946385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928.5081172812222</v>
      </c>
      <c r="F20">
        <f>IF(A20&gt;=(Title_RESULTS!$H$7+Title_RESULTS!$C$17),0,(+'f-11B'!$R19))</f>
        <v>0</v>
      </c>
      <c r="G20" s="5">
        <f>IF(A20&gt;=(Title_RESULTS!$H$7+Title_RESULTS!$C$17),0,(SUM(B20:F20)))</f>
        <v>928.5081172812222</v>
      </c>
      <c r="H20" s="5">
        <f>IF(A20&gt;=(Title_RESULTS!$H$7+Title_RESULTS!$C$17),0,(+'Sheet3(F_21)'!$J20+'Sheet4(F_22)'!$H20))</f>
        <v>1179.0877518043048</v>
      </c>
      <c r="I20" s="5">
        <f>IF(A20&gt;=(Title_RESULTS!$H$7+Title_RESULTS!$C$17),0,(+'Sheet4(F_22)'!$D20+'Sheet4(F_22)'!$G20))</f>
        <v>94.34266032450314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1273.430412128808</v>
      </c>
      <c r="M20" s="23">
        <f>IF(A20&gt;=(Title_RESULTS!$H$7+Title_RESULTS!$C$17),0,(+L20-G20))</f>
        <v>344.9222948475858</v>
      </c>
      <c r="N20" s="24">
        <f>(IF(A19&gt;=(Title_RESULTS!$H$7+Title_RESULTS!$C$17),0,(+$M20/((1+Title_RESULTS!$C$37)^('Sheet9(F_25)'!$A20-Title_RESULTS!$H$7))+N19)))</f>
        <v>119.53877984026269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937.7931984540343</v>
      </c>
      <c r="F21">
        <f>IF(A21&gt;=(Title_RESULTS!$H$7+Title_RESULTS!$C$17),0,(+'f-11B'!$R20))</f>
        <v>0</v>
      </c>
      <c r="G21" s="5">
        <f>IF(A21&gt;=(Title_RESULTS!$H$7+Title_RESULTS!$C$17),0,(SUM(B21:F21)))</f>
        <v>937.7931984540343</v>
      </c>
      <c r="H21" s="5">
        <f>IF(A21&gt;=(Title_RESULTS!$H$7+Title_RESULTS!$C$17),0,(+'Sheet3(F_21)'!$J21+'Sheet4(F_22)'!$H21))</f>
        <v>1253.877577364476</v>
      </c>
      <c r="I21" s="5">
        <f>IF(A21&gt;=(Title_RESULTS!$H$7+Title_RESULTS!$C$17),0,(+'Sheet4(F_22)'!$D21+'Sheet4(F_22)'!$G21))</f>
        <v>96.60688417229125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1350.4844615367674</v>
      </c>
      <c r="M21" s="23">
        <f>IF(A21&gt;=(Title_RESULTS!$H$7+Title_RESULTS!$C$17),0,(+L21-G21))</f>
        <v>412.69126308273314</v>
      </c>
      <c r="N21" s="24">
        <f>(IF(A20&gt;=(Title_RESULTS!$H$7+Title_RESULTS!$C$17),0,(+$M21/((1+Title_RESULTS!$C$37)^('Sheet9(F_25)'!$A21-Title_RESULTS!$H$7))+N20)))</f>
        <v>412.68443529058743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947.1711304385749</v>
      </c>
      <c r="F22">
        <f>IF(A22&gt;=(Title_RESULTS!$H$7+Title_RESULTS!$C$17),0,(+'f-11B'!$R21))</f>
        <v>0</v>
      </c>
      <c r="G22" s="5">
        <f>IF(A22&gt;=(Title_RESULTS!$H$7+Title_RESULTS!$C$17),0,(SUM(B22:F22)))</f>
        <v>947.1711304385749</v>
      </c>
      <c r="H22" s="5">
        <f>IF(A22&gt;=(Title_RESULTS!$H$7+Title_RESULTS!$C$17),0,(+'Sheet3(F_21)'!$J22+'Sheet4(F_22)'!$H22))</f>
        <v>1293.7840856700093</v>
      </c>
      <c r="I22" s="5">
        <f>IF(A22&gt;=(Title_RESULTS!$H$7+Title_RESULTS!$C$17),0,(+'Sheet4(F_22)'!$D22+'Sheet4(F_22)'!$G22))</f>
        <v>98.92544939242622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1392.7095350624354</v>
      </c>
      <c r="M22" s="23">
        <f>IF(A22&gt;=(Title_RESULTS!$H$7+Title_RESULTS!$C$17),0,(+L22-G22))</f>
        <v>445.5384046238605</v>
      </c>
      <c r="N22" s="24">
        <f>(IF(A21&gt;=(Title_RESULTS!$H$7+Title_RESULTS!$C$17),0,(+$M22/((1+Title_RESULTS!$C$37)^('Sheet9(F_25)'!$A22-Title_RESULTS!$H$7))+N21)))</f>
        <v>708.2371619309768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956.6428417429604</v>
      </c>
      <c r="F23">
        <f>IF(A23&gt;=(Title_RESULTS!$H$7+Title_RESULTS!$C$17),0,(+'f-11B'!$R22))</f>
        <v>0</v>
      </c>
      <c r="G23" s="5">
        <f>IF(A23&gt;=(Title_RESULTS!$H$7+Title_RESULTS!$C$17),0,(SUM(B23:F23)))</f>
        <v>956.6428417429604</v>
      </c>
      <c r="H23" s="5">
        <f>IF(A23&gt;=(Title_RESULTS!$H$7+Title_RESULTS!$C$17),0,(+'Sheet3(F_21)'!$J23+'Sheet4(F_22)'!$H23))</f>
        <v>1364.555153915518</v>
      </c>
      <c r="I23" s="5">
        <f>IF(A23&gt;=(Title_RESULTS!$H$7+Title_RESULTS!$C$17),0,(+'Sheet4(F_22)'!$D23+'Sheet4(F_22)'!$G23))</f>
        <v>101.29966017784444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1465.8548140933626</v>
      </c>
      <c r="M23" s="23">
        <f>IF(A23&gt;=(Title_RESULTS!$H$7+Title_RESULTS!$C$17),0,(+L23-G23))</f>
        <v>509.2119723504022</v>
      </c>
      <c r="N23" s="24">
        <f>(IF(A22&gt;=(Title_RESULTS!$H$7+Title_RESULTS!$C$17),0,(+$M23/((1+Title_RESULTS!$C$37)^('Sheet9(F_25)'!$A23-Title_RESULTS!$H$7))+N22)))</f>
        <v>1023.6940889799431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966.2092701603901</v>
      </c>
      <c r="F24">
        <f>IF(A24&gt;=(Title_RESULTS!$H$7+Title_RESULTS!$C$17),0,(+'f-11B'!$R23))</f>
        <v>0</v>
      </c>
      <c r="G24" s="5">
        <f>IF(A24&gt;=(Title_RESULTS!$H$7+Title_RESULTS!$C$17),0,(SUM(B24:F24)))</f>
        <v>966.2092701603901</v>
      </c>
      <c r="H24" s="5">
        <f>IF(A24&gt;=(Title_RESULTS!$H$7+Title_RESULTS!$C$17),0,(+'Sheet3(F_21)'!$J24+'Sheet4(F_22)'!$H24))</f>
        <v>1485.3277504556395</v>
      </c>
      <c r="I24" s="5">
        <f>IF(A24&gt;=(Title_RESULTS!$H$7+Title_RESULTS!$C$17),0,(+'Sheet4(F_22)'!$D24+'Sheet4(F_22)'!$G24))</f>
        <v>103.7308520221127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1589.0586024777522</v>
      </c>
      <c r="M24" s="23">
        <f>IF(A24&gt;=(Title_RESULTS!$H$7+Title_RESULTS!$C$17),0,(+L24-G24))</f>
        <v>622.849332317362</v>
      </c>
      <c r="N24" s="24">
        <f>(IF(A23&gt;=(Title_RESULTS!$H$7+Title_RESULTS!$C$17),0,(+$M24/((1+Title_RESULTS!$C$37)^('Sheet9(F_25)'!$A24-Title_RESULTS!$H$7))+N23)))</f>
        <v>1384.0370999401093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975.8713628619942</v>
      </c>
      <c r="F25">
        <f>IF(A25&gt;=(Title_RESULTS!$H$7+Title_RESULTS!$C$17),0,(+'f-11B'!$R24))</f>
        <v>0</v>
      </c>
      <c r="G25" s="5">
        <f>IF(A25&gt;=(Title_RESULTS!$H$7+Title_RESULTS!$C$17),0,(SUM(B25:F25)))</f>
        <v>975.8713628619942</v>
      </c>
      <c r="H25" s="5">
        <f>IF(A25&gt;=(Title_RESULTS!$H$7+Title_RESULTS!$C$17),0,(+'Sheet3(F_21)'!$J25+'Sheet4(F_22)'!$H25))</f>
        <v>1578.2516646249026</v>
      </c>
      <c r="I25" s="5">
        <f>IF(A25&gt;=(Title_RESULTS!$H$7+Title_RESULTS!$C$17),0,(+'Sheet4(F_22)'!$D25+'Sheet4(F_22)'!$G25))</f>
        <v>106.22039247064342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1684.472057095546</v>
      </c>
      <c r="M25" s="23">
        <f>IF(A25&gt;=(Title_RESULTS!$H$7+Title_RESULTS!$C$17),0,(+L25-G25))</f>
        <v>708.6006942335518</v>
      </c>
      <c r="N25" s="24">
        <f>(IF(A24&gt;=(Title_RESULTS!$H$7+Title_RESULTS!$C$17),0,(+$M25/((1+Title_RESULTS!$C$37)^('Sheet9(F_25)'!$A25-Title_RESULTS!$H$7))+N24)))</f>
        <v>1766.8850366218444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985.6300764906141</v>
      </c>
      <c r="F26">
        <f>IF(A26&gt;=(Title_RESULTS!$H$7+Title_RESULTS!$C$17),0,(+'f-11B'!$R25))</f>
        <v>0</v>
      </c>
      <c r="G26" s="5">
        <f>IF(A26&gt;=(Title_RESULTS!$H$7+Title_RESULTS!$C$17),0,(SUM(B26:F26)))</f>
        <v>985.6300764906141</v>
      </c>
      <c r="H26" s="5">
        <f>IF(A26&gt;=(Title_RESULTS!$H$7+Title_RESULTS!$C$17),0,(+'Sheet3(F_21)'!$J26+'Sheet4(F_22)'!$H26))</f>
        <v>1732.1507795708203</v>
      </c>
      <c r="I26" s="5">
        <f>IF(A26&gt;=(Title_RESULTS!$H$7+Title_RESULTS!$C$17),0,(+'Sheet4(F_22)'!$D26+'Sheet4(F_22)'!$G26))</f>
        <v>108.76968188993885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1840.9204614607593</v>
      </c>
      <c r="M26" s="23">
        <f>IF(A26&gt;=(Title_RESULTS!$H$7+Title_RESULTS!$C$17),0,(+L26-G26))</f>
        <v>855.2903849701452</v>
      </c>
      <c r="N26" s="24">
        <f>(IF(A25&gt;=(Title_RESULTS!$H$7+Title_RESULTS!$C$17),0,(+$M26/((1+Title_RESULTS!$C$37)^('Sheet9(F_25)'!$A26-Title_RESULTS!$H$7))+N25)))</f>
        <v>2198.4338876270153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995.48637725552</v>
      </c>
      <c r="F27">
        <f>IF(A27&gt;=(Title_RESULTS!$H$7+Title_RESULTS!$C$17),0,(+'f-11B'!$R26))</f>
        <v>0</v>
      </c>
      <c r="G27" s="5">
        <f>IF(A27&gt;=(Title_RESULTS!$H$7+Title_RESULTS!$C$17),0,(SUM(B27:F27)))</f>
        <v>995.48637725552</v>
      </c>
      <c r="H27" s="5">
        <f>IF(A27&gt;=(Title_RESULTS!$H$7+Title_RESULTS!$C$17),0,(+'Sheet3(F_21)'!$J27+'Sheet4(F_22)'!$H27))</f>
        <v>1737.5142901098106</v>
      </c>
      <c r="I27" s="5">
        <f>IF(A27&gt;=(Title_RESULTS!$H$7+Title_RESULTS!$C$17),0,(+'Sheet4(F_22)'!$D27+'Sheet4(F_22)'!$G27))</f>
        <v>111.38015425529741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1848.894444365108</v>
      </c>
      <c r="M27" s="23">
        <f>IF(A27&gt;=(Title_RESULTS!$H$7+Title_RESULTS!$C$17),0,(+L27-G27))</f>
        <v>853.408067109588</v>
      </c>
      <c r="N27" s="24">
        <f>(IF(A26&gt;=(Title_RESULTS!$H$7+Title_RESULTS!$C$17),0,(+$M27/((1+Title_RESULTS!$C$37)^('Sheet9(F_25)'!$A27-Title_RESULTS!$H$7))+N26)))</f>
        <v>2600.5622971591783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1005.4412410280753</v>
      </c>
      <c r="F28">
        <f>IF(A28&gt;=(Title_RESULTS!$H$7+Title_RESULTS!$C$17),0,(+'f-11B'!$R27))</f>
        <v>0</v>
      </c>
      <c r="G28" s="5">
        <f>IF(A28&gt;=(Title_RESULTS!$H$7+Title_RESULTS!$C$17),0,(SUM(B28:F28)))</f>
        <v>1005.4412410280753</v>
      </c>
      <c r="H28" s="5">
        <f>IF(A28&gt;=(Title_RESULTS!$H$7+Title_RESULTS!$C$17),0,(+'Sheet3(F_21)'!$J28+'Sheet4(F_22)'!$H28))</f>
        <v>1876.0031015015124</v>
      </c>
      <c r="I28" s="5">
        <f>IF(A28&gt;=(Title_RESULTS!$H$7+Title_RESULTS!$C$17),0,(+'Sheet4(F_22)'!$D28+'Sheet4(F_22)'!$G28))</f>
        <v>114.05327795742453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1990.056379458937</v>
      </c>
      <c r="M28" s="23">
        <f>IF(A28&gt;=(Title_RESULTS!$H$7+Title_RESULTS!$C$17),0,(+L28-G28))</f>
        <v>984.6151384308617</v>
      </c>
      <c r="N28" s="24">
        <f>(IF(A27&gt;=(Title_RESULTS!$H$7+Title_RESULTS!$C$17),0,(+$M28/((1+Title_RESULTS!$C$37)^('Sheet9(F_25)'!$A28-Title_RESULTS!$H$7))+N27)))</f>
        <v>3033.839818875033</v>
      </c>
    </row>
    <row r="29" ht="12.75">
      <c r="E29" s="5"/>
    </row>
    <row r="30" spans="1:13" ht="12.75">
      <c r="A30" t="s">
        <v>87</v>
      </c>
      <c r="B30" s="5">
        <f aca="true" t="shared" si="1" ref="B30:M30">SUM(B16:B29)</f>
        <v>0</v>
      </c>
      <c r="C30" s="5">
        <f t="shared" si="1"/>
        <v>122.90304</v>
      </c>
      <c r="D30" s="5">
        <f t="shared" si="1"/>
        <v>364.83</v>
      </c>
      <c r="E30" s="5">
        <f t="shared" si="1"/>
        <v>10975.892706514756</v>
      </c>
      <c r="F30" s="5">
        <f t="shared" si="1"/>
        <v>0</v>
      </c>
      <c r="G30" s="5">
        <f t="shared" si="1"/>
        <v>11463.625746514754</v>
      </c>
      <c r="H30" s="5">
        <f t="shared" si="1"/>
        <v>15885.902380285614</v>
      </c>
      <c r="I30" s="5">
        <f t="shared" si="1"/>
        <v>1205.2961382880371</v>
      </c>
      <c r="J30" s="5">
        <f t="shared" si="1"/>
        <v>0</v>
      </c>
      <c r="K30" s="9">
        <f t="shared" si="1"/>
        <v>0</v>
      </c>
      <c r="L30" s="5">
        <f t="shared" si="1"/>
        <v>17091.198518573652</v>
      </c>
      <c r="M30" s="5">
        <f t="shared" si="1"/>
        <v>5627.572772058896</v>
      </c>
    </row>
    <row r="32" spans="1:13" ht="12.75">
      <c r="A32" t="s">
        <v>118</v>
      </c>
      <c r="B32" s="5">
        <f>NPV(Title_RESULTS!$C$37,'Sheet9(F_25)'!B17:B29)+'Sheet9(F_25)'!B16</f>
        <v>0</v>
      </c>
      <c r="C32" s="5">
        <f>NPV(Title_RESULTS!$C$37,'Sheet9(F_25)'!C17:C29)+'Sheet9(F_25)'!C16</f>
        <v>114.83173044385765</v>
      </c>
      <c r="D32" s="5">
        <f>NPV(Title_RESULTS!$C$37,'Sheet9(F_25)'!D17:D29)+'Sheet9(F_25)'!D16</f>
        <v>341.2395237073263</v>
      </c>
      <c r="E32" s="5">
        <f>NPV(Title_RESULTS!$C$37,'Sheet9(F_25)'!E17:E29)+'Sheet9(F_25)'!E16</f>
        <v>7068.206610688369</v>
      </c>
      <c r="F32" s="5">
        <f>NPV(Title_RESULTS!$C$37,'Sheet9(F_25)'!F17:F29)+'Sheet9(F_25)'!F16</f>
        <v>0</v>
      </c>
      <c r="G32" s="5">
        <f>NPV(Title_RESULTS!$C$37,'Sheet9(F_25)'!G17:G29)+'Sheet9(F_25)'!G16</f>
        <v>7524.277864839553</v>
      </c>
      <c r="H32" s="5">
        <f>NPV(Title_RESULTS!$C$37,'Sheet9(F_25)'!H17:H29)+'Sheet9(F_25)'!H16</f>
        <v>9778.843197007383</v>
      </c>
      <c r="I32" s="5">
        <f>NPV(Title_RESULTS!$C$37,'Sheet9(F_25)'!I17:I29)+'Sheet9(F_25)'!I16</f>
        <v>779.2744867071992</v>
      </c>
      <c r="J32" s="5">
        <f>NPV(Title_RESULTS!$C$37,'Sheet9(F_25)'!J17:J29)+'Sheet9(F_25)'!J16</f>
        <v>0</v>
      </c>
      <c r="K32" s="9">
        <f>NPV(Title_RESULTS!$C$37,'Sheet9(F_25)'!K17:K29)+'Sheet9(F_25)'!K16</f>
        <v>0</v>
      </c>
      <c r="L32" s="5">
        <f>NPV(Title_RESULTS!$C$37,'Sheet9(F_25)'!L17:L29)+'Sheet9(F_25)'!L16</f>
        <v>10558.117683714583</v>
      </c>
      <c r="M32" s="5">
        <f>NPV(Title_RESULTS!$C$37,'Sheet9(F_25)'!M17:M29)+'Sheet9(F_25)'!M16</f>
        <v>3033.8398188750316</v>
      </c>
    </row>
    <row r="34" spans="1:10" ht="12.75">
      <c r="A34" t="s">
        <v>175</v>
      </c>
      <c r="D34">
        <f>+Title_RESULTS!C37</f>
        <v>0.0708</v>
      </c>
      <c r="F34" t="s">
        <v>183</v>
      </c>
      <c r="J34" s="10">
        <f>+L32/G32</f>
        <v>1.4032067759023041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2059.1140353606784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120.1140736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280.8751104000001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11.869949442468991</v>
      </c>
      <c r="P24" s="48">
        <f aca="true" t="shared" si="4" ref="P24:P61">N24*$L$5</f>
        <v>27.75672542085774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12.154828229088247</v>
      </c>
      <c r="P25" s="48">
        <f t="shared" si="4"/>
        <v>28.422886830958326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283.3148637988967</v>
      </c>
      <c r="E26" s="11">
        <f>IF(B26=Title_RESULTS!$H$8,$F$16,+E25*(1+$F$7))</f>
        <v>0.09882230355451863</v>
      </c>
      <c r="F26" s="9">
        <f t="shared" si="1"/>
        <v>203.48639225578276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16.52657493364804</v>
      </c>
      <c r="L26" s="5">
        <f t="shared" si="3"/>
        <v>38.6457924529359</v>
      </c>
      <c r="N26" s="11">
        <f>IF(+B26=Title_RESULTS!$H$9,'Value of Defferal'!$O$16,+'Value of Defferal'!N25*(1+'Value of Defferal'!$F$7))</f>
        <v>0.10362269577198292</v>
      </c>
      <c r="O26" s="5">
        <f t="shared" si="7"/>
        <v>12.446544106586366</v>
      </c>
      <c r="P26" s="48">
        <f t="shared" si="4"/>
        <v>29.105036114901328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274.94860870209465</v>
      </c>
      <c r="E27" s="11">
        <f>IF(B27=Title_RESULTS!$H$8,$F$16,+E26*(1+$F$7))</f>
        <v>0.10119403883982707</v>
      </c>
      <c r="F27" s="9">
        <f t="shared" si="1"/>
        <v>208.37006566992153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16.038547090995007</v>
      </c>
      <c r="L27" s="5">
        <f t="shared" si="3"/>
        <v>37.50458668016421</v>
      </c>
      <c r="N27" s="11">
        <f>IF(+B27=Title_RESULTS!$H$9,'Value of Defferal'!$O$16,+'Value of Defferal'!N26*(1+'Value of Defferal'!$F$7))</f>
        <v>0.10610964047051051</v>
      </c>
      <c r="O27" s="5">
        <f t="shared" si="7"/>
        <v>12.745261165144438</v>
      </c>
      <c r="P27" s="48">
        <f t="shared" si="4"/>
        <v>29.803556981658957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265.7123240910795</v>
      </c>
      <c r="E28" s="11">
        <f>IF(B28=Title_RESULTS!$H$8,$F$16,+E27*(1+$F$7))</f>
        <v>0.10362269577198292</v>
      </c>
      <c r="F28" s="9">
        <f t="shared" si="1"/>
        <v>213.37094724599967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15.499767911937207</v>
      </c>
      <c r="L28" s="5">
        <f t="shared" si="3"/>
        <v>36.24470382994106</v>
      </c>
      <c r="N28" s="11">
        <f>IF(+B28=Title_RESULTS!$H$9,'Value of Defferal'!$O$16,+'Value of Defferal'!N27*(1+'Value of Defferal'!$F$7))</f>
        <v>0.10865627184180277</v>
      </c>
      <c r="O28" s="5">
        <f t="shared" si="7"/>
        <v>13.051147433107905</v>
      </c>
      <c r="P28" s="48">
        <f t="shared" si="4"/>
        <v>30.518842349218772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256.9184065992629</v>
      </c>
      <c r="E29" s="11">
        <f>IF(B29=Title_RESULTS!$H$8,$F$16,+E28*(1+$F$7))</f>
        <v>0.10610964047051051</v>
      </c>
      <c r="F29" s="9">
        <f t="shared" si="1"/>
        <v>218.49184997990366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14.98679328561479</v>
      </c>
      <c r="L29" s="5">
        <f t="shared" si="3"/>
        <v>35.045162423323504</v>
      </c>
      <c r="N29" s="11">
        <f>IF(+B29=Title_RESULTS!$H$9,'Value of Defferal'!$O$16,+'Value of Defferal'!N28*(1+'Value of Defferal'!$F$7))</f>
        <v>0.11126402236600604</v>
      </c>
      <c r="O29" s="5">
        <f t="shared" si="7"/>
        <v>13.364374971502494</v>
      </c>
      <c r="P29" s="48">
        <f t="shared" si="4"/>
        <v>31.251294565600023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248.5224969753567</v>
      </c>
      <c r="E30" s="11">
        <f>IF(B30=Title_RESULTS!$H$8,$F$16,+E29*(1+$F$7))</f>
        <v>0.10865627184180277</v>
      </c>
      <c r="F30" s="9">
        <f t="shared" si="1"/>
        <v>223.73565437942133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14.497035608678663</v>
      </c>
      <c r="L30" s="5">
        <f t="shared" si="3"/>
        <v>33.899911600869665</v>
      </c>
      <c r="N30" s="11">
        <f>IF(+B30=Title_RESULTS!$H$9,'Value of Defferal'!$O$16,+'Value of Defferal'!N29*(1+'Value of Defferal'!$F$7))</f>
        <v>0.11393435890279018</v>
      </c>
      <c r="O30" s="5">
        <f t="shared" si="7"/>
        <v>13.685119970818555</v>
      </c>
      <c r="P30" s="48">
        <f t="shared" si="4"/>
        <v>32.001325635174425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240.48513754280083</v>
      </c>
      <c r="E31" s="11">
        <f>IF(B31=Title_RESULTS!$H$8,$F$16,+E30*(1+$F$7))</f>
        <v>0.11126402236600604</v>
      </c>
      <c r="F31" s="9">
        <f t="shared" si="1"/>
        <v>229.10531008452747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14.02819320080174</v>
      </c>
      <c r="L31" s="5">
        <f t="shared" si="3"/>
        <v>32.803569106390874</v>
      </c>
      <c r="N31" s="11">
        <f>IF(+B31=Title_RESULTS!$H$9,'Value of Defferal'!$O$16,+'Value of Defferal'!N30*(1+'Value of Defferal'!$F$7))</f>
        <v>0.11666878351645714</v>
      </c>
      <c r="O31" s="5">
        <f t="shared" si="7"/>
        <v>14.0135628501182</v>
      </c>
      <c r="P31" s="48">
        <f t="shared" si="4"/>
        <v>32.76935745041861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232.69800350010746</v>
      </c>
      <c r="E32" s="11">
        <f>IF(B32=Title_RESULTS!$H$8,$F$16,+E31*(1+$F$7))</f>
        <v>0.11393435890279018</v>
      </c>
      <c r="F32" s="9">
        <f t="shared" si="1"/>
        <v>234.6038375265561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13.573947163197852</v>
      </c>
      <c r="L32" s="5">
        <f t="shared" si="3"/>
        <v>31.741358807990384</v>
      </c>
      <c r="N32" s="11">
        <f>IF(+B32=Title_RESULTS!$H$9,'Value of Defferal'!$O$16,+'Value of Defferal'!N31*(1+'Value of Defferal'!$F$7))</f>
        <v>0.11946883432085212</v>
      </c>
      <c r="O32" s="5">
        <f t="shared" si="7"/>
        <v>14.349888358521037</v>
      </c>
      <c r="P32" s="48">
        <f t="shared" si="4"/>
        <v>33.55582202922866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224.99101020421625</v>
      </c>
      <c r="E33" s="11">
        <f>IF(B33=Title_RESULTS!$H$8,$F$16,+E32*(1+$F$7))</f>
        <v>0.11666878351645714</v>
      </c>
      <c r="F33" s="9">
        <f t="shared" si="1"/>
        <v>240.23432962719346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13.124375967003646</v>
      </c>
      <c r="L33" s="5">
        <f t="shared" si="3"/>
        <v>30.690080172780494</v>
      </c>
      <c r="N33" s="11">
        <f>IF(+B33=Title_RESULTS!$H$9,'Value of Defferal'!$O$16,+'Value of Defferal'!N32*(1+'Value of Defferal'!$F$7))</f>
        <v>0.12233608634455258</v>
      </c>
      <c r="O33" s="5">
        <f t="shared" si="7"/>
        <v>14.694285679125542</v>
      </c>
      <c r="P33" s="48">
        <f t="shared" si="4"/>
        <v>34.36116175793015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217.28401690832501</v>
      </c>
      <c r="E34" s="11">
        <f>IF(B34=Title_RESULTS!$H$8,$F$16,+E33*(1+$F$7))</f>
        <v>0.11946883432085212</v>
      </c>
      <c r="F34" s="9">
        <f t="shared" si="1"/>
        <v>245.9999535382461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12.674804770809436</v>
      </c>
      <c r="L34" s="5">
        <f t="shared" si="3"/>
        <v>29.6388015375706</v>
      </c>
      <c r="N34" s="11">
        <f>IF(+B34=Title_RESULTS!$H$9,'Value of Defferal'!$O$16,+'Value of Defferal'!N33*(1+'Value of Defferal'!$F$7))</f>
        <v>0.12527215241682185</v>
      </c>
      <c r="O34" s="5">
        <f t="shared" si="7"/>
        <v>15.046948535424557</v>
      </c>
      <c r="P34" s="48">
        <f t="shared" si="4"/>
        <v>35.185829640120474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209.5770236124338</v>
      </c>
      <c r="E35" s="11">
        <f>IF(B35=Title_RESULTS!$H$8,$F$16,+E34*(1+$F$7))</f>
        <v>0.12233608634455258</v>
      </c>
      <c r="F35" s="9">
        <f t="shared" si="1"/>
        <v>251.90395242316404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12.225233574615228</v>
      </c>
      <c r="L35" s="5">
        <f t="shared" si="3"/>
        <v>28.587522902360707</v>
      </c>
      <c r="N35" s="11">
        <f>IF(+B35=Title_RESULTS!$H$9,'Value of Defferal'!$O$16,+'Value of Defferal'!N34*(1+'Value of Defferal'!$F$7))</f>
        <v>0.12827868407482557</v>
      </c>
      <c r="O35" s="5">
        <f t="shared" si="7"/>
        <v>15.408075300274746</v>
      </c>
      <c r="P35" s="48">
        <f t="shared" si="4"/>
        <v>36.030289551483364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201.87003031654262</v>
      </c>
      <c r="E36" s="11">
        <f>IF(B36=Title_RESULTS!$H$8,$F$16,+E35*(1+$F$7))</f>
        <v>0.12527215241682185</v>
      </c>
      <c r="F36" s="9">
        <f t="shared" si="1"/>
        <v>257.94964728132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11.77566237842102</v>
      </c>
      <c r="L36" s="5">
        <f t="shared" si="3"/>
        <v>27.53624426715082</v>
      </c>
      <c r="N36" s="11">
        <f>IF(+B36=Title_RESULTS!$H$9,'Value of Defferal'!$O$16,+'Value of Defferal'!N35*(1+'Value of Defferal'!$F$7))</f>
        <v>0.1313573724926214</v>
      </c>
      <c r="O36" s="5">
        <f t="shared" si="7"/>
        <v>15.77786910748134</v>
      </c>
      <c r="P36" s="48">
        <f t="shared" si="4"/>
        <v>36.89501650071897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194.16303702065136</v>
      </c>
      <c r="E37" s="11">
        <f>IF(B37&gt;Title_RESULTS!$H$8-1+Title_RESULTS!$C$18,0,+E36*(1+$F$7))</f>
        <v>0.12827868407482557</v>
      </c>
      <c r="F37" s="9">
        <f t="shared" si="1"/>
        <v>264.14043881607165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11.32609118222681</v>
      </c>
      <c r="L37" s="5">
        <f t="shared" si="3"/>
        <v>26.484965631940927</v>
      </c>
      <c r="N37" s="11">
        <f>IF(+B37=Title_RESULTS!$H$9,'Value of Defferal'!$O$16,+'Value of Defferal'!N36*(1+'Value of Defferal'!$F$7))</f>
        <v>0.1345099494324443</v>
      </c>
      <c r="O37" s="5">
        <f t="shared" si="7"/>
        <v>16.156537966060892</v>
      </c>
      <c r="P37" s="48">
        <f t="shared" si="4"/>
        <v>37.780496896736224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186.45604372476012</v>
      </c>
      <c r="E38" s="11">
        <f>IF(B38&gt;Title_RESULTS!$H$8-1+Title_RESULTS!$C$18,0,+E37*(1+$F$7))</f>
        <v>0.1313573724926214</v>
      </c>
      <c r="F38" s="9">
        <f t="shared" si="1"/>
        <v>270.4798093476574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10.8765199860326</v>
      </c>
      <c r="L38" s="5">
        <f t="shared" si="3"/>
        <v>25.43368699673103</v>
      </c>
      <c r="N38" s="11">
        <f>IF(+B38=Title_RESULTS!$H$9,'Value of Defferal'!$O$16,+'Value of Defferal'!N37*(1+'Value of Defferal'!$F$7))</f>
        <v>0.13773818821882297</v>
      </c>
      <c r="O38" s="5">
        <f t="shared" si="7"/>
        <v>16.544294877246355</v>
      </c>
      <c r="P38" s="48">
        <f t="shared" si="4"/>
        <v>38.68722882225789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178.74905042886888</v>
      </c>
      <c r="E39" s="11">
        <f>IF(B39&gt;Title_RESULTS!$H$8-1+Title_RESULTS!$C$18,0,+E38*(1+$F$7))</f>
        <v>0.1345099494324443</v>
      </c>
      <c r="F39" s="9">
        <f t="shared" si="1"/>
        <v>276.97132477200114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10.42694878983839</v>
      </c>
      <c r="L39" s="5">
        <f t="shared" si="3"/>
        <v>24.382408361521136</v>
      </c>
      <c r="N39" s="11">
        <f>IF(+B39&gt;Title_RESULTS!$H$9+Title_RESULTS!$C$19-1,0,+'Value of Defferal'!N38*(1+'Value of Defferal'!$F$7))</f>
        <v>0.14104390473607473</v>
      </c>
      <c r="O39" s="5">
        <f t="shared" si="7"/>
        <v>16.94135795430027</v>
      </c>
      <c r="P39" s="48">
        <f t="shared" si="4"/>
        <v>39.61572231399209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171.04205713297773</v>
      </c>
      <c r="E40" s="11">
        <f>IF(B40&gt;Title_RESULTS!$H$8-1+Title_RESULTS!$C$18,0,+E39*(1+$F$7))</f>
        <v>0.13773818821882297</v>
      </c>
      <c r="F40" s="9">
        <f t="shared" si="1"/>
        <v>283.61863656652923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9.977377593644183</v>
      </c>
      <c r="L40" s="5">
        <f t="shared" si="3"/>
        <v>23.331129726311254</v>
      </c>
      <c r="N40" s="11">
        <f>IF(+B40&gt;Title_RESULTS!$H$9+Title_RESULTS!$C$19-1,0,+'Value of Defferal'!N39*(1+'Value of Defferal'!$F$7))</f>
        <v>0.14442895844974052</v>
      </c>
      <c r="O40" s="5">
        <f t="shared" si="7"/>
        <v>17.347950545203474</v>
      </c>
      <c r="P40" s="48">
        <f t="shared" si="4"/>
        <v>40.5664996495279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164.05878134566996</v>
      </c>
      <c r="E41" s="11">
        <f>IF(B41&gt;Title_RESULTS!$H$8-1+Title_RESULTS!$C$18,0,+E40*(1+$F$7))</f>
        <v>0.14104390473607473</v>
      </c>
      <c r="F41" s="9">
        <f t="shared" si="1"/>
        <v>290.42548384412595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9.57002293164808</v>
      </c>
      <c r="L41" s="5">
        <f t="shared" si="3"/>
        <v>22.378570361443366</v>
      </c>
      <c r="N41" s="11">
        <f>IF(+B41&gt;Title_RESULTS!$H$9+Title_RESULTS!$C$19-1,0,+'Value of Defferal'!N40*(1+'Value of Defferal'!$F$7))</f>
        <v>0.1478952534525343</v>
      </c>
      <c r="O41" s="5">
        <f t="shared" si="7"/>
        <v>17.764301358288357</v>
      </c>
      <c r="P41" s="48">
        <f t="shared" si="4"/>
        <v>41.540095641116565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158.5226954967928</v>
      </c>
      <c r="E42" s="11">
        <f>IF(B42&gt;Title_RESULTS!$H$8-1+Title_RESULTS!$C$18,0,+E41*(1+$F$7))</f>
        <v>0.14442895844974052</v>
      </c>
      <c r="F42" s="9">
        <f t="shared" si="1"/>
        <v>297.39569545638494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9.24708704189709</v>
      </c>
      <c r="L42" s="5">
        <f t="shared" si="3"/>
        <v>21.623416107096844</v>
      </c>
      <c r="N42" s="11">
        <f>IF(+B42&gt;Title_RESULTS!$H$9+Title_RESULTS!$C$19-1,0,+'Value of Defferal'!N41*(1+'Value of Defferal'!$F$7))</f>
        <v>0.1514447395353951</v>
      </c>
      <c r="O42" s="5">
        <f t="shared" si="7"/>
        <v>18.190644590887278</v>
      </c>
      <c r="P42" s="48">
        <f t="shared" si="4"/>
        <v>42.53705793650336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153.71008207776273</v>
      </c>
      <c r="E43" s="11">
        <f>IF(B43&gt;Title_RESULTS!$H$8-1+Title_RESULTS!$C$18,0,+E42*(1+$F$7))</f>
        <v>0.1478952534525343</v>
      </c>
      <c r="F43" s="9">
        <f t="shared" si="1"/>
        <v>304.5331921473382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8.96635339019311</v>
      </c>
      <c r="L43" s="5">
        <f t="shared" si="3"/>
        <v>20.966947692929672</v>
      </c>
      <c r="N43" s="11">
        <f>IF(+B43&gt;Title_RESULTS!$H$9+Title_RESULTS!$C$19-1,0,+'Value of Defferal'!N42*(1+'Value of Defferal'!$F$7))</f>
        <v>0.1550794132842446</v>
      </c>
      <c r="O43" s="5">
        <f t="shared" si="7"/>
        <v>18.627220061068574</v>
      </c>
      <c r="P43" s="48">
        <f t="shared" si="4"/>
        <v>43.557947326979445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148.8974686587327</v>
      </c>
      <c r="E44" s="11">
        <f>IF(B44&gt;Title_RESULTS!$H$8-1+Title_RESULTS!$C$18,0,+E43*(1+$F$7))</f>
        <v>0.1514447395353951</v>
      </c>
      <c r="F44" s="9">
        <f t="shared" si="1"/>
        <v>311.8419887588743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8.68561973848913</v>
      </c>
      <c r="L44" s="5">
        <f t="shared" si="3"/>
        <v>20.310479278762504</v>
      </c>
      <c r="N44" s="11">
        <f>IF(+B44&gt;Title_RESULTS!$H$9+Title_RESULTS!$C$19-1,0,+'Value of Defferal'!N43*(1+'Value of Defferal'!$F$7))</f>
        <v>0.15880131920306648</v>
      </c>
      <c r="O44" s="5">
        <f t="shared" si="7"/>
        <v>19.07427334253422</v>
      </c>
      <c r="P44" s="48">
        <f t="shared" si="4"/>
        <v>44.60333806282695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144.08485523970256</v>
      </c>
      <c r="E45" s="11">
        <f>IF(B45&gt;Title_RESULTS!$H$8-1+Title_RESULTS!$C$18,0,+E44*(1+$F$7))</f>
        <v>0.1550794132842446</v>
      </c>
      <c r="F45" s="9">
        <f t="shared" si="1"/>
        <v>319.3261964890873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8.404886086785146</v>
      </c>
      <c r="L45" s="5">
        <f t="shared" si="3"/>
        <v>19.654010864595325</v>
      </c>
      <c r="N45" s="11">
        <f>IF(+B45&gt;Title_RESULTS!$H$9+Title_RESULTS!$C$19-1,0,+'Value of Defferal'!N44*(1+'Value of Defferal'!$F$7))</f>
        <v>0.16261255086394008</v>
      </c>
      <c r="O45" s="5">
        <f t="shared" si="7"/>
        <v>19.532055902755044</v>
      </c>
      <c r="P45" s="48">
        <f t="shared" si="4"/>
        <v>45.6738181763348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139.27224182067252</v>
      </c>
      <c r="E46" s="11">
        <f>IF(B46&gt;Title_RESULTS!$H$8-1+Title_RESULTS!$C$18,0,+E45*(1+$F$7))</f>
        <v>0.15880131920306648</v>
      </c>
      <c r="F46" s="9">
        <f t="shared" si="1"/>
        <v>326.9900252048254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8.124152435081163</v>
      </c>
      <c r="L46" s="5">
        <f t="shared" si="3"/>
        <v>18.997542450428153</v>
      </c>
      <c r="N46" s="11">
        <f>IF(+B46&gt;Title_RESULTS!$H$9+Title_RESULTS!$C$19-1,0,+'Value of Defferal'!N45*(1+'Value of Defferal'!$F$7))</f>
        <v>0.16651525208467466</v>
      </c>
      <c r="O46" s="5">
        <f t="shared" si="7"/>
        <v>20.000825244421165</v>
      </c>
      <c r="P46" s="48">
        <f t="shared" si="4"/>
        <v>46.76998981256684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134.45962840164248</v>
      </c>
      <c r="E47" s="11">
        <f>IF(B47&gt;Title_RESULTS!$H$8-1+Title_RESULTS!$C$18,0,+E46*(1+$F$7))</f>
        <v>0.16261255086394008</v>
      </c>
      <c r="F47" s="9">
        <f t="shared" si="1"/>
        <v>334.8377858097412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7.843418783377183</v>
      </c>
      <c r="L47" s="5">
        <f t="shared" si="3"/>
        <v>18.341074036260984</v>
      </c>
      <c r="N47" s="11">
        <f>IF(+B47&gt;Title_RESULTS!$H$9+Title_RESULTS!$C$19-1,0,+'Value of Defferal'!N46*(1+'Value of Defferal'!$F$7))</f>
        <v>0.17051161813470686</v>
      </c>
      <c r="O47" s="5">
        <f t="shared" si="7"/>
        <v>20.480845050287275</v>
      </c>
      <c r="P47" s="48">
        <f t="shared" si="4"/>
        <v>47.89246956806845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129.6470149826124</v>
      </c>
      <c r="E48" s="11">
        <f>IF(B48&gt;Title_RESULTS!$H$8-1+Title_RESULTS!$C$18,0,+E47*(1+$F$7))</f>
        <v>0.16651525208467466</v>
      </c>
      <c r="F48" s="9">
        <f t="shared" si="1"/>
        <v>342.87389266917506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7.562685131673202</v>
      </c>
      <c r="L48" s="5">
        <f t="shared" si="3"/>
        <v>17.684605622093812</v>
      </c>
      <c r="N48" s="11">
        <f>IF(+B48&gt;Title_RESULTS!$H$9+Title_RESULTS!$C$19-1,0,+'Value of Defferal'!N47*(1+'Value of Defferal'!$F$7))</f>
        <v>0.17460389696993983</v>
      </c>
      <c r="O48" s="5">
        <f t="shared" si="7"/>
        <v>20.97238533149417</v>
      </c>
      <c r="P48" s="48">
        <f t="shared" si="4"/>
        <v>49.04188883770209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124.83440156358232</v>
      </c>
      <c r="E49" s="11">
        <f>IF(B49&gt;Title_RESULTS!$H$8-1+Title_RESULTS!$C$18,0,+E48*(1+$F$7))</f>
        <v>0.17051161813470686</v>
      </c>
      <c r="F49" s="9">
        <f t="shared" si="1"/>
        <v>351.10286609323526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7.281951479969218</v>
      </c>
      <c r="L49" s="5">
        <f t="shared" si="3"/>
        <v>17.028137207926633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120.02178814455225</v>
      </c>
      <c r="E50" s="11">
        <f>IF(B50&gt;Title_RESULTS!$H$8-1+Title_RESULTS!$C$18,0,+E49*(1+$F$7))</f>
        <v>0.17460389696993983</v>
      </c>
      <c r="F50" s="9">
        <f t="shared" si="1"/>
        <v>359.5293348794729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7.001217828265236</v>
      </c>
      <c r="L50" s="5">
        <f t="shared" si="3"/>
        <v>16.37166879375946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115.2091747255222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6.720484176561256</v>
      </c>
      <c r="L51" s="5">
        <f t="shared" si="3"/>
        <v>15.715200379592291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4919.450243015621</v>
      </c>
      <c r="F63" s="9">
        <f>SUM(F23:F61)</f>
        <v>6861.318610866556</v>
      </c>
      <c r="J63" t="s">
        <v>87</v>
      </c>
      <c r="K63" s="9">
        <f>SUM(K23:K61)</f>
        <v>286.9657524614044</v>
      </c>
      <c r="O63" s="9">
        <f>SUM(O23:O61)</f>
        <v>400.2405473742095</v>
      </c>
    </row>
    <row r="64" spans="3:15" ht="12.75">
      <c r="C64" t="s">
        <v>89</v>
      </c>
      <c r="D64" s="9">
        <f>NPV(+Title_RESULTS!$C$37,'Value of Defferal'!D24:D61)+'Value of Defferal'!D23</f>
        <v>2196.5642858333686</v>
      </c>
      <c r="F64" s="9">
        <f>NPV(+Title_RESULTS!$C$37,'Value of Defferal'!F24:F61)+'Value of Defferal'!F23</f>
        <v>2551.3508011681274</v>
      </c>
      <c r="J64" t="s">
        <v>89</v>
      </c>
      <c r="K64" s="9">
        <f>NPV(+Title_RESULTS!$C$37,'Value of Defferal'!K24:K61)+'Value of Defferal'!K23</f>
        <v>128.1319440132446</v>
      </c>
      <c r="O64" s="9">
        <f>NPV(+Title_RESULTS!$C$37,'Value of Defferal'!O24:O61)+'Value of Defferal'!O23</f>
        <v>170.64768413119168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1.124012542965688</v>
      </c>
      <c r="C25" t="s">
        <v>372</v>
      </c>
    </row>
    <row r="26" spans="2:3" ht="18">
      <c r="B26" s="15">
        <f>+((Input!$C$6*'EUE_Line Losses'!C4)+(Input!$C$7*'EUE_Line Losses'!C3))/'EUE_Line Losses'!C22</f>
        <v>1.1203866960528954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C41" sqref="C41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1.11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0.98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8967.76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13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40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1190.77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121.61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Hot Water Pipe Insulation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43599.31985625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1.11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1.1203866960528954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9459.662447257384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8967.76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13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40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1190.77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121.61</v>
      </c>
      <c r="D39" s="13" t="s">
        <v>189</v>
      </c>
      <c r="G39" s="20" t="s">
        <v>346</v>
      </c>
      <c r="H39" s="79">
        <f>+'Sheet7(F_23)'!H34</f>
        <v>2.990927214339916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+'Sheet8(F_24)'!K32</f>
        <v>10443.486309401476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+'Sheet9(F_25)'!J34</f>
        <v>1.4032067759023041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2019-05-14T11:40:37Z</dcterms:created>
  <dcterms:modified xsi:type="dcterms:W3CDTF">2019-05-14T11:40:41Z</dcterms:modified>
  <cp:category/>
  <cp:version/>
  <cp:contentType/>
  <cp:contentStatus/>
</cp:coreProperties>
</file>