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3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915" windowWidth="11340" windowHeight="5640" tabRatio="597" firstSheet="8" activeTab="8"/>
  </bookViews>
  <sheets>
    <sheet name="Fuel" sheetId="1" r:id="rId1"/>
    <sheet name="Spending Curve" sheetId="2" r:id="rId2"/>
    <sheet name="T&amp;D Costs" sheetId="3" r:id="rId3"/>
    <sheet name="EUE_Line Losses" sheetId="4" r:id="rId4"/>
    <sheet name="Revenue Requirements" sheetId="5" r:id="rId5"/>
    <sheet name="Title Results Update" sheetId="6" r:id="rId6"/>
    <sheet name="Rates" sheetId="7" r:id="rId7"/>
    <sheet name="Input" sheetId="8" r:id="rId8"/>
    <sheet name="Title_RESULTS" sheetId="9" r:id="rId9"/>
    <sheet name="Partcipation" sheetId="10" r:id="rId10"/>
    <sheet name="f-11B" sheetId="11" r:id="rId11"/>
    <sheet name="Sheet3(F_21)" sheetId="12" r:id="rId12"/>
    <sheet name="Sheet5(p_5)" sheetId="13" r:id="rId13"/>
    <sheet name="Sheet2(F_12)" sheetId="14" r:id="rId14"/>
    <sheet name="Sheet4(F_22)" sheetId="15" r:id="rId15"/>
    <sheet name="Sheet6(p_6)" sheetId="16" r:id="rId16"/>
    <sheet name="Sheet7(F_23)" sheetId="17" r:id="rId17"/>
    <sheet name="Sheet8(F_24)" sheetId="18" r:id="rId18"/>
    <sheet name="Sheet9(F_25)" sheetId="19" r:id="rId19"/>
    <sheet name="Value of Defferal" sheetId="20" r:id="rId20"/>
  </sheets>
  <definedNames>
    <definedName name="AD">'Sheet2(F_12)'!$J$11:$J$11</definedName>
    <definedName name="BASE_YR">'Sheet2(F_12)'!#REF!</definedName>
    <definedName name="Gen_RR_VD">'Value of Defferal'!$B$23:$F$61</definedName>
    <definedName name="_xlnm.Print_Area" localSheetId="10">'f-11B'!$A$1:$L$33</definedName>
    <definedName name="_xlnm.Print_Area" localSheetId="7">'Input'!$A$1:$D$58</definedName>
    <definedName name="_xlnm.Print_Area" localSheetId="9">'Partcipation'!$A$1:$M$52</definedName>
    <definedName name="_xlnm.Print_Area" localSheetId="13">'Sheet2(F_12)'!$A$1:$K$50</definedName>
    <definedName name="_xlnm.Print_Area" localSheetId="11">'Sheet3(F_21)'!$A$1:$J$39</definedName>
    <definedName name="_xlnm.Print_Area" localSheetId="14">'Sheet4(F_22)'!$A$1:$J$39</definedName>
    <definedName name="_xlnm.Print_Area" localSheetId="12">'Sheet5(p_5)'!$A$1:$H$39</definedName>
    <definedName name="_xlnm.Print_Area" localSheetId="15">'Sheet6(p_6)'!$A$1:$R$39</definedName>
    <definedName name="_xlnm.Print_Area" localSheetId="16">'Sheet7(F_23)'!$A$1:$M$39</definedName>
    <definedName name="_xlnm.Print_Area" localSheetId="17">'Sheet8(F_24)'!$A$1:$M$39</definedName>
    <definedName name="_xlnm.Print_Area" localSheetId="18">'Sheet9(F_25)'!$A$1:$N$39</definedName>
    <definedName name="_xlnm.Print_Area" localSheetId="8">'Title_RESULTS'!$A$1:$R$48</definedName>
    <definedName name="Trans_RR_VD">'Value of Defferal'!$I$23:$P$58</definedName>
  </definedNames>
  <calcPr fullCalcOnLoad="1"/>
</workbook>
</file>

<file path=xl/sharedStrings.xml><?xml version="1.0" encoding="utf-8"?>
<sst xmlns="http://schemas.openxmlformats.org/spreadsheetml/2006/main" count="1258" uniqueCount="468">
  <si>
    <t/>
  </si>
  <si>
    <t>I.</t>
  </si>
  <si>
    <t>%</t>
  </si>
  <si>
    <t>ECONOMIC LIFE &amp; K FACTORS</t>
  </si>
  <si>
    <t>II.</t>
  </si>
  <si>
    <t>YEARS</t>
  </si>
  <si>
    <t>GENERATION</t>
  </si>
  <si>
    <t>III.</t>
  </si>
  <si>
    <t>IV.</t>
  </si>
  <si>
    <t>(14) GENERATOR VARIABLE O&amp;M COST ESCALATION RATE</t>
  </si>
  <si>
    <t>V.</t>
  </si>
  <si>
    <t xml:space="preserve"> END OF EDITING AREA 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</si>
  <si>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</si>
  <si>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</si>
  <si>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</si>
  <si>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</si>
  <si>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</si>
  <si>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</si>
  <si>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</si>
  <si>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</si>
  <si>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</si>
  <si>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</si>
  <si>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</si>
  <si>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ADJUSTED</t>
  </si>
  <si>
    <t>PROGRAM</t>
  </si>
  <si>
    <t>CUMULATIVE</t>
  </si>
  <si>
    <t>FUEL COST</t>
  </si>
  <si>
    <t>KW</t>
  </si>
  <si>
    <t>KWH</t>
  </si>
  <si>
    <t>OTHER</t>
  </si>
  <si>
    <t>PARTICIPATING</t>
  </si>
  <si>
    <t>MARGINAL</t>
  </si>
  <si>
    <t>EFFECTIVENESS</t>
  </si>
  <si>
    <t>COSTS</t>
  </si>
  <si>
    <t>BENEFITS</t>
  </si>
  <si>
    <t>YEAR</t>
  </si>
  <si>
    <t>CUSTOMERS</t>
  </si>
  <si>
    <t>FACTOR</t>
  </si>
  <si>
    <t>(C/KWH)</t>
  </si>
  <si>
    <t>($000)</t>
  </si>
  <si>
    <t>INPUT DATA -- PART 2</t>
  </si>
  <si>
    <t>PROGRAM:</t>
  </si>
  <si>
    <t>PAGE 1 OF 1</t>
  </si>
  <si>
    <t>UTILITY</t>
  </si>
  <si>
    <t>AVERAGE</t>
  </si>
  <si>
    <t>SYSTEM</t>
  </si>
  <si>
    <t>AVOIDED</t>
  </si>
  <si>
    <t>INCREASED</t>
  </si>
  <si>
    <t>FUEL</t>
  </si>
  <si>
    <t>REPLACEMENT</t>
  </si>
  <si>
    <t>TOTAL</t>
  </si>
  <si>
    <t>----</t>
  </si>
  <si>
    <t>AVOIDED GENERATION UNIT BENEFITS</t>
  </si>
  <si>
    <t xml:space="preserve">  AVOIDED T &amp; D AND PROGRAM FUEL SAVINGS</t>
  </si>
  <si>
    <t>PSC FORM CE 2.2</t>
  </si>
  <si>
    <t>Page 1 of 1</t>
  </si>
  <si>
    <t xml:space="preserve">  PROGRAM:</t>
  </si>
  <si>
    <t xml:space="preserve">      </t>
  </si>
  <si>
    <t xml:space="preserve">    * UNIT SIZE OF AVOIDED GENERATION UNIT =</t>
  </si>
  <si>
    <t xml:space="preserve">KW   </t>
  </si>
  <si>
    <t xml:space="preserve"> * INSERVICE COSTS OF AVOIDED TRANS. (000) =</t>
  </si>
  <si>
    <t xml:space="preserve">    * INSERVICE COSTS OF AVOIDED GEN. UNIT (000) =</t>
  </si>
  <si>
    <t xml:space="preserve"> * INSERVICE COSTS OF AVOIDED DIST.  (000) =</t>
  </si>
  <si>
    <t>(1A)*</t>
  </si>
  <si>
    <t>(2A)*</t>
  </si>
  <si>
    <t>(6A)*</t>
  </si>
  <si>
    <t xml:space="preserve">    REVENUE</t>
  </si>
  <si>
    <t>GEN UNIT</t>
  </si>
  <si>
    <t>ANNUAL</t>
  </si>
  <si>
    <t>UNIT</t>
  </si>
  <si>
    <t>PURCHASED</t>
  </si>
  <si>
    <t>TRANSMISSION</t>
  </si>
  <si>
    <t>TOTAL AVOIDED</t>
  </si>
  <si>
    <t>DISTRIBUTION</t>
  </si>
  <si>
    <t>REQUIREMENT</t>
  </si>
  <si>
    <t>CAPACITY</t>
  </si>
  <si>
    <t>FIXED</t>
  </si>
  <si>
    <t>VARIABLE</t>
  </si>
  <si>
    <t>O&amp;M</t>
  </si>
  <si>
    <t>COST</t>
  </si>
  <si>
    <t>KWH GEN</t>
  </si>
  <si>
    <t>O&amp;M COST</t>
  </si>
  <si>
    <t>SAVINGS</t>
  </si>
  <si>
    <t>$(000)</t>
  </si>
  <si>
    <t>(000)</t>
  </si>
  <si>
    <t>------</t>
  </si>
  <si>
    <t>-----</t>
  </si>
  <si>
    <t>NOMINAL</t>
  </si>
  <si>
    <t xml:space="preserve"> NOMINAL</t>
  </si>
  <si>
    <t>NPV</t>
  </si>
  <si>
    <t xml:space="preserve"> NPV:</t>
  </si>
  <si>
    <t>* SUPPLEMENTAL INFORMATION NOT SPECIFIED IN WORKBOOK</t>
  </si>
  <si>
    <t xml:space="preserve"> </t>
  </si>
  <si>
    <t>REDUCED KWH</t>
  </si>
  <si>
    <t>USED KWH</t>
  </si>
  <si>
    <t>REPLACE.</t>
  </si>
  <si>
    <t>BLANK</t>
  </si>
  <si>
    <t>UTIL AVG</t>
  </si>
  <si>
    <t>TOTAL PARTIC.</t>
  </si>
  <si>
    <t>SYS. FUEL</t>
  </si>
  <si>
    <t>OF AVOIDED</t>
  </si>
  <si>
    <t>ADJ. COST</t>
  </si>
  <si>
    <t>GENERATOR</t>
  </si>
  <si>
    <t>P.U./KW</t>
  </si>
  <si>
    <t>P.U./KWH</t>
  </si>
  <si>
    <t>VI. YEARLY INPUT DATA</t>
  </si>
  <si>
    <t xml:space="preserve">       * WORKSHEET : DSM PROGRAM FUEL SAVINGS</t>
  </si>
  <si>
    <t xml:space="preserve">       PROGRAM:</t>
  </si>
  <si>
    <t>Page 1 of 2</t>
  </si>
  <si>
    <t>REDUCTION</t>
  </si>
  <si>
    <t>INCREASE</t>
  </si>
  <si>
    <t>NET</t>
  </si>
  <si>
    <t>IN KWH</t>
  </si>
  <si>
    <t>EFFECTIVE</t>
  </si>
  <si>
    <t>NET NEW CUST</t>
  </si>
  <si>
    <t>FUEL COST -</t>
  </si>
  <si>
    <t xml:space="preserve"> KWH </t>
  </si>
  <si>
    <t>INCREASE KWH</t>
  </si>
  <si>
    <t>NPV:</t>
  </si>
  <si>
    <t xml:space="preserve">  * WORKSHEET: UTILITY COSTS AND PARTICIPANT COSTS AND REV LOSS/GAIN</t>
  </si>
  <si>
    <t>WORKSHEET FOR FORM CE 2.2</t>
  </si>
  <si>
    <t>Page 2 of 2</t>
  </si>
  <si>
    <t>(12)</t>
  </si>
  <si>
    <t>(13)</t>
  </si>
  <si>
    <t>(14)</t>
  </si>
  <si>
    <t>(15)</t>
  </si>
  <si>
    <t>(16)</t>
  </si>
  <si>
    <t>(17)</t>
  </si>
  <si>
    <t>(18)</t>
  </si>
  <si>
    <t xml:space="preserve"> &lt;-----  UTILITY PROGRAM COSTS &amp; REBATES  -------&gt;</t>
  </si>
  <si>
    <t xml:space="preserve">       &lt;------------------  PARTICIPATING CUSTOMER COSTS &amp; BENEFITS  ----------------------&gt;</t>
  </si>
  <si>
    <t>PARTIC.</t>
  </si>
  <si>
    <t>REDUCT.</t>
  </si>
  <si>
    <t>RED.</t>
  </si>
  <si>
    <t>EFFECT.</t>
  </si>
  <si>
    <t>INC.</t>
  </si>
  <si>
    <t>UTIL</t>
  </si>
  <si>
    <t>REBATE/</t>
  </si>
  <si>
    <t>CUST</t>
  </si>
  <si>
    <t>IN</t>
  </si>
  <si>
    <t>REV.</t>
  </si>
  <si>
    <t>REVENUE</t>
  </si>
  <si>
    <t>NONREC.</t>
  </si>
  <si>
    <t>RECUR</t>
  </si>
  <si>
    <t>PGM</t>
  </si>
  <si>
    <t>RECUR.</t>
  </si>
  <si>
    <t>INCENT.</t>
  </si>
  <si>
    <t>EQUIP</t>
  </si>
  <si>
    <t>O &amp; M</t>
  </si>
  <si>
    <t>CUST.</t>
  </si>
  <si>
    <t>- FUEL</t>
  </si>
  <si>
    <t xml:space="preserve">NONFUEL </t>
  </si>
  <si>
    <t xml:space="preserve">COSTS </t>
  </si>
  <si>
    <t>REBATES</t>
  </si>
  <si>
    <t>PORTION</t>
  </si>
  <si>
    <t>TO CUST</t>
  </si>
  <si>
    <t>IN BILL</t>
  </si>
  <si>
    <t xml:space="preserve">          TOTAL RESOURCE COST TESTS </t>
  </si>
  <si>
    <t>PARTICIPANT</t>
  </si>
  <si>
    <t>DISCOUNTED</t>
  </si>
  <si>
    <t>SUPPLY</t>
  </si>
  <si>
    <t>T &amp; D</t>
  </si>
  <si>
    <t>Discount Rate</t>
  </si>
  <si>
    <t xml:space="preserve">       Benefit/Cost Ratio - [col (11)/col (6)]:</t>
  </si>
  <si>
    <t xml:space="preserve">   PARTICIPANT COSTS AND BENEFITS</t>
  </si>
  <si>
    <t>PSC FORM CE 2.4</t>
  </si>
  <si>
    <t>------------------------------------------</t>
  </si>
  <si>
    <t>CUSTOMER</t>
  </si>
  <si>
    <t>PARTICIPANTS</t>
  </si>
  <si>
    <t>TAX</t>
  </si>
  <si>
    <t>EQUIPMENT</t>
  </si>
  <si>
    <t>BILL</t>
  </si>
  <si>
    <t>CREDITS</t>
  </si>
  <si>
    <t>NET BENEFITS</t>
  </si>
  <si>
    <t>In service year of gen unit:</t>
  </si>
  <si>
    <t>Discount rate:</t>
  </si>
  <si>
    <t xml:space="preserve">     RATE IMPACT TEST</t>
  </si>
  <si>
    <t>UNIT &amp; FUEL</t>
  </si>
  <si>
    <t>TO ALL</t>
  </si>
  <si>
    <t>INCENTIVES</t>
  </si>
  <si>
    <t>LOSSES</t>
  </si>
  <si>
    <t>GAINS</t>
  </si>
  <si>
    <t>BENEFIT</t>
  </si>
  <si>
    <t xml:space="preserve">      Benefit/Cost Ratio - [col (12)/col (7)]:</t>
  </si>
  <si>
    <t xml:space="preserve">PROGRAM DEMAND SAVINGS &amp; LINE LOSSES                </t>
  </si>
  <si>
    <t>KW /CUST</t>
  </si>
  <si>
    <t>KW GEN/CUST</t>
  </si>
  <si>
    <t>KWH/CUST/YR</t>
  </si>
  <si>
    <t>UTILITY &amp; CUSTOMER COSTS</t>
  </si>
  <si>
    <t>$/CUST</t>
  </si>
  <si>
    <t>$/CUST/YR</t>
  </si>
  <si>
    <t>AVOIDED GENERATOR, TRANS. &amp; DIST COSTS</t>
  </si>
  <si>
    <t>(2)  IN-SERVICE YEAR FOR AVOIDED GENERATING UNIT</t>
  </si>
  <si>
    <t>$/KW</t>
  </si>
  <si>
    <t>$/KW/YR</t>
  </si>
  <si>
    <t>CENTS/KWH</t>
  </si>
  <si>
    <t>NON-FUEL ENERGY AND DEMAND CHARGES</t>
  </si>
  <si>
    <t>$/KW/MO</t>
  </si>
  <si>
    <t xml:space="preserve">(5)* DIVERSITY and ANNUAL DEMAND ADJUSTMENT </t>
  </si>
  <si>
    <t>YEARLY INPUT DATA: GO TO H5..Q76 &amp; INPUT (Page 2)</t>
  </si>
  <si>
    <t>PLEASE NOTE:  UTILITY NON-LEVELIZED REVENUE REQUIREMENT</t>
  </si>
  <si>
    <t xml:space="preserve">  FACTORS AT RANGE NAMES GEN_RRTBL AND TRAN_RRTBL. </t>
  </si>
  <si>
    <t>Forced Outage Rate</t>
  </si>
  <si>
    <t>Line Loss</t>
  </si>
  <si>
    <t>Residential</t>
  </si>
  <si>
    <t>GEN:</t>
  </si>
  <si>
    <t>COMPUTATION OF CONSTRUCTION CASH FLOW AND PLANT</t>
  </si>
  <si>
    <t>COMPUTATION OF GENERATION COSTS &amp; REV. REQUIREMENTS</t>
  </si>
  <si>
    <t>IN-SERVICE COSTS FOR AVOIDED TRANS &amp; DIST PLANT</t>
  </si>
  <si>
    <t>IN-SERVICE AVOIDED GEN. PLANT ($000) =</t>
  </si>
  <si>
    <t>-----------------------------------------------</t>
  </si>
  <si>
    <t>TRAN:</t>
  </si>
  <si>
    <t>Avoided Trans. =</t>
  </si>
  <si>
    <t>COMPUTATION OF VALUE DEFERRAL PAYMENTS</t>
  </si>
  <si>
    <t>Avoided Dist.  =</t>
  </si>
  <si>
    <t>TRANSMISSION &amp; DIST.</t>
  </si>
  <si>
    <t>COMPUTATION OF VALUE DEFERRAL CREDITS</t>
  </si>
  <si>
    <t>ip=</t>
  </si>
  <si>
    <t xml:space="preserve"> Esc. rate</t>
  </si>
  <si>
    <t xml:space="preserve">  Gen</t>
  </si>
  <si>
    <t>r=</t>
  </si>
  <si>
    <t xml:space="preserve"> Disc rate</t>
  </si>
  <si>
    <t xml:space="preserve">  TRAN</t>
  </si>
  <si>
    <t>Offset Cost</t>
  </si>
  <si>
    <t>l=</t>
  </si>
  <si>
    <t xml:space="preserve"> Econ life</t>
  </si>
  <si>
    <t>Offset Factor</t>
  </si>
  <si>
    <t>c=</t>
  </si>
  <si>
    <t xml:space="preserve"> Risk factor</t>
  </si>
  <si>
    <t>k=</t>
  </si>
  <si>
    <t xml:space="preserve"> K factor</t>
  </si>
  <si>
    <t xml:space="preserve">  DIST</t>
  </si>
  <si>
    <t xml:space="preserve">     Ratio=</t>
  </si>
  <si>
    <t>calculated ratio</t>
  </si>
  <si>
    <t>Ratio=</t>
  </si>
  <si>
    <t xml:space="preserve">     VALUE of DEFERRAL </t>
  </si>
  <si>
    <t>VALUE DEFERRAL STARTING</t>
  </si>
  <si>
    <t>Factor =</t>
  </si>
  <si>
    <t>FACTOR =</t>
  </si>
  <si>
    <t>TRANS</t>
  </si>
  <si>
    <t>DIST</t>
  </si>
  <si>
    <t>CARRYING</t>
  </si>
  <si>
    <t>Value</t>
  </si>
  <si>
    <t>GEN.</t>
  </si>
  <si>
    <t>TRANS.</t>
  </si>
  <si>
    <t>CHARGE</t>
  </si>
  <si>
    <t>REV REQ</t>
  </si>
  <si>
    <t>of Def</t>
  </si>
  <si>
    <t>V OF D</t>
  </si>
  <si>
    <t>N</t>
  </si>
  <si>
    <t>Year</t>
  </si>
  <si>
    <t>COSTS(000)</t>
  </si>
  <si>
    <t>Factors</t>
  </si>
  <si>
    <t>--</t>
  </si>
  <si>
    <t>Unit Size of Avoided Generation Unit</t>
  </si>
  <si>
    <t>Generation</t>
  </si>
  <si>
    <t>Comb. Cycle</t>
  </si>
  <si>
    <t>Tran &amp; Dist</t>
  </si>
  <si>
    <t>Rev Reqm't</t>
  </si>
  <si>
    <t>CALCULATION OF AFUDC AND IN-SERVICE COST OF PLANT</t>
  </si>
  <si>
    <t>NO. YEARS</t>
  </si>
  <si>
    <t>PLANT</t>
  </si>
  <si>
    <t>YEARLY</t>
  </si>
  <si>
    <t>INCREMENTAL</t>
  </si>
  <si>
    <t>BEFORE</t>
  </si>
  <si>
    <t>ESCALATION</t>
  </si>
  <si>
    <t>SPENDING</t>
  </si>
  <si>
    <t>YEAR-END</t>
  </si>
  <si>
    <t>INSERVICE</t>
  </si>
  <si>
    <t>RATE</t>
  </si>
  <si>
    <t>EXPENDITURE</t>
  </si>
  <si>
    <t>WITH AFUDC</t>
  </si>
  <si>
    <t>AFUDC</t>
  </si>
  <si>
    <t>BOOK VALUE</t>
  </si>
  <si>
    <t>(%)</t>
  </si>
  <si>
    <t>($/KW)</t>
  </si>
  <si>
    <t>IN-SERVICE YEAR   =</t>
  </si>
  <si>
    <t>AFUDC RATE:</t>
  </si>
  <si>
    <t xml:space="preserve">      &lt;-- INPUTS FOR OTHER COSTS &amp; BENEFITS - EXTERNALLY CALC., FORMS 2.3, 2.4, &amp; 2.5 --&gt;</t>
  </si>
  <si>
    <t xml:space="preserve">    &lt;-- FORM 2.3 ---&gt;</t>
  </si>
  <si>
    <t xml:space="preserve">    &lt;---- FORM 2.4  ---&gt;</t>
  </si>
  <si>
    <t xml:space="preserve">       &lt;---- FORM 2.5  ----&gt;</t>
  </si>
  <si>
    <t>OTHER COST</t>
  </si>
  <si>
    <t>OTHER BEN</t>
  </si>
  <si>
    <t>OTH COST</t>
  </si>
  <si>
    <t>OTHER BENEFITS</t>
  </si>
  <si>
    <t xml:space="preserve">      PSC FORM CE 1.1</t>
  </si>
  <si>
    <t xml:space="preserve">          PAGE 1 OF 1</t>
  </si>
  <si>
    <t>*</t>
  </si>
  <si>
    <t>Run date:</t>
  </si>
  <si>
    <t>Commercial</t>
  </si>
  <si>
    <t>Gen KW</t>
  </si>
  <si>
    <t xml:space="preserve">CALCULATED BENEFITS AND COSTS </t>
  </si>
  <si>
    <t>Years</t>
  </si>
  <si>
    <t xml:space="preserve">(1) CUSTOMER KW REDUCTION AT THE METER </t>
  </si>
  <si>
    <t>(2) GENERATOR KW REDUCTION PER CUSTOMER</t>
  </si>
  <si>
    <t>(3) KW LINE LOSS PERCENTAGE</t>
  </si>
  <si>
    <t>(4) GENERATION KWH REDUCTION PER CUSTOMER</t>
  </si>
  <si>
    <t>(5) KWH LINE LOSS PERCENTAGE</t>
  </si>
  <si>
    <t>(6) GROUP LINE LOSS MULTIPLIER</t>
  </si>
  <si>
    <t>(7) CUSTOMER KWH PROGRAM INCREASE AT METER</t>
  </si>
  <si>
    <t xml:space="preserve">(8)* CUSTOMER KWH REDUCTION AT METER </t>
  </si>
  <si>
    <t xml:space="preserve">(1) STUDY PERIOD FOR CONSERVATION PROGRAM </t>
  </si>
  <si>
    <t xml:space="preserve">(2) GENERATOR ECONOMIC LIFE </t>
  </si>
  <si>
    <t xml:space="preserve">(3) T &amp; D  ECONOMIC LIFE  </t>
  </si>
  <si>
    <t xml:space="preserve">(4) K FACTOR FOR GENERATION  </t>
  </si>
  <si>
    <t xml:space="preserve">(5) K FACTOR FOR T &amp; D  </t>
  </si>
  <si>
    <t>(6)* SWITCH REV REQ(0) OR VAL-OF-DEF (1)</t>
  </si>
  <si>
    <t xml:space="preserve">(1)  UTILITY NONRECURRING COST PER CUSTOMER </t>
  </si>
  <si>
    <t xml:space="preserve">(2)  UTILITY RECURRING COST PER CUSTOMER  </t>
  </si>
  <si>
    <t xml:space="preserve">(3)  UTILITY COST ESCALATION RATE </t>
  </si>
  <si>
    <t xml:space="preserve">(4)  CUSTOMER EQUIPMENT COST </t>
  </si>
  <si>
    <t xml:space="preserve">(5)  CUSTOMER EQUIPMENT ESCALATION RATE </t>
  </si>
  <si>
    <t xml:space="preserve">(6)  CUSTOMER O &amp; M COST  </t>
  </si>
  <si>
    <t xml:space="preserve">(7)  CUSTOMER O &amp; M ESCALATION RATE </t>
  </si>
  <si>
    <t xml:space="preserve">(8)*  CUSTOMER TAX CREDIT PER INSTALLATION </t>
  </si>
  <si>
    <t xml:space="preserve">(9)*  CUSTOMER TAX CREDIT ESCALATION RATE </t>
  </si>
  <si>
    <t xml:space="preserve">(10)* INCREASED SUPPLY COSTS </t>
  </si>
  <si>
    <t xml:space="preserve">(11)* SUPPLY COSTS ESCALATION RATE </t>
  </si>
  <si>
    <t xml:space="preserve">(12)* UTILITY DISCOUNT RATE </t>
  </si>
  <si>
    <t xml:space="preserve">(13)* UTILITY AFUDC RATE  </t>
  </si>
  <si>
    <t xml:space="preserve">(14)* UTILITY NON RECURRING REBATE/INCENTIVE </t>
  </si>
  <si>
    <t xml:space="preserve">(15)* UTILITY RECURRING REBATE/INCENTIVE </t>
  </si>
  <si>
    <t>(16)* UTILITY REBATE/INCENTIVE ESCAL RATE</t>
  </si>
  <si>
    <t xml:space="preserve">(1)  BASE YEAR  </t>
  </si>
  <si>
    <t xml:space="preserve">(3)  IN-SERVICE YEAR FOR AVOIDED T &amp; D </t>
  </si>
  <si>
    <t>(4)  BASE YEAR AVOIDED GENERATING UNIT COST</t>
  </si>
  <si>
    <t xml:space="preserve">(5)  BASE YEAR AVOIDED TRANSMISSION COST </t>
  </si>
  <si>
    <t xml:space="preserve">(6)  BASE YEAR DISTRIBUTION COST  </t>
  </si>
  <si>
    <t xml:space="preserve">(7)  GEN, TRAN, &amp; DIST COST ESCALATION RATE </t>
  </si>
  <si>
    <t xml:space="preserve">(8)  GENERATOR FIXED O &amp; M COST </t>
  </si>
  <si>
    <t xml:space="preserve">(9)  GENERATOR FIXED O&amp;M ESCALATION RATE </t>
  </si>
  <si>
    <t xml:space="preserve">(10) TRANSMISSION FIXED O &amp; M COST </t>
  </si>
  <si>
    <t xml:space="preserve">(11) DISTRIBUTION FIXED O &amp; M COST </t>
  </si>
  <si>
    <t xml:space="preserve">(12) T&amp;D  FIXED O&amp;M ESCALATION RATE </t>
  </si>
  <si>
    <t xml:space="preserve">(13) AVOIDED GEN UNIT VARIABLE O &amp; M COSTS </t>
  </si>
  <si>
    <t xml:space="preserve">(15) GENERATOR CAPACITY FACTOR  </t>
  </si>
  <si>
    <t xml:space="preserve">(16) AVOIDED GENERATING UNIT FUEL COST  </t>
  </si>
  <si>
    <t xml:space="preserve">(17) AVOIDED GEN UNIT FUEL ESCALATION RATE </t>
  </si>
  <si>
    <t xml:space="preserve">(18)* AVOIDED PURCHASE CAPACITY COST PER KW </t>
  </si>
  <si>
    <t xml:space="preserve">(19)* CAPACITY COST ESCALATION RATE </t>
  </si>
  <si>
    <t xml:space="preserve">(1) NON-FUEL COST IN CUSTOMER BILL </t>
  </si>
  <si>
    <t xml:space="preserve">(2) NON-FUEL ESCALATION RATE  </t>
  </si>
  <si>
    <t xml:space="preserve">(3) CUSTOMER DEMAND CHARGE PER KW  </t>
  </si>
  <si>
    <t xml:space="preserve">(4) DEMAND CHARGE ESCALATION RATE </t>
  </si>
  <si>
    <t xml:space="preserve">       FACTOR FOR CUSTOMER BILL </t>
  </si>
  <si>
    <t>(1)* TRC TEST - BENEFIT/COST RATIO</t>
  </si>
  <si>
    <t xml:space="preserve">(2)* PARTICIPANT NET BENEFITS (NPV) </t>
  </si>
  <si>
    <t>(3)* RIM TEST - BENEFIT/COST RATIO</t>
  </si>
  <si>
    <t>Do Not Print</t>
  </si>
  <si>
    <t>Free Riders</t>
  </si>
  <si>
    <t>Utility Non Recurring Cost Per Customer</t>
  </si>
  <si>
    <t>Customer Equipment Cost</t>
  </si>
  <si>
    <t>Customer O &amp; M Cost</t>
  </si>
  <si>
    <t>Customer Tax Credit Per Installation</t>
  </si>
  <si>
    <t>Increased Supply Costs</t>
  </si>
  <si>
    <t>Utility Non Recurring Rebate/Incentive</t>
  </si>
  <si>
    <t xml:space="preserve">Diversity and Annual Demand </t>
  </si>
  <si>
    <t>Cumulative</t>
  </si>
  <si>
    <t>Customers</t>
  </si>
  <si>
    <t xml:space="preserve">Total Partic. </t>
  </si>
  <si>
    <t>Participation</t>
  </si>
  <si>
    <t>Switch (1=Residential, 0=Commercial)</t>
  </si>
  <si>
    <t>Demand &amp; Energy Savings</t>
  </si>
  <si>
    <t>Program Title</t>
  </si>
  <si>
    <t>kWh</t>
  </si>
  <si>
    <t>Winter kW</t>
  </si>
  <si>
    <t>Summer kW</t>
  </si>
  <si>
    <t>Adjustment Factor for Customer Bill:</t>
  </si>
  <si>
    <t>Study Period for Conservation Program</t>
  </si>
  <si>
    <t>Utility Recurring Cost Per Customer (Load Management)</t>
  </si>
  <si>
    <t>Utility Recurring Rebate/Incentive (Load Management)</t>
  </si>
  <si>
    <t xml:space="preserve">Residential </t>
  </si>
  <si>
    <t>INPUT DATA - PART 1</t>
  </si>
  <si>
    <t>PROGRAM TITLE:</t>
  </si>
  <si>
    <t>PSC FORM CE 1.1</t>
  </si>
  <si>
    <t>RUN DATE:</t>
  </si>
  <si>
    <t xml:space="preserve">PLANT: </t>
  </si>
  <si>
    <t>Avoided Unit</t>
  </si>
  <si>
    <t>PSC FORM CE 1.1B</t>
  </si>
  <si>
    <t>PSC FORM CE 1.2</t>
  </si>
  <si>
    <t>PSC FORM CE 2.1</t>
  </si>
  <si>
    <t>PSC FORM CE 2.3</t>
  </si>
  <si>
    <t>PSC FORM CE 2.5</t>
  </si>
  <si>
    <t>Switch (1=Conservation, 0=Load Management)</t>
  </si>
  <si>
    <t>Answer questions 1 thru 16 to complete evaluation.  Press RUN for results. (See Title &amp; Results).</t>
  </si>
  <si>
    <t>Do Not Print this page</t>
  </si>
  <si>
    <t>See Participation C,D,E,F 73</t>
  </si>
  <si>
    <t>See Participation F_22 F5,6</t>
  </si>
  <si>
    <t>See N16 for Rev Requirements</t>
  </si>
  <si>
    <t>kW</t>
  </si>
  <si>
    <t>Annual</t>
  </si>
  <si>
    <t>Base Rate</t>
  </si>
  <si>
    <t>Fuel</t>
  </si>
  <si>
    <t>ECCR</t>
  </si>
  <si>
    <t>Capacity</t>
  </si>
  <si>
    <t>ECRC</t>
  </si>
  <si>
    <t xml:space="preserve">Energy </t>
  </si>
  <si>
    <t>Demand</t>
  </si>
  <si>
    <r>
      <t>(CO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)</t>
    </r>
  </si>
  <si>
    <t>ACCUM.</t>
  </si>
  <si>
    <t>BOOK</t>
  </si>
  <si>
    <t>Spending Curve</t>
  </si>
  <si>
    <t>CONSTR.</t>
  </si>
  <si>
    <t>VALUE</t>
  </si>
  <si>
    <t>EXPEND.</t>
  </si>
  <si>
    <t>NOT CLOSED</t>
  </si>
  <si>
    <t>Line Losses</t>
  </si>
  <si>
    <t>Summer</t>
  </si>
  <si>
    <t xml:space="preserve">Winter </t>
  </si>
  <si>
    <t>EUE</t>
  </si>
  <si>
    <t xml:space="preserve">Multiplier </t>
  </si>
  <si>
    <t>Carbon</t>
  </si>
  <si>
    <t>2010 Carbon, not used in 2015</t>
  </si>
  <si>
    <t>See Column N (K Factor Test)</t>
  </si>
  <si>
    <t>K FACTORS</t>
  </si>
  <si>
    <t>Fuel Values from Table 1 Provided by Resource Planning</t>
  </si>
  <si>
    <t>See Table1</t>
  </si>
  <si>
    <t>System average $/MWh</t>
  </si>
  <si>
    <t>Total marginal $/MWh</t>
  </si>
  <si>
    <t>Demand Charge</t>
  </si>
  <si>
    <t>1st year</t>
  </si>
  <si>
    <t>2nd year</t>
  </si>
  <si>
    <t>3rd year</t>
  </si>
  <si>
    <t>4th year</t>
  </si>
  <si>
    <t>5th year</t>
  </si>
  <si>
    <t>6th year</t>
  </si>
  <si>
    <t>7th year</t>
  </si>
  <si>
    <t>8th year</t>
  </si>
  <si>
    <t>Cummulative AFUDC</t>
  </si>
  <si>
    <t>Total AFUDC</t>
  </si>
  <si>
    <t>Cummulative Cap Ex</t>
  </si>
  <si>
    <t>Total Cap Ex</t>
  </si>
  <si>
    <t>Total</t>
  </si>
  <si>
    <t>Winter Capacity</t>
  </si>
  <si>
    <t>Summer Capacity</t>
  </si>
  <si>
    <t>Average Capacity</t>
  </si>
  <si>
    <t>Check</t>
  </si>
  <si>
    <t>Avoided Transmission Cost</t>
  </si>
  <si>
    <t>Avoided Distribution Cost</t>
  </si>
  <si>
    <t>Inflation Rate</t>
  </si>
  <si>
    <t>Transmission Fixed O&amp;M Costs</t>
  </si>
  <si>
    <t>Distribution Fixed O&amp;M Costs</t>
  </si>
  <si>
    <t>Energy</t>
  </si>
  <si>
    <t xml:space="preserve">Demand </t>
  </si>
  <si>
    <t>Spending for Avoided Unit Tab on replacement fuel (from Resource Planning)</t>
  </si>
  <si>
    <t>Feed F11B</t>
  </si>
  <si>
    <t>Change first year to base year</t>
  </si>
  <si>
    <t xml:space="preserve">Data Provided </t>
  </si>
  <si>
    <t>O&amp;M Escalation rate</t>
  </si>
  <si>
    <t>Commercial GSD Secondary kWh</t>
  </si>
  <si>
    <t>Commercial GSD Secondary kW</t>
  </si>
  <si>
    <t>See Table1 - column j</t>
  </si>
  <si>
    <t xml:space="preserve">(6)  BASE YEAR AVOIDED DISTRIBUTION COST  </t>
  </si>
  <si>
    <t>Base Year</t>
  </si>
  <si>
    <t>uses 7 by 5 for summer winter methodology</t>
  </si>
  <si>
    <t>7FA.05 CT</t>
  </si>
  <si>
    <t>Check formula if 7x5 changes</t>
  </si>
  <si>
    <t xml:space="preserve">Conversion to cents per kWh and copy and paste </t>
  </si>
  <si>
    <t>Replacement fuel average system $/MWh (Future Total $/MWh</t>
  </si>
  <si>
    <t>avoided unit comes online in 2020</t>
  </si>
  <si>
    <t>Three years construction for 2023 unit</t>
  </si>
  <si>
    <t>Year 1</t>
  </si>
  <si>
    <t>Year 2</t>
  </si>
  <si>
    <t>Year 3</t>
  </si>
  <si>
    <t>Year 4</t>
  </si>
  <si>
    <t>PLANT COSTS (2023$)</t>
  </si>
  <si>
    <t>LED Street Lights</t>
  </si>
</sst>
</file>

<file path=xl/styles.xml><?xml version="1.0" encoding="utf-8"?>
<styleSheet xmlns="http://schemas.openxmlformats.org/spreadsheetml/2006/main">
  <numFmts count="6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"/>
    <numFmt numFmtId="166" formatCode="0.000"/>
    <numFmt numFmtId="167" formatCode="m/d/yy\ h:mm\ AM/PM"/>
    <numFmt numFmtId="168" formatCode="m/d/yy\ h:mm"/>
    <numFmt numFmtId="169" formatCode="0.00000000"/>
    <numFmt numFmtId="170" formatCode="0.0000000"/>
    <numFmt numFmtId="171" formatCode="0.000000"/>
    <numFmt numFmtId="172" formatCode="0.00000"/>
    <numFmt numFmtId="173" formatCode="0.0000"/>
    <numFmt numFmtId="174" formatCode="mmmm\ d\,\ yyyy"/>
    <numFmt numFmtId="175" formatCode="0.0%"/>
    <numFmt numFmtId="176" formatCode="&quot;$&quot;#,##0.00"/>
    <numFmt numFmtId="177" formatCode="0.00000000000"/>
    <numFmt numFmtId="178" formatCode="#,##0.00000000000"/>
    <numFmt numFmtId="179" formatCode="0_);\(0\)"/>
    <numFmt numFmtId="180" formatCode="0.0000000000"/>
    <numFmt numFmtId="181" formatCode="0.000000000"/>
    <numFmt numFmtId="182" formatCode="#,##0.0000000000"/>
    <numFmt numFmtId="183" formatCode="#,##0.000000000"/>
    <numFmt numFmtId="184" formatCode="#,##0.00000000"/>
    <numFmt numFmtId="185" formatCode="#,##0.0000000"/>
    <numFmt numFmtId="186" formatCode="#,##0.000000"/>
    <numFmt numFmtId="187" formatCode="#,##0.00000"/>
    <numFmt numFmtId="188" formatCode="#,##0.0000"/>
    <numFmt numFmtId="189" formatCode="#,##0.000"/>
    <numFmt numFmtId="190" formatCode="#,##0.0"/>
    <numFmt numFmtId="191" formatCode="_(&quot;$&quot;* #,##0.0_);_(&quot;$&quot;* \(#,##0.0\);_(&quot;$&quot;* &quot;-&quot;??_);_(@_)"/>
    <numFmt numFmtId="192" formatCode="_(&quot;$&quot;* #,##0_);_(&quot;$&quot;* \(#,##0\);_(&quot;$&quot;* &quot;-&quot;??_);_(@_)"/>
    <numFmt numFmtId="193" formatCode="&quot;$&quot;#,##0"/>
    <numFmt numFmtId="194" formatCode="_(* #,##0.0_);_(* \(#,##0.0\);_(* &quot;-&quot;??_);_(@_)"/>
    <numFmt numFmtId="195" formatCode="_(* #,##0_);_(* \(#,##0\);_(* &quot;-&quot;??_);_(@_)"/>
    <numFmt numFmtId="196" formatCode="[$-409]h:mm:ss\ AM/PM"/>
    <numFmt numFmtId="197" formatCode="[$-409]dddd\,\ mmmm\ dd\,\ yyyy"/>
    <numFmt numFmtId="198" formatCode="_(* #,##0.000_);_(* \(#,##0.000\);_(* &quot;-&quot;??_);_(@_)"/>
    <numFmt numFmtId="199" formatCode="0.000000000000"/>
    <numFmt numFmtId="200" formatCode="0.0000000000000"/>
    <numFmt numFmtId="201" formatCode="0.00_);\(0.00\)"/>
    <numFmt numFmtId="202" formatCode="0.000_);\(0.000\)"/>
    <numFmt numFmtId="203" formatCode="#,##0.000_);\(#,##0.000\)"/>
    <numFmt numFmtId="204" formatCode="&quot;$&quot;#,##0.0000"/>
    <numFmt numFmtId="205" formatCode="#,##0.0_);\(#,##0.0\)"/>
    <numFmt numFmtId="206" formatCode="0.000%"/>
    <numFmt numFmtId="207" formatCode="0.0000_)"/>
    <numFmt numFmtId="208" formatCode="0_)"/>
    <numFmt numFmtId="209" formatCode="[$-409]mmmm\ d\,\ yyyy;@"/>
    <numFmt numFmtId="210" formatCode="_(* #,##0.000_);_(* \(#,##0.000\);_(* &quot;-&quot;???_);_(@_)"/>
    <numFmt numFmtId="211" formatCode="_(* #,##0.0000_);_(* \(#,##0.0000\);_(* &quot;-&quot;??_);_(@_)"/>
    <numFmt numFmtId="212" formatCode="_(* #,###.00_);_(* \(#,##0.0\);_(* &quot;-&quot;??_);_(@_)"/>
    <numFmt numFmtId="213" formatCode="_(* #,##0.0_);_(* \(#,##0.0\);_(* &quot;-&quot;?_);_(@_)"/>
    <numFmt numFmtId="214" formatCode="_(#,##0_);_(\(#,##0\);_(&quot;-&quot;??_);_(@_)"/>
    <numFmt numFmtId="215" formatCode="_(#,##0.0_);_(\(#,##0.0\);_(&quot;-&quot;_);_(@_)"/>
    <numFmt numFmtId="216" formatCode="_(#,##0.00_);_(\(#,##0.00\);_(&quot;-&quot;_);_(@_)"/>
    <numFmt numFmtId="217" formatCode="_(#,##0_);_(\(#,##0\);_(&quot;-&quot;_);_(@_)"/>
    <numFmt numFmtId="218" formatCode="_(* #,##0_);[Red]_(* \(#,##0\);_(* &quot;-&quot;_);_(@_)"/>
    <numFmt numFmtId="219" formatCode="hh:mm\ AM/PM"/>
    <numFmt numFmtId="220" formatCode="[$$-409]#,##0"/>
  </numFmts>
  <fonts count="4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sz val="12"/>
      <color indexed="8"/>
      <name val="SWISS"/>
      <family val="0"/>
    </font>
    <font>
      <sz val="14"/>
      <name val="Arial"/>
      <family val="2"/>
    </font>
    <font>
      <sz val="13"/>
      <name val="Arial"/>
      <family val="2"/>
    </font>
    <font>
      <b/>
      <sz val="1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vertAlign val="subscript"/>
      <sz val="10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7030A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/>
      <right style="thin">
        <color indexed="8"/>
      </right>
      <top/>
      <bottom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8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" fontId="3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33" borderId="0" xfId="0" applyFill="1" applyAlignment="1">
      <alignment/>
    </xf>
    <xf numFmtId="17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2" fontId="0" fillId="0" borderId="0" xfId="0" applyNumberFormat="1" applyAlignment="1">
      <alignment/>
    </xf>
    <xf numFmtId="173" fontId="0" fillId="0" borderId="0" xfId="0" applyNumberFormat="1" applyAlignment="1">
      <alignment/>
    </xf>
    <xf numFmtId="176" fontId="0" fillId="0" borderId="0" xfId="0" applyNumberForma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173" fontId="2" fillId="0" borderId="10" xfId="0" applyNumberFormat="1" applyFont="1" applyBorder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4" fillId="0" borderId="15" xfId="0" applyFont="1" applyBorder="1" applyAlignment="1">
      <alignment/>
    </xf>
    <xf numFmtId="37" fontId="0" fillId="0" borderId="0" xfId="0" applyNumberFormat="1" applyAlignment="1">
      <alignment/>
    </xf>
    <xf numFmtId="179" fontId="0" fillId="0" borderId="0" xfId="0" applyNumberFormat="1" applyAlignment="1">
      <alignment/>
    </xf>
    <xf numFmtId="0" fontId="6" fillId="0" borderId="0" xfId="0" applyFont="1" applyAlignment="1">
      <alignment/>
    </xf>
    <xf numFmtId="0" fontId="0" fillId="0" borderId="16" xfId="0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174" fontId="4" fillId="0" borderId="0" xfId="0" applyNumberFormat="1" applyFont="1" applyAlignment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right"/>
    </xf>
    <xf numFmtId="174" fontId="0" fillId="0" borderId="0" xfId="0" applyNumberFormat="1" applyAlignment="1">
      <alignment horizontal="left"/>
    </xf>
    <xf numFmtId="193" fontId="0" fillId="0" borderId="0" xfId="49" applyNumberFormat="1" applyFont="1" applyAlignment="1">
      <alignment/>
    </xf>
    <xf numFmtId="195" fontId="0" fillId="0" borderId="0" xfId="42" applyNumberFormat="1" applyFont="1" applyAlignment="1">
      <alignment/>
    </xf>
    <xf numFmtId="193" fontId="0" fillId="0" borderId="0" xfId="0" applyNumberFormat="1" applyAlignment="1">
      <alignment/>
    </xf>
    <xf numFmtId="0" fontId="1" fillId="0" borderId="0" xfId="0" applyFont="1" applyAlignment="1">
      <alignment horizontal="left"/>
    </xf>
    <xf numFmtId="0" fontId="0" fillId="34" borderId="0" xfId="0" applyFill="1" applyAlignment="1">
      <alignment/>
    </xf>
    <xf numFmtId="195" fontId="2" fillId="0" borderId="17" xfId="42" applyNumberFormat="1" applyFont="1" applyBorder="1" applyAlignment="1">
      <alignment/>
    </xf>
    <xf numFmtId="43" fontId="0" fillId="0" borderId="0" xfId="0" applyNumberFormat="1" applyFont="1" applyAlignment="1">
      <alignment/>
    </xf>
    <xf numFmtId="166" fontId="9" fillId="0" borderId="0" xfId="74" applyNumberFormat="1" applyFont="1">
      <alignment/>
      <protection/>
    </xf>
    <xf numFmtId="1" fontId="9" fillId="0" borderId="0" xfId="74" applyFont="1">
      <alignment/>
      <protection/>
    </xf>
    <xf numFmtId="166" fontId="0" fillId="0" borderId="16" xfId="0" applyNumberFormat="1" applyBorder="1" applyAlignment="1">
      <alignment/>
    </xf>
    <xf numFmtId="2" fontId="0" fillId="0" borderId="16" xfId="0" applyNumberFormat="1" applyBorder="1" applyAlignment="1">
      <alignment/>
    </xf>
    <xf numFmtId="10" fontId="0" fillId="0" borderId="0" xfId="77" applyNumberFormat="1" applyFont="1" applyAlignment="1">
      <alignment/>
    </xf>
    <xf numFmtId="3" fontId="0" fillId="33" borderId="0" xfId="0" applyNumberFormat="1" applyFill="1" applyAlignment="1">
      <alignment/>
    </xf>
    <xf numFmtId="176" fontId="0" fillId="33" borderId="0" xfId="0" applyNumberFormat="1" applyFill="1" applyAlignment="1">
      <alignment/>
    </xf>
    <xf numFmtId="43" fontId="0" fillId="0" borderId="0" xfId="42" applyFont="1" applyAlignment="1">
      <alignment/>
    </xf>
    <xf numFmtId="166" fontId="0" fillId="35" borderId="0" xfId="0" applyNumberFormat="1" applyFill="1" applyAlignment="1">
      <alignment/>
    </xf>
    <xf numFmtId="2" fontId="0" fillId="33" borderId="0" xfId="0" applyNumberFormat="1" applyFill="1" applyAlignment="1">
      <alignment/>
    </xf>
    <xf numFmtId="43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16" xfId="0" applyNumberFormat="1" applyBorder="1" applyAlignment="1">
      <alignment horizontal="center"/>
    </xf>
    <xf numFmtId="1" fontId="4" fillId="0" borderId="0" xfId="42" applyNumberFormat="1" applyFont="1" applyAlignment="1">
      <alignment/>
    </xf>
    <xf numFmtId="44" fontId="0" fillId="0" borderId="0" xfId="0" applyNumberFormat="1" applyAlignment="1">
      <alignment/>
    </xf>
    <xf numFmtId="0" fontId="0" fillId="36" borderId="0" xfId="0" applyFill="1" applyAlignment="1">
      <alignment horizontal="center"/>
    </xf>
    <xf numFmtId="0" fontId="0" fillId="36" borderId="16" xfId="0" applyFill="1" applyBorder="1" applyAlignment="1">
      <alignment horizontal="center"/>
    </xf>
    <xf numFmtId="166" fontId="0" fillId="36" borderId="0" xfId="0" applyNumberFormat="1" applyFill="1" applyAlignment="1">
      <alignment/>
    </xf>
    <xf numFmtId="0" fontId="0" fillId="36" borderId="0" xfId="0" applyFill="1" applyAlignment="1">
      <alignment/>
    </xf>
    <xf numFmtId="164" fontId="12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169" fontId="0" fillId="0" borderId="0" xfId="0" applyNumberFormat="1" applyAlignment="1">
      <alignment/>
    </xf>
    <xf numFmtId="169" fontId="0" fillId="37" borderId="0" xfId="0" applyNumberFormat="1" applyFill="1" applyAlignment="1">
      <alignment/>
    </xf>
    <xf numFmtId="43" fontId="1" fillId="0" borderId="0" xfId="42" applyFont="1" applyAlignment="1">
      <alignment/>
    </xf>
    <xf numFmtId="195" fontId="1" fillId="0" borderId="0" xfId="42" applyNumberFormat="1" applyFont="1" applyAlignment="1">
      <alignment/>
    </xf>
    <xf numFmtId="3" fontId="11" fillId="0" borderId="0" xfId="0" applyNumberFormat="1" applyFont="1" applyAlignment="1">
      <alignment/>
    </xf>
    <xf numFmtId="2" fontId="11" fillId="0" borderId="0" xfId="0" applyNumberFormat="1" applyFont="1" applyAlignment="1">
      <alignment/>
    </xf>
    <xf numFmtId="44" fontId="1" fillId="0" borderId="0" xfId="49" applyFont="1" applyAlignment="1">
      <alignment/>
    </xf>
    <xf numFmtId="3" fontId="4" fillId="0" borderId="0" xfId="42" applyNumberFormat="1" applyFont="1" applyAlignment="1">
      <alignment/>
    </xf>
    <xf numFmtId="4" fontId="4" fillId="0" borderId="0" xfId="42" applyNumberFormat="1" applyFont="1" applyAlignment="1">
      <alignment/>
    </xf>
    <xf numFmtId="189" fontId="4" fillId="0" borderId="0" xfId="42" applyNumberFormat="1" applyFont="1" applyAlignment="1">
      <alignment/>
    </xf>
    <xf numFmtId="38" fontId="1" fillId="0" borderId="0" xfId="49" applyNumberFormat="1" applyFont="1" applyAlignment="1">
      <alignment/>
    </xf>
    <xf numFmtId="39" fontId="4" fillId="0" borderId="0" xfId="0" applyNumberFormat="1" applyFont="1" applyAlignment="1">
      <alignment/>
    </xf>
    <xf numFmtId="2" fontId="2" fillId="0" borderId="18" xfId="0" applyNumberFormat="1" applyFont="1" applyBorder="1" applyAlignment="1">
      <alignment/>
    </xf>
    <xf numFmtId="2" fontId="2" fillId="0" borderId="19" xfId="0" applyNumberFormat="1" applyFont="1" applyBorder="1" applyAlignment="1">
      <alignment/>
    </xf>
    <xf numFmtId="37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203" fontId="0" fillId="0" borderId="0" xfId="0" applyNumberFormat="1" applyFont="1" applyAlignment="1">
      <alignment/>
    </xf>
    <xf numFmtId="203" fontId="0" fillId="0" borderId="0" xfId="0" applyNumberFormat="1" applyFont="1" applyAlignment="1">
      <alignment horizontal="right"/>
    </xf>
    <xf numFmtId="203" fontId="1" fillId="0" borderId="0" xfId="0" applyNumberFormat="1" applyFont="1" applyAlignment="1">
      <alignment/>
    </xf>
    <xf numFmtId="203" fontId="0" fillId="0" borderId="0" xfId="0" applyNumberFormat="1" applyAlignment="1">
      <alignment/>
    </xf>
    <xf numFmtId="39" fontId="0" fillId="0" borderId="0" xfId="0" applyNumberFormat="1" applyAlignment="1">
      <alignment/>
    </xf>
    <xf numFmtId="7" fontId="0" fillId="0" borderId="0" xfId="0" applyNumberFormat="1" applyAlignment="1">
      <alignment/>
    </xf>
    <xf numFmtId="39" fontId="1" fillId="36" borderId="10" xfId="0" applyNumberFormat="1" applyFont="1" applyFill="1" applyBorder="1" applyAlignment="1">
      <alignment/>
    </xf>
    <xf numFmtId="0" fontId="1" fillId="36" borderId="0" xfId="0" applyFont="1" applyFill="1" applyAlignment="1">
      <alignment horizontal="center"/>
    </xf>
    <xf numFmtId="0" fontId="1" fillId="36" borderId="0" xfId="0" applyFont="1" applyFill="1" applyAlignment="1">
      <alignment/>
    </xf>
    <xf numFmtId="175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0" xfId="0" applyBorder="1" applyAlignment="1">
      <alignment wrapText="1"/>
    </xf>
    <xf numFmtId="173" fontId="4" fillId="0" borderId="0" xfId="0" applyNumberFormat="1" applyFont="1" applyAlignment="1">
      <alignment/>
    </xf>
    <xf numFmtId="0" fontId="11" fillId="0" borderId="0" xfId="0" applyFont="1" applyAlignment="1">
      <alignment/>
    </xf>
    <xf numFmtId="202" fontId="1" fillId="36" borderId="0" xfId="0" applyNumberFormat="1" applyFont="1" applyFill="1" applyAlignment="1">
      <alignment/>
    </xf>
    <xf numFmtId="3" fontId="1" fillId="36" borderId="0" xfId="0" applyNumberFormat="1" applyFont="1" applyFill="1" applyAlignment="1">
      <alignment/>
    </xf>
    <xf numFmtId="0" fontId="1" fillId="36" borderId="10" xfId="0" applyFont="1" applyFill="1" applyBorder="1" applyAlignment="1">
      <alignment/>
    </xf>
    <xf numFmtId="9" fontId="1" fillId="36" borderId="10" xfId="77" applyFont="1" applyFill="1" applyBorder="1" applyAlignment="1">
      <alignment/>
    </xf>
    <xf numFmtId="193" fontId="1" fillId="36" borderId="10" xfId="0" applyNumberFormat="1" applyFont="1" applyFill="1" applyBorder="1" applyAlignment="1">
      <alignment/>
    </xf>
    <xf numFmtId="165" fontId="0" fillId="36" borderId="0" xfId="72" applyNumberFormat="1" applyFill="1">
      <alignment/>
      <protection/>
    </xf>
    <xf numFmtId="10" fontId="1" fillId="35" borderId="0" xfId="0" applyNumberFormat="1" applyFont="1" applyFill="1" applyAlignment="1">
      <alignment horizontal="center"/>
    </xf>
    <xf numFmtId="165" fontId="0" fillId="36" borderId="0" xfId="0" applyNumberFormat="1" applyFill="1" applyAlignment="1">
      <alignment/>
    </xf>
    <xf numFmtId="2" fontId="0" fillId="36" borderId="0" xfId="0" applyNumberFormat="1" applyFill="1" applyAlignment="1">
      <alignment/>
    </xf>
    <xf numFmtId="188" fontId="9" fillId="36" borderId="0" xfId="72" applyNumberFormat="1" applyFont="1" applyFill="1">
      <alignment/>
      <protection/>
    </xf>
    <xf numFmtId="9" fontId="0" fillId="0" borderId="0" xfId="77" applyFont="1" applyAlignment="1">
      <alignment/>
    </xf>
    <xf numFmtId="0" fontId="0" fillId="0" borderId="0" xfId="0" applyFont="1" applyAlignment="1">
      <alignment horizontal="center"/>
    </xf>
    <xf numFmtId="0" fontId="1" fillId="0" borderId="24" xfId="0" applyFont="1" applyBorder="1" applyAlignment="1">
      <alignment/>
    </xf>
    <xf numFmtId="2" fontId="0" fillId="0" borderId="24" xfId="0" applyNumberFormat="1" applyBorder="1" applyAlignment="1">
      <alignment/>
    </xf>
    <xf numFmtId="0" fontId="0" fillId="0" borderId="24" xfId="0" applyBorder="1" applyAlignment="1">
      <alignment/>
    </xf>
    <xf numFmtId="0" fontId="1" fillId="0" borderId="25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10" borderId="0" xfId="0" applyFont="1" applyFill="1" applyAlignment="1">
      <alignment/>
    </xf>
    <xf numFmtId="0" fontId="0" fillId="36" borderId="0" xfId="0" applyFill="1" applyAlignment="1">
      <alignment/>
    </xf>
    <xf numFmtId="2" fontId="0" fillId="36" borderId="24" xfId="0" applyNumberFormat="1" applyFill="1" applyBorder="1" applyAlignment="1">
      <alignment/>
    </xf>
    <xf numFmtId="0" fontId="0" fillId="36" borderId="24" xfId="0" applyFill="1" applyBorder="1" applyAlignment="1">
      <alignment/>
    </xf>
    <xf numFmtId="0" fontId="0" fillId="36" borderId="26" xfId="0" applyFill="1" applyBorder="1" applyAlignment="1">
      <alignment/>
    </xf>
    <xf numFmtId="10" fontId="1" fillId="36" borderId="0" xfId="0" applyNumberFormat="1" applyFont="1" applyFill="1" applyAlignment="1">
      <alignment/>
    </xf>
    <xf numFmtId="10" fontId="0" fillId="36" borderId="0" xfId="77" applyNumberFormat="1" applyFont="1" applyFill="1" applyAlignment="1">
      <alignment/>
    </xf>
    <xf numFmtId="216" fontId="13" fillId="36" borderId="27" xfId="0" applyNumberFormat="1" applyFont="1" applyFill="1" applyBorder="1" applyAlignment="1">
      <alignment horizontal="center"/>
    </xf>
    <xf numFmtId="216" fontId="13" fillId="36" borderId="28" xfId="0" applyNumberFormat="1" applyFont="1" applyFill="1" applyBorder="1" applyAlignment="1">
      <alignment horizontal="center"/>
    </xf>
    <xf numFmtId="2" fontId="0" fillId="36" borderId="0" xfId="77" applyNumberFormat="1" applyFont="1" applyFill="1" applyAlignment="1">
      <alignment/>
    </xf>
    <xf numFmtId="2" fontId="0" fillId="36" borderId="0" xfId="0" applyNumberFormat="1" applyFill="1" applyAlignment="1">
      <alignment horizontal="center"/>
    </xf>
    <xf numFmtId="2" fontId="0" fillId="36" borderId="0" xfId="77" applyNumberFormat="1" applyFont="1" applyFill="1" applyAlignment="1">
      <alignment horizontal="center"/>
    </xf>
    <xf numFmtId="2" fontId="4" fillId="0" borderId="0" xfId="77" applyNumberFormat="1" applyFont="1" applyAlignment="1">
      <alignment/>
    </xf>
    <xf numFmtId="4" fontId="4" fillId="0" borderId="0" xfId="0" applyNumberFormat="1" applyFont="1" applyAlignment="1">
      <alignment/>
    </xf>
    <xf numFmtId="9" fontId="0" fillId="0" borderId="15" xfId="0" applyNumberFormat="1" applyBorder="1" applyAlignment="1">
      <alignment/>
    </xf>
    <xf numFmtId="216" fontId="12" fillId="36" borderId="27" xfId="0" applyNumberFormat="1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38" borderId="0" xfId="0" applyFill="1" applyAlignment="1">
      <alignment/>
    </xf>
    <xf numFmtId="166" fontId="2" fillId="0" borderId="14" xfId="0" applyNumberFormat="1" applyFont="1" applyBorder="1" applyAlignment="1">
      <alignment/>
    </xf>
    <xf numFmtId="166" fontId="2" fillId="0" borderId="29" xfId="0" applyNumberFormat="1" applyFont="1" applyBorder="1" applyAlignment="1">
      <alignment/>
    </xf>
    <xf numFmtId="166" fontId="2" fillId="0" borderId="15" xfId="0" applyNumberFormat="1" applyFont="1" applyBorder="1" applyAlignment="1">
      <alignment/>
    </xf>
    <xf numFmtId="0" fontId="0" fillId="0" borderId="0" xfId="0" applyAlignment="1">
      <alignment horizontal="left"/>
    </xf>
    <xf numFmtId="175" fontId="0" fillId="0" borderId="0" xfId="0" applyNumberFormat="1" applyAlignment="1">
      <alignment horizontal="center"/>
    </xf>
    <xf numFmtId="175" fontId="0" fillId="0" borderId="0" xfId="77" applyNumberFormat="1" applyFont="1" applyAlignment="1">
      <alignment horizontal="center"/>
    </xf>
    <xf numFmtId="0" fontId="0" fillId="36" borderId="0" xfId="0" applyFont="1" applyFill="1" applyAlignment="1">
      <alignment/>
    </xf>
    <xf numFmtId="173" fontId="13" fillId="33" borderId="0" xfId="71" applyNumberFormat="1" applyFill="1">
      <alignment/>
      <protection/>
    </xf>
    <xf numFmtId="173" fontId="13" fillId="0" borderId="0" xfId="71" applyNumberFormat="1">
      <alignment/>
      <protection/>
    </xf>
    <xf numFmtId="0" fontId="0" fillId="39" borderId="10" xfId="0" applyFill="1" applyBorder="1" applyAlignment="1">
      <alignment/>
    </xf>
    <xf numFmtId="0" fontId="0" fillId="39" borderId="30" xfId="0" applyFill="1" applyBorder="1" applyAlignment="1">
      <alignment/>
    </xf>
    <xf numFmtId="0" fontId="0" fillId="39" borderId="31" xfId="0" applyFill="1" applyBorder="1" applyAlignment="1">
      <alignment/>
    </xf>
    <xf numFmtId="166" fontId="0" fillId="39" borderId="31" xfId="0" applyNumberFormat="1" applyFill="1" applyBorder="1" applyAlignment="1">
      <alignment/>
    </xf>
    <xf numFmtId="0" fontId="0" fillId="39" borderId="32" xfId="0" applyFill="1" applyBorder="1" applyAlignment="1">
      <alignment/>
    </xf>
    <xf numFmtId="0" fontId="13" fillId="0" borderId="0" xfId="0" applyFont="1" applyAlignment="1">
      <alignment/>
    </xf>
    <xf numFmtId="0" fontId="13" fillId="0" borderId="0" xfId="0" applyFont="1" applyAlignment="1">
      <alignment horizontal="center"/>
    </xf>
    <xf numFmtId="0" fontId="13" fillId="40" borderId="0" xfId="0" applyFont="1" applyFill="1" applyAlignment="1">
      <alignment/>
    </xf>
    <xf numFmtId="0" fontId="13" fillId="41" borderId="0" xfId="0" applyFont="1" applyFill="1" applyAlignment="1">
      <alignment/>
    </xf>
    <xf numFmtId="0" fontId="13" fillId="36" borderId="0" xfId="0" applyFont="1" applyFill="1" applyAlignment="1">
      <alignment/>
    </xf>
    <xf numFmtId="166" fontId="13" fillId="0" borderId="0" xfId="0" applyNumberFormat="1" applyFont="1" applyAlignment="1">
      <alignment/>
    </xf>
    <xf numFmtId="0" fontId="1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7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2 2" xfId="45"/>
    <cellStyle name="Comma 3" xfId="46"/>
    <cellStyle name="Comma 4" xfId="47"/>
    <cellStyle name="Comma 5" xfId="48"/>
    <cellStyle name="Currency" xfId="49"/>
    <cellStyle name="Currency [0]" xfId="50"/>
    <cellStyle name="Currency 2" xfId="51"/>
    <cellStyle name="Currency 3" xfId="52"/>
    <cellStyle name="Explanatory Text" xfId="53"/>
    <cellStyle name="Followed Hyperlink" xfId="54"/>
    <cellStyle name="Good" xfId="55"/>
    <cellStyle name="Heading 1" xfId="56"/>
    <cellStyle name="Heading 2" xfId="57"/>
    <cellStyle name="Heading 3" xfId="58"/>
    <cellStyle name="Heading 4" xfId="59"/>
    <cellStyle name="Hyperlink" xfId="60"/>
    <cellStyle name="Input" xfId="61"/>
    <cellStyle name="Linked Cell" xfId="62"/>
    <cellStyle name="Neutral" xfId="63"/>
    <cellStyle name="Normal 10 3" xfId="64"/>
    <cellStyle name="Normal 2" xfId="65"/>
    <cellStyle name="Normal 2 2" xfId="66"/>
    <cellStyle name="Normal 3" xfId="67"/>
    <cellStyle name="Normal 3 2" xfId="68"/>
    <cellStyle name="Normal 4" xfId="69"/>
    <cellStyle name="Normal 5" xfId="70"/>
    <cellStyle name="Normal 5 2" xfId="71"/>
    <cellStyle name="Normal 9" xfId="72"/>
    <cellStyle name="Normal 9 2" xfId="73"/>
    <cellStyle name="Normal_Sheet3(F_21)" xfId="74"/>
    <cellStyle name="Note" xfId="75"/>
    <cellStyle name="Output" xfId="76"/>
    <cellStyle name="Percent" xfId="77"/>
    <cellStyle name="Percent 2" xfId="78"/>
    <cellStyle name="Percent 2 2" xfId="79"/>
    <cellStyle name="Percent 3" xfId="80"/>
    <cellStyle name="Percent 4" xfId="81"/>
    <cellStyle name="Percent 5" xfId="82"/>
    <cellStyle name="Title" xfId="83"/>
    <cellStyle name="Total" xfId="84"/>
    <cellStyle name="Warning Text" xfId="8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.emf" /><Relationship Id="rId3" Type="http://schemas.openxmlformats.org/officeDocument/2006/relationships/image" Target="../media/image4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504825</xdr:colOff>
      <xdr:row>23</xdr:row>
      <xdr:rowOff>9525</xdr:rowOff>
    </xdr:from>
    <xdr:to>
      <xdr:col>9</xdr:col>
      <xdr:colOff>371475</xdr:colOff>
      <xdr:row>29</xdr:row>
      <xdr:rowOff>133350</xdr:rowOff>
    </xdr:to>
    <xdr:sp>
      <xdr:nvSpPr>
        <xdr:cNvPr id="1" name="Straight Arrow Connector 1"/>
        <xdr:cNvSpPr>
          <a:spLocks/>
        </xdr:cNvSpPr>
      </xdr:nvSpPr>
      <xdr:spPr>
        <a:xfrm flipH="1">
          <a:off x="6638925" y="3790950"/>
          <a:ext cx="476250" cy="10953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438150</xdr:colOff>
      <xdr:row>11</xdr:row>
      <xdr:rowOff>9525</xdr:rowOff>
    </xdr:from>
    <xdr:to>
      <xdr:col>9</xdr:col>
      <xdr:colOff>514350</xdr:colOff>
      <xdr:row>21</xdr:row>
      <xdr:rowOff>114300</xdr:rowOff>
    </xdr:to>
    <xdr:sp>
      <xdr:nvSpPr>
        <xdr:cNvPr id="2" name="Straight Arrow Connector 2"/>
        <xdr:cNvSpPr>
          <a:spLocks/>
        </xdr:cNvSpPr>
      </xdr:nvSpPr>
      <xdr:spPr>
        <a:xfrm flipV="1">
          <a:off x="7181850" y="1809750"/>
          <a:ext cx="76200" cy="176212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37</xdr:row>
      <xdr:rowOff>0</xdr:rowOff>
    </xdr:from>
    <xdr:to>
      <xdr:col>8</xdr:col>
      <xdr:colOff>371475</xdr:colOff>
      <xdr:row>40</xdr:row>
      <xdr:rowOff>123825</xdr:rowOff>
    </xdr:to>
    <xdr:sp>
      <xdr:nvSpPr>
        <xdr:cNvPr id="3" name="Straight Arrow Connector 3"/>
        <xdr:cNvSpPr>
          <a:spLocks/>
        </xdr:cNvSpPr>
      </xdr:nvSpPr>
      <xdr:spPr>
        <a:xfrm>
          <a:off x="6505575" y="6048375"/>
          <a:ext cx="0" cy="6096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371475</xdr:colOff>
      <xdr:row>11</xdr:row>
      <xdr:rowOff>38100</xdr:rowOff>
    </xdr:from>
    <xdr:to>
      <xdr:col>10</xdr:col>
      <xdr:colOff>304800</xdr:colOff>
      <xdr:row>35</xdr:row>
      <xdr:rowOff>142875</xdr:rowOff>
    </xdr:to>
    <xdr:sp>
      <xdr:nvSpPr>
        <xdr:cNvPr id="4" name="Straight Arrow Connector 4"/>
        <xdr:cNvSpPr>
          <a:spLocks/>
        </xdr:cNvSpPr>
      </xdr:nvSpPr>
      <xdr:spPr>
        <a:xfrm flipV="1">
          <a:off x="6505575" y="1838325"/>
          <a:ext cx="1352550" cy="4029075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200025</xdr:colOff>
      <xdr:row>18</xdr:row>
      <xdr:rowOff>28575</xdr:rowOff>
    </xdr:from>
    <xdr:to>
      <xdr:col>3</xdr:col>
      <xdr:colOff>609600</xdr:colOff>
      <xdr:row>20</xdr:row>
      <xdr:rowOff>104775</xdr:rowOff>
    </xdr:to>
    <xdr:sp>
      <xdr:nvSpPr>
        <xdr:cNvPr id="5" name="Straight Arrow Connector 5"/>
        <xdr:cNvSpPr>
          <a:spLocks/>
        </xdr:cNvSpPr>
      </xdr:nvSpPr>
      <xdr:spPr>
        <a:xfrm>
          <a:off x="2028825" y="3000375"/>
          <a:ext cx="409575" cy="4000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295275</xdr:colOff>
      <xdr:row>11</xdr:row>
      <xdr:rowOff>9525</xdr:rowOff>
    </xdr:from>
    <xdr:to>
      <xdr:col>11</xdr:col>
      <xdr:colOff>419100</xdr:colOff>
      <xdr:row>29</xdr:row>
      <xdr:rowOff>85725</xdr:rowOff>
    </xdr:to>
    <xdr:sp>
      <xdr:nvSpPr>
        <xdr:cNvPr id="6" name="Straight Arrow Connector 6"/>
        <xdr:cNvSpPr>
          <a:spLocks/>
        </xdr:cNvSpPr>
      </xdr:nvSpPr>
      <xdr:spPr>
        <a:xfrm flipH="1" flipV="1">
          <a:off x="8648700" y="1809750"/>
          <a:ext cx="123825" cy="302895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66675</xdr:colOff>
      <xdr:row>31</xdr:row>
      <xdr:rowOff>38100</xdr:rowOff>
    </xdr:from>
    <xdr:to>
      <xdr:col>11</xdr:col>
      <xdr:colOff>352425</xdr:colOff>
      <xdr:row>42</xdr:row>
      <xdr:rowOff>47625</xdr:rowOff>
    </xdr:to>
    <xdr:sp>
      <xdr:nvSpPr>
        <xdr:cNvPr id="7" name="Straight Arrow Connector 7"/>
        <xdr:cNvSpPr>
          <a:spLocks/>
        </xdr:cNvSpPr>
      </xdr:nvSpPr>
      <xdr:spPr>
        <a:xfrm flipH="1">
          <a:off x="6810375" y="5114925"/>
          <a:ext cx="1895475" cy="1790700"/>
        </a:xfrm>
        <a:prstGeom prst="straightConnector1">
          <a:avLst/>
        </a:prstGeom>
        <a:noFill/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1219200</xdr:colOff>
      <xdr:row>17</xdr:row>
      <xdr:rowOff>85725</xdr:rowOff>
    </xdr:from>
    <xdr:to>
      <xdr:col>5</xdr:col>
      <xdr:colOff>104775</xdr:colOff>
      <xdr:row>19</xdr:row>
      <xdr:rowOff>114300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115175" y="2952750"/>
          <a:ext cx="7524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0</xdr:colOff>
      <xdr:row>20</xdr:row>
      <xdr:rowOff>114300</xdr:rowOff>
    </xdr:from>
    <xdr:to>
      <xdr:col>5</xdr:col>
      <xdr:colOff>142875</xdr:colOff>
      <xdr:row>23</xdr:row>
      <xdr:rowOff>19050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153275" y="3467100"/>
          <a:ext cx="75247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1247775</xdr:colOff>
      <xdr:row>24</xdr:row>
      <xdr:rowOff>28575</xdr:rowOff>
    </xdr:from>
    <xdr:to>
      <xdr:col>5</xdr:col>
      <xdr:colOff>123825</xdr:colOff>
      <xdr:row>26</xdr:row>
      <xdr:rowOff>38100</xdr:rowOff>
    </xdr:to>
    <xdr:pic>
      <xdr:nvPicPr>
        <xdr:cNvPr id="3" name="CommandButton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43750" y="4029075"/>
          <a:ext cx="7429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</xdr:colOff>
      <xdr:row>27</xdr:row>
      <xdr:rowOff>0</xdr:rowOff>
    </xdr:from>
    <xdr:to>
      <xdr:col>5</xdr:col>
      <xdr:colOff>142875</xdr:colOff>
      <xdr:row>29</xdr:row>
      <xdr:rowOff>38100</xdr:rowOff>
    </xdr:to>
    <xdr:pic>
      <xdr:nvPicPr>
        <xdr:cNvPr id="4" name="CommandButton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181850" y="4486275"/>
          <a:ext cx="7239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228600</xdr:colOff>
      <xdr:row>15</xdr:row>
      <xdr:rowOff>66675</xdr:rowOff>
    </xdr:from>
    <xdr:to>
      <xdr:col>14</xdr:col>
      <xdr:colOff>152400</xdr:colOff>
      <xdr:row>45</xdr:row>
      <xdr:rowOff>114300</xdr:rowOff>
    </xdr:to>
    <xdr:sp>
      <xdr:nvSpPr>
        <xdr:cNvPr id="1" name="Right Brace 1"/>
        <xdr:cNvSpPr>
          <a:spLocks/>
        </xdr:cNvSpPr>
      </xdr:nvSpPr>
      <xdr:spPr>
        <a:xfrm>
          <a:off x="12030075" y="2495550"/>
          <a:ext cx="533400" cy="4905375"/>
        </a:xfrm>
        <a:prstGeom prst="rightBrac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45"/>
  <sheetViews>
    <sheetView zoomScale="63" zoomScaleNormal="63" zoomScalePageLayoutView="0" workbookViewId="0" topLeftCell="A1">
      <selection activeCell="Q7" sqref="Q7:Q36"/>
    </sheetView>
  </sheetViews>
  <sheetFormatPr defaultColWidth="9.140625" defaultRowHeight="12.75"/>
  <cols>
    <col min="1" max="1" width="12.57421875" style="148" customWidth="1"/>
    <col min="2" max="2" width="15.421875" style="148" customWidth="1"/>
    <col min="3" max="3" width="17.57421875" style="148" customWidth="1"/>
    <col min="4" max="4" width="17.8515625" style="148" customWidth="1"/>
    <col min="5" max="5" width="9.28125" style="148" bestFit="1" customWidth="1"/>
    <col min="6" max="9" width="9.140625" style="148" customWidth="1"/>
    <col min="10" max="10" width="10.8515625" style="148" bestFit="1" customWidth="1"/>
    <col min="11" max="11" width="12.140625" style="148" customWidth="1"/>
    <col min="12" max="12" width="11.421875" style="148" customWidth="1"/>
    <col min="13" max="13" width="1.1484375" style="148" customWidth="1"/>
    <col min="14" max="14" width="9.57421875" style="148" customWidth="1"/>
    <col min="15" max="15" width="12.00390625" style="148" bestFit="1" customWidth="1"/>
    <col min="16" max="16" width="1.1484375" style="148" customWidth="1"/>
    <col min="17" max="17" width="10.00390625" style="148" customWidth="1"/>
    <col min="18" max="18" width="10.421875" style="148" customWidth="1"/>
    <col min="19" max="16384" width="9.140625" style="148" customWidth="1"/>
  </cols>
  <sheetData>
    <row r="1" s="98" customFormat="1" ht="15" customHeight="1">
      <c r="A1" s="98" t="s">
        <v>416</v>
      </c>
    </row>
    <row r="2" spans="2:5" ht="15">
      <c r="B2" s="149"/>
      <c r="C2" s="149" t="s">
        <v>93</v>
      </c>
      <c r="D2" s="149" t="s">
        <v>95</v>
      </c>
      <c r="E2" s="150" t="s">
        <v>412</v>
      </c>
    </row>
    <row r="3" spans="2:5" ht="15">
      <c r="B3" s="149" t="s">
        <v>97</v>
      </c>
      <c r="C3" s="149" t="s">
        <v>24</v>
      </c>
      <c r="D3" s="149" t="s">
        <v>26</v>
      </c>
      <c r="E3" s="150"/>
    </row>
    <row r="4" spans="2:5" ht="15">
      <c r="B4" s="149" t="s">
        <v>99</v>
      </c>
      <c r="C4" s="149" t="s">
        <v>31</v>
      </c>
      <c r="D4" s="149" t="s">
        <v>100</v>
      </c>
      <c r="E4" s="150"/>
    </row>
    <row r="5" spans="2:17" ht="15">
      <c r="B5" s="149" t="s">
        <v>101</v>
      </c>
      <c r="C5" s="149" t="s">
        <v>26</v>
      </c>
      <c r="D5" s="149" t="s">
        <v>102</v>
      </c>
      <c r="E5" s="150"/>
      <c r="K5" s="148" t="s">
        <v>418</v>
      </c>
      <c r="M5" s="151"/>
      <c r="N5" s="148" t="s">
        <v>419</v>
      </c>
      <c r="P5" s="151"/>
      <c r="Q5" s="148" t="s">
        <v>459</v>
      </c>
    </row>
    <row r="6" spans="2:18" ht="48" customHeight="1">
      <c r="B6" s="149" t="s">
        <v>38</v>
      </c>
      <c r="C6" s="149" t="s">
        <v>38</v>
      </c>
      <c r="D6" s="149" t="s">
        <v>38</v>
      </c>
      <c r="E6" s="150" t="s">
        <v>38</v>
      </c>
      <c r="K6" s="154" t="s">
        <v>458</v>
      </c>
      <c r="L6" s="154"/>
      <c r="M6" s="151"/>
      <c r="N6" s="154" t="s">
        <v>458</v>
      </c>
      <c r="O6" s="154"/>
      <c r="P6" s="151"/>
      <c r="Q6" s="154" t="s">
        <v>458</v>
      </c>
      <c r="R6" s="154"/>
    </row>
    <row r="7" spans="1:18" ht="15">
      <c r="A7" s="152">
        <v>2020</v>
      </c>
      <c r="B7" s="153">
        <f>L7</f>
        <v>2.4346125415616804</v>
      </c>
      <c r="C7" s="153">
        <f>O7</f>
        <v>2.9007096235579843</v>
      </c>
      <c r="D7" s="153">
        <f>R7</f>
        <v>2.878920847571778</v>
      </c>
      <c r="E7" s="150">
        <v>0</v>
      </c>
      <c r="G7" s="152" t="s">
        <v>447</v>
      </c>
      <c r="H7" s="152"/>
      <c r="I7" s="152"/>
      <c r="J7" s="148">
        <f>A7</f>
        <v>2020</v>
      </c>
      <c r="K7" s="123">
        <v>24.3461254156168</v>
      </c>
      <c r="L7" s="153">
        <f aca="true" t="shared" si="0" ref="L7:L36">K7*100/1000</f>
        <v>2.4346125415616804</v>
      </c>
      <c r="M7" s="151"/>
      <c r="N7" s="131">
        <v>29.00709623557984</v>
      </c>
      <c r="O7" s="153">
        <f aca="true" t="shared" si="1" ref="O7:O36">N7*100/1000</f>
        <v>2.9007096235579843</v>
      </c>
      <c r="P7" s="151"/>
      <c r="Q7" s="124">
        <v>28.78920847571778</v>
      </c>
      <c r="R7" s="153">
        <f aca="true" t="shared" si="2" ref="R7:R36">Q7*100/1000</f>
        <v>2.878920847571778</v>
      </c>
    </row>
    <row r="8" spans="1:18" ht="15">
      <c r="A8" s="148">
        <f>+A7+1</f>
        <v>2021</v>
      </c>
      <c r="B8" s="153">
        <f aca="true" t="shared" si="3" ref="B8:B36">L8</f>
        <v>2.5504842341169973</v>
      </c>
      <c r="C8" s="153">
        <f aca="true" t="shared" si="4" ref="C8:C36">O8</f>
        <v>2.877115677321157</v>
      </c>
      <c r="D8" s="153">
        <f aca="true" t="shared" si="5" ref="D8:D36">R8</f>
        <v>3.037777795649506</v>
      </c>
      <c r="E8" s="150">
        <v>0</v>
      </c>
      <c r="K8" s="123">
        <v>25.504842341169972</v>
      </c>
      <c r="L8" s="153">
        <f t="shared" si="0"/>
        <v>2.5504842341169973</v>
      </c>
      <c r="M8" s="151"/>
      <c r="N8" s="131">
        <v>28.77115677321157</v>
      </c>
      <c r="O8" s="153">
        <f t="shared" si="1"/>
        <v>2.877115677321157</v>
      </c>
      <c r="P8" s="151"/>
      <c r="Q8" s="124">
        <v>30.377777956495063</v>
      </c>
      <c r="R8" s="153">
        <f t="shared" si="2"/>
        <v>3.037777795649506</v>
      </c>
    </row>
    <row r="9" spans="1:18" ht="15">
      <c r="A9" s="148">
        <f aca="true" t="shared" si="6" ref="A9:A45">+A8+1</f>
        <v>2022</v>
      </c>
      <c r="B9" s="153">
        <f t="shared" si="3"/>
        <v>2.644432310672106</v>
      </c>
      <c r="C9" s="153">
        <f t="shared" si="4"/>
        <v>2.9693759512937596</v>
      </c>
      <c r="D9" s="153">
        <f t="shared" si="5"/>
        <v>3.156234230110476</v>
      </c>
      <c r="E9" s="150">
        <v>0</v>
      </c>
      <c r="K9" s="123">
        <v>26.444323106721058</v>
      </c>
      <c r="L9" s="153">
        <f t="shared" si="0"/>
        <v>2.644432310672106</v>
      </c>
      <c r="M9" s="151"/>
      <c r="N9" s="131">
        <v>29.693759512937593</v>
      </c>
      <c r="O9" s="153">
        <f t="shared" si="1"/>
        <v>2.9693759512937596</v>
      </c>
      <c r="P9" s="151"/>
      <c r="Q9" s="124">
        <v>31.56234230110476</v>
      </c>
      <c r="R9" s="153">
        <f t="shared" si="2"/>
        <v>3.156234230110476</v>
      </c>
    </row>
    <row r="10" spans="1:18" ht="15">
      <c r="A10" s="148">
        <f t="shared" si="6"/>
        <v>2023</v>
      </c>
      <c r="B10" s="153">
        <f t="shared" si="3"/>
        <v>2.622754871717878</v>
      </c>
      <c r="C10" s="153">
        <f t="shared" si="4"/>
        <v>3.0911910197869106</v>
      </c>
      <c r="D10" s="153">
        <f t="shared" si="5"/>
        <v>3.1726275779238713</v>
      </c>
      <c r="E10" s="150">
        <v>0</v>
      </c>
      <c r="K10" s="123">
        <v>26.227548717178777</v>
      </c>
      <c r="L10" s="153">
        <f t="shared" si="0"/>
        <v>2.622754871717878</v>
      </c>
      <c r="M10" s="151"/>
      <c r="N10" s="131">
        <v>30.911910197869105</v>
      </c>
      <c r="O10" s="153">
        <f t="shared" si="1"/>
        <v>3.0911910197869106</v>
      </c>
      <c r="P10" s="151"/>
      <c r="Q10" s="124">
        <v>31.726275779238712</v>
      </c>
      <c r="R10" s="153">
        <f t="shared" si="2"/>
        <v>3.1726275779238713</v>
      </c>
    </row>
    <row r="11" spans="1:18" ht="15">
      <c r="A11" s="148">
        <f t="shared" si="6"/>
        <v>2024</v>
      </c>
      <c r="B11" s="153">
        <f t="shared" si="3"/>
        <v>2.7715168291961763</v>
      </c>
      <c r="C11" s="153">
        <f t="shared" si="4"/>
        <v>3.212663175470553</v>
      </c>
      <c r="D11" s="153">
        <f t="shared" si="5"/>
        <v>3.31455317769606</v>
      </c>
      <c r="E11" s="150">
        <v>0</v>
      </c>
      <c r="K11" s="123">
        <v>27.715168291961763</v>
      </c>
      <c r="L11" s="153">
        <f t="shared" si="0"/>
        <v>2.7715168291961763</v>
      </c>
      <c r="M11" s="151"/>
      <c r="N11" s="131">
        <v>32.12663175470553</v>
      </c>
      <c r="O11" s="153">
        <f t="shared" si="1"/>
        <v>3.212663175470553</v>
      </c>
      <c r="P11" s="151"/>
      <c r="Q11" s="124">
        <v>33.1455317769606</v>
      </c>
      <c r="R11" s="153">
        <f t="shared" si="2"/>
        <v>3.31455317769606</v>
      </c>
    </row>
    <row r="12" spans="1:18" ht="15">
      <c r="A12" s="148">
        <f t="shared" si="6"/>
        <v>2025</v>
      </c>
      <c r="B12" s="153">
        <f t="shared" si="3"/>
        <v>2.930598228294713</v>
      </c>
      <c r="C12" s="153">
        <f t="shared" si="4"/>
        <v>3.44943302891933</v>
      </c>
      <c r="D12" s="153">
        <f t="shared" si="5"/>
        <v>3.4459033295335075</v>
      </c>
      <c r="E12" s="150">
        <v>0</v>
      </c>
      <c r="K12" s="123">
        <v>29.30598228294713</v>
      </c>
      <c r="L12" s="153">
        <f t="shared" si="0"/>
        <v>2.930598228294713</v>
      </c>
      <c r="M12" s="151"/>
      <c r="N12" s="131">
        <v>34.4943302891933</v>
      </c>
      <c r="O12" s="153">
        <f t="shared" si="1"/>
        <v>3.44943302891933</v>
      </c>
      <c r="P12" s="151"/>
      <c r="Q12" s="124">
        <v>34.459033295335075</v>
      </c>
      <c r="R12" s="153">
        <f t="shared" si="2"/>
        <v>3.4459033295335075</v>
      </c>
    </row>
    <row r="13" spans="1:18" ht="15">
      <c r="A13" s="148">
        <f t="shared" si="6"/>
        <v>2026</v>
      </c>
      <c r="B13" s="153">
        <f t="shared" si="3"/>
        <v>3.0631027844213077</v>
      </c>
      <c r="C13" s="153">
        <f t="shared" si="4"/>
        <v>3.5600722983257227</v>
      </c>
      <c r="D13" s="153">
        <f t="shared" si="5"/>
        <v>3.5575518290932058</v>
      </c>
      <c r="E13" s="150">
        <v>0</v>
      </c>
      <c r="K13" s="123">
        <v>30.631027844213076</v>
      </c>
      <c r="L13" s="153">
        <f t="shared" si="0"/>
        <v>3.0631027844213077</v>
      </c>
      <c r="M13" s="151"/>
      <c r="N13" s="131">
        <v>35.60072298325723</v>
      </c>
      <c r="O13" s="153">
        <f t="shared" si="1"/>
        <v>3.5600722983257227</v>
      </c>
      <c r="P13" s="151"/>
      <c r="Q13" s="124">
        <v>35.57551829093206</v>
      </c>
      <c r="R13" s="153">
        <f t="shared" si="2"/>
        <v>3.5575518290932058</v>
      </c>
    </row>
    <row r="14" spans="1:18" ht="15">
      <c r="A14" s="148">
        <f t="shared" si="6"/>
        <v>2027</v>
      </c>
      <c r="B14" s="153">
        <f t="shared" si="3"/>
        <v>3.243461241226195</v>
      </c>
      <c r="C14" s="153">
        <f t="shared" si="4"/>
        <v>3.7825608828006088</v>
      </c>
      <c r="D14" s="153">
        <f t="shared" si="5"/>
        <v>3.716786671076347</v>
      </c>
      <c r="E14" s="150">
        <v>0</v>
      </c>
      <c r="K14" s="123">
        <v>32.43461241226195</v>
      </c>
      <c r="L14" s="153">
        <f t="shared" si="0"/>
        <v>3.243461241226195</v>
      </c>
      <c r="M14" s="151"/>
      <c r="N14" s="131">
        <v>37.82560882800609</v>
      </c>
      <c r="O14" s="153">
        <f t="shared" si="1"/>
        <v>3.7825608828006088</v>
      </c>
      <c r="P14" s="151"/>
      <c r="Q14" s="124">
        <v>37.16786671076347</v>
      </c>
      <c r="R14" s="153">
        <f t="shared" si="2"/>
        <v>3.716786671076347</v>
      </c>
    </row>
    <row r="15" spans="1:18" ht="15">
      <c r="A15" s="148">
        <f t="shared" si="6"/>
        <v>2028</v>
      </c>
      <c r="B15" s="153">
        <f t="shared" si="3"/>
        <v>3.550601164924807</v>
      </c>
      <c r="C15" s="153">
        <f t="shared" si="4"/>
        <v>4.191514875531269</v>
      </c>
      <c r="D15" s="153">
        <f t="shared" si="5"/>
        <v>4.000245139678956</v>
      </c>
      <c r="E15" s="150">
        <v>0</v>
      </c>
      <c r="K15" s="123">
        <v>35.50601164924807</v>
      </c>
      <c r="L15" s="153">
        <f t="shared" si="0"/>
        <v>3.550601164924807</v>
      </c>
      <c r="M15" s="151"/>
      <c r="N15" s="131">
        <v>41.915148755312686</v>
      </c>
      <c r="O15" s="153">
        <f t="shared" si="1"/>
        <v>4.191514875531269</v>
      </c>
      <c r="P15" s="151"/>
      <c r="Q15" s="124">
        <v>40.00245139678956</v>
      </c>
      <c r="R15" s="153">
        <f t="shared" si="2"/>
        <v>4.000245139678956</v>
      </c>
    </row>
    <row r="16" spans="1:18" ht="15">
      <c r="A16" s="148">
        <f t="shared" si="6"/>
        <v>2029</v>
      </c>
      <c r="B16" s="153">
        <f t="shared" si="3"/>
        <v>3.7314962992555465</v>
      </c>
      <c r="C16" s="153">
        <f t="shared" si="4"/>
        <v>4.490639269406392</v>
      </c>
      <c r="D16" s="153">
        <f t="shared" si="5"/>
        <v>4.175798511985919</v>
      </c>
      <c r="E16" s="150">
        <v>0</v>
      </c>
      <c r="K16" s="123">
        <v>37.314962992555465</v>
      </c>
      <c r="L16" s="153">
        <f t="shared" si="0"/>
        <v>3.7314962992555465</v>
      </c>
      <c r="M16" s="151"/>
      <c r="N16" s="131">
        <v>44.906392694063925</v>
      </c>
      <c r="O16" s="153">
        <f t="shared" si="1"/>
        <v>4.490639269406392</v>
      </c>
      <c r="P16" s="151"/>
      <c r="Q16" s="124">
        <v>41.757985119859185</v>
      </c>
      <c r="R16" s="153">
        <f t="shared" si="2"/>
        <v>4.175798511985919</v>
      </c>
    </row>
    <row r="17" spans="1:18" ht="15">
      <c r="A17" s="148">
        <f t="shared" si="6"/>
        <v>2030</v>
      </c>
      <c r="B17" s="153">
        <f t="shared" si="3"/>
        <v>4.0656592081591345</v>
      </c>
      <c r="C17" s="153">
        <f t="shared" si="4"/>
        <v>5.015795281582955</v>
      </c>
      <c r="D17" s="153">
        <f t="shared" si="5"/>
        <v>4.486281269102866</v>
      </c>
      <c r="E17" s="150">
        <v>0</v>
      </c>
      <c r="K17" s="123">
        <v>40.65659208159134</v>
      </c>
      <c r="L17" s="153">
        <f t="shared" si="0"/>
        <v>4.0656592081591345</v>
      </c>
      <c r="M17" s="151"/>
      <c r="N17" s="131">
        <v>50.15795281582955</v>
      </c>
      <c r="O17" s="153">
        <f t="shared" si="1"/>
        <v>5.015795281582955</v>
      </c>
      <c r="P17" s="151"/>
      <c r="Q17" s="124">
        <v>44.86281269102866</v>
      </c>
      <c r="R17" s="153">
        <f t="shared" si="2"/>
        <v>4.486281269102866</v>
      </c>
    </row>
    <row r="18" spans="1:18" ht="15">
      <c r="A18" s="148">
        <f t="shared" si="6"/>
        <v>2031</v>
      </c>
      <c r="B18" s="153">
        <f t="shared" si="3"/>
        <v>4.205810946168665</v>
      </c>
      <c r="C18" s="153">
        <f t="shared" si="4"/>
        <v>4.997142313546424</v>
      </c>
      <c r="D18" s="153">
        <f t="shared" si="5"/>
        <v>4.597841879721795</v>
      </c>
      <c r="E18" s="150">
        <v>0</v>
      </c>
      <c r="K18" s="123">
        <v>42.05810946168665</v>
      </c>
      <c r="L18" s="153">
        <f t="shared" si="0"/>
        <v>4.205810946168665</v>
      </c>
      <c r="M18" s="151"/>
      <c r="N18" s="131">
        <v>49.971423135464235</v>
      </c>
      <c r="O18" s="153">
        <f t="shared" si="1"/>
        <v>4.997142313546424</v>
      </c>
      <c r="P18" s="151"/>
      <c r="Q18" s="124">
        <v>45.97841879721795</v>
      </c>
      <c r="R18" s="153">
        <f t="shared" si="2"/>
        <v>4.597841879721795</v>
      </c>
    </row>
    <row r="19" spans="1:18" ht="15">
      <c r="A19" s="148">
        <f t="shared" si="6"/>
        <v>2032</v>
      </c>
      <c r="B19" s="153">
        <f t="shared" si="3"/>
        <v>4.5058999642058986</v>
      </c>
      <c r="C19" s="153">
        <f t="shared" si="4"/>
        <v>5.461414693381903</v>
      </c>
      <c r="D19" s="153">
        <f t="shared" si="5"/>
        <v>4.873757963953245</v>
      </c>
      <c r="E19" s="150">
        <v>0</v>
      </c>
      <c r="K19" s="123">
        <v>45.058999642058986</v>
      </c>
      <c r="L19" s="153">
        <f t="shared" si="0"/>
        <v>4.5058999642058986</v>
      </c>
      <c r="M19" s="151"/>
      <c r="N19" s="131">
        <v>54.614146933819036</v>
      </c>
      <c r="O19" s="153">
        <f t="shared" si="1"/>
        <v>5.461414693381903</v>
      </c>
      <c r="P19" s="151"/>
      <c r="Q19" s="124">
        <v>48.73757963953245</v>
      </c>
      <c r="R19" s="153">
        <f t="shared" si="2"/>
        <v>4.873757963953245</v>
      </c>
    </row>
    <row r="20" spans="1:18" ht="15">
      <c r="A20" s="148">
        <f t="shared" si="6"/>
        <v>2033</v>
      </c>
      <c r="B20" s="153">
        <f t="shared" si="3"/>
        <v>4.600412945356765</v>
      </c>
      <c r="C20" s="153">
        <f t="shared" si="4"/>
        <v>5.8241019786910195</v>
      </c>
      <c r="D20" s="153">
        <f t="shared" si="5"/>
        <v>4.984915998097977</v>
      </c>
      <c r="E20" s="150">
        <v>0</v>
      </c>
      <c r="K20" s="123">
        <v>46.00412945356765</v>
      </c>
      <c r="L20" s="153">
        <f t="shared" si="0"/>
        <v>4.600412945356765</v>
      </c>
      <c r="M20" s="151"/>
      <c r="N20" s="131">
        <v>58.24101978691019</v>
      </c>
      <c r="O20" s="153">
        <f t="shared" si="1"/>
        <v>5.8241019786910195</v>
      </c>
      <c r="P20" s="151"/>
      <c r="Q20" s="124">
        <v>49.84915998097977</v>
      </c>
      <c r="R20" s="153">
        <f t="shared" si="2"/>
        <v>4.984915998097977</v>
      </c>
    </row>
    <row r="21" spans="1:18" ht="15">
      <c r="A21" s="148">
        <f t="shared" si="6"/>
        <v>2034</v>
      </c>
      <c r="B21" s="153">
        <f t="shared" si="3"/>
        <v>4.904246138242304</v>
      </c>
      <c r="C21" s="153">
        <f t="shared" si="4"/>
        <v>6.095285388127853</v>
      </c>
      <c r="D21" s="153">
        <f t="shared" si="5"/>
        <v>5.306578161570519</v>
      </c>
      <c r="E21" s="150">
        <v>0</v>
      </c>
      <c r="K21" s="123">
        <v>49.04246138242304</v>
      </c>
      <c r="L21" s="153">
        <f t="shared" si="0"/>
        <v>4.904246138242304</v>
      </c>
      <c r="M21" s="151"/>
      <c r="N21" s="131">
        <v>60.952853881278536</v>
      </c>
      <c r="O21" s="153">
        <f t="shared" si="1"/>
        <v>6.095285388127853</v>
      </c>
      <c r="P21" s="151"/>
      <c r="Q21" s="124">
        <v>53.06578161570519</v>
      </c>
      <c r="R21" s="153">
        <f t="shared" si="2"/>
        <v>5.306578161570519</v>
      </c>
    </row>
    <row r="22" spans="1:18" ht="15">
      <c r="A22" s="148">
        <f t="shared" si="6"/>
        <v>2035</v>
      </c>
      <c r="B22" s="153">
        <f t="shared" si="3"/>
        <v>5.112907004977054</v>
      </c>
      <c r="C22" s="153">
        <f t="shared" si="4"/>
        <v>6.713025114155245</v>
      </c>
      <c r="D22" s="153">
        <f t="shared" si="5"/>
        <v>5.5100494593143035</v>
      </c>
      <c r="E22" s="150">
        <v>0</v>
      </c>
      <c r="K22" s="123">
        <v>51.12907004977054</v>
      </c>
      <c r="L22" s="153">
        <f t="shared" si="0"/>
        <v>5.112907004977054</v>
      </c>
      <c r="M22" s="151"/>
      <c r="N22" s="131">
        <v>67.13025114155245</v>
      </c>
      <c r="O22" s="153">
        <f t="shared" si="1"/>
        <v>6.713025114155245</v>
      </c>
      <c r="P22" s="151"/>
      <c r="Q22" s="124">
        <v>55.10049459314303</v>
      </c>
      <c r="R22" s="153">
        <f t="shared" si="2"/>
        <v>5.5100494593143035</v>
      </c>
    </row>
    <row r="23" spans="1:18" ht="15">
      <c r="A23" s="148">
        <f t="shared" si="6"/>
        <v>2036</v>
      </c>
      <c r="B23" s="153">
        <f t="shared" si="3"/>
        <v>5.284774499790177</v>
      </c>
      <c r="C23" s="153">
        <f t="shared" si="4"/>
        <v>6.630472070431098</v>
      </c>
      <c r="D23" s="153">
        <f t="shared" si="5"/>
        <v>5.621141176298189</v>
      </c>
      <c r="E23" s="150">
        <v>0</v>
      </c>
      <c r="K23" s="123">
        <v>52.84774499790177</v>
      </c>
      <c r="L23" s="153">
        <f t="shared" si="0"/>
        <v>5.284774499790177</v>
      </c>
      <c r="M23" s="151"/>
      <c r="N23" s="131">
        <v>66.30472070431098</v>
      </c>
      <c r="O23" s="153">
        <f t="shared" si="1"/>
        <v>6.630472070431098</v>
      </c>
      <c r="P23" s="151"/>
      <c r="Q23" s="124">
        <v>56.21141176298189</v>
      </c>
      <c r="R23" s="153">
        <f t="shared" si="2"/>
        <v>5.621141176298189</v>
      </c>
    </row>
    <row r="24" spans="1:18" ht="15">
      <c r="A24" s="148">
        <f t="shared" si="6"/>
        <v>2037</v>
      </c>
      <c r="B24" s="153">
        <f t="shared" si="3"/>
        <v>5.5807770564484205</v>
      </c>
      <c r="C24" s="153">
        <f t="shared" si="4"/>
        <v>7.076799847792998</v>
      </c>
      <c r="D24" s="153">
        <f t="shared" si="5"/>
        <v>5.925802405175698</v>
      </c>
      <c r="E24" s="150">
        <v>0</v>
      </c>
      <c r="K24" s="123">
        <v>55.80777056448421</v>
      </c>
      <c r="L24" s="153">
        <f t="shared" si="0"/>
        <v>5.5807770564484205</v>
      </c>
      <c r="M24" s="151"/>
      <c r="N24" s="131">
        <v>70.76799847792998</v>
      </c>
      <c r="O24" s="153">
        <f t="shared" si="1"/>
        <v>7.076799847792998</v>
      </c>
      <c r="P24" s="151"/>
      <c r="Q24" s="124">
        <v>59.25802405175698</v>
      </c>
      <c r="R24" s="153">
        <f t="shared" si="2"/>
        <v>5.925802405175698</v>
      </c>
    </row>
    <row r="25" spans="1:18" ht="15">
      <c r="A25" s="148">
        <f t="shared" si="6"/>
        <v>2038</v>
      </c>
      <c r="B25" s="153">
        <f t="shared" si="3"/>
        <v>5.71220131492689</v>
      </c>
      <c r="C25" s="153">
        <f t="shared" si="4"/>
        <v>7.103603500761035</v>
      </c>
      <c r="D25" s="153">
        <f t="shared" si="5"/>
        <v>6.048558103175024</v>
      </c>
      <c r="E25" s="150">
        <v>0</v>
      </c>
      <c r="K25" s="123">
        <v>57.1220131492689</v>
      </c>
      <c r="L25" s="153">
        <f t="shared" si="0"/>
        <v>5.71220131492689</v>
      </c>
      <c r="M25" s="151"/>
      <c r="N25" s="131">
        <v>71.03603500761035</v>
      </c>
      <c r="O25" s="153">
        <f t="shared" si="1"/>
        <v>7.103603500761035</v>
      </c>
      <c r="P25" s="151"/>
      <c r="Q25" s="124">
        <v>60.48558103175024</v>
      </c>
      <c r="R25" s="153">
        <f t="shared" si="2"/>
        <v>6.048558103175024</v>
      </c>
    </row>
    <row r="26" spans="1:18" ht="15">
      <c r="A26" s="148">
        <f t="shared" si="6"/>
        <v>2039</v>
      </c>
      <c r="B26" s="153">
        <f t="shared" si="3"/>
        <v>5.9311440074959005</v>
      </c>
      <c r="C26" s="153">
        <f t="shared" si="4"/>
        <v>7.110955098934546</v>
      </c>
      <c r="D26" s="153">
        <f t="shared" si="5"/>
        <v>6.299994849598368</v>
      </c>
      <c r="E26" s="150">
        <v>0</v>
      </c>
      <c r="K26" s="123">
        <v>59.31144007495901</v>
      </c>
      <c r="L26" s="153">
        <f t="shared" si="0"/>
        <v>5.9311440074959005</v>
      </c>
      <c r="M26" s="151"/>
      <c r="N26" s="131">
        <v>71.10955098934545</v>
      </c>
      <c r="O26" s="153">
        <f t="shared" si="1"/>
        <v>7.110955098934546</v>
      </c>
      <c r="P26" s="151"/>
      <c r="Q26" s="124">
        <v>62.99994849598368</v>
      </c>
      <c r="R26" s="153">
        <f t="shared" si="2"/>
        <v>6.299994849598368</v>
      </c>
    </row>
    <row r="27" spans="1:18" ht="15">
      <c r="A27" s="148">
        <f t="shared" si="6"/>
        <v>2040</v>
      </c>
      <c r="B27" s="153">
        <f t="shared" si="3"/>
        <v>5.999355829046514</v>
      </c>
      <c r="C27" s="153">
        <f t="shared" si="4"/>
        <v>7.651719034608379</v>
      </c>
      <c r="D27" s="153">
        <f t="shared" si="5"/>
        <v>6.292793819811034</v>
      </c>
      <c r="E27" s="150">
        <v>0</v>
      </c>
      <c r="K27" s="123">
        <v>59.99355829046513</v>
      </c>
      <c r="L27" s="153">
        <f t="shared" si="0"/>
        <v>5.999355829046514</v>
      </c>
      <c r="M27" s="151"/>
      <c r="N27" s="131">
        <v>76.5171903460838</v>
      </c>
      <c r="O27" s="153">
        <f t="shared" si="1"/>
        <v>7.651719034608379</v>
      </c>
      <c r="P27" s="151"/>
      <c r="Q27" s="124">
        <v>62.92793819811034</v>
      </c>
      <c r="R27" s="153">
        <f t="shared" si="2"/>
        <v>6.292793819811034</v>
      </c>
    </row>
    <row r="28" spans="1:18" ht="15">
      <c r="A28" s="148">
        <f t="shared" si="6"/>
        <v>2041</v>
      </c>
      <c r="B28" s="153">
        <f t="shared" si="3"/>
        <v>6.297281237877337</v>
      </c>
      <c r="C28" s="153">
        <f t="shared" si="4"/>
        <v>7.880669710806697</v>
      </c>
      <c r="D28" s="153">
        <f t="shared" si="5"/>
        <v>6.691088220508289</v>
      </c>
      <c r="E28" s="150">
        <v>0</v>
      </c>
      <c r="K28" s="123">
        <v>62.97281237877337</v>
      </c>
      <c r="L28" s="153">
        <f t="shared" si="0"/>
        <v>6.297281237877337</v>
      </c>
      <c r="M28" s="151"/>
      <c r="N28" s="131">
        <v>78.80669710806697</v>
      </c>
      <c r="O28" s="153">
        <f t="shared" si="1"/>
        <v>7.880669710806697</v>
      </c>
      <c r="P28" s="151"/>
      <c r="Q28" s="124">
        <v>66.91088220508288</v>
      </c>
      <c r="R28" s="153">
        <f t="shared" si="2"/>
        <v>6.691088220508289</v>
      </c>
    </row>
    <row r="29" spans="1:18" ht="15">
      <c r="A29" s="148">
        <f t="shared" si="6"/>
        <v>2042</v>
      </c>
      <c r="B29" s="153">
        <f t="shared" si="3"/>
        <v>6.592646795694974</v>
      </c>
      <c r="C29" s="153">
        <f t="shared" si="4"/>
        <v>8.425266362252664</v>
      </c>
      <c r="D29" s="153">
        <f t="shared" si="5"/>
        <v>7.04523428905663</v>
      </c>
      <c r="E29" s="150">
        <v>0</v>
      </c>
      <c r="K29" s="123">
        <v>65.92646795694975</v>
      </c>
      <c r="L29" s="153">
        <f t="shared" si="0"/>
        <v>6.592646795694974</v>
      </c>
      <c r="M29" s="151"/>
      <c r="N29" s="131">
        <v>84.25266362252664</v>
      </c>
      <c r="O29" s="153">
        <f t="shared" si="1"/>
        <v>8.425266362252664</v>
      </c>
      <c r="P29" s="151"/>
      <c r="Q29" s="124">
        <v>70.4523428905663</v>
      </c>
      <c r="R29" s="153">
        <f t="shared" si="2"/>
        <v>7.04523428905663</v>
      </c>
    </row>
    <row r="30" spans="1:18" ht="15">
      <c r="A30" s="148">
        <f t="shared" si="6"/>
        <v>2043</v>
      </c>
      <c r="B30" s="153">
        <f t="shared" si="3"/>
        <v>6.782797747058243</v>
      </c>
      <c r="C30" s="153">
        <f t="shared" si="4"/>
        <v>8.625266362252663</v>
      </c>
      <c r="D30" s="153">
        <f t="shared" si="5"/>
        <v>7.341587518545546</v>
      </c>
      <c r="E30" s="150">
        <v>0</v>
      </c>
      <c r="K30" s="123">
        <v>67.82797747058244</v>
      </c>
      <c r="L30" s="153">
        <f t="shared" si="0"/>
        <v>6.782797747058243</v>
      </c>
      <c r="M30" s="151"/>
      <c r="N30" s="131">
        <v>86.25266362252664</v>
      </c>
      <c r="O30" s="153">
        <f t="shared" si="1"/>
        <v>8.625266362252663</v>
      </c>
      <c r="P30" s="151"/>
      <c r="Q30" s="124">
        <v>73.41587518545546</v>
      </c>
      <c r="R30" s="153">
        <f t="shared" si="2"/>
        <v>7.341587518545546</v>
      </c>
    </row>
    <row r="31" spans="1:18" ht="15">
      <c r="A31" s="148">
        <f t="shared" si="6"/>
        <v>2044</v>
      </c>
      <c r="B31" s="153">
        <f t="shared" si="3"/>
        <v>6.682976687154445</v>
      </c>
      <c r="C31" s="153">
        <f t="shared" si="4"/>
        <v>8.293294626593806</v>
      </c>
      <c r="D31" s="153">
        <f t="shared" si="5"/>
        <v>7.266923507464163</v>
      </c>
      <c r="E31" s="150">
        <v>0</v>
      </c>
      <c r="K31" s="123">
        <v>66.82976687154445</v>
      </c>
      <c r="L31" s="153">
        <f t="shared" si="0"/>
        <v>6.682976687154445</v>
      </c>
      <c r="M31" s="151"/>
      <c r="N31" s="131">
        <v>82.93294626593807</v>
      </c>
      <c r="O31" s="153">
        <f t="shared" si="1"/>
        <v>8.293294626593806</v>
      </c>
      <c r="P31" s="151"/>
      <c r="Q31" s="124">
        <v>72.66923507464163</v>
      </c>
      <c r="R31" s="153">
        <f t="shared" si="2"/>
        <v>7.266923507464163</v>
      </c>
    </row>
    <row r="32" spans="1:18" ht="15">
      <c r="A32" s="148">
        <f t="shared" si="6"/>
        <v>2045</v>
      </c>
      <c r="B32" s="153">
        <f t="shared" si="3"/>
        <v>6.942588117858042</v>
      </c>
      <c r="C32" s="153">
        <f t="shared" si="4"/>
        <v>8.679459665144597</v>
      </c>
      <c r="D32" s="153">
        <f t="shared" si="5"/>
        <v>7.464471194824043</v>
      </c>
      <c r="E32" s="150">
        <v>0</v>
      </c>
      <c r="K32" s="123">
        <v>69.42588117858043</v>
      </c>
      <c r="L32" s="153">
        <f t="shared" si="0"/>
        <v>6.942588117858042</v>
      </c>
      <c r="M32" s="151"/>
      <c r="N32" s="131">
        <v>86.79459665144597</v>
      </c>
      <c r="O32" s="153">
        <f t="shared" si="1"/>
        <v>8.679459665144597</v>
      </c>
      <c r="P32" s="151"/>
      <c r="Q32" s="124">
        <v>74.64471194824043</v>
      </c>
      <c r="R32" s="153">
        <f t="shared" si="2"/>
        <v>7.464471194824043</v>
      </c>
    </row>
    <row r="33" spans="1:18" ht="15">
      <c r="A33" s="148">
        <f t="shared" si="6"/>
        <v>2046</v>
      </c>
      <c r="B33" s="153">
        <f t="shared" si="3"/>
        <v>7.185012159267403</v>
      </c>
      <c r="C33" s="153">
        <f t="shared" si="4"/>
        <v>8.82503805175038</v>
      </c>
      <c r="D33" s="153">
        <f t="shared" si="5"/>
        <v>7.686994948795301</v>
      </c>
      <c r="E33" s="150">
        <v>0</v>
      </c>
      <c r="K33" s="123">
        <v>71.85012159267403</v>
      </c>
      <c r="L33" s="153">
        <f t="shared" si="0"/>
        <v>7.185012159267403</v>
      </c>
      <c r="M33" s="151"/>
      <c r="N33" s="131">
        <v>88.2503805175038</v>
      </c>
      <c r="O33" s="153">
        <f t="shared" si="1"/>
        <v>8.82503805175038</v>
      </c>
      <c r="P33" s="151"/>
      <c r="Q33" s="124">
        <v>76.86994948795302</v>
      </c>
      <c r="R33" s="153">
        <f t="shared" si="2"/>
        <v>7.686994948795301</v>
      </c>
    </row>
    <row r="34" spans="1:18" ht="15">
      <c r="A34" s="148">
        <f t="shared" si="6"/>
        <v>2047</v>
      </c>
      <c r="B34" s="153">
        <f t="shared" si="3"/>
        <v>7.173671928555257</v>
      </c>
      <c r="C34" s="153">
        <f t="shared" si="4"/>
        <v>8.950521308980212</v>
      </c>
      <c r="D34" s="153">
        <f t="shared" si="5"/>
        <v>7.673810815849376</v>
      </c>
      <c r="E34" s="150">
        <v>0</v>
      </c>
      <c r="K34" s="123">
        <v>71.73671928555257</v>
      </c>
      <c r="L34" s="153">
        <f t="shared" si="0"/>
        <v>7.173671928555257</v>
      </c>
      <c r="M34" s="151"/>
      <c r="N34" s="131">
        <v>89.50521308980213</v>
      </c>
      <c r="O34" s="153">
        <f t="shared" si="1"/>
        <v>8.950521308980212</v>
      </c>
      <c r="P34" s="151"/>
      <c r="Q34" s="124">
        <v>76.73810815849376</v>
      </c>
      <c r="R34" s="153">
        <f t="shared" si="2"/>
        <v>7.673810815849376</v>
      </c>
    </row>
    <row r="35" spans="1:18" ht="15">
      <c r="A35" s="148">
        <f t="shared" si="6"/>
        <v>2048</v>
      </c>
      <c r="B35" s="153">
        <f t="shared" si="3"/>
        <v>7.1739999999999995</v>
      </c>
      <c r="C35" s="153">
        <f t="shared" si="4"/>
        <v>8.951</v>
      </c>
      <c r="D35" s="153">
        <f t="shared" si="5"/>
        <v>7.6739999999999995</v>
      </c>
      <c r="E35" s="150">
        <v>0</v>
      </c>
      <c r="K35" s="123">
        <v>71.74</v>
      </c>
      <c r="L35" s="153">
        <f t="shared" si="0"/>
        <v>7.1739999999999995</v>
      </c>
      <c r="M35" s="151"/>
      <c r="N35" s="131">
        <v>89.51</v>
      </c>
      <c r="O35" s="153">
        <f t="shared" si="1"/>
        <v>8.951</v>
      </c>
      <c r="P35" s="151"/>
      <c r="Q35" s="124">
        <v>76.74</v>
      </c>
      <c r="R35" s="153">
        <f t="shared" si="2"/>
        <v>7.6739999999999995</v>
      </c>
    </row>
    <row r="36" spans="1:18" ht="15">
      <c r="A36" s="148">
        <f t="shared" si="6"/>
        <v>2049</v>
      </c>
      <c r="B36" s="153">
        <f t="shared" si="3"/>
        <v>7.1739999999999995</v>
      </c>
      <c r="C36" s="153">
        <f t="shared" si="4"/>
        <v>8.951</v>
      </c>
      <c r="D36" s="153">
        <f t="shared" si="5"/>
        <v>7.6739999999999995</v>
      </c>
      <c r="E36" s="150">
        <v>0</v>
      </c>
      <c r="K36" s="123">
        <v>71.74</v>
      </c>
      <c r="L36" s="153">
        <f t="shared" si="0"/>
        <v>7.1739999999999995</v>
      </c>
      <c r="M36" s="151"/>
      <c r="N36" s="131">
        <v>89.51</v>
      </c>
      <c r="O36" s="153">
        <f t="shared" si="1"/>
        <v>8.951</v>
      </c>
      <c r="P36" s="151"/>
      <c r="Q36" s="124">
        <v>76.74</v>
      </c>
      <c r="R36" s="153">
        <f t="shared" si="2"/>
        <v>7.6739999999999995</v>
      </c>
    </row>
    <row r="37" spans="1:5" ht="15">
      <c r="A37" s="148">
        <f t="shared" si="6"/>
        <v>2050</v>
      </c>
      <c r="B37" s="153">
        <v>0</v>
      </c>
      <c r="C37" s="153">
        <v>0</v>
      </c>
      <c r="D37" s="153">
        <v>0</v>
      </c>
      <c r="E37" s="150">
        <v>0</v>
      </c>
    </row>
    <row r="38" spans="1:5" ht="15">
      <c r="A38" s="148">
        <f t="shared" si="6"/>
        <v>2051</v>
      </c>
      <c r="B38" s="153">
        <v>0</v>
      </c>
      <c r="C38" s="153">
        <v>0</v>
      </c>
      <c r="D38" s="153">
        <v>0</v>
      </c>
      <c r="E38" s="150">
        <v>0</v>
      </c>
    </row>
    <row r="39" spans="1:5" ht="15">
      <c r="A39" s="148">
        <f t="shared" si="6"/>
        <v>2052</v>
      </c>
      <c r="B39" s="153">
        <v>0</v>
      </c>
      <c r="C39" s="153">
        <v>0</v>
      </c>
      <c r="D39" s="153">
        <v>0</v>
      </c>
      <c r="E39" s="150">
        <v>0</v>
      </c>
    </row>
    <row r="40" spans="1:5" ht="15">
      <c r="A40" s="148">
        <f t="shared" si="6"/>
        <v>2053</v>
      </c>
      <c r="B40" s="153">
        <v>0</v>
      </c>
      <c r="C40" s="153">
        <v>0</v>
      </c>
      <c r="D40" s="153">
        <v>0</v>
      </c>
      <c r="E40" s="150">
        <v>0</v>
      </c>
    </row>
    <row r="41" spans="1:5" ht="15">
      <c r="A41" s="148">
        <f t="shared" si="6"/>
        <v>2054</v>
      </c>
      <c r="B41" s="153">
        <v>0</v>
      </c>
      <c r="C41" s="153">
        <v>0</v>
      </c>
      <c r="D41" s="153">
        <v>0</v>
      </c>
      <c r="E41" s="150">
        <v>0</v>
      </c>
    </row>
    <row r="42" spans="1:5" ht="15">
      <c r="A42" s="148">
        <f t="shared" si="6"/>
        <v>2055</v>
      </c>
      <c r="B42" s="153">
        <v>0</v>
      </c>
      <c r="C42" s="153">
        <v>0</v>
      </c>
      <c r="D42" s="153">
        <v>0</v>
      </c>
      <c r="E42" s="150">
        <v>0</v>
      </c>
    </row>
    <row r="43" spans="1:5" ht="15">
      <c r="A43" s="148">
        <f t="shared" si="6"/>
        <v>2056</v>
      </c>
      <c r="B43" s="153">
        <v>0</v>
      </c>
      <c r="C43" s="153">
        <v>0</v>
      </c>
      <c r="D43" s="153">
        <v>0</v>
      </c>
      <c r="E43" s="150">
        <v>0</v>
      </c>
    </row>
    <row r="44" spans="1:5" ht="15">
      <c r="A44" s="148">
        <f t="shared" si="6"/>
        <v>2057</v>
      </c>
      <c r="B44" s="153">
        <v>0</v>
      </c>
      <c r="C44" s="153">
        <v>0</v>
      </c>
      <c r="D44" s="153">
        <v>0</v>
      </c>
      <c r="E44" s="150">
        <v>0</v>
      </c>
    </row>
    <row r="45" spans="1:5" ht="15">
      <c r="A45" s="148">
        <f t="shared" si="6"/>
        <v>2058</v>
      </c>
      <c r="B45" s="153">
        <v>0</v>
      </c>
      <c r="C45" s="153">
        <v>0</v>
      </c>
      <c r="D45" s="153">
        <v>0</v>
      </c>
      <c r="E45" s="150">
        <v>0</v>
      </c>
    </row>
  </sheetData>
  <sheetProtection/>
  <mergeCells count="3">
    <mergeCell ref="K6:L6"/>
    <mergeCell ref="N6:O6"/>
    <mergeCell ref="Q6:R6"/>
  </mergeCells>
  <printOptions/>
  <pageMargins left="0.7" right="0.7" top="0.75" bottom="0.75" header="0.3" footer="0.3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2:V164"/>
  <sheetViews>
    <sheetView zoomScale="75" zoomScaleNormal="75" zoomScalePageLayoutView="0" workbookViewId="0" topLeftCell="A13">
      <selection activeCell="M26" sqref="M26"/>
    </sheetView>
  </sheetViews>
  <sheetFormatPr defaultColWidth="9.140625" defaultRowHeight="12.75"/>
  <cols>
    <col min="2" max="2" width="16.57421875" style="0" customWidth="1"/>
    <col min="3" max="4" width="15.421875" style="0" bestFit="1" customWidth="1"/>
    <col min="5" max="5" width="15.00390625" style="0" bestFit="1" customWidth="1"/>
    <col min="6" max="6" width="14.421875" style="0" customWidth="1"/>
    <col min="7" max="7" width="12.57421875" style="0" bestFit="1" customWidth="1"/>
    <col min="8" max="8" width="16.421875" style="0" bestFit="1" customWidth="1"/>
    <col min="9" max="9" width="16.421875" style="0" customWidth="1"/>
    <col min="10" max="10" width="16.421875" style="0" bestFit="1" customWidth="1"/>
    <col min="11" max="12" width="10.00390625" style="0" bestFit="1" customWidth="1"/>
    <col min="15" max="15" width="11.421875" style="0" customWidth="1"/>
    <col min="16" max="16" width="12.00390625" style="0" customWidth="1"/>
    <col min="17" max="17" width="11.57421875" style="0" customWidth="1"/>
    <col min="22" max="22" width="14.140625" style="0" customWidth="1"/>
  </cols>
  <sheetData>
    <row r="2" spans="7:9" ht="12.75">
      <c r="G2" s="40" t="s">
        <v>389</v>
      </c>
      <c r="H2" s="40"/>
      <c r="I2" s="3" t="s">
        <v>349</v>
      </c>
    </row>
    <row r="5" ht="12.75">
      <c r="F5" t="str">
        <f>+Title_RESULTS!C3</f>
        <v>PROGRAM TITLE:</v>
      </c>
    </row>
    <row r="6" ht="12.75">
      <c r="J6" s="4">
        <f>Title_RESULTS!I4</f>
        <v>43599.31995208334</v>
      </c>
    </row>
    <row r="7" ht="12.75">
      <c r="A7" t="s">
        <v>105</v>
      </c>
    </row>
    <row r="9" spans="1:12" ht="12.75">
      <c r="A9" t="s">
        <v>92</v>
      </c>
      <c r="B9" s="6" t="s">
        <v>12</v>
      </c>
      <c r="C9" s="6" t="s">
        <v>13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18</v>
      </c>
      <c r="I9" s="6" t="s">
        <v>19</v>
      </c>
      <c r="J9" s="6" t="s">
        <v>20</v>
      </c>
      <c r="K9" s="6" t="s">
        <v>21</v>
      </c>
      <c r="L9" s="6" t="s">
        <v>22</v>
      </c>
    </row>
    <row r="11" spans="2:12" ht="12.75">
      <c r="B11" s="6"/>
      <c r="C11" s="6" t="s">
        <v>23</v>
      </c>
      <c r="D11" s="60"/>
      <c r="E11" s="60" t="s">
        <v>93</v>
      </c>
      <c r="F11" s="6" t="s">
        <v>94</v>
      </c>
      <c r="G11" s="60" t="s">
        <v>95</v>
      </c>
      <c r="H11" s="6" t="s">
        <v>24</v>
      </c>
      <c r="I11" s="6" t="s">
        <v>24</v>
      </c>
      <c r="J11" s="6"/>
      <c r="K11" s="6"/>
      <c r="L11" s="6" t="s">
        <v>96</v>
      </c>
    </row>
    <row r="12" spans="2:12" ht="12.75">
      <c r="B12" s="6" t="s">
        <v>25</v>
      </c>
      <c r="C12" s="6" t="s">
        <v>25</v>
      </c>
      <c r="D12" s="60" t="s">
        <v>97</v>
      </c>
      <c r="E12" s="60" t="s">
        <v>24</v>
      </c>
      <c r="F12" s="6" t="s">
        <v>24</v>
      </c>
      <c r="G12" s="60" t="s">
        <v>26</v>
      </c>
      <c r="H12" s="6" t="s">
        <v>27</v>
      </c>
      <c r="I12" s="6" t="s">
        <v>28</v>
      </c>
      <c r="J12" s="6" t="s">
        <v>29</v>
      </c>
      <c r="K12" s="6" t="s">
        <v>29</v>
      </c>
      <c r="L12" s="6"/>
    </row>
    <row r="13" spans="2:12" ht="12.75">
      <c r="B13" s="6" t="s">
        <v>98</v>
      </c>
      <c r="C13" s="6" t="s">
        <v>30</v>
      </c>
      <c r="D13" s="60" t="s">
        <v>99</v>
      </c>
      <c r="E13" s="60" t="s">
        <v>31</v>
      </c>
      <c r="F13" s="6" t="s">
        <v>31</v>
      </c>
      <c r="G13" s="60" t="s">
        <v>100</v>
      </c>
      <c r="H13" s="6" t="s">
        <v>32</v>
      </c>
      <c r="I13" s="6" t="s">
        <v>32</v>
      </c>
      <c r="J13" s="6" t="s">
        <v>33</v>
      </c>
      <c r="K13" s="6" t="s">
        <v>34</v>
      </c>
      <c r="L13" s="6"/>
    </row>
    <row r="14" spans="1:12" ht="12.75">
      <c r="A14" s="6" t="s">
        <v>35</v>
      </c>
      <c r="B14" s="6" t="s">
        <v>36</v>
      </c>
      <c r="C14" s="6" t="s">
        <v>36</v>
      </c>
      <c r="D14" s="60" t="s">
        <v>101</v>
      </c>
      <c r="E14" s="60" t="s">
        <v>26</v>
      </c>
      <c r="F14" s="6" t="s">
        <v>26</v>
      </c>
      <c r="G14" s="60" t="s">
        <v>102</v>
      </c>
      <c r="H14" s="6" t="s">
        <v>37</v>
      </c>
      <c r="I14" s="6" t="s">
        <v>37</v>
      </c>
      <c r="J14" s="6"/>
      <c r="K14" s="6"/>
      <c r="L14" s="6"/>
    </row>
    <row r="15" spans="1:12" ht="12.75">
      <c r="A15" s="26"/>
      <c r="B15" s="27"/>
      <c r="C15" s="27"/>
      <c r="D15" s="61" t="s">
        <v>38</v>
      </c>
      <c r="E15" s="61" t="s">
        <v>38</v>
      </c>
      <c r="F15" s="27" t="s">
        <v>38</v>
      </c>
      <c r="G15" s="61" t="s">
        <v>38</v>
      </c>
      <c r="H15" s="27" t="s">
        <v>103</v>
      </c>
      <c r="I15" s="27" t="s">
        <v>104</v>
      </c>
      <c r="J15" s="27" t="s">
        <v>39</v>
      </c>
      <c r="K15" s="27" t="s">
        <v>39</v>
      </c>
      <c r="L15" s="27" t="s">
        <v>38</v>
      </c>
    </row>
    <row r="16" spans="1:22" ht="12.75">
      <c r="A16">
        <f>Title_RESULTS!H7</f>
        <v>2020</v>
      </c>
      <c r="B16">
        <f>Input!K15</f>
        <v>1000</v>
      </c>
      <c r="C16">
        <f>Input!L15</f>
        <v>1000</v>
      </c>
      <c r="D16" s="62">
        <f>+Fuel!B7</f>
        <v>2.4346125415616804</v>
      </c>
      <c r="E16" s="62">
        <f>+Fuel!C7</f>
        <v>2.9007096235579843</v>
      </c>
      <c r="F16">
        <v>0</v>
      </c>
      <c r="G16" s="62">
        <f>+Fuel!D7</f>
        <v>2.878920847571778</v>
      </c>
      <c r="H16">
        <v>1</v>
      </c>
      <c r="I16">
        <v>1</v>
      </c>
      <c r="J16">
        <v>0</v>
      </c>
      <c r="K16">
        <v>0</v>
      </c>
      <c r="L16" s="51">
        <v>0</v>
      </c>
      <c r="M16" s="51">
        <v>0</v>
      </c>
      <c r="Q16" s="11"/>
      <c r="V16" s="66">
        <f>+G16-D16</f>
        <v>0.44430830601009763</v>
      </c>
    </row>
    <row r="17" spans="1:22" ht="12.75">
      <c r="A17">
        <f aca="true" t="shared" si="0" ref="A17:A54">A16+1</f>
        <v>2021</v>
      </c>
      <c r="B17">
        <f>Input!K16</f>
        <v>2000</v>
      </c>
      <c r="C17">
        <f>Input!L16</f>
        <v>2000</v>
      </c>
      <c r="D17" s="62">
        <f>+Fuel!B8</f>
        <v>2.5504842341169973</v>
      </c>
      <c r="E17" s="62">
        <f>+Fuel!C8</f>
        <v>2.877115677321157</v>
      </c>
      <c r="F17">
        <v>0</v>
      </c>
      <c r="G17" s="62">
        <f>+Fuel!D8</f>
        <v>3.037777795649506</v>
      </c>
      <c r="H17">
        <v>1</v>
      </c>
      <c r="I17">
        <v>1</v>
      </c>
      <c r="J17">
        <v>0</v>
      </c>
      <c r="K17">
        <v>0</v>
      </c>
      <c r="L17" s="51">
        <v>0</v>
      </c>
      <c r="M17" s="51">
        <v>0</v>
      </c>
      <c r="Q17" s="11"/>
      <c r="V17" s="66">
        <f aca="true" t="shared" si="1" ref="V17:V45">+G17-D17</f>
        <v>0.4872935615325087</v>
      </c>
    </row>
    <row r="18" spans="1:22" ht="12.75">
      <c r="A18">
        <f t="shared" si="0"/>
        <v>2022</v>
      </c>
      <c r="B18">
        <f>Input!K17</f>
        <v>3000</v>
      </c>
      <c r="C18">
        <f>Input!L17</f>
        <v>3000</v>
      </c>
      <c r="D18" s="62">
        <f>+Fuel!B9</f>
        <v>2.644432310672106</v>
      </c>
      <c r="E18" s="62">
        <f>+Fuel!C9</f>
        <v>2.9693759512937596</v>
      </c>
      <c r="F18">
        <v>0</v>
      </c>
      <c r="G18" s="62">
        <f>+Fuel!D9</f>
        <v>3.156234230110476</v>
      </c>
      <c r="H18">
        <v>1</v>
      </c>
      <c r="I18">
        <v>1</v>
      </c>
      <c r="J18">
        <v>0</v>
      </c>
      <c r="K18">
        <v>0</v>
      </c>
      <c r="L18" s="51">
        <v>0</v>
      </c>
      <c r="M18" s="51">
        <v>3.1238095238095234</v>
      </c>
      <c r="Q18" s="11"/>
      <c r="S18" s="28"/>
      <c r="V18" s="66">
        <f t="shared" si="1"/>
        <v>0.5118019194383701</v>
      </c>
    </row>
    <row r="19" spans="1:22" ht="12.75">
      <c r="A19">
        <f t="shared" si="0"/>
        <v>2023</v>
      </c>
      <c r="B19">
        <f>Input!K18</f>
        <v>3000</v>
      </c>
      <c r="C19">
        <f>Input!L18</f>
        <v>3000</v>
      </c>
      <c r="D19" s="62">
        <f>+Fuel!B10</f>
        <v>2.622754871717878</v>
      </c>
      <c r="E19" s="62">
        <f>+Fuel!C10</f>
        <v>3.0911910197869106</v>
      </c>
      <c r="F19">
        <v>0</v>
      </c>
      <c r="G19" s="62">
        <f>+Fuel!D10</f>
        <v>3.1726275779238713</v>
      </c>
      <c r="H19">
        <v>1</v>
      </c>
      <c r="I19">
        <v>1</v>
      </c>
      <c r="J19">
        <v>0</v>
      </c>
      <c r="K19">
        <v>0</v>
      </c>
      <c r="L19" s="51">
        <v>0</v>
      </c>
      <c r="M19" s="51">
        <v>3.28</v>
      </c>
      <c r="Q19" s="11"/>
      <c r="V19" s="66">
        <f t="shared" si="1"/>
        <v>0.5498727062059934</v>
      </c>
    </row>
    <row r="20" spans="1:22" ht="12.75">
      <c r="A20">
        <f t="shared" si="0"/>
        <v>2024</v>
      </c>
      <c r="B20">
        <f>Input!K19</f>
        <v>3000</v>
      </c>
      <c r="C20">
        <f>Input!L19</f>
        <v>3000</v>
      </c>
      <c r="D20" s="62">
        <f>+Fuel!B11</f>
        <v>2.7715168291961763</v>
      </c>
      <c r="E20" s="62">
        <f>+Fuel!C11</f>
        <v>3.212663175470553</v>
      </c>
      <c r="F20">
        <v>0</v>
      </c>
      <c r="G20" s="62">
        <f>+Fuel!D11</f>
        <v>3.31455317769606</v>
      </c>
      <c r="H20">
        <v>1</v>
      </c>
      <c r="I20">
        <v>1</v>
      </c>
      <c r="J20">
        <v>0</v>
      </c>
      <c r="K20">
        <v>0</v>
      </c>
      <c r="L20" s="51">
        <v>0</v>
      </c>
      <c r="M20" s="51">
        <v>3.444</v>
      </c>
      <c r="Q20" s="11"/>
      <c r="V20" s="66">
        <f t="shared" si="1"/>
        <v>0.5430363484998839</v>
      </c>
    </row>
    <row r="21" spans="1:22" ht="12.75">
      <c r="A21">
        <f t="shared" si="0"/>
        <v>2025</v>
      </c>
      <c r="B21">
        <f>Input!K20</f>
        <v>3000</v>
      </c>
      <c r="C21">
        <f>Input!L20</f>
        <v>3000</v>
      </c>
      <c r="D21" s="62">
        <f>+Fuel!B12</f>
        <v>2.930598228294713</v>
      </c>
      <c r="E21" s="62">
        <f>+Fuel!C12</f>
        <v>3.44943302891933</v>
      </c>
      <c r="F21">
        <v>0</v>
      </c>
      <c r="G21" s="62">
        <f>+Fuel!D12</f>
        <v>3.4459033295335075</v>
      </c>
      <c r="H21">
        <v>1</v>
      </c>
      <c r="I21">
        <v>1</v>
      </c>
      <c r="J21">
        <v>0</v>
      </c>
      <c r="K21">
        <v>0</v>
      </c>
      <c r="L21" s="51">
        <v>0</v>
      </c>
      <c r="M21" s="51">
        <v>3.6162</v>
      </c>
      <c r="Q21" s="11"/>
      <c r="V21" s="66">
        <f t="shared" si="1"/>
        <v>0.5153051012387944</v>
      </c>
    </row>
    <row r="22" spans="1:22" ht="12.75">
      <c r="A22">
        <f t="shared" si="0"/>
        <v>2026</v>
      </c>
      <c r="B22">
        <f>Input!K21</f>
        <v>3000</v>
      </c>
      <c r="C22">
        <f>Input!L21</f>
        <v>3000</v>
      </c>
      <c r="D22" s="62">
        <f>+Fuel!B13</f>
        <v>3.0631027844213077</v>
      </c>
      <c r="E22" s="62">
        <f>+Fuel!C13</f>
        <v>3.5600722983257227</v>
      </c>
      <c r="F22">
        <v>0</v>
      </c>
      <c r="G22" s="62">
        <f>+Fuel!D13</f>
        <v>3.5575518290932058</v>
      </c>
      <c r="H22">
        <v>1</v>
      </c>
      <c r="I22">
        <v>1</v>
      </c>
      <c r="J22">
        <v>0</v>
      </c>
      <c r="K22">
        <v>0</v>
      </c>
      <c r="L22" s="51">
        <v>0</v>
      </c>
      <c r="M22" s="51">
        <v>3.7970099999999998</v>
      </c>
      <c r="Q22" s="11"/>
      <c r="V22" s="66">
        <f t="shared" si="1"/>
        <v>0.4944490446718981</v>
      </c>
    </row>
    <row r="23" spans="1:22" ht="12.75">
      <c r="A23">
        <f t="shared" si="0"/>
        <v>2027</v>
      </c>
      <c r="B23">
        <f>Input!K22</f>
        <v>3000</v>
      </c>
      <c r="C23">
        <f>Input!L22</f>
        <v>3000</v>
      </c>
      <c r="D23" s="62">
        <f>+Fuel!B14</f>
        <v>3.243461241226195</v>
      </c>
      <c r="E23" s="62">
        <f>+Fuel!C14</f>
        <v>3.7825608828006088</v>
      </c>
      <c r="F23">
        <v>0</v>
      </c>
      <c r="G23" s="62">
        <f>+Fuel!D14</f>
        <v>3.716786671076347</v>
      </c>
      <c r="H23">
        <v>1</v>
      </c>
      <c r="I23">
        <v>1</v>
      </c>
      <c r="J23">
        <v>0</v>
      </c>
      <c r="K23">
        <v>0</v>
      </c>
      <c r="L23" s="51">
        <v>0</v>
      </c>
      <c r="M23" s="51">
        <v>3.9868605</v>
      </c>
      <c r="Q23" s="11"/>
      <c r="V23" s="66">
        <f t="shared" si="1"/>
        <v>0.4733254298501519</v>
      </c>
    </row>
    <row r="24" spans="1:22" ht="12.75">
      <c r="A24">
        <f t="shared" si="0"/>
        <v>2028</v>
      </c>
      <c r="B24">
        <f>Input!K23</f>
        <v>3000</v>
      </c>
      <c r="C24">
        <f>Input!L23</f>
        <v>3000</v>
      </c>
      <c r="D24" s="62">
        <f>+Fuel!B15</f>
        <v>3.550601164924807</v>
      </c>
      <c r="E24" s="62">
        <f>+Fuel!C15</f>
        <v>4.191514875531269</v>
      </c>
      <c r="F24">
        <v>0</v>
      </c>
      <c r="G24" s="62">
        <f>+Fuel!D15</f>
        <v>4.000245139678956</v>
      </c>
      <c r="H24">
        <v>1</v>
      </c>
      <c r="I24">
        <v>1</v>
      </c>
      <c r="J24">
        <v>0</v>
      </c>
      <c r="K24">
        <v>0</v>
      </c>
      <c r="L24" s="51">
        <v>0</v>
      </c>
      <c r="M24" s="51">
        <v>4.186203525000001</v>
      </c>
      <c r="Q24" s="11"/>
      <c r="V24" s="66">
        <f t="shared" si="1"/>
        <v>0.44964397475414897</v>
      </c>
    </row>
    <row r="25" spans="1:22" ht="12.75">
      <c r="A25">
        <f t="shared" si="0"/>
        <v>2029</v>
      </c>
      <c r="B25">
        <f>Input!K24</f>
        <v>3000</v>
      </c>
      <c r="C25">
        <f>Input!L24</f>
        <v>3000</v>
      </c>
      <c r="D25" s="62">
        <f>+Fuel!B16</f>
        <v>3.7314962992555465</v>
      </c>
      <c r="E25" s="62">
        <f>+Fuel!C16</f>
        <v>4.490639269406392</v>
      </c>
      <c r="F25">
        <v>0</v>
      </c>
      <c r="G25" s="62">
        <f>+Fuel!D16</f>
        <v>4.175798511985919</v>
      </c>
      <c r="H25">
        <v>1</v>
      </c>
      <c r="I25">
        <v>1</v>
      </c>
      <c r="J25">
        <v>0</v>
      </c>
      <c r="K25">
        <v>0</v>
      </c>
      <c r="L25" s="51">
        <v>0</v>
      </c>
      <c r="M25" s="51">
        <v>4.3955137012500005</v>
      </c>
      <c r="Q25" s="11"/>
      <c r="V25" s="66">
        <f t="shared" si="1"/>
        <v>0.4443022127303724</v>
      </c>
    </row>
    <row r="26" spans="1:22" ht="12.75">
      <c r="A26">
        <f t="shared" si="0"/>
        <v>2030</v>
      </c>
      <c r="B26">
        <f>Input!K25</f>
        <v>3000</v>
      </c>
      <c r="C26">
        <f>Input!L25</f>
        <v>3000</v>
      </c>
      <c r="D26" s="62">
        <f>+Fuel!B17</f>
        <v>4.0656592081591345</v>
      </c>
      <c r="E26" s="62">
        <f>+Fuel!C17</f>
        <v>5.015795281582955</v>
      </c>
      <c r="F26">
        <v>0</v>
      </c>
      <c r="G26" s="62">
        <f>+Fuel!D17</f>
        <v>4.486281269102866</v>
      </c>
      <c r="H26">
        <v>1</v>
      </c>
      <c r="I26">
        <v>1</v>
      </c>
      <c r="J26">
        <v>0</v>
      </c>
      <c r="K26">
        <v>0</v>
      </c>
      <c r="L26" s="51">
        <v>0</v>
      </c>
      <c r="M26" s="51">
        <v>4.615289386312501</v>
      </c>
      <c r="Q26" s="11"/>
      <c r="V26" s="66">
        <f t="shared" si="1"/>
        <v>0.42062206094373167</v>
      </c>
    </row>
    <row r="27" spans="1:22" ht="12.75">
      <c r="A27">
        <f t="shared" si="0"/>
        <v>2031</v>
      </c>
      <c r="B27">
        <f>Input!K26</f>
        <v>3000</v>
      </c>
      <c r="C27">
        <f>Input!L26</f>
        <v>3000</v>
      </c>
      <c r="D27" s="62">
        <f>+Fuel!B18</f>
        <v>4.205810946168665</v>
      </c>
      <c r="E27" s="62">
        <f>+Fuel!C18</f>
        <v>4.997142313546424</v>
      </c>
      <c r="F27">
        <v>0</v>
      </c>
      <c r="G27" s="62">
        <f>+Fuel!D18</f>
        <v>4.597841879721795</v>
      </c>
      <c r="H27">
        <v>1</v>
      </c>
      <c r="I27">
        <v>1</v>
      </c>
      <c r="J27">
        <v>0</v>
      </c>
      <c r="K27">
        <v>0</v>
      </c>
      <c r="L27" s="51">
        <v>0</v>
      </c>
      <c r="M27" s="51">
        <v>4.846053855628127</v>
      </c>
      <c r="Q27" s="11"/>
      <c r="V27" s="66">
        <f t="shared" si="1"/>
        <v>0.39203093355313</v>
      </c>
    </row>
    <row r="28" spans="1:22" ht="12.75">
      <c r="A28">
        <f t="shared" si="0"/>
        <v>2032</v>
      </c>
      <c r="B28">
        <f>Input!K27</f>
        <v>3000</v>
      </c>
      <c r="C28">
        <f>Input!L27</f>
        <v>3000</v>
      </c>
      <c r="D28" s="62">
        <f>+Fuel!B19</f>
        <v>4.5058999642058986</v>
      </c>
      <c r="E28" s="62">
        <f>+Fuel!C19</f>
        <v>5.461414693381903</v>
      </c>
      <c r="F28">
        <v>0</v>
      </c>
      <c r="G28" s="62">
        <f>+Fuel!D19</f>
        <v>4.873757963953245</v>
      </c>
      <c r="H28">
        <v>1</v>
      </c>
      <c r="I28">
        <v>1</v>
      </c>
      <c r="J28">
        <v>0</v>
      </c>
      <c r="K28">
        <v>0</v>
      </c>
      <c r="L28" s="51">
        <v>0</v>
      </c>
      <c r="M28" s="51">
        <v>5.088356548409533</v>
      </c>
      <c r="Q28" s="11"/>
      <c r="V28" s="66">
        <f t="shared" si="1"/>
        <v>0.3678579997473461</v>
      </c>
    </row>
    <row r="29" spans="1:22" ht="12.75">
      <c r="A29">
        <f t="shared" si="0"/>
        <v>2033</v>
      </c>
      <c r="B29">
        <f>Input!K28</f>
        <v>3000</v>
      </c>
      <c r="C29">
        <f>Input!L28</f>
        <v>3000</v>
      </c>
      <c r="D29" s="62">
        <f>+Fuel!B20</f>
        <v>4.600412945356765</v>
      </c>
      <c r="E29" s="62">
        <f>+Fuel!C20</f>
        <v>5.8241019786910195</v>
      </c>
      <c r="F29">
        <v>0</v>
      </c>
      <c r="G29" s="62">
        <f>+Fuel!D20</f>
        <v>4.984915998097977</v>
      </c>
      <c r="H29">
        <v>1</v>
      </c>
      <c r="I29">
        <v>1</v>
      </c>
      <c r="J29">
        <v>0</v>
      </c>
      <c r="K29">
        <v>0</v>
      </c>
      <c r="L29" s="51">
        <v>0</v>
      </c>
      <c r="M29" s="51">
        <v>5.342774375830009</v>
      </c>
      <c r="Q29" s="11"/>
      <c r="V29" s="66">
        <f t="shared" si="1"/>
        <v>0.3845030527412119</v>
      </c>
    </row>
    <row r="30" spans="1:22" ht="12.75">
      <c r="A30">
        <f t="shared" si="0"/>
        <v>2034</v>
      </c>
      <c r="B30">
        <f>Input!K29</f>
        <v>3000</v>
      </c>
      <c r="C30">
        <f>Input!L29</f>
        <v>3000</v>
      </c>
      <c r="D30" s="62">
        <f>+Fuel!B21</f>
        <v>4.904246138242304</v>
      </c>
      <c r="E30" s="62">
        <f>+Fuel!C21</f>
        <v>6.095285388127853</v>
      </c>
      <c r="F30">
        <v>0</v>
      </c>
      <c r="G30" s="62">
        <f>+Fuel!D21</f>
        <v>5.306578161570519</v>
      </c>
      <c r="H30">
        <v>1</v>
      </c>
      <c r="I30">
        <v>1</v>
      </c>
      <c r="J30">
        <v>0</v>
      </c>
      <c r="K30">
        <v>0</v>
      </c>
      <c r="L30" s="51">
        <v>0</v>
      </c>
      <c r="M30" s="51">
        <v>5.609913094621511</v>
      </c>
      <c r="Q30" s="11"/>
      <c r="V30" s="66">
        <f t="shared" si="1"/>
        <v>0.4023320233282144</v>
      </c>
    </row>
    <row r="31" spans="1:22" ht="12.75">
      <c r="A31">
        <f t="shared" si="0"/>
        <v>2035</v>
      </c>
      <c r="B31">
        <f>Input!K30</f>
        <v>3000</v>
      </c>
      <c r="C31">
        <f>Input!L30</f>
        <v>3000</v>
      </c>
      <c r="D31" s="62">
        <f>+Fuel!B22</f>
        <v>5.112907004977054</v>
      </c>
      <c r="E31" s="62">
        <f>+Fuel!C22</f>
        <v>6.713025114155245</v>
      </c>
      <c r="F31">
        <v>0</v>
      </c>
      <c r="G31" s="62">
        <f>+Fuel!D22</f>
        <v>5.5100494593143035</v>
      </c>
      <c r="H31">
        <v>1</v>
      </c>
      <c r="I31">
        <v>1</v>
      </c>
      <c r="J31">
        <v>0</v>
      </c>
      <c r="K31">
        <v>0</v>
      </c>
      <c r="L31" s="51">
        <v>0</v>
      </c>
      <c r="M31" s="51">
        <v>5.890408749352586</v>
      </c>
      <c r="P31" t="s">
        <v>413</v>
      </c>
      <c r="Q31" s="11"/>
      <c r="V31" s="66">
        <f t="shared" si="1"/>
        <v>0.39714245433724926</v>
      </c>
    </row>
    <row r="32" spans="1:22" ht="12.75">
      <c r="A32">
        <f t="shared" si="0"/>
        <v>2036</v>
      </c>
      <c r="B32">
        <f>Input!K31</f>
        <v>3000</v>
      </c>
      <c r="C32">
        <f>Input!L31</f>
        <v>3000</v>
      </c>
      <c r="D32" s="62">
        <f>+Fuel!B23</f>
        <v>5.284774499790177</v>
      </c>
      <c r="E32" s="62">
        <f>+Fuel!C23</f>
        <v>6.630472070431098</v>
      </c>
      <c r="F32">
        <v>0</v>
      </c>
      <c r="G32" s="62">
        <f>+Fuel!D23</f>
        <v>5.621141176298189</v>
      </c>
      <c r="H32">
        <v>1</v>
      </c>
      <c r="I32">
        <v>1</v>
      </c>
      <c r="J32">
        <v>0</v>
      </c>
      <c r="K32">
        <v>0</v>
      </c>
      <c r="L32" s="51">
        <v>0</v>
      </c>
      <c r="M32" s="51">
        <v>6.184929186820216</v>
      </c>
      <c r="Q32" s="11"/>
      <c r="V32" s="66">
        <f t="shared" si="1"/>
        <v>0.3363666765080122</v>
      </c>
    </row>
    <row r="33" spans="1:22" ht="12.75">
      <c r="A33">
        <f t="shared" si="0"/>
        <v>2037</v>
      </c>
      <c r="B33">
        <f>Input!K32</f>
        <v>3000</v>
      </c>
      <c r="C33">
        <f>Input!L32</f>
        <v>3000</v>
      </c>
      <c r="D33" s="62">
        <f>+Fuel!B24</f>
        <v>5.5807770564484205</v>
      </c>
      <c r="E33" s="62">
        <f>+Fuel!C24</f>
        <v>7.076799847792998</v>
      </c>
      <c r="F33">
        <v>0</v>
      </c>
      <c r="G33" s="62">
        <f>+Fuel!D24</f>
        <v>5.925802405175698</v>
      </c>
      <c r="H33">
        <v>1</v>
      </c>
      <c r="I33">
        <v>1</v>
      </c>
      <c r="J33">
        <v>0</v>
      </c>
      <c r="K33">
        <v>0</v>
      </c>
      <c r="L33" s="51">
        <v>0</v>
      </c>
      <c r="M33" s="51">
        <v>6.494175646161226</v>
      </c>
      <c r="Q33" s="11"/>
      <c r="V33" s="66">
        <f t="shared" si="1"/>
        <v>0.34502534872727786</v>
      </c>
    </row>
    <row r="34" spans="1:22" ht="12.75">
      <c r="A34">
        <f t="shared" si="0"/>
        <v>2038</v>
      </c>
      <c r="B34">
        <f>Input!K33</f>
        <v>3000</v>
      </c>
      <c r="C34">
        <f>Input!L33</f>
        <v>3000</v>
      </c>
      <c r="D34" s="62">
        <f>+Fuel!B25</f>
        <v>5.71220131492689</v>
      </c>
      <c r="E34" s="62">
        <f>+Fuel!C25</f>
        <v>7.103603500761035</v>
      </c>
      <c r="F34">
        <v>0</v>
      </c>
      <c r="G34" s="62">
        <f>+Fuel!D25</f>
        <v>6.048558103175024</v>
      </c>
      <c r="H34">
        <v>1</v>
      </c>
      <c r="I34">
        <v>1</v>
      </c>
      <c r="J34">
        <v>0</v>
      </c>
      <c r="K34">
        <v>0</v>
      </c>
      <c r="L34" s="51">
        <v>0</v>
      </c>
      <c r="M34" s="51">
        <v>6.818884428469289</v>
      </c>
      <c r="Q34" s="11"/>
      <c r="V34" s="66">
        <f t="shared" si="1"/>
        <v>0.33635678824813375</v>
      </c>
    </row>
    <row r="35" spans="1:22" ht="12.75">
      <c r="A35">
        <f t="shared" si="0"/>
        <v>2039</v>
      </c>
      <c r="B35">
        <f>Input!K34</f>
        <v>3000</v>
      </c>
      <c r="C35">
        <f>Input!L34</f>
        <v>3000</v>
      </c>
      <c r="D35" s="62">
        <f>+Fuel!B26</f>
        <v>5.9311440074959005</v>
      </c>
      <c r="E35" s="62">
        <f>+Fuel!C26</f>
        <v>7.110955098934546</v>
      </c>
      <c r="F35">
        <v>0</v>
      </c>
      <c r="G35" s="62">
        <f>+Fuel!D26</f>
        <v>6.299994849598368</v>
      </c>
      <c r="H35">
        <v>1</v>
      </c>
      <c r="I35">
        <v>1</v>
      </c>
      <c r="J35">
        <v>0</v>
      </c>
      <c r="K35">
        <v>0</v>
      </c>
      <c r="L35" s="51">
        <v>0</v>
      </c>
      <c r="M35" s="51">
        <v>7.159828649892754</v>
      </c>
      <c r="Q35" s="11"/>
      <c r="V35" s="66">
        <f t="shared" si="1"/>
        <v>0.3688508421024679</v>
      </c>
    </row>
    <row r="36" spans="1:22" ht="12.75">
      <c r="A36">
        <f t="shared" si="0"/>
        <v>2040</v>
      </c>
      <c r="B36">
        <f>Input!K35</f>
        <v>3000</v>
      </c>
      <c r="C36">
        <f>Input!L35</f>
        <v>3000</v>
      </c>
      <c r="D36" s="62">
        <f>+Fuel!B27</f>
        <v>5.999355829046514</v>
      </c>
      <c r="E36" s="62">
        <f>+Fuel!C27</f>
        <v>7.651719034608379</v>
      </c>
      <c r="F36">
        <v>0</v>
      </c>
      <c r="G36" s="62">
        <f>+Fuel!D27</f>
        <v>6.292793819811034</v>
      </c>
      <c r="H36">
        <v>1</v>
      </c>
      <c r="I36">
        <v>1</v>
      </c>
      <c r="J36">
        <v>0</v>
      </c>
      <c r="K36">
        <v>0</v>
      </c>
      <c r="L36" s="51">
        <v>0</v>
      </c>
      <c r="M36" s="51">
        <v>7.5178200823873915</v>
      </c>
      <c r="Q36" s="11"/>
      <c r="V36" s="66">
        <f t="shared" si="1"/>
        <v>0.29343799076452015</v>
      </c>
    </row>
    <row r="37" spans="1:22" ht="12.75">
      <c r="A37">
        <f t="shared" si="0"/>
        <v>2041</v>
      </c>
      <c r="B37">
        <f>Input!K36</f>
        <v>3000</v>
      </c>
      <c r="C37">
        <f>Input!L36</f>
        <v>3000</v>
      </c>
      <c r="D37" s="62">
        <f>+Fuel!B28</f>
        <v>6.297281237877337</v>
      </c>
      <c r="E37" s="62">
        <f>+Fuel!C28</f>
        <v>7.880669710806697</v>
      </c>
      <c r="F37">
        <v>0</v>
      </c>
      <c r="G37" s="62">
        <f>+Fuel!D28</f>
        <v>6.691088220508289</v>
      </c>
      <c r="H37">
        <v>1</v>
      </c>
      <c r="I37">
        <v>1</v>
      </c>
      <c r="J37">
        <v>0</v>
      </c>
      <c r="K37">
        <v>0</v>
      </c>
      <c r="L37" s="51">
        <v>0</v>
      </c>
      <c r="M37" s="51">
        <v>7.893711086506763</v>
      </c>
      <c r="Q37" s="11"/>
      <c r="V37" s="66">
        <f t="shared" si="1"/>
        <v>0.3938069826309514</v>
      </c>
    </row>
    <row r="38" spans="1:22" ht="12.75">
      <c r="A38">
        <f t="shared" si="0"/>
        <v>2042</v>
      </c>
      <c r="B38">
        <f>Input!K37</f>
        <v>3000</v>
      </c>
      <c r="C38">
        <f>Input!L37</f>
        <v>3000</v>
      </c>
      <c r="D38" s="62">
        <f>+Fuel!B29</f>
        <v>6.592646795694974</v>
      </c>
      <c r="E38" s="62">
        <f>+Fuel!C29</f>
        <v>8.425266362252664</v>
      </c>
      <c r="F38">
        <v>0</v>
      </c>
      <c r="G38" s="62">
        <f>+Fuel!D29</f>
        <v>7.04523428905663</v>
      </c>
      <c r="H38">
        <v>1</v>
      </c>
      <c r="I38">
        <v>1</v>
      </c>
      <c r="J38">
        <v>0</v>
      </c>
      <c r="K38">
        <v>0</v>
      </c>
      <c r="L38" s="51">
        <v>0</v>
      </c>
      <c r="M38" s="51">
        <v>8.2883966408321</v>
      </c>
      <c r="Q38" s="11"/>
      <c r="V38" s="67">
        <f t="shared" si="1"/>
        <v>0.4525874933616558</v>
      </c>
    </row>
    <row r="39" spans="1:22" ht="12.75">
      <c r="A39">
        <f t="shared" si="0"/>
        <v>2043</v>
      </c>
      <c r="B39">
        <f>Input!K38</f>
        <v>3000</v>
      </c>
      <c r="C39">
        <f>Input!L38</f>
        <v>3000</v>
      </c>
      <c r="D39" s="62">
        <f>+Fuel!B30</f>
        <v>6.782797747058243</v>
      </c>
      <c r="E39" s="62">
        <f>+Fuel!C30</f>
        <v>8.625266362252663</v>
      </c>
      <c r="F39">
        <v>0</v>
      </c>
      <c r="G39" s="62">
        <f>+Fuel!D30</f>
        <v>7.341587518545546</v>
      </c>
      <c r="H39">
        <v>1</v>
      </c>
      <c r="I39">
        <v>1</v>
      </c>
      <c r="J39">
        <v>0</v>
      </c>
      <c r="K39">
        <v>0</v>
      </c>
      <c r="L39" s="51">
        <v>0</v>
      </c>
      <c r="M39" s="51">
        <v>8.702816472873707</v>
      </c>
      <c r="Q39" s="11"/>
      <c r="V39" s="67">
        <f t="shared" si="1"/>
        <v>0.5587897714873025</v>
      </c>
    </row>
    <row r="40" spans="1:22" ht="12.75">
      <c r="A40">
        <f t="shared" si="0"/>
        <v>2044</v>
      </c>
      <c r="B40">
        <f>Input!K39</f>
        <v>3000</v>
      </c>
      <c r="C40">
        <f>Input!L39</f>
        <v>3000</v>
      </c>
      <c r="D40" s="62">
        <f>+Fuel!B31</f>
        <v>6.682976687154445</v>
      </c>
      <c r="E40" s="62">
        <f>+Fuel!C31</f>
        <v>8.293294626593806</v>
      </c>
      <c r="F40">
        <v>0</v>
      </c>
      <c r="G40" s="62">
        <f>+Fuel!D31</f>
        <v>7.266923507464163</v>
      </c>
      <c r="H40">
        <v>1</v>
      </c>
      <c r="I40">
        <v>1</v>
      </c>
      <c r="J40">
        <v>0</v>
      </c>
      <c r="K40">
        <v>0</v>
      </c>
      <c r="L40" s="51">
        <v>0</v>
      </c>
      <c r="M40" s="51">
        <v>9.137957296517392</v>
      </c>
      <c r="Q40" s="11"/>
      <c r="V40" s="67">
        <f t="shared" si="1"/>
        <v>0.583946820309718</v>
      </c>
    </row>
    <row r="41" spans="1:22" ht="12.75">
      <c r="A41">
        <f t="shared" si="0"/>
        <v>2045</v>
      </c>
      <c r="B41">
        <f>Input!K40</f>
        <v>3000</v>
      </c>
      <c r="C41">
        <f>Input!L40</f>
        <v>3000</v>
      </c>
      <c r="D41" s="62">
        <f>+Fuel!B32</f>
        <v>6.942588117858042</v>
      </c>
      <c r="E41" s="62">
        <f>+Fuel!C32</f>
        <v>8.679459665144597</v>
      </c>
      <c r="F41">
        <v>0</v>
      </c>
      <c r="G41" s="62">
        <f>+Fuel!D32</f>
        <v>7.464471194824043</v>
      </c>
      <c r="H41">
        <v>1</v>
      </c>
      <c r="I41">
        <v>1</v>
      </c>
      <c r="J41">
        <v>0</v>
      </c>
      <c r="K41">
        <v>0</v>
      </c>
      <c r="L41" s="51">
        <v>0</v>
      </c>
      <c r="M41" s="51">
        <v>9.594855161343261</v>
      </c>
      <c r="V41" s="67">
        <f t="shared" si="1"/>
        <v>0.5218830769660006</v>
      </c>
    </row>
    <row r="42" spans="1:22" ht="12.75">
      <c r="A42">
        <f t="shared" si="0"/>
        <v>2046</v>
      </c>
      <c r="B42">
        <v>0</v>
      </c>
      <c r="C42">
        <v>0</v>
      </c>
      <c r="D42" s="62">
        <f>+Fuel!B33</f>
        <v>7.185012159267403</v>
      </c>
      <c r="E42" s="62">
        <f>+Fuel!C33</f>
        <v>8.82503805175038</v>
      </c>
      <c r="F42">
        <v>0</v>
      </c>
      <c r="G42" s="62">
        <f>+Fuel!D33</f>
        <v>7.686994948795301</v>
      </c>
      <c r="H42">
        <v>1</v>
      </c>
      <c r="I42">
        <v>1</v>
      </c>
      <c r="J42">
        <v>0</v>
      </c>
      <c r="K42">
        <v>0</v>
      </c>
      <c r="L42" s="51">
        <v>0</v>
      </c>
      <c r="M42" s="51">
        <v>10.074597919410424</v>
      </c>
      <c r="V42" s="66">
        <f t="shared" si="1"/>
        <v>0.5019827895278981</v>
      </c>
    </row>
    <row r="43" spans="1:22" ht="12.75">
      <c r="A43">
        <f t="shared" si="0"/>
        <v>2047</v>
      </c>
      <c r="B43">
        <v>0</v>
      </c>
      <c r="C43">
        <v>0</v>
      </c>
      <c r="D43" s="62">
        <f>+Fuel!B34</f>
        <v>7.173671928555257</v>
      </c>
      <c r="E43" s="62">
        <f>+Fuel!C34</f>
        <v>8.950521308980212</v>
      </c>
      <c r="F43">
        <v>0</v>
      </c>
      <c r="G43" s="62">
        <f>+Fuel!D34</f>
        <v>7.673810815849376</v>
      </c>
      <c r="H43">
        <v>1</v>
      </c>
      <c r="I43">
        <v>1</v>
      </c>
      <c r="J43">
        <v>0</v>
      </c>
      <c r="K43">
        <v>0</v>
      </c>
      <c r="L43" s="51">
        <v>0</v>
      </c>
      <c r="M43" s="51">
        <v>10.578327815380947</v>
      </c>
      <c r="V43" s="66">
        <f t="shared" si="1"/>
        <v>0.5001388872941188</v>
      </c>
    </row>
    <row r="44" spans="1:22" ht="12.75">
      <c r="A44">
        <f t="shared" si="0"/>
        <v>2048</v>
      </c>
      <c r="B44">
        <v>0</v>
      </c>
      <c r="C44">
        <v>0</v>
      </c>
      <c r="D44" s="9">
        <f>+Fuel!B35</f>
        <v>7.1739999999999995</v>
      </c>
      <c r="E44" s="9">
        <f>+Fuel!C35</f>
        <v>8.951</v>
      </c>
      <c r="F44" s="9">
        <v>0</v>
      </c>
      <c r="G44" s="9">
        <f>+Fuel!D35</f>
        <v>7.6739999999999995</v>
      </c>
      <c r="H44">
        <v>1</v>
      </c>
      <c r="I44">
        <v>1</v>
      </c>
      <c r="J44">
        <v>0</v>
      </c>
      <c r="K44">
        <v>0</v>
      </c>
      <c r="L44" s="51">
        <v>0</v>
      </c>
      <c r="M44" s="51">
        <f>+M43*1.05</f>
        <v>11.107244206149995</v>
      </c>
      <c r="V44" s="66">
        <f t="shared" si="1"/>
        <v>0.5</v>
      </c>
    </row>
    <row r="45" spans="1:22" ht="12.75">
      <c r="A45">
        <f t="shared" si="0"/>
        <v>2049</v>
      </c>
      <c r="B45">
        <v>0</v>
      </c>
      <c r="C45">
        <v>0</v>
      </c>
      <c r="D45" s="9">
        <f>+Fuel!B36</f>
        <v>7.1739999999999995</v>
      </c>
      <c r="E45" s="9">
        <f>+Fuel!C36</f>
        <v>8.951</v>
      </c>
      <c r="F45" s="9">
        <v>0</v>
      </c>
      <c r="G45" s="9">
        <f>+Fuel!D36</f>
        <v>7.6739999999999995</v>
      </c>
      <c r="H45">
        <v>1</v>
      </c>
      <c r="I45">
        <v>1</v>
      </c>
      <c r="J45">
        <v>0</v>
      </c>
      <c r="K45">
        <v>0</v>
      </c>
      <c r="L45" s="51">
        <v>0</v>
      </c>
      <c r="M45" s="51">
        <f>+M44*1.05</f>
        <v>11.662606416457495</v>
      </c>
      <c r="V45" s="66">
        <f t="shared" si="1"/>
        <v>0.5</v>
      </c>
    </row>
    <row r="46" spans="1:12" ht="12.75">
      <c r="A46">
        <f t="shared" si="0"/>
        <v>2050</v>
      </c>
      <c r="B46">
        <v>0</v>
      </c>
      <c r="C46">
        <f aca="true" t="shared" si="2" ref="C46:C54">ROUND(+B46*(1-$B$1),0)</f>
        <v>0</v>
      </c>
      <c r="D46" s="9">
        <f>+Fuel!B37</f>
        <v>0</v>
      </c>
      <c r="E46" s="9">
        <f>+Fuel!C37</f>
        <v>0</v>
      </c>
      <c r="F46" s="9">
        <v>0</v>
      </c>
      <c r="G46" s="9">
        <f>+Fuel!D37</f>
        <v>0</v>
      </c>
      <c r="H46">
        <v>1</v>
      </c>
      <c r="I46">
        <v>1</v>
      </c>
      <c r="J46">
        <v>0</v>
      </c>
      <c r="K46">
        <v>0</v>
      </c>
      <c r="L46" s="10">
        <v>0</v>
      </c>
    </row>
    <row r="47" spans="1:12" ht="12.75">
      <c r="A47">
        <f t="shared" si="0"/>
        <v>2051</v>
      </c>
      <c r="B47">
        <v>0</v>
      </c>
      <c r="C47">
        <f t="shared" si="2"/>
        <v>0</v>
      </c>
      <c r="D47" s="9">
        <f>+Fuel!B38</f>
        <v>0</v>
      </c>
      <c r="E47" s="9">
        <f>+Fuel!C38</f>
        <v>0</v>
      </c>
      <c r="F47" s="9">
        <v>0</v>
      </c>
      <c r="G47" s="9">
        <f>+Fuel!D38</f>
        <v>0</v>
      </c>
      <c r="H47">
        <v>1</v>
      </c>
      <c r="I47">
        <v>1</v>
      </c>
      <c r="J47">
        <v>0</v>
      </c>
      <c r="K47">
        <v>0</v>
      </c>
      <c r="L47" s="10">
        <v>0</v>
      </c>
    </row>
    <row r="48" spans="1:12" ht="12.75">
      <c r="A48">
        <f t="shared" si="0"/>
        <v>2052</v>
      </c>
      <c r="B48">
        <v>0</v>
      </c>
      <c r="C48">
        <f t="shared" si="2"/>
        <v>0</v>
      </c>
      <c r="D48" s="9">
        <f>+Fuel!B39</f>
        <v>0</v>
      </c>
      <c r="E48" s="9">
        <f>+Fuel!C39</f>
        <v>0</v>
      </c>
      <c r="F48" s="9">
        <v>0</v>
      </c>
      <c r="G48" s="9">
        <f>+Fuel!D39</f>
        <v>0</v>
      </c>
      <c r="H48">
        <v>1</v>
      </c>
      <c r="I48">
        <v>1</v>
      </c>
      <c r="J48">
        <v>0</v>
      </c>
      <c r="K48">
        <v>0</v>
      </c>
      <c r="L48" s="10">
        <v>0</v>
      </c>
    </row>
    <row r="49" spans="1:12" ht="12.75">
      <c r="A49">
        <f t="shared" si="0"/>
        <v>2053</v>
      </c>
      <c r="B49">
        <v>0</v>
      </c>
      <c r="C49">
        <f t="shared" si="2"/>
        <v>0</v>
      </c>
      <c r="D49" s="9">
        <f>+Fuel!B40</f>
        <v>0</v>
      </c>
      <c r="E49" s="9">
        <f>+Fuel!C40</f>
        <v>0</v>
      </c>
      <c r="F49" s="9">
        <v>0</v>
      </c>
      <c r="G49" s="9">
        <f>+Fuel!D40</f>
        <v>0</v>
      </c>
      <c r="H49">
        <v>1</v>
      </c>
      <c r="I49">
        <v>1</v>
      </c>
      <c r="J49">
        <v>0</v>
      </c>
      <c r="K49">
        <v>0</v>
      </c>
      <c r="L49" s="10">
        <v>0</v>
      </c>
    </row>
    <row r="50" spans="1:12" ht="12.75">
      <c r="A50">
        <f t="shared" si="0"/>
        <v>2054</v>
      </c>
      <c r="B50">
        <v>0</v>
      </c>
      <c r="C50">
        <f t="shared" si="2"/>
        <v>0</v>
      </c>
      <c r="D50" s="9">
        <f>+Fuel!B41</f>
        <v>0</v>
      </c>
      <c r="E50" s="9">
        <f>+Fuel!C41</f>
        <v>0</v>
      </c>
      <c r="F50" s="9">
        <v>0</v>
      </c>
      <c r="G50" s="9">
        <f>+Fuel!D41</f>
        <v>0</v>
      </c>
      <c r="H50">
        <v>1</v>
      </c>
      <c r="I50">
        <v>1</v>
      </c>
      <c r="J50">
        <v>0</v>
      </c>
      <c r="K50">
        <v>0</v>
      </c>
      <c r="L50" s="10">
        <v>0</v>
      </c>
    </row>
    <row r="51" spans="1:12" ht="12.75">
      <c r="A51">
        <f t="shared" si="0"/>
        <v>2055</v>
      </c>
      <c r="B51">
        <v>0</v>
      </c>
      <c r="C51">
        <f t="shared" si="2"/>
        <v>0</v>
      </c>
      <c r="D51" s="9">
        <f>+Fuel!B42</f>
        <v>0</v>
      </c>
      <c r="E51" s="9">
        <f>+Fuel!C42</f>
        <v>0</v>
      </c>
      <c r="F51" s="9">
        <v>0</v>
      </c>
      <c r="G51" s="9">
        <f>+Fuel!D42</f>
        <v>0</v>
      </c>
      <c r="H51">
        <v>1</v>
      </c>
      <c r="I51">
        <v>1</v>
      </c>
      <c r="J51">
        <v>0</v>
      </c>
      <c r="K51">
        <v>0</v>
      </c>
      <c r="L51" s="10">
        <v>0</v>
      </c>
    </row>
    <row r="52" spans="1:12" ht="12.75">
      <c r="A52">
        <f t="shared" si="0"/>
        <v>2056</v>
      </c>
      <c r="B52">
        <v>0</v>
      </c>
      <c r="C52">
        <f t="shared" si="2"/>
        <v>0</v>
      </c>
      <c r="D52" s="9">
        <f>+Fuel!B43</f>
        <v>0</v>
      </c>
      <c r="E52" s="9">
        <f>+Fuel!C43</f>
        <v>0</v>
      </c>
      <c r="F52" s="9">
        <v>0</v>
      </c>
      <c r="G52" s="9">
        <f>+Fuel!D43</f>
        <v>0</v>
      </c>
      <c r="H52">
        <v>1</v>
      </c>
      <c r="I52">
        <v>1</v>
      </c>
      <c r="J52">
        <v>0</v>
      </c>
      <c r="K52">
        <v>0</v>
      </c>
      <c r="L52" s="10">
        <v>0</v>
      </c>
    </row>
    <row r="53" spans="1:12" ht="12.75">
      <c r="A53">
        <f t="shared" si="0"/>
        <v>2057</v>
      </c>
      <c r="B53">
        <v>0</v>
      </c>
      <c r="C53">
        <f t="shared" si="2"/>
        <v>0</v>
      </c>
      <c r="D53" s="9">
        <f>+Fuel!B44</f>
        <v>0</v>
      </c>
      <c r="E53" s="9">
        <f>+Fuel!C44</f>
        <v>0</v>
      </c>
      <c r="F53" s="9">
        <v>0</v>
      </c>
      <c r="G53" s="9">
        <f>+Fuel!D44</f>
        <v>0</v>
      </c>
      <c r="H53">
        <v>1</v>
      </c>
      <c r="I53">
        <v>1</v>
      </c>
      <c r="J53">
        <v>0</v>
      </c>
      <c r="K53">
        <v>0</v>
      </c>
      <c r="L53" s="10">
        <v>0</v>
      </c>
    </row>
    <row r="54" spans="1:12" ht="12.75">
      <c r="A54">
        <f t="shared" si="0"/>
        <v>2058</v>
      </c>
      <c r="B54">
        <v>0</v>
      </c>
      <c r="C54">
        <f t="shared" si="2"/>
        <v>0</v>
      </c>
      <c r="D54" s="9">
        <f>+Fuel!B45</f>
        <v>0</v>
      </c>
      <c r="E54" s="9">
        <f>+Fuel!C45</f>
        <v>0</v>
      </c>
      <c r="F54" s="9">
        <v>0</v>
      </c>
      <c r="G54" s="9">
        <f>+Fuel!D45</f>
        <v>0</v>
      </c>
      <c r="H54">
        <v>1</v>
      </c>
      <c r="I54">
        <v>1</v>
      </c>
      <c r="J54">
        <v>0</v>
      </c>
      <c r="K54">
        <v>0</v>
      </c>
      <c r="L54" s="10">
        <v>0</v>
      </c>
    </row>
    <row r="57" ht="12.75">
      <c r="A57">
        <f>IF(Title_RESULTS!C22=1,4,2)</f>
        <v>4</v>
      </c>
    </row>
    <row r="58" ht="12.75">
      <c r="A58">
        <f>IF(Title_RESULTS!C22=1,3,1)</f>
        <v>3</v>
      </c>
    </row>
    <row r="60" spans="1:3" ht="12.75">
      <c r="A60" t="s">
        <v>254</v>
      </c>
      <c r="C60">
        <f>ROUND(+Title_RESULTS!C8*Partcipation!C26,0)</f>
        <v>0</v>
      </c>
    </row>
    <row r="67" spans="2:13" ht="12.75">
      <c r="B67" t="s">
        <v>92</v>
      </c>
      <c r="C67" t="s">
        <v>12</v>
      </c>
      <c r="D67" t="s">
        <v>13</v>
      </c>
      <c r="E67" t="s">
        <v>14</v>
      </c>
      <c r="F67" t="s">
        <v>15</v>
      </c>
      <c r="G67" t="s">
        <v>16</v>
      </c>
      <c r="H67" t="s">
        <v>17</v>
      </c>
      <c r="I67" t="s">
        <v>18</v>
      </c>
      <c r="J67" t="s">
        <v>19</v>
      </c>
      <c r="K67" t="s">
        <v>20</v>
      </c>
      <c r="L67" t="s">
        <v>21</v>
      </c>
      <c r="M67" t="s">
        <v>22</v>
      </c>
    </row>
    <row r="68" spans="4:13" ht="12.75">
      <c r="D68" t="s">
        <v>23</v>
      </c>
      <c r="F68" t="s">
        <v>93</v>
      </c>
      <c r="G68" t="s">
        <v>94</v>
      </c>
      <c r="H68" t="s">
        <v>95</v>
      </c>
      <c r="I68" t="s">
        <v>24</v>
      </c>
      <c r="J68" t="s">
        <v>24</v>
      </c>
      <c r="M68" t="s">
        <v>96</v>
      </c>
    </row>
    <row r="69" spans="3:12" ht="12.75">
      <c r="C69" t="s">
        <v>25</v>
      </c>
      <c r="D69" t="s">
        <v>25</v>
      </c>
      <c r="E69" t="s">
        <v>97</v>
      </c>
      <c r="F69" t="s">
        <v>24</v>
      </c>
      <c r="G69" t="s">
        <v>24</v>
      </c>
      <c r="H69" t="s">
        <v>26</v>
      </c>
      <c r="I69" t="s">
        <v>27</v>
      </c>
      <c r="J69" t="s">
        <v>28</v>
      </c>
      <c r="K69" t="s">
        <v>29</v>
      </c>
      <c r="L69" t="s">
        <v>29</v>
      </c>
    </row>
    <row r="70" spans="3:12" ht="12.75">
      <c r="C70" t="s">
        <v>98</v>
      </c>
      <c r="D70" t="s">
        <v>30</v>
      </c>
      <c r="E70" t="s">
        <v>99</v>
      </c>
      <c r="F70" t="s">
        <v>31</v>
      </c>
      <c r="G70" t="s">
        <v>31</v>
      </c>
      <c r="H70" t="s">
        <v>100</v>
      </c>
      <c r="I70" t="s">
        <v>32</v>
      </c>
      <c r="J70" t="s">
        <v>32</v>
      </c>
      <c r="K70" t="s">
        <v>33</v>
      </c>
      <c r="L70" t="s">
        <v>34</v>
      </c>
    </row>
    <row r="71" spans="2:10" ht="12.75">
      <c r="B71" t="s">
        <v>35</v>
      </c>
      <c r="C71" t="s">
        <v>36</v>
      </c>
      <c r="D71" t="s">
        <v>36</v>
      </c>
      <c r="E71" t="s">
        <v>101</v>
      </c>
      <c r="F71" t="s">
        <v>26</v>
      </c>
      <c r="G71" t="s">
        <v>26</v>
      </c>
      <c r="H71" t="s">
        <v>102</v>
      </c>
      <c r="I71" t="s">
        <v>37</v>
      </c>
      <c r="J71" t="s">
        <v>37</v>
      </c>
    </row>
    <row r="72" spans="4:13" ht="12.75">
      <c r="D72">
        <v>0</v>
      </c>
      <c r="E72" t="s">
        <v>38</v>
      </c>
      <c r="F72" t="s">
        <v>38</v>
      </c>
      <c r="G72" t="s">
        <v>38</v>
      </c>
      <c r="H72" t="s">
        <v>38</v>
      </c>
      <c r="I72" t="s">
        <v>103</v>
      </c>
      <c r="J72" t="s">
        <v>104</v>
      </c>
      <c r="K72" t="s">
        <v>39</v>
      </c>
      <c r="L72" t="s">
        <v>39</v>
      </c>
      <c r="M72" t="s">
        <v>38</v>
      </c>
    </row>
    <row r="73" spans="2:13" ht="12.75">
      <c r="B73">
        <f aca="true" t="shared" si="3" ref="B73:F82">A16</f>
        <v>2020</v>
      </c>
      <c r="C73">
        <f t="shared" si="3"/>
        <v>1000</v>
      </c>
      <c r="D73">
        <f t="shared" si="3"/>
        <v>1000</v>
      </c>
      <c r="E73" s="10">
        <f t="shared" si="3"/>
        <v>2.4346125415616804</v>
      </c>
      <c r="F73" s="10">
        <f t="shared" si="3"/>
        <v>2.9007096235579843</v>
      </c>
      <c r="G73">
        <v>0</v>
      </c>
      <c r="H73">
        <v>0</v>
      </c>
      <c r="I73">
        <v>1</v>
      </c>
      <c r="J73">
        <v>1</v>
      </c>
      <c r="K73">
        <v>0</v>
      </c>
      <c r="L73">
        <v>0</v>
      </c>
      <c r="M73" s="10">
        <v>2.02</v>
      </c>
    </row>
    <row r="74" spans="2:13" ht="12.75">
      <c r="B74">
        <f t="shared" si="3"/>
        <v>2021</v>
      </c>
      <c r="C74">
        <f t="shared" si="3"/>
        <v>2000</v>
      </c>
      <c r="D74">
        <f t="shared" si="3"/>
        <v>2000</v>
      </c>
      <c r="E74" s="10">
        <f t="shared" si="3"/>
        <v>2.5504842341169973</v>
      </c>
      <c r="F74" s="10">
        <f t="shared" si="3"/>
        <v>2.877115677321157</v>
      </c>
      <c r="G74">
        <v>0</v>
      </c>
      <c r="H74">
        <v>0</v>
      </c>
      <c r="I74">
        <v>1</v>
      </c>
      <c r="J74">
        <v>1</v>
      </c>
      <c r="K74">
        <v>0</v>
      </c>
      <c r="L74">
        <v>0</v>
      </c>
      <c r="M74" s="10">
        <v>2.1</v>
      </c>
    </row>
    <row r="75" spans="2:13" ht="12.75">
      <c r="B75">
        <f t="shared" si="3"/>
        <v>2022</v>
      </c>
      <c r="C75">
        <f t="shared" si="3"/>
        <v>3000</v>
      </c>
      <c r="D75">
        <f t="shared" si="3"/>
        <v>3000</v>
      </c>
      <c r="E75" s="10">
        <f t="shared" si="3"/>
        <v>2.644432310672106</v>
      </c>
      <c r="F75" s="10">
        <f t="shared" si="3"/>
        <v>2.9693759512937596</v>
      </c>
      <c r="G75">
        <v>0</v>
      </c>
      <c r="H75">
        <v>0</v>
      </c>
      <c r="I75">
        <v>1</v>
      </c>
      <c r="J75">
        <v>1</v>
      </c>
      <c r="K75">
        <v>0</v>
      </c>
      <c r="L75">
        <v>0</v>
      </c>
      <c r="M75" s="10">
        <v>2.4</v>
      </c>
    </row>
    <row r="76" spans="2:13" ht="12.75">
      <c r="B76">
        <f t="shared" si="3"/>
        <v>2023</v>
      </c>
      <c r="C76">
        <f t="shared" si="3"/>
        <v>3000</v>
      </c>
      <c r="D76">
        <f t="shared" si="3"/>
        <v>3000</v>
      </c>
      <c r="E76" s="10">
        <f t="shared" si="3"/>
        <v>2.622754871717878</v>
      </c>
      <c r="F76" s="10">
        <f t="shared" si="3"/>
        <v>3.0911910197869106</v>
      </c>
      <c r="G76">
        <v>0</v>
      </c>
      <c r="H76">
        <v>0</v>
      </c>
      <c r="I76">
        <v>1</v>
      </c>
      <c r="J76">
        <v>1</v>
      </c>
      <c r="K76">
        <v>0</v>
      </c>
      <c r="L76">
        <v>0</v>
      </c>
      <c r="M76" s="10">
        <v>2.41</v>
      </c>
    </row>
    <row r="77" spans="2:13" ht="12.75">
      <c r="B77">
        <f t="shared" si="3"/>
        <v>2024</v>
      </c>
      <c r="C77">
        <f t="shared" si="3"/>
        <v>3000</v>
      </c>
      <c r="D77">
        <f t="shared" si="3"/>
        <v>3000</v>
      </c>
      <c r="E77" s="10">
        <f t="shared" si="3"/>
        <v>2.7715168291961763</v>
      </c>
      <c r="F77" s="10">
        <f t="shared" si="3"/>
        <v>3.212663175470553</v>
      </c>
      <c r="G77">
        <v>0</v>
      </c>
      <c r="H77">
        <v>0</v>
      </c>
      <c r="I77">
        <v>1</v>
      </c>
      <c r="J77">
        <v>1</v>
      </c>
      <c r="K77">
        <v>0</v>
      </c>
      <c r="L77">
        <v>0</v>
      </c>
      <c r="M77" s="10">
        <v>2.79</v>
      </c>
    </row>
    <row r="78" spans="2:13" ht="12.75">
      <c r="B78">
        <f t="shared" si="3"/>
        <v>2025</v>
      </c>
      <c r="C78">
        <f t="shared" si="3"/>
        <v>3000</v>
      </c>
      <c r="D78">
        <f t="shared" si="3"/>
        <v>3000</v>
      </c>
      <c r="E78" s="10">
        <f t="shared" si="3"/>
        <v>2.930598228294713</v>
      </c>
      <c r="F78" s="10">
        <f t="shared" si="3"/>
        <v>3.44943302891933</v>
      </c>
      <c r="G78">
        <v>0</v>
      </c>
      <c r="H78">
        <v>0</v>
      </c>
      <c r="I78">
        <v>1</v>
      </c>
      <c r="J78">
        <v>1</v>
      </c>
      <c r="K78">
        <v>0</v>
      </c>
      <c r="L78">
        <v>0</v>
      </c>
      <c r="M78" s="10">
        <v>3.05</v>
      </c>
    </row>
    <row r="79" spans="2:13" ht="12.75">
      <c r="B79">
        <f t="shared" si="3"/>
        <v>2026</v>
      </c>
      <c r="C79">
        <f t="shared" si="3"/>
        <v>3000</v>
      </c>
      <c r="D79">
        <f t="shared" si="3"/>
        <v>3000</v>
      </c>
      <c r="E79" s="10">
        <f t="shared" si="3"/>
        <v>3.0631027844213077</v>
      </c>
      <c r="F79" s="10">
        <f t="shared" si="3"/>
        <v>3.5600722983257227</v>
      </c>
      <c r="G79">
        <v>0</v>
      </c>
      <c r="H79">
        <v>0</v>
      </c>
      <c r="I79">
        <v>1</v>
      </c>
      <c r="J79">
        <v>1</v>
      </c>
      <c r="K79">
        <v>0</v>
      </c>
      <c r="L79">
        <v>0</v>
      </c>
      <c r="M79" s="10">
        <v>3.18</v>
      </c>
    </row>
    <row r="80" spans="2:13" ht="12.75">
      <c r="B80">
        <f t="shared" si="3"/>
        <v>2027</v>
      </c>
      <c r="C80">
        <f t="shared" si="3"/>
        <v>3000</v>
      </c>
      <c r="D80">
        <f t="shared" si="3"/>
        <v>3000</v>
      </c>
      <c r="E80" s="10">
        <f t="shared" si="3"/>
        <v>3.243461241226195</v>
      </c>
      <c r="F80" s="10">
        <f t="shared" si="3"/>
        <v>3.7825608828006088</v>
      </c>
      <c r="G80">
        <v>0</v>
      </c>
      <c r="H80">
        <v>0</v>
      </c>
      <c r="I80">
        <v>1</v>
      </c>
      <c r="J80">
        <v>1</v>
      </c>
      <c r="K80">
        <v>0</v>
      </c>
      <c r="L80">
        <v>0</v>
      </c>
      <c r="M80" s="10">
        <v>3.07</v>
      </c>
    </row>
    <row r="81" spans="2:13" ht="12.75">
      <c r="B81">
        <f t="shared" si="3"/>
        <v>2028</v>
      </c>
      <c r="C81">
        <f t="shared" si="3"/>
        <v>3000</v>
      </c>
      <c r="D81">
        <f t="shared" si="3"/>
        <v>3000</v>
      </c>
      <c r="E81" s="10">
        <f t="shared" si="3"/>
        <v>3.550601164924807</v>
      </c>
      <c r="F81" s="10">
        <f t="shared" si="3"/>
        <v>4.191514875531269</v>
      </c>
      <c r="G81">
        <v>0</v>
      </c>
      <c r="H81">
        <v>0</v>
      </c>
      <c r="I81">
        <v>1</v>
      </c>
      <c r="J81">
        <v>1</v>
      </c>
      <c r="K81">
        <v>0</v>
      </c>
      <c r="L81">
        <v>0</v>
      </c>
      <c r="M81" s="10">
        <v>3.49</v>
      </c>
    </row>
    <row r="82" spans="2:13" ht="12.75">
      <c r="B82">
        <f t="shared" si="3"/>
        <v>2029</v>
      </c>
      <c r="C82">
        <f t="shared" si="3"/>
        <v>3000</v>
      </c>
      <c r="D82">
        <f t="shared" si="3"/>
        <v>3000</v>
      </c>
      <c r="E82" s="10">
        <f t="shared" si="3"/>
        <v>3.7314962992555465</v>
      </c>
      <c r="F82" s="10">
        <f t="shared" si="3"/>
        <v>4.490639269406392</v>
      </c>
      <c r="G82">
        <v>0</v>
      </c>
      <c r="H82">
        <v>0</v>
      </c>
      <c r="I82">
        <v>1</v>
      </c>
      <c r="J82">
        <v>1</v>
      </c>
      <c r="K82">
        <v>0</v>
      </c>
      <c r="L82">
        <v>0</v>
      </c>
      <c r="M82" s="10">
        <v>3.53</v>
      </c>
    </row>
    <row r="83" spans="2:13" ht="12.75">
      <c r="B83">
        <f aca="true" t="shared" si="4" ref="B83:F92">A26</f>
        <v>2030</v>
      </c>
      <c r="C83">
        <f t="shared" si="4"/>
        <v>3000</v>
      </c>
      <c r="D83">
        <f t="shared" si="4"/>
        <v>3000</v>
      </c>
      <c r="E83" s="10">
        <f t="shared" si="4"/>
        <v>4.0656592081591345</v>
      </c>
      <c r="F83" s="10">
        <f t="shared" si="4"/>
        <v>5.015795281582955</v>
      </c>
      <c r="G83">
        <v>0</v>
      </c>
      <c r="H83">
        <v>0</v>
      </c>
      <c r="I83">
        <v>1</v>
      </c>
      <c r="J83">
        <v>1</v>
      </c>
      <c r="K83">
        <v>0</v>
      </c>
      <c r="L83">
        <v>0</v>
      </c>
      <c r="M83" s="10">
        <v>3.81</v>
      </c>
    </row>
    <row r="84" spans="2:13" ht="12.75">
      <c r="B84">
        <f t="shared" si="4"/>
        <v>2031</v>
      </c>
      <c r="C84">
        <f t="shared" si="4"/>
        <v>3000</v>
      </c>
      <c r="D84">
        <f t="shared" si="4"/>
        <v>3000</v>
      </c>
      <c r="E84" s="10">
        <f t="shared" si="4"/>
        <v>4.205810946168665</v>
      </c>
      <c r="F84" s="10">
        <f t="shared" si="4"/>
        <v>4.997142313546424</v>
      </c>
      <c r="G84">
        <v>0</v>
      </c>
      <c r="H84">
        <v>0</v>
      </c>
      <c r="I84">
        <v>1</v>
      </c>
      <c r="J84">
        <v>1</v>
      </c>
      <c r="K84">
        <v>0</v>
      </c>
      <c r="L84">
        <v>0</v>
      </c>
      <c r="M84" s="10">
        <v>4.29</v>
      </c>
    </row>
    <row r="85" spans="2:13" ht="12.75">
      <c r="B85">
        <f t="shared" si="4"/>
        <v>2032</v>
      </c>
      <c r="C85">
        <f t="shared" si="4"/>
        <v>3000</v>
      </c>
      <c r="D85">
        <f t="shared" si="4"/>
        <v>3000</v>
      </c>
      <c r="E85" s="10">
        <f t="shared" si="4"/>
        <v>4.5058999642058986</v>
      </c>
      <c r="F85" s="10">
        <f t="shared" si="4"/>
        <v>5.461414693381903</v>
      </c>
      <c r="G85">
        <v>0</v>
      </c>
      <c r="H85">
        <v>0</v>
      </c>
      <c r="I85">
        <v>1</v>
      </c>
      <c r="J85">
        <v>1</v>
      </c>
      <c r="K85">
        <v>0</v>
      </c>
      <c r="L85">
        <v>0</v>
      </c>
      <c r="M85" s="10">
        <v>4.43</v>
      </c>
    </row>
    <row r="86" spans="2:13" ht="12.75">
      <c r="B86">
        <f t="shared" si="4"/>
        <v>2033</v>
      </c>
      <c r="C86">
        <f t="shared" si="4"/>
        <v>3000</v>
      </c>
      <c r="D86">
        <f t="shared" si="4"/>
        <v>3000</v>
      </c>
      <c r="E86" s="10">
        <f t="shared" si="4"/>
        <v>4.600412945356765</v>
      </c>
      <c r="F86" s="10">
        <f t="shared" si="4"/>
        <v>5.8241019786910195</v>
      </c>
      <c r="G86">
        <v>0</v>
      </c>
      <c r="H86">
        <v>0</v>
      </c>
      <c r="I86">
        <v>1</v>
      </c>
      <c r="J86">
        <v>1</v>
      </c>
      <c r="K86">
        <v>0</v>
      </c>
      <c r="L86">
        <v>0</v>
      </c>
      <c r="M86" s="10">
        <v>4.61</v>
      </c>
    </row>
    <row r="87" spans="2:13" ht="12.75">
      <c r="B87">
        <f t="shared" si="4"/>
        <v>2034</v>
      </c>
      <c r="C87">
        <f t="shared" si="4"/>
        <v>3000</v>
      </c>
      <c r="D87">
        <f t="shared" si="4"/>
        <v>3000</v>
      </c>
      <c r="E87" s="10">
        <f t="shared" si="4"/>
        <v>4.904246138242304</v>
      </c>
      <c r="F87" s="10">
        <f t="shared" si="4"/>
        <v>6.095285388127853</v>
      </c>
      <c r="G87">
        <v>0</v>
      </c>
      <c r="H87">
        <v>0</v>
      </c>
      <c r="I87">
        <v>1</v>
      </c>
      <c r="J87">
        <v>1</v>
      </c>
      <c r="K87">
        <v>0</v>
      </c>
      <c r="L87">
        <v>0</v>
      </c>
      <c r="M87" s="10">
        <v>5.23</v>
      </c>
    </row>
    <row r="88" spans="2:13" ht="12.75">
      <c r="B88">
        <f t="shared" si="4"/>
        <v>2035</v>
      </c>
      <c r="C88">
        <f t="shared" si="4"/>
        <v>3000</v>
      </c>
      <c r="D88">
        <f t="shared" si="4"/>
        <v>3000</v>
      </c>
      <c r="E88" s="10">
        <f t="shared" si="4"/>
        <v>5.112907004977054</v>
      </c>
      <c r="F88" s="10">
        <f t="shared" si="4"/>
        <v>6.713025114155245</v>
      </c>
      <c r="G88">
        <v>0</v>
      </c>
      <c r="H88">
        <v>0</v>
      </c>
      <c r="I88">
        <v>1</v>
      </c>
      <c r="J88">
        <v>1</v>
      </c>
      <c r="K88">
        <v>0</v>
      </c>
      <c r="L88">
        <v>0</v>
      </c>
      <c r="M88" s="10">
        <v>5.38</v>
      </c>
    </row>
    <row r="89" spans="2:13" ht="12.75">
      <c r="B89">
        <f t="shared" si="4"/>
        <v>2036</v>
      </c>
      <c r="C89">
        <f t="shared" si="4"/>
        <v>3000</v>
      </c>
      <c r="D89">
        <f t="shared" si="4"/>
        <v>3000</v>
      </c>
      <c r="E89" s="10">
        <f t="shared" si="4"/>
        <v>5.284774499790177</v>
      </c>
      <c r="F89" s="10">
        <f t="shared" si="4"/>
        <v>6.630472070431098</v>
      </c>
      <c r="G89">
        <v>0</v>
      </c>
      <c r="H89">
        <v>0</v>
      </c>
      <c r="I89">
        <v>1</v>
      </c>
      <c r="J89">
        <v>1</v>
      </c>
      <c r="K89">
        <v>0</v>
      </c>
      <c r="L89">
        <v>0</v>
      </c>
      <c r="M89" s="10">
        <v>5.63</v>
      </c>
    </row>
    <row r="90" spans="2:13" ht="12.75">
      <c r="B90">
        <f t="shared" si="4"/>
        <v>2037</v>
      </c>
      <c r="C90">
        <f t="shared" si="4"/>
        <v>3000</v>
      </c>
      <c r="D90">
        <f t="shared" si="4"/>
        <v>3000</v>
      </c>
      <c r="E90" s="10">
        <f t="shared" si="4"/>
        <v>5.5807770564484205</v>
      </c>
      <c r="F90" s="10">
        <f t="shared" si="4"/>
        <v>7.076799847792998</v>
      </c>
      <c r="G90">
        <v>0</v>
      </c>
      <c r="H90">
        <v>0</v>
      </c>
      <c r="I90">
        <v>1</v>
      </c>
      <c r="J90">
        <v>1</v>
      </c>
      <c r="K90">
        <v>0</v>
      </c>
      <c r="L90">
        <v>0</v>
      </c>
      <c r="M90" s="10">
        <v>6.18</v>
      </c>
    </row>
    <row r="91" spans="2:13" ht="12.75">
      <c r="B91">
        <f t="shared" si="4"/>
        <v>2038</v>
      </c>
      <c r="C91">
        <f t="shared" si="4"/>
        <v>3000</v>
      </c>
      <c r="D91">
        <f t="shared" si="4"/>
        <v>3000</v>
      </c>
      <c r="E91" s="10">
        <f t="shared" si="4"/>
        <v>5.71220131492689</v>
      </c>
      <c r="F91" s="10">
        <f t="shared" si="4"/>
        <v>7.103603500761035</v>
      </c>
      <c r="G91">
        <v>0</v>
      </c>
      <c r="H91">
        <v>0</v>
      </c>
      <c r="I91">
        <v>1</v>
      </c>
      <c r="J91">
        <v>1</v>
      </c>
      <c r="K91">
        <v>0</v>
      </c>
      <c r="L91">
        <v>0</v>
      </c>
      <c r="M91" s="10">
        <v>6.57</v>
      </c>
    </row>
    <row r="92" spans="2:13" ht="12.75">
      <c r="B92">
        <f t="shared" si="4"/>
        <v>2039</v>
      </c>
      <c r="C92">
        <f t="shared" si="4"/>
        <v>3000</v>
      </c>
      <c r="D92">
        <f t="shared" si="4"/>
        <v>3000</v>
      </c>
      <c r="E92" s="10">
        <f t="shared" si="4"/>
        <v>5.9311440074959005</v>
      </c>
      <c r="F92" s="10">
        <f t="shared" si="4"/>
        <v>7.110955098934546</v>
      </c>
      <c r="G92">
        <v>0</v>
      </c>
      <c r="H92">
        <v>0</v>
      </c>
      <c r="I92">
        <v>1</v>
      </c>
      <c r="J92">
        <v>1</v>
      </c>
      <c r="K92">
        <v>0</v>
      </c>
      <c r="L92">
        <v>0</v>
      </c>
      <c r="M92" s="10">
        <v>6.76</v>
      </c>
    </row>
    <row r="93" spans="2:13" ht="12.75">
      <c r="B93">
        <f aca="true" t="shared" si="5" ref="B93:F102">A36</f>
        <v>2040</v>
      </c>
      <c r="C93">
        <f t="shared" si="5"/>
        <v>3000</v>
      </c>
      <c r="D93">
        <f t="shared" si="5"/>
        <v>3000</v>
      </c>
      <c r="E93" s="10">
        <f t="shared" si="5"/>
        <v>5.999355829046514</v>
      </c>
      <c r="F93" s="10">
        <f t="shared" si="5"/>
        <v>7.651719034608379</v>
      </c>
      <c r="G93">
        <v>0</v>
      </c>
      <c r="H93">
        <v>0</v>
      </c>
      <c r="I93">
        <v>1</v>
      </c>
      <c r="J93">
        <v>1</v>
      </c>
      <c r="K93">
        <v>0</v>
      </c>
      <c r="L93">
        <v>0</v>
      </c>
      <c r="M93" s="10">
        <v>7.26</v>
      </c>
    </row>
    <row r="94" spans="2:13" ht="12.75">
      <c r="B94">
        <f t="shared" si="5"/>
        <v>2041</v>
      </c>
      <c r="C94">
        <f t="shared" si="5"/>
        <v>3000</v>
      </c>
      <c r="D94">
        <f t="shared" si="5"/>
        <v>3000</v>
      </c>
      <c r="E94" s="10">
        <f t="shared" si="5"/>
        <v>6.297281237877337</v>
      </c>
      <c r="F94" s="10">
        <f t="shared" si="5"/>
        <v>7.880669710806697</v>
      </c>
      <c r="G94">
        <v>0</v>
      </c>
      <c r="H94">
        <v>0</v>
      </c>
      <c r="I94">
        <v>1</v>
      </c>
      <c r="J94">
        <v>1</v>
      </c>
      <c r="K94">
        <v>0</v>
      </c>
      <c r="L94">
        <v>0</v>
      </c>
      <c r="M94" s="10">
        <v>7.3</v>
      </c>
    </row>
    <row r="95" spans="2:13" ht="12.75">
      <c r="B95">
        <f t="shared" si="5"/>
        <v>2042</v>
      </c>
      <c r="C95">
        <f t="shared" si="5"/>
        <v>3000</v>
      </c>
      <c r="D95">
        <f t="shared" si="5"/>
        <v>3000</v>
      </c>
      <c r="E95" s="10">
        <f t="shared" si="5"/>
        <v>6.592646795694974</v>
      </c>
      <c r="F95" s="10">
        <f t="shared" si="5"/>
        <v>8.425266362252664</v>
      </c>
      <c r="G95">
        <v>0</v>
      </c>
      <c r="H95">
        <v>0</v>
      </c>
      <c r="I95">
        <v>1</v>
      </c>
      <c r="J95">
        <v>1</v>
      </c>
      <c r="K95">
        <v>0</v>
      </c>
      <c r="L95">
        <v>0</v>
      </c>
      <c r="M95" s="10">
        <v>7.35</v>
      </c>
    </row>
    <row r="96" spans="2:13" ht="12.75">
      <c r="B96">
        <f t="shared" si="5"/>
        <v>2043</v>
      </c>
      <c r="C96">
        <f t="shared" si="5"/>
        <v>3000</v>
      </c>
      <c r="D96">
        <f t="shared" si="5"/>
        <v>3000</v>
      </c>
      <c r="E96" s="10">
        <f t="shared" si="5"/>
        <v>6.782797747058243</v>
      </c>
      <c r="F96" s="10">
        <f t="shared" si="5"/>
        <v>8.625266362252663</v>
      </c>
      <c r="G96">
        <v>0</v>
      </c>
      <c r="H96">
        <v>0</v>
      </c>
      <c r="I96">
        <v>1</v>
      </c>
      <c r="J96">
        <v>1</v>
      </c>
      <c r="K96">
        <v>0</v>
      </c>
      <c r="L96">
        <v>0</v>
      </c>
      <c r="M96" s="10">
        <v>8.21</v>
      </c>
    </row>
    <row r="97" spans="2:13" ht="12.75">
      <c r="B97">
        <f t="shared" si="5"/>
        <v>2044</v>
      </c>
      <c r="C97">
        <f t="shared" si="5"/>
        <v>3000</v>
      </c>
      <c r="D97">
        <f t="shared" si="5"/>
        <v>3000</v>
      </c>
      <c r="E97" s="10">
        <f t="shared" si="5"/>
        <v>6.682976687154445</v>
      </c>
      <c r="F97" s="10">
        <f t="shared" si="5"/>
        <v>8.293294626593806</v>
      </c>
      <c r="G97">
        <v>0</v>
      </c>
      <c r="H97">
        <v>0</v>
      </c>
      <c r="I97">
        <v>1</v>
      </c>
      <c r="J97">
        <v>1</v>
      </c>
      <c r="K97">
        <v>0</v>
      </c>
      <c r="L97">
        <v>0</v>
      </c>
      <c r="M97" s="10">
        <v>8.04</v>
      </c>
    </row>
    <row r="98" spans="2:13" ht="12.75">
      <c r="B98">
        <f t="shared" si="5"/>
        <v>2045</v>
      </c>
      <c r="C98">
        <f t="shared" si="5"/>
        <v>3000</v>
      </c>
      <c r="D98">
        <f t="shared" si="5"/>
        <v>3000</v>
      </c>
      <c r="E98" s="10">
        <f t="shared" si="5"/>
        <v>6.942588117858042</v>
      </c>
      <c r="F98" s="10">
        <f t="shared" si="5"/>
        <v>8.679459665144597</v>
      </c>
      <c r="G98">
        <v>0</v>
      </c>
      <c r="H98">
        <v>0</v>
      </c>
      <c r="I98">
        <v>1</v>
      </c>
      <c r="J98">
        <v>1</v>
      </c>
      <c r="K98">
        <v>0</v>
      </c>
      <c r="L98">
        <v>0</v>
      </c>
      <c r="M98" s="10">
        <v>8.31</v>
      </c>
    </row>
    <row r="99" spans="2:13" ht="12.75">
      <c r="B99">
        <f t="shared" si="5"/>
        <v>2046</v>
      </c>
      <c r="C99">
        <f t="shared" si="5"/>
        <v>0</v>
      </c>
      <c r="D99">
        <f t="shared" si="5"/>
        <v>0</v>
      </c>
      <c r="E99" s="10">
        <f t="shared" si="5"/>
        <v>7.185012159267403</v>
      </c>
      <c r="F99" s="10">
        <f t="shared" si="5"/>
        <v>8.82503805175038</v>
      </c>
      <c r="G99">
        <v>0</v>
      </c>
      <c r="H99">
        <v>0</v>
      </c>
      <c r="I99">
        <v>1</v>
      </c>
      <c r="J99">
        <v>1</v>
      </c>
      <c r="K99">
        <v>0</v>
      </c>
      <c r="L99">
        <v>0</v>
      </c>
      <c r="M99" s="10">
        <v>9.05</v>
      </c>
    </row>
    <row r="100" spans="2:13" ht="12.75">
      <c r="B100">
        <f t="shared" si="5"/>
        <v>2047</v>
      </c>
      <c r="C100">
        <f t="shared" si="5"/>
        <v>0</v>
      </c>
      <c r="D100">
        <f t="shared" si="5"/>
        <v>0</v>
      </c>
      <c r="E100" s="10">
        <f t="shared" si="5"/>
        <v>7.173671928555257</v>
      </c>
      <c r="F100" s="10">
        <f t="shared" si="5"/>
        <v>8.950521308980212</v>
      </c>
      <c r="G100">
        <v>0</v>
      </c>
      <c r="H100">
        <v>0</v>
      </c>
      <c r="I100">
        <v>1</v>
      </c>
      <c r="J100">
        <v>1</v>
      </c>
      <c r="K100">
        <v>0</v>
      </c>
      <c r="L100">
        <v>0</v>
      </c>
      <c r="M100" s="10">
        <v>8.99</v>
      </c>
    </row>
    <row r="101" spans="2:13" ht="12.75">
      <c r="B101">
        <f t="shared" si="5"/>
        <v>2048</v>
      </c>
      <c r="C101">
        <f t="shared" si="5"/>
        <v>0</v>
      </c>
      <c r="D101">
        <f t="shared" si="5"/>
        <v>0</v>
      </c>
      <c r="E101" s="10">
        <f t="shared" si="5"/>
        <v>7.1739999999999995</v>
      </c>
      <c r="F101" s="10">
        <f t="shared" si="5"/>
        <v>8.951</v>
      </c>
      <c r="G101">
        <v>0</v>
      </c>
      <c r="H101">
        <v>0</v>
      </c>
      <c r="I101">
        <v>1</v>
      </c>
      <c r="J101">
        <v>1</v>
      </c>
      <c r="K101">
        <v>0</v>
      </c>
      <c r="L101">
        <v>0</v>
      </c>
      <c r="M101" s="10">
        <v>9.37</v>
      </c>
    </row>
    <row r="102" spans="2:13" ht="12.75">
      <c r="B102">
        <f t="shared" si="5"/>
        <v>2049</v>
      </c>
      <c r="C102">
        <f t="shared" si="5"/>
        <v>0</v>
      </c>
      <c r="D102">
        <f t="shared" si="5"/>
        <v>0</v>
      </c>
      <c r="E102" s="10">
        <f t="shared" si="5"/>
        <v>7.1739999999999995</v>
      </c>
      <c r="F102" s="10">
        <f t="shared" si="5"/>
        <v>8.951</v>
      </c>
      <c r="G102">
        <v>0</v>
      </c>
      <c r="H102">
        <v>0</v>
      </c>
      <c r="I102">
        <v>1</v>
      </c>
      <c r="J102">
        <v>1</v>
      </c>
      <c r="K102">
        <v>0</v>
      </c>
      <c r="L102">
        <v>0</v>
      </c>
      <c r="M102" s="10">
        <v>9.75</v>
      </c>
    </row>
    <row r="103" spans="2:13" ht="12.75">
      <c r="B103">
        <f aca="true" t="shared" si="6" ref="B103:F104">A46</f>
        <v>2050</v>
      </c>
      <c r="C103">
        <f t="shared" si="6"/>
        <v>0</v>
      </c>
      <c r="D103">
        <f t="shared" si="6"/>
        <v>0</v>
      </c>
      <c r="E103" s="10">
        <f t="shared" si="6"/>
        <v>0</v>
      </c>
      <c r="F103" s="10">
        <f t="shared" si="6"/>
        <v>0</v>
      </c>
      <c r="G103">
        <v>0</v>
      </c>
      <c r="H103">
        <v>0</v>
      </c>
      <c r="I103">
        <v>1</v>
      </c>
      <c r="J103">
        <v>1</v>
      </c>
      <c r="K103">
        <v>0</v>
      </c>
      <c r="L103">
        <v>0</v>
      </c>
      <c r="M103" s="10">
        <v>0</v>
      </c>
    </row>
    <row r="104" spans="2:13" ht="12.75">
      <c r="B104">
        <f t="shared" si="6"/>
        <v>2051</v>
      </c>
      <c r="C104">
        <f t="shared" si="6"/>
        <v>0</v>
      </c>
      <c r="D104">
        <f t="shared" si="6"/>
        <v>0</v>
      </c>
      <c r="E104" s="10">
        <f t="shared" si="6"/>
        <v>0</v>
      </c>
      <c r="F104" s="10">
        <f t="shared" si="6"/>
        <v>0</v>
      </c>
      <c r="G104">
        <v>0</v>
      </c>
      <c r="H104">
        <v>0</v>
      </c>
      <c r="I104">
        <v>1</v>
      </c>
      <c r="J104">
        <v>1</v>
      </c>
      <c r="K104">
        <v>0</v>
      </c>
      <c r="L104">
        <v>0</v>
      </c>
      <c r="M104" s="10">
        <v>0</v>
      </c>
    </row>
    <row r="105" spans="2:13" ht="12.75">
      <c r="B105">
        <f aca="true" t="shared" si="7" ref="B105:B111">A48</f>
        <v>2052</v>
      </c>
      <c r="C105">
        <v>0</v>
      </c>
      <c r="D105">
        <f aca="true" t="shared" si="8" ref="D105:F111">C48</f>
        <v>0</v>
      </c>
      <c r="E105" s="10">
        <f t="shared" si="8"/>
        <v>0</v>
      </c>
      <c r="F105" s="10">
        <f t="shared" si="8"/>
        <v>0</v>
      </c>
      <c r="G105">
        <v>0</v>
      </c>
      <c r="H105">
        <v>0</v>
      </c>
      <c r="I105">
        <v>1</v>
      </c>
      <c r="J105">
        <v>1</v>
      </c>
      <c r="K105">
        <v>0</v>
      </c>
      <c r="L105">
        <v>0</v>
      </c>
      <c r="M105" s="10">
        <v>0</v>
      </c>
    </row>
    <row r="106" spans="2:13" ht="12.75">
      <c r="B106">
        <f t="shared" si="7"/>
        <v>2053</v>
      </c>
      <c r="C106">
        <v>0</v>
      </c>
      <c r="D106">
        <f t="shared" si="8"/>
        <v>0</v>
      </c>
      <c r="E106" s="10">
        <f t="shared" si="8"/>
        <v>0</v>
      </c>
      <c r="F106" s="10">
        <f t="shared" si="8"/>
        <v>0</v>
      </c>
      <c r="G106">
        <v>0</v>
      </c>
      <c r="H106">
        <v>0</v>
      </c>
      <c r="I106">
        <v>1</v>
      </c>
      <c r="J106">
        <v>1</v>
      </c>
      <c r="K106">
        <v>0</v>
      </c>
      <c r="L106">
        <v>0</v>
      </c>
      <c r="M106" s="10">
        <v>0</v>
      </c>
    </row>
    <row r="107" spans="2:13" ht="12.75">
      <c r="B107">
        <f t="shared" si="7"/>
        <v>2054</v>
      </c>
      <c r="C107">
        <v>0</v>
      </c>
      <c r="D107">
        <f t="shared" si="8"/>
        <v>0</v>
      </c>
      <c r="E107" s="10">
        <f t="shared" si="8"/>
        <v>0</v>
      </c>
      <c r="F107" s="10">
        <f t="shared" si="8"/>
        <v>0</v>
      </c>
      <c r="G107">
        <v>0</v>
      </c>
      <c r="H107">
        <v>0</v>
      </c>
      <c r="I107">
        <v>1</v>
      </c>
      <c r="J107">
        <v>1</v>
      </c>
      <c r="K107">
        <v>0</v>
      </c>
      <c r="L107">
        <v>0</v>
      </c>
      <c r="M107" s="10">
        <v>0</v>
      </c>
    </row>
    <row r="108" spans="2:13" ht="12.75">
      <c r="B108">
        <f t="shared" si="7"/>
        <v>2055</v>
      </c>
      <c r="C108">
        <v>0</v>
      </c>
      <c r="D108">
        <f t="shared" si="8"/>
        <v>0</v>
      </c>
      <c r="E108" s="10">
        <f t="shared" si="8"/>
        <v>0</v>
      </c>
      <c r="F108" s="10">
        <f t="shared" si="8"/>
        <v>0</v>
      </c>
      <c r="G108">
        <v>0</v>
      </c>
      <c r="H108">
        <v>0</v>
      </c>
      <c r="I108">
        <v>1</v>
      </c>
      <c r="J108">
        <v>1</v>
      </c>
      <c r="K108">
        <v>0</v>
      </c>
      <c r="L108">
        <v>0</v>
      </c>
      <c r="M108" s="10">
        <v>0</v>
      </c>
    </row>
    <row r="109" spans="2:13" ht="12.75">
      <c r="B109">
        <f t="shared" si="7"/>
        <v>2056</v>
      </c>
      <c r="C109">
        <v>0</v>
      </c>
      <c r="D109">
        <f t="shared" si="8"/>
        <v>0</v>
      </c>
      <c r="E109" s="10">
        <f t="shared" si="8"/>
        <v>0</v>
      </c>
      <c r="F109" s="10">
        <f t="shared" si="8"/>
        <v>0</v>
      </c>
      <c r="G109">
        <v>0</v>
      </c>
      <c r="H109">
        <v>0</v>
      </c>
      <c r="I109">
        <v>1</v>
      </c>
      <c r="J109">
        <v>1</v>
      </c>
      <c r="K109">
        <v>0</v>
      </c>
      <c r="L109">
        <v>0</v>
      </c>
      <c r="M109" s="10">
        <v>0</v>
      </c>
    </row>
    <row r="110" spans="2:13" ht="12.75">
      <c r="B110">
        <f t="shared" si="7"/>
        <v>2057</v>
      </c>
      <c r="C110">
        <v>0</v>
      </c>
      <c r="D110">
        <f t="shared" si="8"/>
        <v>0</v>
      </c>
      <c r="E110" s="10">
        <f t="shared" si="8"/>
        <v>0</v>
      </c>
      <c r="F110" s="10">
        <f t="shared" si="8"/>
        <v>0</v>
      </c>
      <c r="G110">
        <v>0</v>
      </c>
      <c r="H110">
        <v>0</v>
      </c>
      <c r="I110">
        <v>1</v>
      </c>
      <c r="J110">
        <v>1</v>
      </c>
      <c r="K110">
        <v>0</v>
      </c>
      <c r="L110">
        <v>0</v>
      </c>
      <c r="M110" s="10">
        <v>0</v>
      </c>
    </row>
    <row r="111" spans="2:13" ht="12.75">
      <c r="B111">
        <f t="shared" si="7"/>
        <v>2058</v>
      </c>
      <c r="C111">
        <v>0</v>
      </c>
      <c r="D111">
        <f t="shared" si="8"/>
        <v>0</v>
      </c>
      <c r="E111" s="10">
        <f t="shared" si="8"/>
        <v>0</v>
      </c>
      <c r="F111" s="10">
        <f t="shared" si="8"/>
        <v>0</v>
      </c>
      <c r="G111">
        <v>0</v>
      </c>
      <c r="H111">
        <v>0</v>
      </c>
      <c r="I111">
        <v>1</v>
      </c>
      <c r="J111">
        <v>1</v>
      </c>
      <c r="K111">
        <v>0</v>
      </c>
      <c r="L111">
        <v>0</v>
      </c>
      <c r="M111" s="10">
        <v>0</v>
      </c>
    </row>
    <row r="164" ht="12.75">
      <c r="S164" s="1"/>
    </row>
  </sheetData>
  <sheetProtection/>
  <printOptions/>
  <pageMargins left="0.75" right="0.75" top="1" bottom="1" header="0.5" footer="0.5"/>
  <pageSetup fitToHeight="1" fitToWidth="1" horizontalDpi="300" verticalDpi="300" orientation="portrait" scale="51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2:AE70"/>
  <sheetViews>
    <sheetView zoomScale="75" zoomScaleNormal="75" zoomScalePageLayoutView="0" workbookViewId="0" topLeftCell="A4">
      <selection activeCell="J29" sqref="J29"/>
    </sheetView>
  </sheetViews>
  <sheetFormatPr defaultColWidth="9.140625" defaultRowHeight="12.75"/>
  <cols>
    <col min="2" max="2" width="12.421875" style="0" customWidth="1"/>
    <col min="3" max="3" width="13.00390625" style="0" bestFit="1" customWidth="1"/>
    <col min="4" max="4" width="13.140625" style="0" bestFit="1" customWidth="1"/>
    <col min="5" max="5" width="14.421875" style="0" customWidth="1"/>
    <col min="6" max="6" width="11.8515625" style="0" customWidth="1"/>
    <col min="7" max="8" width="12.421875" style="0" customWidth="1"/>
    <col min="9" max="9" width="10.57421875" style="0" bestFit="1" customWidth="1"/>
    <col min="10" max="10" width="14.421875" style="0" customWidth="1"/>
    <col min="11" max="11" width="17.8515625" style="0" customWidth="1"/>
    <col min="14" max="14" width="12.8515625" style="0" customWidth="1"/>
    <col min="15" max="15" width="11.8515625" style="0" customWidth="1"/>
    <col min="16" max="16" width="10.57421875" style="0" customWidth="1"/>
    <col min="17" max="18" width="11.00390625" style="0" customWidth="1"/>
    <col min="19" max="19" width="19.57421875" style="0" bestFit="1" customWidth="1"/>
    <col min="20" max="20" width="9.8515625" style="0" bestFit="1" customWidth="1"/>
    <col min="21" max="21" width="10.421875" style="0" bestFit="1" customWidth="1"/>
    <col min="22" max="22" width="11.421875" style="0" bestFit="1" customWidth="1"/>
    <col min="23" max="23" width="11.00390625" style="0" bestFit="1" customWidth="1"/>
    <col min="24" max="24" width="9.421875" style="0" bestFit="1" customWidth="1"/>
    <col min="25" max="25" width="11.00390625" style="0" bestFit="1" customWidth="1"/>
  </cols>
  <sheetData>
    <row r="2" ht="12.75">
      <c r="AE2" s="1"/>
    </row>
    <row r="3" spans="3:11" ht="12.75">
      <c r="C3" s="156" t="s">
        <v>259</v>
      </c>
      <c r="D3" s="156"/>
      <c r="E3" s="156"/>
      <c r="F3" s="156"/>
      <c r="G3" s="156"/>
      <c r="H3" s="156"/>
      <c r="I3" s="156"/>
      <c r="J3" s="156"/>
      <c r="K3" t="s">
        <v>379</v>
      </c>
    </row>
    <row r="4" spans="5:11" ht="12.75">
      <c r="E4" s="34" t="s">
        <v>377</v>
      </c>
      <c r="F4">
        <f>+Title_RESULTS!H8</f>
        <v>2023</v>
      </c>
      <c r="G4" t="s">
        <v>378</v>
      </c>
      <c r="K4" t="s">
        <v>42</v>
      </c>
    </row>
    <row r="5" ht="12.75">
      <c r="K5" s="35">
        <f>+Title_RESULTS!I4</f>
        <v>43599.31995208334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</row>
    <row r="9" spans="1:11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</row>
    <row r="10" spans="1:13" ht="12.75">
      <c r="A10" s="6"/>
      <c r="B10" s="6" t="s">
        <v>260</v>
      </c>
      <c r="C10" s="6" t="s">
        <v>261</v>
      </c>
      <c r="D10" s="6" t="s">
        <v>25</v>
      </c>
      <c r="E10" s="6"/>
      <c r="F10" s="6"/>
      <c r="G10" s="6" t="s">
        <v>25</v>
      </c>
      <c r="H10" s="6" t="s">
        <v>25</v>
      </c>
      <c r="I10" s="6" t="s">
        <v>262</v>
      </c>
      <c r="J10" s="6" t="s">
        <v>263</v>
      </c>
      <c r="K10" s="6" t="s">
        <v>25</v>
      </c>
      <c r="M10" t="s">
        <v>278</v>
      </c>
    </row>
    <row r="11" spans="1:19" ht="12.75">
      <c r="A11" s="6"/>
      <c r="B11" s="6" t="s">
        <v>264</v>
      </c>
      <c r="C11" s="6" t="s">
        <v>265</v>
      </c>
      <c r="D11" s="6" t="s">
        <v>265</v>
      </c>
      <c r="E11" s="6" t="s">
        <v>262</v>
      </c>
      <c r="F11" s="6" t="s">
        <v>68</v>
      </c>
      <c r="G11" s="6" t="s">
        <v>44</v>
      </c>
      <c r="H11" s="6" t="s">
        <v>266</v>
      </c>
      <c r="I11" s="6" t="s">
        <v>50</v>
      </c>
      <c r="J11" s="6" t="s">
        <v>267</v>
      </c>
      <c r="K11" s="6" t="s">
        <v>267</v>
      </c>
      <c r="N11" t="s">
        <v>12</v>
      </c>
      <c r="O11" t="s">
        <v>13</v>
      </c>
      <c r="P11" t="s">
        <v>14</v>
      </c>
      <c r="Q11" t="s">
        <v>15</v>
      </c>
      <c r="R11" t="s">
        <v>16</v>
      </c>
      <c r="S11" t="s">
        <v>17</v>
      </c>
    </row>
    <row r="12" spans="1:18" ht="12.75">
      <c r="A12" s="6"/>
      <c r="B12" s="6" t="s">
        <v>268</v>
      </c>
      <c r="C12" s="6" t="s">
        <v>269</v>
      </c>
      <c r="D12" s="6" t="s">
        <v>37</v>
      </c>
      <c r="E12" s="6" t="s">
        <v>270</v>
      </c>
      <c r="F12" s="6" t="s">
        <v>266</v>
      </c>
      <c r="G12" s="6" t="s">
        <v>266</v>
      </c>
      <c r="H12" s="6" t="s">
        <v>271</v>
      </c>
      <c r="I12" s="6" t="s">
        <v>272</v>
      </c>
      <c r="J12" s="6" t="s">
        <v>273</v>
      </c>
      <c r="K12" s="6" t="s">
        <v>273</v>
      </c>
      <c r="N12" t="s">
        <v>279</v>
      </c>
      <c r="P12" t="s">
        <v>280</v>
      </c>
      <c r="R12" t="s">
        <v>281</v>
      </c>
    </row>
    <row r="13" spans="1:19" ht="12.75">
      <c r="A13" s="27" t="s">
        <v>35</v>
      </c>
      <c r="B13" s="27"/>
      <c r="C13" s="27" t="s">
        <v>274</v>
      </c>
      <c r="D13" s="27"/>
      <c r="E13" s="27" t="s">
        <v>274</v>
      </c>
      <c r="F13" s="27" t="s">
        <v>275</v>
      </c>
      <c r="G13" s="27" t="s">
        <v>275</v>
      </c>
      <c r="H13" s="27" t="s">
        <v>275</v>
      </c>
      <c r="I13" s="27" t="s">
        <v>275</v>
      </c>
      <c r="J13" s="27" t="s">
        <v>275</v>
      </c>
      <c r="K13" s="27" t="s">
        <v>275</v>
      </c>
      <c r="M13" t="s">
        <v>35</v>
      </c>
      <c r="N13" t="s">
        <v>282</v>
      </c>
      <c r="O13" t="s">
        <v>283</v>
      </c>
      <c r="P13" t="s">
        <v>284</v>
      </c>
      <c r="Q13" t="s">
        <v>285</v>
      </c>
      <c r="R13" t="s">
        <v>33</v>
      </c>
      <c r="S13" t="s">
        <v>34</v>
      </c>
    </row>
    <row r="14" spans="1:19" ht="12.75">
      <c r="A14">
        <f aca="true" t="shared" si="0" ref="A14:A24">A15-1</f>
        <v>2011</v>
      </c>
      <c r="C14">
        <v>0</v>
      </c>
      <c r="D14" s="8">
        <v>1</v>
      </c>
      <c r="E14">
        <v>0</v>
      </c>
      <c r="F14">
        <v>0</v>
      </c>
      <c r="G14">
        <v>0</v>
      </c>
      <c r="H14" s="10">
        <f aca="true" t="shared" si="1" ref="H14:H25">+F14</f>
        <v>0</v>
      </c>
      <c r="I14" s="10">
        <f aca="true" t="shared" si="2" ref="I14:I25">+H14-G14</f>
        <v>0</v>
      </c>
      <c r="J14" s="10">
        <f aca="true" t="shared" si="3" ref="J14:J21">H14</f>
        <v>0</v>
      </c>
      <c r="K14" s="10">
        <f>+J14</f>
        <v>0</v>
      </c>
      <c r="N14" t="s">
        <v>39</v>
      </c>
      <c r="O14" t="s">
        <v>39</v>
      </c>
      <c r="P14" t="s">
        <v>39</v>
      </c>
      <c r="Q14" t="s">
        <v>39</v>
      </c>
      <c r="R14" t="s">
        <v>39</v>
      </c>
      <c r="S14" t="s">
        <v>39</v>
      </c>
    </row>
    <row r="15" spans="1:19" ht="12.75">
      <c r="A15">
        <f t="shared" si="0"/>
        <v>2012</v>
      </c>
      <c r="C15">
        <v>0</v>
      </c>
      <c r="D15" s="8">
        <v>1</v>
      </c>
      <c r="E15">
        <v>0</v>
      </c>
      <c r="F15">
        <v>0</v>
      </c>
      <c r="G15">
        <v>0</v>
      </c>
      <c r="H15" s="10">
        <f t="shared" si="1"/>
        <v>0</v>
      </c>
      <c r="I15" s="10">
        <f t="shared" si="2"/>
        <v>0</v>
      </c>
      <c r="J15" s="10">
        <f t="shared" si="3"/>
        <v>0</v>
      </c>
      <c r="K15" s="10">
        <f>K14+J15</f>
        <v>0</v>
      </c>
      <c r="M15">
        <f>+Title_RESULTS!H7</f>
        <v>2020</v>
      </c>
      <c r="N15">
        <v>0</v>
      </c>
      <c r="O15" s="9">
        <f>(+Title_RESULTS!$C$10*(Partcipation!$C16)*(Partcipation!$L16/100))/1000</f>
        <v>0</v>
      </c>
      <c r="P15">
        <v>0</v>
      </c>
      <c r="Q15">
        <v>0</v>
      </c>
      <c r="R15">
        <v>0</v>
      </c>
      <c r="S15" s="9">
        <f>(+Title_RESULTS!$C$10*(Partcipation!$C16)*(Partcipation!$L16/100))/1000</f>
        <v>0</v>
      </c>
    </row>
    <row r="16" spans="1:19" ht="12.75">
      <c r="A16">
        <f t="shared" si="0"/>
        <v>2013</v>
      </c>
      <c r="C16">
        <v>0</v>
      </c>
      <c r="D16" s="8">
        <v>1</v>
      </c>
      <c r="E16">
        <v>0</v>
      </c>
      <c r="F16">
        <v>0</v>
      </c>
      <c r="G16">
        <v>0</v>
      </c>
      <c r="H16" s="10">
        <f t="shared" si="1"/>
        <v>0</v>
      </c>
      <c r="I16" s="10">
        <f t="shared" si="2"/>
        <v>0</v>
      </c>
      <c r="J16" s="10">
        <f t="shared" si="3"/>
        <v>0</v>
      </c>
      <c r="K16" s="10">
        <f aca="true" t="shared" si="4" ref="K16:K25">K15+J16</f>
        <v>0</v>
      </c>
      <c r="M16">
        <f aca="true" t="shared" si="5" ref="M16:M52">+M15+1</f>
        <v>2021</v>
      </c>
      <c r="N16">
        <v>0</v>
      </c>
      <c r="O16" s="9">
        <f>(+Title_RESULTS!$C$10*(Partcipation!$C17)*(Partcipation!$L17/100))/1000</f>
        <v>0</v>
      </c>
      <c r="P16">
        <v>0</v>
      </c>
      <c r="Q16">
        <v>0</v>
      </c>
      <c r="R16">
        <v>0</v>
      </c>
      <c r="S16" s="9">
        <f>(+Title_RESULTS!$C$10*(Partcipation!$C17)*(Partcipation!$L17/100))/1000</f>
        <v>0</v>
      </c>
    </row>
    <row r="17" spans="1:19" ht="12.75">
      <c r="A17">
        <f t="shared" si="0"/>
        <v>2014</v>
      </c>
      <c r="C17">
        <v>0</v>
      </c>
      <c r="D17" s="8">
        <v>1</v>
      </c>
      <c r="E17">
        <v>0</v>
      </c>
      <c r="F17">
        <v>0</v>
      </c>
      <c r="G17">
        <v>0</v>
      </c>
      <c r="H17" s="10">
        <f t="shared" si="1"/>
        <v>0</v>
      </c>
      <c r="I17" s="10">
        <f t="shared" si="2"/>
        <v>0</v>
      </c>
      <c r="J17" s="10">
        <f t="shared" si="3"/>
        <v>0</v>
      </c>
      <c r="K17" s="10">
        <f t="shared" si="4"/>
        <v>0</v>
      </c>
      <c r="M17">
        <f t="shared" si="5"/>
        <v>2022</v>
      </c>
      <c r="N17">
        <v>0</v>
      </c>
      <c r="O17" s="9">
        <f>(+Title_RESULTS!$C$10*(Partcipation!$C18)*(Partcipation!$L18/100))/1000</f>
        <v>0</v>
      </c>
      <c r="P17">
        <v>0</v>
      </c>
      <c r="Q17">
        <v>0</v>
      </c>
      <c r="R17">
        <v>0</v>
      </c>
      <c r="S17" s="9">
        <f>(+Title_RESULTS!$C$10*(Partcipation!$C18)*(Partcipation!$L18/100))/1000</f>
        <v>0</v>
      </c>
    </row>
    <row r="18" spans="1:19" ht="12.75">
      <c r="A18">
        <f t="shared" si="0"/>
        <v>2015</v>
      </c>
      <c r="C18">
        <v>0</v>
      </c>
      <c r="D18" s="8">
        <v>1</v>
      </c>
      <c r="E18">
        <v>0</v>
      </c>
      <c r="F18">
        <v>0</v>
      </c>
      <c r="G18">
        <v>0</v>
      </c>
      <c r="H18" s="10">
        <f t="shared" si="1"/>
        <v>0</v>
      </c>
      <c r="I18" s="10">
        <f t="shared" si="2"/>
        <v>0</v>
      </c>
      <c r="J18" s="10">
        <f t="shared" si="3"/>
        <v>0</v>
      </c>
      <c r="K18" s="10">
        <f t="shared" si="4"/>
        <v>0</v>
      </c>
      <c r="M18">
        <f t="shared" si="5"/>
        <v>2023</v>
      </c>
      <c r="N18">
        <v>0</v>
      </c>
      <c r="O18" s="9">
        <f>(+Title_RESULTS!$C$10*(Partcipation!$C19)*(Partcipation!$L19/100))/1000</f>
        <v>0</v>
      </c>
      <c r="P18">
        <v>0</v>
      </c>
      <c r="Q18">
        <v>0</v>
      </c>
      <c r="R18">
        <v>0</v>
      </c>
      <c r="S18" s="9">
        <f>(+Title_RESULTS!$C$10*(Partcipation!$C19)*(Partcipation!$L19/100))/1000</f>
        <v>0</v>
      </c>
    </row>
    <row r="19" spans="1:19" ht="12.75">
      <c r="A19">
        <f t="shared" si="0"/>
        <v>2016</v>
      </c>
      <c r="C19">
        <v>0</v>
      </c>
      <c r="D19" s="8">
        <v>1</v>
      </c>
      <c r="E19">
        <v>0</v>
      </c>
      <c r="F19">
        <v>0</v>
      </c>
      <c r="G19">
        <v>0</v>
      </c>
      <c r="H19" s="10">
        <f t="shared" si="1"/>
        <v>0</v>
      </c>
      <c r="I19" s="10">
        <f t="shared" si="2"/>
        <v>0</v>
      </c>
      <c r="J19" s="10">
        <f t="shared" si="3"/>
        <v>0</v>
      </c>
      <c r="K19" s="10">
        <f t="shared" si="4"/>
        <v>0</v>
      </c>
      <c r="M19">
        <f t="shared" si="5"/>
        <v>2024</v>
      </c>
      <c r="N19">
        <v>0</v>
      </c>
      <c r="O19" s="9">
        <f>(+Title_RESULTS!$C$10*(Partcipation!$C20)*(Partcipation!$L20/100))/1000</f>
        <v>0</v>
      </c>
      <c r="P19">
        <v>0</v>
      </c>
      <c r="Q19">
        <v>0</v>
      </c>
      <c r="R19">
        <v>0</v>
      </c>
      <c r="S19" s="9">
        <f>(+Title_RESULTS!$C$10*(Partcipation!$C20)*(Partcipation!$L20/100))/1000</f>
        <v>0</v>
      </c>
    </row>
    <row r="20" spans="1:19" ht="12.75">
      <c r="A20">
        <f t="shared" si="0"/>
        <v>2017</v>
      </c>
      <c r="C20">
        <v>0</v>
      </c>
      <c r="D20" s="8">
        <v>1</v>
      </c>
      <c r="E20">
        <v>0</v>
      </c>
      <c r="F20">
        <v>0</v>
      </c>
      <c r="G20">
        <v>0</v>
      </c>
      <c r="H20" s="10">
        <f t="shared" si="1"/>
        <v>0</v>
      </c>
      <c r="I20" s="10">
        <f t="shared" si="2"/>
        <v>0</v>
      </c>
      <c r="J20" s="10">
        <f t="shared" si="3"/>
        <v>0</v>
      </c>
      <c r="K20" s="10">
        <f t="shared" si="4"/>
        <v>0</v>
      </c>
      <c r="M20">
        <f t="shared" si="5"/>
        <v>2025</v>
      </c>
      <c r="N20">
        <v>0</v>
      </c>
      <c r="O20" s="9">
        <f>(+Title_RESULTS!$C$10*(Partcipation!$C21)*(Partcipation!$L21/100))/1000</f>
        <v>0</v>
      </c>
      <c r="P20">
        <v>0</v>
      </c>
      <c r="Q20">
        <v>0</v>
      </c>
      <c r="R20">
        <v>0</v>
      </c>
      <c r="S20" s="9">
        <f>(+Title_RESULTS!$C$10*(Partcipation!$C21)*(Partcipation!$L21/100))/1000</f>
        <v>0</v>
      </c>
    </row>
    <row r="21" spans="1:19" ht="12.75">
      <c r="A21">
        <f t="shared" si="0"/>
        <v>2018</v>
      </c>
      <c r="B21">
        <v>-5</v>
      </c>
      <c r="C21">
        <v>0.024</v>
      </c>
      <c r="D21" s="8">
        <v>1</v>
      </c>
      <c r="E21">
        <v>0</v>
      </c>
      <c r="F21">
        <v>0</v>
      </c>
      <c r="G21">
        <v>0</v>
      </c>
      <c r="H21" s="10">
        <f t="shared" si="1"/>
        <v>0</v>
      </c>
      <c r="I21" s="10">
        <f t="shared" si="2"/>
        <v>0</v>
      </c>
      <c r="J21" s="10">
        <f t="shared" si="3"/>
        <v>0</v>
      </c>
      <c r="K21" s="10">
        <f t="shared" si="4"/>
        <v>0</v>
      </c>
      <c r="M21">
        <f t="shared" si="5"/>
        <v>2026</v>
      </c>
      <c r="N21">
        <v>0</v>
      </c>
      <c r="O21" s="9">
        <f>(+Title_RESULTS!$C$10*(Partcipation!$C22)*(Partcipation!$L22/100))/1000</f>
        <v>0</v>
      </c>
      <c r="P21">
        <v>0</v>
      </c>
      <c r="Q21">
        <v>0</v>
      </c>
      <c r="R21">
        <v>0</v>
      </c>
      <c r="S21" s="9">
        <f>(+Title_RESULTS!$C$10*(Partcipation!$C22)*(Partcipation!$L22/100))/1000</f>
        <v>0</v>
      </c>
    </row>
    <row r="22" spans="1:19" ht="12.75">
      <c r="A22">
        <f t="shared" si="0"/>
        <v>2019</v>
      </c>
      <c r="B22">
        <v>-4</v>
      </c>
      <c r="C22">
        <v>0.024</v>
      </c>
      <c r="D22" s="8">
        <f>+D21*1.024</f>
        <v>1.024</v>
      </c>
      <c r="E22">
        <v>0</v>
      </c>
      <c r="F22">
        <v>0</v>
      </c>
      <c r="G22">
        <v>0</v>
      </c>
      <c r="H22" s="10">
        <f t="shared" si="1"/>
        <v>0</v>
      </c>
      <c r="I22" s="10">
        <f t="shared" si="2"/>
        <v>0</v>
      </c>
      <c r="J22" s="10">
        <f>H22</f>
        <v>0</v>
      </c>
      <c r="K22" s="10">
        <f t="shared" si="4"/>
        <v>0</v>
      </c>
      <c r="M22">
        <f t="shared" si="5"/>
        <v>2027</v>
      </c>
      <c r="N22">
        <v>0</v>
      </c>
      <c r="O22" s="9">
        <f>(+Title_RESULTS!$C$10*(Partcipation!$C23)*(Partcipation!$L23/100))/1000</f>
        <v>0</v>
      </c>
      <c r="P22">
        <v>0</v>
      </c>
      <c r="Q22">
        <v>0</v>
      </c>
      <c r="R22">
        <v>0</v>
      </c>
      <c r="S22" s="9">
        <f>(+Title_RESULTS!$C$10*(Partcipation!$C23)*(Partcipation!$L23/100))/1000</f>
        <v>0</v>
      </c>
    </row>
    <row r="23" spans="1:19" ht="12.75">
      <c r="A23">
        <f t="shared" si="0"/>
        <v>2020</v>
      </c>
      <c r="B23">
        <v>-3</v>
      </c>
      <c r="C23">
        <v>0.024</v>
      </c>
      <c r="D23" s="8">
        <f>+D22*1.024</f>
        <v>1.048576</v>
      </c>
      <c r="E23" s="10">
        <f>'Spending Curve'!F6</f>
        <v>0.19510218303564666</v>
      </c>
      <c r="F23" s="10">
        <f>'Spending Curve'!L13</f>
        <v>112.82461103253182</v>
      </c>
      <c r="G23" s="10">
        <f>'Spending Curve'!H13</f>
        <v>109.29420084865629</v>
      </c>
      <c r="H23" s="10">
        <f t="shared" si="1"/>
        <v>112.82461103253182</v>
      </c>
      <c r="I23" s="10">
        <f t="shared" si="2"/>
        <v>3.5304101838755315</v>
      </c>
      <c r="J23" s="10">
        <f>H23</f>
        <v>112.82461103253182</v>
      </c>
      <c r="K23" s="10">
        <f t="shared" si="4"/>
        <v>112.82461103253182</v>
      </c>
      <c r="M23">
        <f t="shared" si="5"/>
        <v>2028</v>
      </c>
      <c r="N23">
        <v>0</v>
      </c>
      <c r="O23" s="9">
        <f>(+Title_RESULTS!$C$10*(Partcipation!$C24)*(Partcipation!$L24/100))/1000</f>
        <v>0</v>
      </c>
      <c r="P23">
        <v>0</v>
      </c>
      <c r="Q23">
        <v>0</v>
      </c>
      <c r="R23">
        <v>0</v>
      </c>
      <c r="S23" s="9">
        <f>(+Title_RESULTS!$C$10*(Partcipation!$C24)*(Partcipation!$L24/100))/1000</f>
        <v>0</v>
      </c>
    </row>
    <row r="24" spans="1:19" ht="12.75">
      <c r="A24">
        <f t="shared" si="0"/>
        <v>2021</v>
      </c>
      <c r="B24">
        <v>-2</v>
      </c>
      <c r="C24">
        <v>0.024</v>
      </c>
      <c r="D24" s="8">
        <f>+D23*1.024</f>
        <v>1.073741824</v>
      </c>
      <c r="E24" s="10">
        <f>'Spending Curve'!F7</f>
        <v>0.5594009907739854</v>
      </c>
      <c r="F24" s="10">
        <f>'Spending Curve'!L14</f>
        <v>330.5516265912305</v>
      </c>
      <c r="G24" s="10">
        <f>'Spending Curve'!H14</f>
        <v>313.37057991513433</v>
      </c>
      <c r="H24" s="10">
        <f t="shared" si="1"/>
        <v>330.5516265912305</v>
      </c>
      <c r="I24" s="10">
        <f t="shared" si="2"/>
        <v>17.181046676096173</v>
      </c>
      <c r="J24" s="10">
        <f>H24</f>
        <v>330.5516265912305</v>
      </c>
      <c r="K24" s="10">
        <f t="shared" si="4"/>
        <v>443.37623762376234</v>
      </c>
      <c r="M24">
        <f t="shared" si="5"/>
        <v>2029</v>
      </c>
      <c r="N24">
        <v>0</v>
      </c>
      <c r="O24" s="9">
        <f>(+Title_RESULTS!$C$10*(Partcipation!$C25)*(Partcipation!$L25/100))/1000</f>
        <v>0</v>
      </c>
      <c r="P24">
        <v>0</v>
      </c>
      <c r="Q24">
        <v>0</v>
      </c>
      <c r="R24">
        <v>0</v>
      </c>
      <c r="S24" s="9">
        <f>(+Title_RESULTS!$C$10*(Partcipation!$C25)*(Partcipation!$L25/100))/1000</f>
        <v>0</v>
      </c>
    </row>
    <row r="25" spans="1:19" ht="12.75">
      <c r="A25">
        <f>A26-1</f>
        <v>2022</v>
      </c>
      <c r="B25">
        <v>-1</v>
      </c>
      <c r="C25">
        <v>0.024</v>
      </c>
      <c r="D25" s="8">
        <f>+D24*1.024</f>
        <v>1.0995116277760002</v>
      </c>
      <c r="E25" s="10">
        <f>'Spending Curve'!F8</f>
        <v>0.24549682619036797</v>
      </c>
      <c r="F25" s="10">
        <f>'Spending Curve'!L15</f>
        <v>169.27298444130125</v>
      </c>
      <c r="G25" s="10">
        <f>'Spending Curve'!H15</f>
        <v>137.5247524752475</v>
      </c>
      <c r="H25" s="10">
        <f t="shared" si="1"/>
        <v>169.27298444130125</v>
      </c>
      <c r="I25" s="10">
        <f t="shared" si="2"/>
        <v>31.748231966053737</v>
      </c>
      <c r="J25" s="10">
        <f>H25</f>
        <v>169.27298444130125</v>
      </c>
      <c r="K25" s="10">
        <f t="shared" si="4"/>
        <v>612.6492220650636</v>
      </c>
      <c r="M25">
        <f t="shared" si="5"/>
        <v>2030</v>
      </c>
      <c r="N25">
        <v>0</v>
      </c>
      <c r="O25" s="9">
        <f>(+Title_RESULTS!$C$10*(Partcipation!$C26)*(Partcipation!$L26/100))/1000</f>
        <v>0</v>
      </c>
      <c r="P25">
        <v>0</v>
      </c>
      <c r="Q25">
        <v>0</v>
      </c>
      <c r="R25">
        <v>0</v>
      </c>
      <c r="S25" s="9">
        <f>(+Title_RESULTS!$C$10*(Partcipation!$C26)*(Partcipation!$L26/100))/1000</f>
        <v>0</v>
      </c>
    </row>
    <row r="26" spans="1:19" ht="12.75">
      <c r="A26">
        <f>C29</f>
        <v>2023</v>
      </c>
      <c r="B26" s="26">
        <v>0</v>
      </c>
      <c r="C26" s="26">
        <v>0.024</v>
      </c>
      <c r="D26" s="45">
        <f>+D25*1.024</f>
        <v>1.1258999068426243</v>
      </c>
      <c r="E26" s="46">
        <f>'Spending Curve'!F9</f>
        <v>0</v>
      </c>
      <c r="F26" s="45">
        <f>'Spending Curve'!L16</f>
        <v>0</v>
      </c>
      <c r="G26" s="45">
        <f>'Spending Curve'!H16</f>
        <v>0</v>
      </c>
      <c r="H26" s="46">
        <f>+F26</f>
        <v>0</v>
      </c>
      <c r="I26" s="46">
        <f>+H26-G26</f>
        <v>0</v>
      </c>
      <c r="J26" s="46">
        <f>H26</f>
        <v>0</v>
      </c>
      <c r="K26" s="46">
        <v>0</v>
      </c>
      <c r="M26">
        <f t="shared" si="5"/>
        <v>2031</v>
      </c>
      <c r="N26">
        <v>0</v>
      </c>
      <c r="O26" s="9">
        <f>(+Title_RESULTS!$C$10*(Partcipation!$C27)*(Partcipation!$L27/100))/1000</f>
        <v>0</v>
      </c>
      <c r="P26">
        <v>0</v>
      </c>
      <c r="Q26">
        <v>0</v>
      </c>
      <c r="R26">
        <v>0</v>
      </c>
      <c r="S26" s="9">
        <f>(+Title_RESULTS!$C$10*(Partcipation!$C27)*(Partcipation!$L27/100))/1000</f>
        <v>0</v>
      </c>
    </row>
    <row r="27" spans="13:19" ht="12.75">
      <c r="M27">
        <f t="shared" si="5"/>
        <v>2032</v>
      </c>
      <c r="N27">
        <v>0</v>
      </c>
      <c r="O27" s="9">
        <f>(+Title_RESULTS!$C$10*(Partcipation!$C28)*(Partcipation!$L28/100))/1000</f>
        <v>0</v>
      </c>
      <c r="P27">
        <v>0</v>
      </c>
      <c r="Q27">
        <v>0</v>
      </c>
      <c r="R27">
        <v>0</v>
      </c>
      <c r="S27" s="9">
        <f>(+Title_RESULTS!$C$10*(Partcipation!$C28)*(Partcipation!$L28/100))/1000</f>
        <v>0</v>
      </c>
    </row>
    <row r="28" spans="6:19" ht="12.75">
      <c r="F28" s="10"/>
      <c r="M28">
        <f t="shared" si="5"/>
        <v>2033</v>
      </c>
      <c r="N28">
        <v>0</v>
      </c>
      <c r="O28" s="9">
        <f>(+Title_RESULTS!$C$10*(Partcipation!$C29)*(Partcipation!$L29/100))/1000</f>
        <v>0</v>
      </c>
      <c r="P28">
        <v>0</v>
      </c>
      <c r="Q28">
        <v>0</v>
      </c>
      <c r="R28">
        <v>0</v>
      </c>
      <c r="S28" s="9">
        <f>(+Title_RESULTS!$C$10*(Partcipation!$C29)*(Partcipation!$L29/100))/1000</f>
        <v>0</v>
      </c>
    </row>
    <row r="29" spans="1:19" ht="12.75">
      <c r="A29" t="s">
        <v>276</v>
      </c>
      <c r="C29">
        <f>+Title_RESULTS!H8</f>
        <v>2023</v>
      </c>
      <c r="J29" s="10">
        <f>SUM(J16:J28)</f>
        <v>612.6492220650636</v>
      </c>
      <c r="M29">
        <f t="shared" si="5"/>
        <v>2034</v>
      </c>
      <c r="N29">
        <v>0</v>
      </c>
      <c r="O29" s="9">
        <f>(+Title_RESULTS!$C$10*(Partcipation!$C30)*(Partcipation!$L30/100))/1000</f>
        <v>0</v>
      </c>
      <c r="P29">
        <v>0</v>
      </c>
      <c r="Q29">
        <v>0</v>
      </c>
      <c r="R29">
        <v>0</v>
      </c>
      <c r="S29" s="9">
        <f>(+Title_RESULTS!$C$10*(Partcipation!$C30)*(Partcipation!$L30/100))/1000</f>
        <v>0</v>
      </c>
    </row>
    <row r="30" spans="6:19" ht="12.75">
      <c r="F30" s="10"/>
      <c r="I30" s="37"/>
      <c r="M30">
        <f t="shared" si="5"/>
        <v>2035</v>
      </c>
      <c r="N30">
        <v>0</v>
      </c>
      <c r="O30" s="9">
        <f>(+Title_RESULTS!$C$10*(Partcipation!$C31)*(Partcipation!$L31/100))/1000</f>
        <v>0</v>
      </c>
      <c r="P30">
        <v>0</v>
      </c>
      <c r="Q30">
        <v>0</v>
      </c>
      <c r="R30">
        <v>0</v>
      </c>
      <c r="S30" s="9">
        <f>(+Title_RESULTS!$C$10*(Partcipation!$C31)*(Partcipation!$L31/100))/1000</f>
        <v>0</v>
      </c>
    </row>
    <row r="31" spans="1:19" ht="12.75">
      <c r="A31" s="140" t="s">
        <v>466</v>
      </c>
      <c r="B31" s="117"/>
      <c r="C31" s="10">
        <f>+Title_RESULTS!H10</f>
        <v>526.3</v>
      </c>
      <c r="I31" s="37"/>
      <c r="J31" s="10"/>
      <c r="M31">
        <f t="shared" si="5"/>
        <v>2036</v>
      </c>
      <c r="N31">
        <v>0</v>
      </c>
      <c r="O31" s="9">
        <f>(+Title_RESULTS!$C$10*(Partcipation!$C32)*(Partcipation!$L32/100))/1000</f>
        <v>0</v>
      </c>
      <c r="P31">
        <v>0</v>
      </c>
      <c r="Q31">
        <v>0</v>
      </c>
      <c r="R31">
        <v>0</v>
      </c>
      <c r="S31" s="9">
        <f>(+Title_RESULTS!$C$10*(Partcipation!$C32)*(Partcipation!$L32/100))/1000</f>
        <v>0</v>
      </c>
    </row>
    <row r="32" spans="1:19" ht="12.75">
      <c r="A32" t="s">
        <v>277</v>
      </c>
      <c r="C32" s="47">
        <f>+Title_RESULTS!C38</f>
        <v>0.0646</v>
      </c>
      <c r="I32" s="37"/>
      <c r="M32">
        <f t="shared" si="5"/>
        <v>2037</v>
      </c>
      <c r="N32">
        <v>0</v>
      </c>
      <c r="O32" s="9">
        <f>(+Title_RESULTS!$C$10*(Partcipation!$C33)*(Partcipation!$L33/100))/1000</f>
        <v>0</v>
      </c>
      <c r="P32">
        <v>0</v>
      </c>
      <c r="Q32">
        <v>0</v>
      </c>
      <c r="R32">
        <v>0</v>
      </c>
      <c r="S32" s="9">
        <f>(+Title_RESULTS!$C$10*(Partcipation!$C33)*(Partcipation!$L33/100))/1000</f>
        <v>0</v>
      </c>
    </row>
    <row r="33" spans="9:19" ht="12.75">
      <c r="I33" s="37"/>
      <c r="M33">
        <f t="shared" si="5"/>
        <v>2038</v>
      </c>
      <c r="N33">
        <v>0</v>
      </c>
      <c r="O33" s="9">
        <f>(+Title_RESULTS!$C$10*(Partcipation!$C34)*(Partcipation!$L34/100))/1000</f>
        <v>0</v>
      </c>
      <c r="P33">
        <v>0</v>
      </c>
      <c r="Q33">
        <v>0</v>
      </c>
      <c r="R33">
        <v>0</v>
      </c>
      <c r="S33" s="9">
        <f>(+Title_RESULTS!$C$10*(Partcipation!$C34)*(Partcipation!$L34/100))/1000</f>
        <v>0</v>
      </c>
    </row>
    <row r="34" spans="9:19" ht="12.75">
      <c r="I34" s="37"/>
      <c r="M34">
        <f t="shared" si="5"/>
        <v>2039</v>
      </c>
      <c r="N34">
        <v>0</v>
      </c>
      <c r="O34" s="9">
        <f>(+Title_RESULTS!$C$10*(Partcipation!$C35)*(Partcipation!$L35/100))/1000</f>
        <v>0</v>
      </c>
      <c r="P34">
        <v>0</v>
      </c>
      <c r="Q34">
        <v>0</v>
      </c>
      <c r="R34">
        <v>0</v>
      </c>
      <c r="S34" s="9">
        <f>(+Title_RESULTS!$C$10*(Partcipation!$C35)*(Partcipation!$L35/100))/1000</f>
        <v>0</v>
      </c>
    </row>
    <row r="35" spans="6:19" ht="12.75">
      <c r="F35" s="8"/>
      <c r="G35" s="8"/>
      <c r="H35" s="10"/>
      <c r="J35" s="10"/>
      <c r="M35">
        <f t="shared" si="5"/>
        <v>2040</v>
      </c>
      <c r="N35">
        <v>0</v>
      </c>
      <c r="O35" s="9">
        <f>(+Title_RESULTS!$C$10*(Partcipation!$C36)*(Partcipation!$L36/100))/1000</f>
        <v>0</v>
      </c>
      <c r="P35">
        <v>0</v>
      </c>
      <c r="Q35">
        <v>0</v>
      </c>
      <c r="R35">
        <v>0</v>
      </c>
      <c r="S35" s="9">
        <f>(+Title_RESULTS!$C$10*(Partcipation!$C36)*(Partcipation!$L36/100))/1000</f>
        <v>0</v>
      </c>
    </row>
    <row r="36" spans="6:19" ht="12.75">
      <c r="F36" s="11"/>
      <c r="G36" s="8"/>
      <c r="H36" s="10"/>
      <c r="M36">
        <f t="shared" si="5"/>
        <v>2041</v>
      </c>
      <c r="N36">
        <v>0</v>
      </c>
      <c r="O36" s="9">
        <f>(+Title_RESULTS!$C$10*(Partcipation!$C37)*(Partcipation!$L37/100))/1000</f>
        <v>0</v>
      </c>
      <c r="P36">
        <v>0</v>
      </c>
      <c r="Q36">
        <v>0</v>
      </c>
      <c r="R36">
        <v>0</v>
      </c>
      <c r="S36" s="9">
        <f>(+Title_RESULTS!$C$10*(Partcipation!$C37)*(Partcipation!$L37/100))/1000</f>
        <v>0</v>
      </c>
    </row>
    <row r="37" spans="6:19" ht="12.75">
      <c r="F37" s="8"/>
      <c r="H37" s="10"/>
      <c r="M37">
        <f t="shared" si="5"/>
        <v>2042</v>
      </c>
      <c r="N37">
        <v>0</v>
      </c>
      <c r="O37" s="9">
        <f>(+Title_RESULTS!$C$10*(Partcipation!$C38)*(Partcipation!$L38/100))/1000</f>
        <v>0</v>
      </c>
      <c r="P37">
        <v>0</v>
      </c>
      <c r="Q37">
        <v>0</v>
      </c>
      <c r="R37">
        <v>0</v>
      </c>
      <c r="S37" s="9">
        <f>(+Title_RESULTS!$C$10*(Partcipation!$C38)*(Partcipation!$L38/100))/1000</f>
        <v>0</v>
      </c>
    </row>
    <row r="38" spans="13:19" ht="12.75">
      <c r="M38">
        <f t="shared" si="5"/>
        <v>2043</v>
      </c>
      <c r="N38">
        <v>0</v>
      </c>
      <c r="O38" s="9">
        <f>(+Title_RESULTS!$C$10*(Partcipation!$C39)*(Partcipation!$L39/100))/1000</f>
        <v>0</v>
      </c>
      <c r="P38">
        <v>0</v>
      </c>
      <c r="Q38">
        <v>0</v>
      </c>
      <c r="R38">
        <v>0</v>
      </c>
      <c r="S38" s="9">
        <f>(+Title_RESULTS!$C$10*(Partcipation!$C39)*(Partcipation!$L39/100))/1000</f>
        <v>0</v>
      </c>
    </row>
    <row r="39" spans="13:19" ht="12.75">
      <c r="M39">
        <f t="shared" si="5"/>
        <v>2044</v>
      </c>
      <c r="N39">
        <v>0</v>
      </c>
      <c r="O39" s="9">
        <f>(+Title_RESULTS!$C$10*(Partcipation!$C40)*(Partcipation!$L40/100))/1000</f>
        <v>0</v>
      </c>
      <c r="P39">
        <v>0</v>
      </c>
      <c r="Q39">
        <v>0</v>
      </c>
      <c r="R39">
        <v>0</v>
      </c>
      <c r="S39" s="9">
        <f>(+Title_RESULTS!$C$10*(Partcipation!$C40)*(Partcipation!$L40/100))/1000</f>
        <v>0</v>
      </c>
    </row>
    <row r="40" spans="13:19" ht="12.75">
      <c r="M40">
        <f t="shared" si="5"/>
        <v>2045</v>
      </c>
      <c r="N40">
        <v>0</v>
      </c>
      <c r="O40" s="9">
        <f>(+Title_RESULTS!$C$10*(Partcipation!$C41)*(Partcipation!$L41/100))/1000</f>
        <v>0</v>
      </c>
      <c r="P40">
        <v>0</v>
      </c>
      <c r="Q40">
        <v>0</v>
      </c>
      <c r="R40">
        <v>0</v>
      </c>
      <c r="S40" s="9">
        <f>(+Title_RESULTS!$C$10*(Partcipation!$C41)*(Partcipation!$L41/100))/1000</f>
        <v>0</v>
      </c>
    </row>
    <row r="41" spans="13:19" ht="12.75">
      <c r="M41">
        <f t="shared" si="5"/>
        <v>2046</v>
      </c>
      <c r="N41">
        <v>0</v>
      </c>
      <c r="O41" s="9">
        <f>(+Title_RESULTS!$C$10*(Partcipation!$C42)*(Partcipation!$L42/100))/1000</f>
        <v>0</v>
      </c>
      <c r="P41">
        <v>0</v>
      </c>
      <c r="Q41">
        <v>0</v>
      </c>
      <c r="R41">
        <v>0</v>
      </c>
      <c r="S41" s="9">
        <f>(+Title_RESULTS!$C$10*(Partcipation!$C42)*(Partcipation!$L42/100))/1000</f>
        <v>0</v>
      </c>
    </row>
    <row r="42" spans="13:19" ht="12.75">
      <c r="M42">
        <f t="shared" si="5"/>
        <v>2047</v>
      </c>
      <c r="N42">
        <v>0</v>
      </c>
      <c r="O42" s="9">
        <f>(+Title_RESULTS!$C$10*(Partcipation!$C43)*(Partcipation!$L43/100))/1000</f>
        <v>0</v>
      </c>
      <c r="P42">
        <v>0</v>
      </c>
      <c r="Q42">
        <v>0</v>
      </c>
      <c r="R42">
        <v>0</v>
      </c>
      <c r="S42" s="9">
        <f>(+Title_RESULTS!$C$10*(Partcipation!$C43)*(Partcipation!$L43/100))/1000</f>
        <v>0</v>
      </c>
    </row>
    <row r="43" spans="13:19" ht="12.75">
      <c r="M43">
        <f t="shared" si="5"/>
        <v>2048</v>
      </c>
      <c r="N43">
        <v>0</v>
      </c>
      <c r="O43" s="9">
        <f>(+Title_RESULTS!$C$10*(Partcipation!$C44)*(Partcipation!$L44/100))/1000</f>
        <v>0</v>
      </c>
      <c r="P43">
        <v>0</v>
      </c>
      <c r="Q43">
        <v>0</v>
      </c>
      <c r="R43">
        <v>0</v>
      </c>
      <c r="S43" s="9">
        <f>(+Title_RESULTS!$C$10*(Partcipation!$C44)*(Partcipation!$L44/100))/1000</f>
        <v>0</v>
      </c>
    </row>
    <row r="44" spans="13:19" ht="12.75">
      <c r="M44">
        <f t="shared" si="5"/>
        <v>2049</v>
      </c>
      <c r="N44">
        <v>0</v>
      </c>
      <c r="O44" s="9">
        <f>(+Title_RESULTS!$C$10*(Partcipation!$C45)*(Partcipation!$L45/100))/1000</f>
        <v>0</v>
      </c>
      <c r="P44">
        <v>0</v>
      </c>
      <c r="Q44">
        <v>0</v>
      </c>
      <c r="R44">
        <v>0</v>
      </c>
      <c r="S44" s="9">
        <f>(+Title_RESULTS!$C$10*(Partcipation!$C45)*(Partcipation!$L45/100))/1000</f>
        <v>0</v>
      </c>
    </row>
    <row r="45" spans="13:19" ht="12.75">
      <c r="M45">
        <f t="shared" si="5"/>
        <v>2050</v>
      </c>
      <c r="N45">
        <v>0</v>
      </c>
      <c r="O45" s="9">
        <f>(+Title_RESULTS!$C$10*(Partcipation!$C46)*(Partcipation!$L46/100))/1000</f>
        <v>0</v>
      </c>
      <c r="P45">
        <v>0</v>
      </c>
      <c r="Q45">
        <v>0</v>
      </c>
      <c r="R45">
        <v>0</v>
      </c>
      <c r="S45" s="9">
        <f>(+Title_RESULTS!$C$10*(Partcipation!$C46)*(Partcipation!$L46/100))/1000</f>
        <v>0</v>
      </c>
    </row>
    <row r="46" spans="13:19" ht="12.75">
      <c r="M46">
        <f t="shared" si="5"/>
        <v>2051</v>
      </c>
      <c r="N46">
        <v>0</v>
      </c>
      <c r="O46" s="9">
        <f>(+Title_RESULTS!$C$10*(Partcipation!$C47)*(Partcipation!$L47/100))/1000</f>
        <v>0</v>
      </c>
      <c r="P46">
        <v>0</v>
      </c>
      <c r="Q46">
        <v>0</v>
      </c>
      <c r="R46">
        <v>0</v>
      </c>
      <c r="S46" s="9">
        <f>(+Title_RESULTS!$C$10*(Partcipation!$C47)*(Partcipation!$L47/100))/1000</f>
        <v>0</v>
      </c>
    </row>
    <row r="47" spans="13:19" ht="12.75">
      <c r="M47">
        <f t="shared" si="5"/>
        <v>2052</v>
      </c>
      <c r="N47">
        <v>0</v>
      </c>
      <c r="O47" s="9">
        <f>(+Title_RESULTS!$C$10*(Partcipation!$C48)*(Partcipation!$L48/100))/1000</f>
        <v>0</v>
      </c>
      <c r="P47">
        <v>0</v>
      </c>
      <c r="Q47">
        <v>0</v>
      </c>
      <c r="R47">
        <v>0</v>
      </c>
      <c r="S47" s="9">
        <f>(+Title_RESULTS!$C$10*(Partcipation!$C48)*(Partcipation!$L48/100))/1000</f>
        <v>0</v>
      </c>
    </row>
    <row r="48" spans="13:19" ht="12.75">
      <c r="M48">
        <f t="shared" si="5"/>
        <v>2053</v>
      </c>
      <c r="N48">
        <v>0</v>
      </c>
      <c r="O48" s="9">
        <f>(+Title_RESULTS!$C$10*(Partcipation!$C49)*(Partcipation!$L49/100))/1000</f>
        <v>0</v>
      </c>
      <c r="P48">
        <v>0</v>
      </c>
      <c r="Q48">
        <v>0</v>
      </c>
      <c r="R48">
        <v>0</v>
      </c>
      <c r="S48" s="9">
        <f>(+Title_RESULTS!$C$10*(Partcipation!$C49)*(Partcipation!$L49/100))/1000</f>
        <v>0</v>
      </c>
    </row>
    <row r="49" spans="13:19" ht="12.75">
      <c r="M49">
        <f t="shared" si="5"/>
        <v>2054</v>
      </c>
      <c r="N49">
        <v>0</v>
      </c>
      <c r="O49" s="9">
        <f>(+Title_RESULTS!$C$10*(Partcipation!$C50)*(Partcipation!$L50/100))/1000</f>
        <v>0</v>
      </c>
      <c r="P49">
        <v>0</v>
      </c>
      <c r="Q49">
        <v>0</v>
      </c>
      <c r="R49">
        <v>0</v>
      </c>
      <c r="S49" s="9">
        <f>(+Title_RESULTS!$C$10*(Partcipation!$C50)*(Partcipation!$L50/100))/1000</f>
        <v>0</v>
      </c>
    </row>
    <row r="50" spans="13:19" ht="12.75">
      <c r="M50">
        <f t="shared" si="5"/>
        <v>2055</v>
      </c>
      <c r="N50">
        <v>0</v>
      </c>
      <c r="O50" s="9">
        <f>(+Title_RESULTS!$C$10*(Partcipation!$C51)*(Partcipation!$L51/100))/1000</f>
        <v>0</v>
      </c>
      <c r="P50">
        <v>0</v>
      </c>
      <c r="Q50">
        <v>0</v>
      </c>
      <c r="R50">
        <v>0</v>
      </c>
      <c r="S50" s="9">
        <f>(+Title_RESULTS!$C$10*(Partcipation!$C51)*(Partcipation!$L51/100))/1000</f>
        <v>0</v>
      </c>
    </row>
    <row r="51" spans="13:19" ht="12.75">
      <c r="M51">
        <f t="shared" si="5"/>
        <v>2056</v>
      </c>
      <c r="N51">
        <v>0</v>
      </c>
      <c r="O51" s="9">
        <f>(+Title_RESULTS!$C$10*(Partcipation!$C52)*(Partcipation!$L52/100))/1000</f>
        <v>0</v>
      </c>
      <c r="P51">
        <v>0</v>
      </c>
      <c r="Q51">
        <v>0</v>
      </c>
      <c r="R51">
        <v>0</v>
      </c>
      <c r="S51" s="9">
        <f>(+Title_RESULTS!$C$10*(Partcipation!$C52)*(Partcipation!$L52/100))/1000</f>
        <v>0</v>
      </c>
    </row>
    <row r="52" spans="13:19" ht="12.75">
      <c r="M52">
        <f t="shared" si="5"/>
        <v>2057</v>
      </c>
      <c r="N52">
        <v>0</v>
      </c>
      <c r="O52" s="9">
        <f>(+Title_RESULTS!$C$10*(Partcipation!$C53)*(Partcipation!$L53/100))/1000</f>
        <v>0</v>
      </c>
      <c r="P52">
        <v>0</v>
      </c>
      <c r="Q52">
        <v>0</v>
      </c>
      <c r="R52">
        <v>0</v>
      </c>
      <c r="S52" s="9">
        <f>(+Title_RESULTS!$C$10*(Partcipation!$C53)*(Partcipation!$L53/100))/1000</f>
        <v>0</v>
      </c>
    </row>
    <row r="53" ht="12.75">
      <c r="M53" t="s">
        <v>286</v>
      </c>
    </row>
    <row r="54" spans="13:15" ht="12.75">
      <c r="M54" t="s">
        <v>287</v>
      </c>
      <c r="O54" t="s">
        <v>288</v>
      </c>
    </row>
    <row r="55" spans="13:14" ht="12.75">
      <c r="M55" t="s">
        <v>289</v>
      </c>
      <c r="N55">
        <v>37062</v>
      </c>
    </row>
    <row r="56" spans="4:15" ht="12.75">
      <c r="D56" s="8"/>
      <c r="H56" s="10"/>
      <c r="N56">
        <v>37062.55521990741</v>
      </c>
      <c r="O56" t="s">
        <v>288</v>
      </c>
    </row>
    <row r="58" ht="12.75">
      <c r="O58" t="s">
        <v>288</v>
      </c>
    </row>
    <row r="60" spans="13:15" ht="12.75">
      <c r="M60">
        <v>2001</v>
      </c>
      <c r="O60" t="s">
        <v>288</v>
      </c>
    </row>
    <row r="61" ht="12.75">
      <c r="M61">
        <v>2004</v>
      </c>
    </row>
    <row r="63" ht="12.75">
      <c r="H63">
        <f>2885*1000/177000</f>
        <v>16.29943502824859</v>
      </c>
    </row>
    <row r="70" ht="12.75">
      <c r="Y70" s="86"/>
    </row>
  </sheetData>
  <sheetProtection/>
  <mergeCells count="1">
    <mergeCell ref="C3:J3"/>
  </mergeCells>
  <printOptions/>
  <pageMargins left="0.75" right="0.75" top="1" bottom="1" header="0.5" footer="0.5"/>
  <pageSetup fitToHeight="1" fitToWidth="1" horizontalDpi="300" verticalDpi="300" orientation="landscape" scale="8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3" width="15.57421875" style="0" customWidth="1"/>
    <col min="4" max="4" width="11.57421875" style="0" customWidth="1"/>
    <col min="5" max="5" width="12.00390625" style="0" customWidth="1"/>
    <col min="6" max="6" width="11.421875" style="0" customWidth="1"/>
    <col min="7" max="7" width="15.00390625" style="0" customWidth="1"/>
    <col min="8" max="8" width="15.57421875" style="0" customWidth="1"/>
    <col min="9" max="9" width="15.421875" style="0" customWidth="1"/>
    <col min="10" max="10" width="17.57421875" style="0" customWidth="1"/>
  </cols>
  <sheetData>
    <row r="1" spans="4:10" ht="12.75">
      <c r="D1" t="s">
        <v>52</v>
      </c>
      <c r="J1" t="s">
        <v>381</v>
      </c>
    </row>
    <row r="2" spans="4:10" ht="12.75">
      <c r="D2" t="s">
        <v>41</v>
      </c>
      <c r="E2" t="str">
        <f>+Input!C3</f>
        <v>LED Street Lights</v>
      </c>
      <c r="J2" t="s">
        <v>55</v>
      </c>
    </row>
    <row r="3" ht="12.75">
      <c r="J3" s="35">
        <f>+Title_RESULTS!I4</f>
        <v>43599.31995208334</v>
      </c>
    </row>
    <row r="4" ht="12.75">
      <c r="A4" t="s">
        <v>57</v>
      </c>
    </row>
    <row r="5" spans="3:8" ht="12.75">
      <c r="C5" t="s">
        <v>58</v>
      </c>
      <c r="G5" s="37">
        <f>ROUND(+Title_RESULTS!C8*Partcipation!C26,0)</f>
        <v>0</v>
      </c>
      <c r="H5" t="s">
        <v>59</v>
      </c>
    </row>
    <row r="6" spans="3:7" ht="12.75">
      <c r="C6" t="s">
        <v>61</v>
      </c>
      <c r="G6" s="36">
        <f>+'Value of Defferal'!E3</f>
        <v>0</v>
      </c>
    </row>
    <row r="9" spans="1:10" ht="12.75">
      <c r="A9" s="6" t="s">
        <v>12</v>
      </c>
      <c r="B9" s="6" t="s">
        <v>63</v>
      </c>
      <c r="C9" s="6" t="s">
        <v>13</v>
      </c>
      <c r="D9" s="6" t="s">
        <v>64</v>
      </c>
      <c r="E9" s="6" t="s">
        <v>14</v>
      </c>
      <c r="F9" s="6" t="s">
        <v>15</v>
      </c>
      <c r="G9" s="6" t="s">
        <v>16</v>
      </c>
      <c r="H9" s="6" t="s">
        <v>17</v>
      </c>
      <c r="I9" s="6" t="s">
        <v>65</v>
      </c>
      <c r="J9" s="6" t="s">
        <v>18</v>
      </c>
    </row>
    <row r="11" spans="1:10" ht="12.75">
      <c r="A11" s="6"/>
      <c r="B11" s="6"/>
      <c r="C11" s="6" t="s">
        <v>46</v>
      </c>
      <c r="D11" s="6" t="s">
        <v>46</v>
      </c>
      <c r="E11" s="6" t="s">
        <v>46</v>
      </c>
      <c r="F11" s="6" t="s">
        <v>46</v>
      </c>
      <c r="G11" s="6" t="s">
        <v>46</v>
      </c>
      <c r="H11" s="6"/>
      <c r="I11" s="6" t="s">
        <v>46</v>
      </c>
      <c r="J11" s="6"/>
    </row>
    <row r="12" spans="1:10" ht="12.75">
      <c r="A12" s="6"/>
      <c r="B12" s="6" t="s">
        <v>66</v>
      </c>
      <c r="C12" s="6" t="s">
        <v>67</v>
      </c>
      <c r="D12" s="6" t="s">
        <v>68</v>
      </c>
      <c r="E12" s="6" t="s">
        <v>69</v>
      </c>
      <c r="F12" s="6" t="s">
        <v>67</v>
      </c>
      <c r="G12" s="6" t="s">
        <v>67</v>
      </c>
      <c r="H12" s="6"/>
      <c r="I12" s="6" t="s">
        <v>70</v>
      </c>
      <c r="J12" s="6" t="s">
        <v>46</v>
      </c>
    </row>
    <row r="13" spans="1:10" ht="12.75">
      <c r="A13" s="6"/>
      <c r="B13" s="6" t="s">
        <v>74</v>
      </c>
      <c r="C13" s="6" t="s">
        <v>75</v>
      </c>
      <c r="D13" s="6" t="s">
        <v>69</v>
      </c>
      <c r="E13" s="6" t="s">
        <v>76</v>
      </c>
      <c r="F13" s="6" t="s">
        <v>77</v>
      </c>
      <c r="G13" s="6" t="s">
        <v>48</v>
      </c>
      <c r="H13" s="6" t="s">
        <v>49</v>
      </c>
      <c r="I13" s="6" t="s">
        <v>75</v>
      </c>
      <c r="J13" s="6" t="s">
        <v>67</v>
      </c>
    </row>
    <row r="14" spans="1:10" ht="12.75">
      <c r="A14" s="6"/>
      <c r="B14" s="6" t="s">
        <v>37</v>
      </c>
      <c r="C14" s="6" t="s">
        <v>79</v>
      </c>
      <c r="D14" s="6" t="s">
        <v>80</v>
      </c>
      <c r="E14" s="6" t="s">
        <v>81</v>
      </c>
      <c r="F14" s="6" t="s">
        <v>81</v>
      </c>
      <c r="G14" s="6" t="s">
        <v>79</v>
      </c>
      <c r="H14" s="6" t="s">
        <v>26</v>
      </c>
      <c r="I14" s="6" t="s">
        <v>33</v>
      </c>
      <c r="J14" s="6" t="s">
        <v>34</v>
      </c>
    </row>
    <row r="15" spans="1:10" ht="12.75">
      <c r="A15" s="27" t="s">
        <v>35</v>
      </c>
      <c r="B15" s="27"/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</row>
    <row r="16" spans="1:10" ht="12.75">
      <c r="A16">
        <f>Title_RESULTS!H7</f>
        <v>2020</v>
      </c>
      <c r="B16" s="43">
        <f>VLOOKUP(A16,'Value of Defferal'!$B23:$F$61,'Value of Defferal'!$C$10)</f>
        <v>0</v>
      </c>
      <c r="C16" s="44">
        <f>VLOOKUP(A16,'Value of Defferal'!$B23:$F$61,'Value of Defferal'!$C$9)</f>
        <v>0</v>
      </c>
      <c r="D16" s="5">
        <f>IF((Title_RESULTS!$H$8-Title_RESULTS!$H$7)&lt;=('Sheet3(F_21)'!A16-Title_RESULTS!$H$7),((Title_RESULTS!$C$8*Partcipation!$C$26*8760*Title_RESULTS!$H$21/100000)),0)</f>
        <v>0</v>
      </c>
      <c r="E16" s="5">
        <f>IF($G16=0,0,((Title_RESULTS!$H$14*((1+Title_RESULTS!$H$15/100)^($A16-Title_RESULTS!$H$7))*'EUE_Line Losses'!$B$25*Partcipation!$C$26))/1000)</f>
        <v>0</v>
      </c>
      <c r="F16" s="5">
        <f>IF($G16=0,0,(Title_RESULTS!$H$19/100*((1+Title_RESULTS!$H$20/100)^($A16-Title_RESULTS!$H$7))*+Partcipation!C26*1000)/1000)</f>
        <v>0</v>
      </c>
      <c r="G16" s="5">
        <f>(+Title_RESULTS!$H$22/100*((1+Title_RESULTS!$H$23/100)^(+'Sheet4(F_22)'!A16-Title_RESULTS!$H$7)))*'Sheet3(F_21)'!D16</f>
        <v>0</v>
      </c>
      <c r="H16" s="5">
        <f>IF($G16=0,0,(($D16))*(Partcipation!$G16/100))</f>
        <v>0</v>
      </c>
      <c r="I16" s="5">
        <f>IF($A16&gt;=+Title_RESULTS!$H$8,+Partcipation!$C$60*Title_RESULTS!$H$24/1000*(1+Title_RESULTS!$H$25/100)^($A16-Title_RESULTS!$H$7),0)</f>
        <v>0</v>
      </c>
      <c r="J16" s="5">
        <f>(+C16+G16+E16+F16-H16+I16)*Partcipation!H16</f>
        <v>0</v>
      </c>
    </row>
    <row r="17" spans="1:10" ht="12.75">
      <c r="A17">
        <f>+Title_RESULTS!$H$7+1</f>
        <v>2021</v>
      </c>
      <c r="B17" s="43">
        <f>VLOOKUP(A17,'Value of Defferal'!$B24:$F$61,'Value of Defferal'!$C$10)</f>
        <v>0</v>
      </c>
      <c r="C17" s="44">
        <f>VLOOKUP(A17,'Value of Defferal'!$B24:$F$61,'Value of Defferal'!$C$9)</f>
        <v>0</v>
      </c>
      <c r="D17" s="5">
        <f>IF((Title_RESULTS!$H$8-Title_RESULTS!$H$7)&lt;=('Sheet3(F_21)'!A17-Title_RESULTS!$H$7),((Title_RESULTS!$C$8*Partcipation!$C$26*8760*Title_RESULTS!$H$21/100000)),0)</f>
        <v>0</v>
      </c>
      <c r="E17" s="5">
        <f>IF($G17=0,0,((Title_RESULTS!$H$14*((1+Title_RESULTS!$H$15/100)^($A17-Title_RESULTS!$H$7))*'EUE_Line Losses'!$B$25*Partcipation!$C$26))/1000)</f>
        <v>0</v>
      </c>
      <c r="F17" s="5">
        <f>IF($G17=0,0,(Title_RESULTS!$H$19/100*((1+Title_RESULTS!$H$20/100)^($A17-Title_RESULTS!$H$7))*$D17*1000)/1000)</f>
        <v>0</v>
      </c>
      <c r="G17" s="5">
        <f>(+Title_RESULTS!$H$22/100*((1+Title_RESULTS!$H$23/100)^(+'Sheet4(F_22)'!A17-Title_RESULTS!$H$7)))*'Sheet3(F_21)'!D17</f>
        <v>0</v>
      </c>
      <c r="H17" s="5">
        <f>IF($G17=0,0,(($D17))*(Partcipation!$G17/100))</f>
        <v>0</v>
      </c>
      <c r="I17" s="5">
        <f>IF($A17&gt;=+Title_RESULTS!$H$8,+Partcipation!$C$60*Title_RESULTS!$H$24/1000*(1+Title_RESULTS!$H$25/100)^($A17-Title_RESULTS!$H$7),0)</f>
        <v>0</v>
      </c>
      <c r="J17" s="5">
        <f>(+C17+G17+E17+F17-H17+I17)*Partcipation!H17</f>
        <v>0</v>
      </c>
    </row>
    <row r="18" spans="1:10" ht="12.75">
      <c r="A18">
        <f>+A17+1</f>
        <v>2022</v>
      </c>
      <c r="B18" s="43">
        <f>VLOOKUP(A18,'Value of Defferal'!$B25:$F$61,'Value of Defferal'!$C$10)</f>
        <v>0</v>
      </c>
      <c r="C18" s="44">
        <f>VLOOKUP(A18,'Value of Defferal'!$B25:$F$61,'Value of Defferal'!$C$9)</f>
        <v>0</v>
      </c>
      <c r="D18" s="5">
        <f>IF((Title_RESULTS!$H$8-Title_RESULTS!$H$7)&lt;=('Sheet3(F_21)'!A18-Title_RESULTS!$H$7),((Title_RESULTS!$C$8*Partcipation!$C$26*8760*Title_RESULTS!$H$21/100000)),0)</f>
        <v>0</v>
      </c>
      <c r="E18" s="5">
        <f>IF($G18=0,0,((Title_RESULTS!$H$14*((1+Title_RESULTS!$H$15/100)^($A18-Title_RESULTS!$H$7))*'EUE_Line Losses'!$B$25*Partcipation!$C$26))/1000)</f>
        <v>0</v>
      </c>
      <c r="F18" s="5">
        <f>IF($G18=0,0,(Title_RESULTS!$H$19/100*((1+Title_RESULTS!$H$20/100)^($A18-Title_RESULTS!$H$7))*$D18*1000)/1000)</f>
        <v>0</v>
      </c>
      <c r="G18" s="5">
        <f>(+Title_RESULTS!$H$22/100*((1+Title_RESULTS!$H$23/100)^(+'Sheet4(F_22)'!A18-Title_RESULTS!$H$7)))*'Sheet3(F_21)'!D18</f>
        <v>0</v>
      </c>
      <c r="H18" s="5">
        <f>IF($G18=0,0,(($D18))*(Partcipation!$G18/100))</f>
        <v>0</v>
      </c>
      <c r="I18" s="5">
        <f>IF($A18&gt;=+Title_RESULTS!$H$8,+Partcipation!$C$60*Title_RESULTS!$H$24/1000*(1+Title_RESULTS!$H$25/100)^($A18-Title_RESULTS!$H$7),0)</f>
        <v>0</v>
      </c>
      <c r="J18" s="5">
        <f>(+C18+G18+E18+F18-H18+I18)*Partcipation!H18</f>
        <v>0</v>
      </c>
    </row>
    <row r="19" spans="1:10" ht="12.75">
      <c r="A19">
        <f aca="true" t="shared" si="0" ref="A19:A33">+A18+1</f>
        <v>2023</v>
      </c>
      <c r="B19" s="43">
        <f>VLOOKUP(A19,'Value of Defferal'!$B26:$F$61,'Value of Defferal'!$C$10)</f>
        <v>0.09882230355451863</v>
      </c>
      <c r="C19" s="44">
        <f>VLOOKUP(A19,'Value of Defferal'!$B26:$F$61,'Value of Defferal'!$C$9)</f>
        <v>0</v>
      </c>
      <c r="D19" s="5">
        <f>IF((Title_RESULTS!$H$8-Title_RESULTS!$H$7)&lt;=('Sheet3(F_21)'!A19-Title_RESULTS!$H$7),((Title_RESULTS!$C$8*Partcipation!$C$26*8760*Title_RESULTS!$H$21/100000)),0)</f>
        <v>0</v>
      </c>
      <c r="E19" s="5">
        <f>IF($G19=0,0,((Title_RESULTS!$H$14*((1+Title_RESULTS!$H$15/100)^($A19-Title_RESULTS!$H$7))*'EUE_Line Losses'!$B$25*Partcipation!$C$26))/1000)</f>
        <v>0</v>
      </c>
      <c r="F19" s="5">
        <f>IF($G19=0,0,(Title_RESULTS!$H$19/100*((1+Title_RESULTS!$H$20/100)^($A19-Title_RESULTS!$H$7))*$D19*1000)/1000)</f>
        <v>0</v>
      </c>
      <c r="G19" s="5">
        <f>(+Title_RESULTS!$H$22/100*((1+Title_RESULTS!$H$23/100)^(+'Sheet4(F_22)'!A19-Title_RESULTS!$H$7)))*'Sheet3(F_21)'!D19</f>
        <v>0</v>
      </c>
      <c r="H19" s="5">
        <f>IF($G19=0,0,(($D19))*(Partcipation!$G19/100))</f>
        <v>0</v>
      </c>
      <c r="I19" s="5">
        <f>IF($A19&gt;=+Title_RESULTS!$H$8,+Partcipation!$C$60*Title_RESULTS!$H$24/1000*(1+Title_RESULTS!$H$25/100)^($A19-Title_RESULTS!$H$7),0)</f>
        <v>0</v>
      </c>
      <c r="J19" s="5">
        <f>(+C19+G19+E19+F19-H19+I19)*Partcipation!H19</f>
        <v>0</v>
      </c>
    </row>
    <row r="20" spans="1:10" ht="12.75">
      <c r="A20">
        <f t="shared" si="0"/>
        <v>2024</v>
      </c>
      <c r="B20" s="43">
        <f>VLOOKUP(A20,'Value of Defferal'!$B27:$F$61,'Value of Defferal'!$C$10)</f>
        <v>0.10119403883982707</v>
      </c>
      <c r="C20" s="44">
        <f>VLOOKUP(A20,'Value of Defferal'!$B27:$F$61,'Value of Defferal'!$C$9)</f>
        <v>0</v>
      </c>
      <c r="D20" s="5">
        <f>IF((Title_RESULTS!$H$8-Title_RESULTS!$H$7)&lt;=('Sheet3(F_21)'!A20-Title_RESULTS!$H$7),((Title_RESULTS!$C$8*Partcipation!$C$26*8760*Title_RESULTS!$H$21/100000)),0)</f>
        <v>0</v>
      </c>
      <c r="E20" s="5">
        <f>IF($G20=0,0,((Title_RESULTS!$H$14*((1+Title_RESULTS!$H$15/100)^($A20-Title_RESULTS!$H$7))*'EUE_Line Losses'!$B$25*Partcipation!$C$26))/1000)</f>
        <v>0</v>
      </c>
      <c r="F20" s="5">
        <f>IF($G20=0,0,(Title_RESULTS!$H$19/100*((1+Title_RESULTS!$H$20/100)^($A20-Title_RESULTS!$H$7))*$D20*1000)/1000)</f>
        <v>0</v>
      </c>
      <c r="G20" s="5">
        <f>(+Title_RESULTS!$H$22/100*((1+Title_RESULTS!$H$23/100)^(+'Sheet4(F_22)'!A20-Title_RESULTS!$H$7)))*'Sheet3(F_21)'!D20</f>
        <v>0</v>
      </c>
      <c r="H20" s="5">
        <f>IF($G20=0,0,(($D20))*(Partcipation!$G20/100))</f>
        <v>0</v>
      </c>
      <c r="I20" s="5">
        <f>IF($A20&gt;=+Title_RESULTS!$H$8,+Partcipation!$C$60*Title_RESULTS!$H$24/1000*(1+Title_RESULTS!$H$25/100)^($A20-Title_RESULTS!$H$7),0)</f>
        <v>0</v>
      </c>
      <c r="J20" s="5">
        <f>(+C20+G20+E20+F20-H20+I20)*Partcipation!H20</f>
        <v>0</v>
      </c>
    </row>
    <row r="21" spans="1:10" ht="12.75">
      <c r="A21">
        <f t="shared" si="0"/>
        <v>2025</v>
      </c>
      <c r="B21" s="43">
        <f>VLOOKUP(A21,'Value of Defferal'!$B28:$F$61,'Value of Defferal'!$C$10)</f>
        <v>0.10362269577198292</v>
      </c>
      <c r="C21" s="44">
        <f>VLOOKUP(A21,'Value of Defferal'!$B28:$F$61,'Value of Defferal'!$C$9)</f>
        <v>0</v>
      </c>
      <c r="D21" s="5">
        <f>IF((Title_RESULTS!$H$8-Title_RESULTS!$H$7)&lt;=('Sheet3(F_21)'!A21-Title_RESULTS!$H$7),((Title_RESULTS!$C$8*Partcipation!$C$26*8760*Title_RESULTS!$H$21/100000)),0)</f>
        <v>0</v>
      </c>
      <c r="E21" s="5">
        <f>IF($G21=0,0,((Title_RESULTS!$H$14*((1+Title_RESULTS!$H$15/100)^($A21-Title_RESULTS!$H$7))*'EUE_Line Losses'!$B$25*Partcipation!$C$26))/1000)</f>
        <v>0</v>
      </c>
      <c r="F21" s="5">
        <f>IF($G21=0,0,(Title_RESULTS!$H$19/100*((1+Title_RESULTS!$H$20/100)^($A21-Title_RESULTS!$H$7))*$D21*1000)/1000)</f>
        <v>0</v>
      </c>
      <c r="G21" s="5">
        <f>(+Title_RESULTS!$H$22/100*((1+Title_RESULTS!$H$23/100)^(+'Sheet4(F_22)'!A21-Title_RESULTS!$H$7)))*'Sheet3(F_21)'!D21</f>
        <v>0</v>
      </c>
      <c r="H21" s="5">
        <f>IF($G21=0,0,(($D21))*(Partcipation!$G21/100))</f>
        <v>0</v>
      </c>
      <c r="I21" s="5">
        <f>IF($A21&gt;=+Title_RESULTS!$H$8,+Partcipation!$C$60*Title_RESULTS!$H$24/1000*(1+Title_RESULTS!$H$25/100)^($A21-Title_RESULTS!$H$7),0)</f>
        <v>0</v>
      </c>
      <c r="J21" s="5">
        <f>(+C21+G21+E21+F21-H21+I21)*Partcipation!H21</f>
        <v>0</v>
      </c>
    </row>
    <row r="22" spans="1:10" ht="12.75">
      <c r="A22">
        <f t="shared" si="0"/>
        <v>2026</v>
      </c>
      <c r="B22" s="43">
        <f>VLOOKUP(A22,'Value of Defferal'!$B29:$F$61,'Value of Defferal'!$C$10)</f>
        <v>0.10610964047051051</v>
      </c>
      <c r="C22" s="44">
        <f>VLOOKUP(A22,'Value of Defferal'!$B29:$F$61,'Value of Defferal'!$C$9)</f>
        <v>0</v>
      </c>
      <c r="D22" s="5">
        <f>IF((Title_RESULTS!$H$8-Title_RESULTS!$H$7)&lt;=('Sheet3(F_21)'!A22-Title_RESULTS!$H$7),((Title_RESULTS!$C$8*Partcipation!$C$26*8760*Title_RESULTS!$H$21/100000)),0)</f>
        <v>0</v>
      </c>
      <c r="E22" s="5">
        <f>IF($G22=0,0,((Title_RESULTS!$H$14*((1+Title_RESULTS!$H$15/100)^($A22-Title_RESULTS!$H$7))*'EUE_Line Losses'!$B$25*Partcipation!$C$26))/1000)</f>
        <v>0</v>
      </c>
      <c r="F22" s="5">
        <f>IF($G22=0,0,(Title_RESULTS!$H$19/100*((1+Title_RESULTS!$H$20/100)^($A22-Title_RESULTS!$H$7))*$D22*1000)/1000)</f>
        <v>0</v>
      </c>
      <c r="G22" s="5">
        <f>(+Title_RESULTS!$H$22/100*((1+Title_RESULTS!$H$23/100)^(+'Sheet4(F_22)'!A22-Title_RESULTS!$H$7)))*'Sheet3(F_21)'!D22</f>
        <v>0</v>
      </c>
      <c r="H22" s="5">
        <f>IF($G22=0,0,(($D22))*(Partcipation!$G22/100))</f>
        <v>0</v>
      </c>
      <c r="I22" s="5">
        <f>IF($A22&gt;=+Title_RESULTS!$H$8,+Partcipation!$C$60*Title_RESULTS!$H$24/1000*(1+Title_RESULTS!$H$25/100)^($A22-Title_RESULTS!$H$7),0)</f>
        <v>0</v>
      </c>
      <c r="J22" s="5">
        <f>(+C22+G22+E22+F22-H22+I22)*Partcipation!H22</f>
        <v>0</v>
      </c>
    </row>
    <row r="23" spans="1:10" ht="12.75">
      <c r="A23">
        <f t="shared" si="0"/>
        <v>2027</v>
      </c>
      <c r="B23" s="43">
        <f>VLOOKUP(A23,'Value of Defferal'!$B30:$F$61,'Value of Defferal'!$C$10)</f>
        <v>0.10865627184180277</v>
      </c>
      <c r="C23" s="44">
        <f>VLOOKUP(A23,'Value of Defferal'!$B30:$F$61,'Value of Defferal'!$C$9)</f>
        <v>0</v>
      </c>
      <c r="D23" s="5">
        <f>IF((Title_RESULTS!$H$8-Title_RESULTS!$H$7)&lt;=('Sheet3(F_21)'!A23-Title_RESULTS!$H$7),((Title_RESULTS!$C$8*Partcipation!$C$26*8760*Title_RESULTS!$H$21/100000)),0)</f>
        <v>0</v>
      </c>
      <c r="E23" s="5">
        <f>IF($G23=0,0,((Title_RESULTS!$H$14*((1+Title_RESULTS!$H$15/100)^($A23-Title_RESULTS!$H$7))*'EUE_Line Losses'!$B$25*Partcipation!$C$26))/1000)</f>
        <v>0</v>
      </c>
      <c r="F23" s="5">
        <f>IF($G23=0,0,(Title_RESULTS!$H$19/100*((1+Title_RESULTS!$H$20/100)^($A23-Title_RESULTS!$H$7))*$D23*1000)/1000)</f>
        <v>0</v>
      </c>
      <c r="G23" s="5">
        <f>(+Title_RESULTS!$H$22/100*((1+Title_RESULTS!$H$23/100)^(+'Sheet4(F_22)'!A23-Title_RESULTS!$H$7)))*'Sheet3(F_21)'!D23</f>
        <v>0</v>
      </c>
      <c r="H23" s="5">
        <f>IF($G23=0,0,(($D23))*(Partcipation!$G23/100))</f>
        <v>0</v>
      </c>
      <c r="I23" s="5">
        <f>IF($A23&gt;=+Title_RESULTS!$H$8,+Partcipation!$C$60*Title_RESULTS!$H$24/1000*(1+Title_RESULTS!$H$25/100)^($A23-Title_RESULTS!$H$7),0)</f>
        <v>0</v>
      </c>
      <c r="J23" s="5">
        <f>(+C23+G23+E23+F23-H23+I23)*Partcipation!H23</f>
        <v>0</v>
      </c>
    </row>
    <row r="24" spans="1:10" ht="12.75">
      <c r="A24">
        <f t="shared" si="0"/>
        <v>2028</v>
      </c>
      <c r="B24" s="43">
        <f>VLOOKUP(A24,'Value of Defferal'!$B31:$F$61,'Value of Defferal'!$C$10)</f>
        <v>0.11126402236600604</v>
      </c>
      <c r="C24" s="44">
        <f>VLOOKUP(A24,'Value of Defferal'!$B31:$F$61,'Value of Defferal'!$C$9)</f>
        <v>0</v>
      </c>
      <c r="D24" s="5">
        <f>IF((Title_RESULTS!$H$8-Title_RESULTS!$H$7)&lt;=('Sheet3(F_21)'!A24-Title_RESULTS!$H$7),((Title_RESULTS!$C$8*Partcipation!$C$26*8760*Title_RESULTS!$H$21/100000)),0)</f>
        <v>0</v>
      </c>
      <c r="E24" s="5">
        <f>IF($G24=0,0,((Title_RESULTS!$H$14*((1+Title_RESULTS!$H$15/100)^($A24-Title_RESULTS!$H$7))*'EUE_Line Losses'!$B$25*Partcipation!$C$26))/1000)</f>
        <v>0</v>
      </c>
      <c r="F24" s="5">
        <f>IF($G24=0,0,(Title_RESULTS!$H$19/100*((1+Title_RESULTS!$H$20/100)^($A24-Title_RESULTS!$H$7))*$D24*1000)/1000)</f>
        <v>0</v>
      </c>
      <c r="G24" s="5">
        <f>(+Title_RESULTS!$H$22/100*((1+Title_RESULTS!$H$23/100)^(+'Sheet4(F_22)'!A24-Title_RESULTS!$H$7)))*'Sheet3(F_21)'!D24</f>
        <v>0</v>
      </c>
      <c r="H24" s="5">
        <f>IF($G24=0,0,(($D24))*(Partcipation!$G24/100))</f>
        <v>0</v>
      </c>
      <c r="I24" s="5">
        <f>IF($A24&gt;=+Title_RESULTS!$H$8,+Partcipation!$C$60*Title_RESULTS!$H$24/1000*(1+Title_RESULTS!$H$25/100)^($A24-Title_RESULTS!$H$7),0)</f>
        <v>0</v>
      </c>
      <c r="J24" s="5">
        <f>(+C24+G24+E24+F24-H24+I24)*Partcipation!H24</f>
        <v>0</v>
      </c>
    </row>
    <row r="25" spans="1:10" ht="12.75">
      <c r="A25">
        <f t="shared" si="0"/>
        <v>2029</v>
      </c>
      <c r="B25" s="43">
        <f>VLOOKUP(A25,'Value of Defferal'!$B32:$F$61,'Value of Defferal'!$C$10)</f>
        <v>0.11393435890279018</v>
      </c>
      <c r="C25" s="44">
        <f>VLOOKUP(A25,'Value of Defferal'!$B32:$F$61,'Value of Defferal'!$C$9)</f>
        <v>0</v>
      </c>
      <c r="D25" s="5">
        <f>IF((Title_RESULTS!$H$8-Title_RESULTS!$H$7)&lt;=('Sheet3(F_21)'!A25-Title_RESULTS!$H$7),((Title_RESULTS!$C$8*Partcipation!$C$26*8760*Title_RESULTS!$H$21/100000)),0)</f>
        <v>0</v>
      </c>
      <c r="E25" s="5">
        <f>IF($G25=0,0,((Title_RESULTS!$H$14*((1+Title_RESULTS!$H$15/100)^($A25-Title_RESULTS!$H$7))*'EUE_Line Losses'!$B$25*Partcipation!$C$26))/1000)</f>
        <v>0</v>
      </c>
      <c r="F25" s="5">
        <f>IF($G25=0,0,(Title_RESULTS!$H$19/100*((1+Title_RESULTS!$H$20/100)^($A25-Title_RESULTS!$H$7))*$D25*1000)/1000)</f>
        <v>0</v>
      </c>
      <c r="G25" s="5">
        <f>(+Title_RESULTS!$H$22/100*((1+Title_RESULTS!$H$23/100)^(+'Sheet4(F_22)'!A25-Title_RESULTS!$H$7)))*'Sheet3(F_21)'!D25</f>
        <v>0</v>
      </c>
      <c r="H25" s="5">
        <f>IF($G25=0,0,(($D25))*(Partcipation!$G25/100))</f>
        <v>0</v>
      </c>
      <c r="I25" s="5">
        <f>IF($A25&gt;=+Title_RESULTS!$H$8,+Partcipation!$C$60*Title_RESULTS!$H$24/1000*(1+Title_RESULTS!$H$25/100)^($A25-Title_RESULTS!$H$7),0)</f>
        <v>0</v>
      </c>
      <c r="J25" s="5">
        <f>(+C25+G25+E25+F25-H25+I25)*Partcipation!H25</f>
        <v>0</v>
      </c>
    </row>
    <row r="26" spans="1:10" ht="12.75">
      <c r="A26">
        <f t="shared" si="0"/>
        <v>2030</v>
      </c>
      <c r="B26" s="43">
        <f>VLOOKUP(A26,'Value of Defferal'!$B33:$F$61,'Value of Defferal'!$C$10)</f>
        <v>0.11666878351645714</v>
      </c>
      <c r="C26" s="44">
        <f>VLOOKUP(A26,'Value of Defferal'!$B33:$F$61,'Value of Defferal'!$C$9)</f>
        <v>0</v>
      </c>
      <c r="D26" s="5">
        <f>IF((Title_RESULTS!$H$8-Title_RESULTS!$H$7)&lt;=('Sheet3(F_21)'!A26-Title_RESULTS!$H$7),((Title_RESULTS!$C$8*Partcipation!$C$26*8760*Title_RESULTS!$H$21/100000)),0)</f>
        <v>0</v>
      </c>
      <c r="E26" s="5">
        <f>IF($G26=0,0,((Title_RESULTS!$H$14*((1+Title_RESULTS!$H$15/100)^($A26-Title_RESULTS!$H$7))*'EUE_Line Losses'!$B$25*Partcipation!$C$26))/1000)</f>
        <v>0</v>
      </c>
      <c r="F26" s="5">
        <f>IF($G26=0,0,(Title_RESULTS!$H$19/100*((1+Title_RESULTS!$H$20/100)^($A26-Title_RESULTS!$H$7))*$D26*1000)/1000)</f>
        <v>0</v>
      </c>
      <c r="G26" s="5">
        <f>(+Title_RESULTS!$H$22/100*((1+Title_RESULTS!$H$23/100)^(+'Sheet4(F_22)'!A26-Title_RESULTS!$H$7)))*'Sheet3(F_21)'!D26</f>
        <v>0</v>
      </c>
      <c r="H26" s="5">
        <f>IF($G26=0,0,(($D26))*(Partcipation!$G26/100))</f>
        <v>0</v>
      </c>
      <c r="I26" s="5">
        <f>IF($A26&gt;=+Title_RESULTS!$H$8,+Partcipation!$C$60*Title_RESULTS!$H$24/1000*(1+Title_RESULTS!$H$25/100)^($A26-Title_RESULTS!$H$7),0)</f>
        <v>0</v>
      </c>
      <c r="J26" s="5">
        <f>(+C26+G26+E26+F26-H26+I26)*Partcipation!H26</f>
        <v>0</v>
      </c>
    </row>
    <row r="27" spans="1:10" ht="12.75">
      <c r="A27">
        <f t="shared" si="0"/>
        <v>2031</v>
      </c>
      <c r="B27" s="43">
        <f>VLOOKUP(A27,'Value of Defferal'!$B34:$F$61,'Value of Defferal'!$C$10)</f>
        <v>0.11946883432085212</v>
      </c>
      <c r="C27" s="44">
        <f>VLOOKUP(A27,'Value of Defferal'!$B34:$F$61,'Value of Defferal'!$C$9)</f>
        <v>0</v>
      </c>
      <c r="D27" s="5">
        <f>IF((Title_RESULTS!$H$8-Title_RESULTS!$H$7)&lt;=('Sheet3(F_21)'!A27-Title_RESULTS!$H$7),((Title_RESULTS!$C$8*Partcipation!$C$26*8760*Title_RESULTS!$H$21/100000)),0)</f>
        <v>0</v>
      </c>
      <c r="E27" s="5">
        <f>IF($G27=0,0,((Title_RESULTS!$H$14*((1+Title_RESULTS!$H$15/100)^($A27-Title_RESULTS!$H$7))*'EUE_Line Losses'!$B$25*Partcipation!$C$26))/1000)</f>
        <v>0</v>
      </c>
      <c r="F27" s="5">
        <f>IF($G27=0,0,(Title_RESULTS!$H$19/100*((1+Title_RESULTS!$H$20/100)^($A27-Title_RESULTS!$H$7))*$D27*1000)/1000)</f>
        <v>0</v>
      </c>
      <c r="G27" s="5">
        <f>(+Title_RESULTS!$H$22/100*((1+Title_RESULTS!$H$23/100)^(+'Sheet4(F_22)'!A27-Title_RESULTS!$H$7)))*'Sheet3(F_21)'!D27</f>
        <v>0</v>
      </c>
      <c r="H27" s="5">
        <f>IF($G27=0,0,(($D27))*(Partcipation!$G27/100))</f>
        <v>0</v>
      </c>
      <c r="I27" s="5">
        <f>IF($A27&gt;=+Title_RESULTS!$H$8,+Partcipation!$C$60*Title_RESULTS!$H$24/1000*(1+Title_RESULTS!$H$25/100)^($A27-Title_RESULTS!$H$7),0)</f>
        <v>0</v>
      </c>
      <c r="J27" s="5">
        <f>(+C27+G27+E27+F27-H27+I27)*Partcipation!H27</f>
        <v>0</v>
      </c>
    </row>
    <row r="28" spans="1:10" ht="12.75">
      <c r="A28">
        <f t="shared" si="0"/>
        <v>2032</v>
      </c>
      <c r="B28" s="43">
        <f>VLOOKUP(A28,'Value of Defferal'!$B35:$F$61,'Value of Defferal'!$C$10)</f>
        <v>0.12233608634455258</v>
      </c>
      <c r="C28" s="44">
        <f>VLOOKUP(A28,'Value of Defferal'!$B35:$F$61,'Value of Defferal'!$C$9)</f>
        <v>0</v>
      </c>
      <c r="D28" s="5">
        <f>IF((Title_RESULTS!$H$8-Title_RESULTS!$H$7)&lt;=('Sheet3(F_21)'!A28-Title_RESULTS!$H$7),((Title_RESULTS!$C$8*Partcipation!$C$26*8760*Title_RESULTS!$H$21/100000)),0)</f>
        <v>0</v>
      </c>
      <c r="E28" s="5">
        <f>IF($G28=0,0,((Title_RESULTS!$H$14*((1+Title_RESULTS!$H$15/100)^($A28-Title_RESULTS!$H$7))*'EUE_Line Losses'!$B$25*Partcipation!$C$26))/1000)</f>
        <v>0</v>
      </c>
      <c r="F28" s="5">
        <f>IF($G28=0,0,(Title_RESULTS!$H$19/100*((1+Title_RESULTS!$H$20/100)^($A28-Title_RESULTS!$H$7))*$D28*1000)/1000)</f>
        <v>0</v>
      </c>
      <c r="G28" s="5">
        <f>(+Title_RESULTS!$H$22/100*((1+Title_RESULTS!$H$23/100)^(+'Sheet4(F_22)'!A28-Title_RESULTS!$H$7)))*'Sheet3(F_21)'!D28</f>
        <v>0</v>
      </c>
      <c r="H28" s="5">
        <f>IF($G28=0,0,(($D28))*(Partcipation!$G28/100))</f>
        <v>0</v>
      </c>
      <c r="I28" s="5">
        <f>IF($A28&gt;=+Title_RESULTS!$H$8,+Partcipation!$C$60*Title_RESULTS!$H$24/1000*(1+Title_RESULTS!$H$25/100)^($A28-Title_RESULTS!$H$7),0)</f>
        <v>0</v>
      </c>
      <c r="J28" s="5">
        <f>(+C28+G28+E28+F28-H28+I28)*Partcipation!H28</f>
        <v>0</v>
      </c>
    </row>
    <row r="29" spans="1:10" ht="12.75">
      <c r="A29">
        <f t="shared" si="0"/>
        <v>2033</v>
      </c>
      <c r="B29" s="43">
        <f>VLOOKUP(A29,'Value of Defferal'!$B36:$F$61,'Value of Defferal'!$C$10)</f>
        <v>0.12527215241682185</v>
      </c>
      <c r="C29" s="44">
        <f>VLOOKUP(A29,'Value of Defferal'!$B36:$F$61,'Value of Defferal'!$C$9)</f>
        <v>0</v>
      </c>
      <c r="D29" s="5">
        <f>IF((Title_RESULTS!$H$8-Title_RESULTS!$H$7)&lt;=('Sheet3(F_21)'!A29-Title_RESULTS!$H$7),((Title_RESULTS!$C$8*Partcipation!$C$26*8760*Title_RESULTS!$H$21/100000)),0)</f>
        <v>0</v>
      </c>
      <c r="E29" s="5">
        <f>IF($G29=0,0,((Title_RESULTS!$H$14*((1+Title_RESULTS!$H$15/100)^($A29-Title_RESULTS!$H$7))*'EUE_Line Losses'!$B$25*Partcipation!$C$26))/1000)</f>
        <v>0</v>
      </c>
      <c r="F29" s="5">
        <f>IF($G29=0,0,(Title_RESULTS!$H$19/100*((1+Title_RESULTS!$H$20/100)^($A29-Title_RESULTS!$H$7))*$D29*1000)/1000)</f>
        <v>0</v>
      </c>
      <c r="G29" s="5">
        <f>(+Title_RESULTS!$H$22/100*((1+Title_RESULTS!$H$23/100)^(+'Sheet4(F_22)'!A29-Title_RESULTS!$H$7)))*'Sheet3(F_21)'!D29</f>
        <v>0</v>
      </c>
      <c r="H29" s="5">
        <f>IF($G29=0,0,(($D29))*(Partcipation!$G29/100))</f>
        <v>0</v>
      </c>
      <c r="I29" s="5">
        <f>IF($A29&gt;=+Title_RESULTS!$H$8,+Partcipation!$C$60*Title_RESULTS!$H$24/1000*(1+Title_RESULTS!$H$25/100)^($A29-Title_RESULTS!$H$7),0)</f>
        <v>0</v>
      </c>
      <c r="J29" s="5">
        <f>(+C29+G29+E29+F29-H29+I29)*Partcipation!H29</f>
        <v>0</v>
      </c>
    </row>
    <row r="30" spans="1:10" ht="12.75">
      <c r="A30">
        <f t="shared" si="0"/>
        <v>2034</v>
      </c>
      <c r="B30" s="43">
        <f>VLOOKUP(A30,'Value of Defferal'!$B37:$F$61,'Value of Defferal'!$C$10)</f>
        <v>0.12827868407482557</v>
      </c>
      <c r="C30" s="44">
        <f>VLOOKUP(A30,'Value of Defferal'!$B37:$F$61,'Value of Defferal'!$C$9)</f>
        <v>0</v>
      </c>
      <c r="D30" s="5">
        <f>IF((Title_RESULTS!$H$8-Title_RESULTS!$H$7)&lt;=('Sheet3(F_21)'!A30-Title_RESULTS!$H$7),((Title_RESULTS!$C$8*Partcipation!$C$26*8760*Title_RESULTS!$H$21/100000)),0)</f>
        <v>0</v>
      </c>
      <c r="E30" s="5">
        <f>IF($G30=0,0,((Title_RESULTS!$H$14*((1+Title_RESULTS!$H$15/100)^($A30-Title_RESULTS!$H$7))*'EUE_Line Losses'!$B$25*Partcipation!$C$26))/1000)</f>
        <v>0</v>
      </c>
      <c r="F30" s="5">
        <f>IF($G30=0,0,(Title_RESULTS!$H$19/100*((1+Title_RESULTS!$H$20/100)^($A30-Title_RESULTS!$H$7))*$D30*1000)/1000)</f>
        <v>0</v>
      </c>
      <c r="G30" s="5">
        <f>(+Title_RESULTS!$H$22/100*((1+Title_RESULTS!$H$23/100)^(+'Sheet4(F_22)'!A30-Title_RESULTS!$H$7)))*'Sheet3(F_21)'!D30</f>
        <v>0</v>
      </c>
      <c r="H30" s="5">
        <f>IF($G30=0,0,(($D30))*(Partcipation!$G30/100))</f>
        <v>0</v>
      </c>
      <c r="I30" s="5">
        <f>IF($A30&gt;=+Title_RESULTS!$H$8,+Partcipation!$C$60*Title_RESULTS!$H$24/1000*(1+Title_RESULTS!$H$25/100)^($A30-Title_RESULTS!$H$7),0)</f>
        <v>0</v>
      </c>
      <c r="J30" s="5">
        <f>(+C30+G30+E30+F30-H30+I30)*Partcipation!H30</f>
        <v>0</v>
      </c>
    </row>
    <row r="31" spans="1:10" ht="12.75">
      <c r="A31">
        <f t="shared" si="0"/>
        <v>2035</v>
      </c>
      <c r="B31" s="43">
        <f>VLOOKUP(A31,'Value of Defferal'!$B38:$F$61,'Value of Defferal'!$C$10)</f>
        <v>0.1313573724926214</v>
      </c>
      <c r="C31" s="44">
        <f>VLOOKUP(A31,'Value of Defferal'!$B38:$F$61,'Value of Defferal'!$C$9)</f>
        <v>0</v>
      </c>
      <c r="D31" s="5">
        <f>IF((Title_RESULTS!$H$8-Title_RESULTS!$H$7)&lt;=('Sheet3(F_21)'!A31-Title_RESULTS!$H$7),((Title_RESULTS!$C$8*Partcipation!$C$26*8760*Title_RESULTS!$H$21/100000)),0)</f>
        <v>0</v>
      </c>
      <c r="E31" s="5">
        <f>IF($G31=0,0,((Title_RESULTS!$H$14*((1+Title_RESULTS!$H$15/100)^($A31-Title_RESULTS!$H$7))*'EUE_Line Losses'!$B$25*Partcipation!$C$26))/1000)</f>
        <v>0</v>
      </c>
      <c r="F31" s="5">
        <f>IF($G31=0,0,(Title_RESULTS!$H$19/100*((1+Title_RESULTS!$H$20/100)^($A31-Title_RESULTS!$H$7))*$D31*1000)/1000)</f>
        <v>0</v>
      </c>
      <c r="G31" s="5">
        <f>(+Title_RESULTS!$H$22/100*((1+Title_RESULTS!$H$23/100)^(+'Sheet4(F_22)'!A31-Title_RESULTS!$H$7)))*'Sheet3(F_21)'!D31</f>
        <v>0</v>
      </c>
      <c r="H31" s="5">
        <f>IF($G31=0,0,(($D31))*(Partcipation!$G31/100))</f>
        <v>0</v>
      </c>
      <c r="I31" s="5">
        <f>IF($A31&gt;=+Title_RESULTS!$H$8,+Partcipation!$C$60*Title_RESULTS!$H$24/1000*(1+Title_RESULTS!$H$25/100)^($A31-Title_RESULTS!$H$7),0)</f>
        <v>0</v>
      </c>
      <c r="J31" s="5">
        <f>(+C31+G31+E31+F31-H31+I31)*Partcipation!H31</f>
        <v>0</v>
      </c>
    </row>
    <row r="32" spans="1:10" ht="12.75">
      <c r="A32">
        <f t="shared" si="0"/>
        <v>2036</v>
      </c>
      <c r="B32" s="43">
        <f>VLOOKUP(A32,'Value of Defferal'!$B39:$F$61,'Value of Defferal'!$C$10)</f>
        <v>0.1345099494324443</v>
      </c>
      <c r="C32" s="44">
        <f>VLOOKUP(A32,'Value of Defferal'!$B39:$F$61,'Value of Defferal'!$C$9)</f>
        <v>0</v>
      </c>
      <c r="D32" s="5">
        <f>IF((Title_RESULTS!$H$8-Title_RESULTS!$H$7)&lt;=('Sheet3(F_21)'!A32-Title_RESULTS!$H$7),((Title_RESULTS!$C$8*Partcipation!$C$26*8760*Title_RESULTS!$H$21/100000)),0)</f>
        <v>0</v>
      </c>
      <c r="E32" s="5">
        <f>IF($G32=0,0,((Title_RESULTS!$H$14*((1+Title_RESULTS!$H$15/100)^($A32-Title_RESULTS!$H$7))*'EUE_Line Losses'!$B$25*Partcipation!$C$26))/1000)</f>
        <v>0</v>
      </c>
      <c r="F32" s="5">
        <f>IF($G32=0,0,(Title_RESULTS!$H$19/100*((1+Title_RESULTS!$H$20/100)^($A32-Title_RESULTS!$H$7))*$D32*1000)/1000)</f>
        <v>0</v>
      </c>
      <c r="G32" s="5">
        <f>(+Title_RESULTS!$H$22/100*((1+Title_RESULTS!$H$23/100)^(+'Sheet4(F_22)'!A32-Title_RESULTS!$H$7)))*'Sheet3(F_21)'!D32</f>
        <v>0</v>
      </c>
      <c r="H32" s="5">
        <f>IF($G32=0,0,(($D32))*(Partcipation!$G32/100))</f>
        <v>0</v>
      </c>
      <c r="I32" s="5">
        <f>IF($A32&gt;=+Title_RESULTS!$H$8,+Partcipation!$C$60*Title_RESULTS!$H$24/1000*(1+Title_RESULTS!$H$25/100)^($A32-Title_RESULTS!$H$7),0)</f>
        <v>0</v>
      </c>
      <c r="J32" s="5">
        <f>(+C32+G32+E32+F32-H32+I32)*Partcipation!H32</f>
        <v>0</v>
      </c>
    </row>
    <row r="33" spans="1:10" ht="12.75">
      <c r="A33">
        <f t="shared" si="0"/>
        <v>2037</v>
      </c>
      <c r="B33" s="43">
        <f>VLOOKUP(A33,'Value of Defferal'!$B40:$F$61,'Value of Defferal'!$C$10)</f>
        <v>0.13773818821882297</v>
      </c>
      <c r="C33" s="44">
        <f>VLOOKUP(A33,'Value of Defferal'!$B40:$F$61,'Value of Defferal'!$C$9)</f>
        <v>0</v>
      </c>
      <c r="D33" s="5">
        <f>IF((Title_RESULTS!$H$8-Title_RESULTS!$H$7)&lt;=('Sheet3(F_21)'!A33-Title_RESULTS!$H$7),((Title_RESULTS!$C$8*Partcipation!$C$26*8760*Title_RESULTS!$H$21/100000)),0)</f>
        <v>0</v>
      </c>
      <c r="E33" s="5">
        <f>IF($G33=0,0,((Title_RESULTS!$H$14*((1+Title_RESULTS!$H$15/100)^($A33-Title_RESULTS!$H$7))*'EUE_Line Losses'!$B$25*Partcipation!$C$26))/1000)</f>
        <v>0</v>
      </c>
      <c r="F33" s="5">
        <f>IF($G33=0,0,(Title_RESULTS!$H$19/100*((1+Title_RESULTS!$H$20/100)^($A33-Title_RESULTS!$H$7))*$D33*1000)/1000)</f>
        <v>0</v>
      </c>
      <c r="G33" s="5">
        <f>(+Title_RESULTS!$H$22/100*((1+Title_RESULTS!$H$23/100)^(+'Sheet4(F_22)'!A33-Title_RESULTS!$H$7)))*'Sheet3(F_21)'!D33</f>
        <v>0</v>
      </c>
      <c r="H33" s="5">
        <f>IF($G33=0,0,(($D33))*(Partcipation!$G33/100))</f>
        <v>0</v>
      </c>
      <c r="I33" s="5">
        <f>IF($A33&gt;=+Title_RESULTS!$H$8,+Partcipation!$C$60*Title_RESULTS!$H$24/1000*(1+Title_RESULTS!$H$25/100)^($A33-Title_RESULTS!$H$7),0)</f>
        <v>0</v>
      </c>
      <c r="J33" s="5">
        <f>(+C33+G33+E33+F33-H33+I33)*Partcipation!H33</f>
        <v>0</v>
      </c>
    </row>
    <row r="34" spans="3:10" ht="12.75">
      <c r="C34" s="5"/>
      <c r="D34" s="5"/>
      <c r="E34" s="5"/>
      <c r="F34" s="5"/>
      <c r="G34" s="5"/>
      <c r="H34" s="5"/>
      <c r="I34" s="5"/>
      <c r="J34" s="5"/>
    </row>
    <row r="35" spans="1:10" ht="12.75">
      <c r="A35" t="s">
        <v>87</v>
      </c>
      <c r="B35" s="9"/>
      <c r="C35" s="9">
        <f aca="true" t="shared" si="1" ref="C35:J35">SUM(C16:C34)</f>
        <v>0</v>
      </c>
      <c r="D35" s="9">
        <f t="shared" si="1"/>
        <v>0</v>
      </c>
      <c r="E35" s="9">
        <f t="shared" si="1"/>
        <v>0</v>
      </c>
      <c r="F35" s="9">
        <f t="shared" si="1"/>
        <v>0</v>
      </c>
      <c r="G35" s="9">
        <f t="shared" si="1"/>
        <v>0</v>
      </c>
      <c r="H35" s="9">
        <f t="shared" si="1"/>
        <v>0</v>
      </c>
      <c r="I35" s="9">
        <f t="shared" si="1"/>
        <v>0</v>
      </c>
      <c r="J35" s="9">
        <f t="shared" si="1"/>
        <v>0</v>
      </c>
    </row>
    <row r="36" spans="3:10" ht="12.75">
      <c r="C36" s="5"/>
      <c r="D36" s="5"/>
      <c r="E36" s="5"/>
      <c r="F36" s="5"/>
      <c r="G36" s="5"/>
      <c r="H36" s="5"/>
      <c r="I36" s="5"/>
      <c r="J36" s="5"/>
    </row>
    <row r="37" spans="1:10" ht="12.75">
      <c r="A37" t="s">
        <v>89</v>
      </c>
      <c r="C37" s="5">
        <f>NPV(Title_RESULTS!$C$37,C17:C34)+'Sheet3(F_21)'!C16</f>
        <v>0</v>
      </c>
      <c r="D37" s="5"/>
      <c r="E37" s="5">
        <f>NPV(Title_RESULTS!$C$37,E17:E34)+'Sheet3(F_21)'!E16</f>
        <v>0</v>
      </c>
      <c r="F37" s="5">
        <f>NPV(Title_RESULTS!$C$37,F17:F34)+'Sheet3(F_21)'!F16</f>
        <v>0</v>
      </c>
      <c r="G37" s="5">
        <f>NPV(Title_RESULTS!$C$37,G17:G34)+'Sheet3(F_21)'!G16</f>
        <v>0</v>
      </c>
      <c r="H37" s="5">
        <f>NPV(Title_RESULTS!$C$37,H17:H34)+'Sheet3(F_21)'!H16</f>
        <v>0</v>
      </c>
      <c r="I37" s="5">
        <f>NPV(Title_RESULTS!$C$37,I17:I34)+'Sheet3(F_21)'!I16</f>
        <v>0</v>
      </c>
      <c r="J37" s="5">
        <f>NPV(Title_RESULTS!$C$37,J17:J34)+'Sheet3(F_21)'!J16</f>
        <v>0</v>
      </c>
    </row>
    <row r="39" ht="12.75">
      <c r="A39" t="s">
        <v>91</v>
      </c>
    </row>
    <row r="150" ht="12.75">
      <c r="S150" s="1"/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BD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8515625" style="0" customWidth="1"/>
    <col min="3" max="3" width="17.8515625" style="0" customWidth="1"/>
    <col min="4" max="4" width="14.421875" style="0" customWidth="1"/>
    <col min="5" max="5" width="15.00390625" style="0" customWidth="1"/>
    <col min="6" max="6" width="17.140625" style="0" customWidth="1"/>
    <col min="7" max="7" width="16.421875" style="0" customWidth="1"/>
  </cols>
  <sheetData>
    <row r="1" spans="2:6" ht="12.75">
      <c r="B1" t="s">
        <v>106</v>
      </c>
      <c r="F1" t="s">
        <v>120</v>
      </c>
    </row>
    <row r="2" spans="2:6" ht="12.75">
      <c r="B2" t="s">
        <v>107</v>
      </c>
      <c r="C2" t="str">
        <f>+Input!C3</f>
        <v>LED Street Lights</v>
      </c>
      <c r="F2" t="s">
        <v>55</v>
      </c>
    </row>
    <row r="3" spans="6:7" ht="12.75">
      <c r="F3" s="35">
        <f>+Title_RESULTS!I4</f>
        <v>43599.31995208334</v>
      </c>
      <c r="G3" s="4"/>
    </row>
    <row r="8" spans="1:7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</row>
    <row r="9" spans="1:7" ht="12.75">
      <c r="A9" s="6"/>
      <c r="B9" s="6"/>
      <c r="C9" s="6"/>
      <c r="D9" s="6"/>
      <c r="E9" s="6"/>
      <c r="F9" s="6"/>
      <c r="G9" s="6"/>
    </row>
    <row r="10" spans="1:7" ht="12.75">
      <c r="A10" s="6"/>
      <c r="B10" s="6" t="s">
        <v>109</v>
      </c>
      <c r="C10" s="6"/>
      <c r="D10" s="6" t="s">
        <v>110</v>
      </c>
      <c r="E10" s="6"/>
      <c r="F10" s="6" t="s">
        <v>111</v>
      </c>
      <c r="G10" s="6"/>
    </row>
    <row r="11" spans="1:7" ht="12.75">
      <c r="A11" s="6"/>
      <c r="B11" s="6" t="s">
        <v>112</v>
      </c>
      <c r="C11" s="6" t="s">
        <v>46</v>
      </c>
      <c r="D11" s="6" t="s">
        <v>112</v>
      </c>
      <c r="E11" s="6" t="s">
        <v>47</v>
      </c>
      <c r="F11" s="6" t="s">
        <v>46</v>
      </c>
      <c r="G11" s="6" t="s">
        <v>113</v>
      </c>
    </row>
    <row r="12" spans="1:7" ht="12.75">
      <c r="A12" s="6"/>
      <c r="B12" s="6" t="s">
        <v>6</v>
      </c>
      <c r="C12" s="6" t="s">
        <v>31</v>
      </c>
      <c r="D12" s="6" t="s">
        <v>6</v>
      </c>
      <c r="E12" s="6" t="s">
        <v>31</v>
      </c>
      <c r="F12" s="6" t="s">
        <v>24</v>
      </c>
      <c r="G12" s="6" t="s">
        <v>24</v>
      </c>
    </row>
    <row r="13" spans="1:7" ht="12.75">
      <c r="A13" s="6"/>
      <c r="B13" s="6" t="s">
        <v>114</v>
      </c>
      <c r="C13" s="6" t="s">
        <v>115</v>
      </c>
      <c r="D13" s="6" t="s">
        <v>114</v>
      </c>
      <c r="E13" s="6" t="s">
        <v>115</v>
      </c>
      <c r="F13" s="6" t="s">
        <v>48</v>
      </c>
      <c r="G13" s="6" t="s">
        <v>48</v>
      </c>
    </row>
    <row r="14" spans="1:7" ht="12.75">
      <c r="A14" s="6"/>
      <c r="B14" s="6" t="s">
        <v>116</v>
      </c>
      <c r="C14" s="6" t="s">
        <v>93</v>
      </c>
      <c r="D14" s="6" t="s">
        <v>116</v>
      </c>
      <c r="E14" s="6" t="s">
        <v>117</v>
      </c>
      <c r="F14" s="6" t="s">
        <v>82</v>
      </c>
      <c r="G14" s="6" t="s">
        <v>82</v>
      </c>
    </row>
    <row r="15" spans="1:7" ht="12.75">
      <c r="A15" s="27" t="s">
        <v>35</v>
      </c>
      <c r="B15" s="27" t="s">
        <v>84</v>
      </c>
      <c r="C15" s="27" t="s">
        <v>83</v>
      </c>
      <c r="D15" s="27" t="s">
        <v>84</v>
      </c>
      <c r="E15" s="27" t="s">
        <v>83</v>
      </c>
      <c r="F15" s="27" t="s">
        <v>83</v>
      </c>
      <c r="G15" s="27" t="s">
        <v>83</v>
      </c>
    </row>
    <row r="16" spans="1:7" ht="12.75">
      <c r="A16">
        <f>+Title_RESULTS!H7</f>
        <v>2020</v>
      </c>
      <c r="B16" s="5">
        <f>(+Partcipation!$C15+(Partcipation!$C16-Partcipation!$C15)/2)*Title_RESULTS!$C$10/1000</f>
        <v>891.9409282700421</v>
      </c>
      <c r="C16" s="5">
        <f>$B16*'Sheet2(F_12)'!$E16/100</f>
        <v>25.87261634278153</v>
      </c>
      <c r="D16" s="5">
        <f>(+Partcipation!$C15+(Partcipation!$C16-Partcipation!$C15)/2)*(+Title_RESULTS!$C$31/(1-Title_RESULTS!$C$11/100))/1000</f>
        <v>0</v>
      </c>
      <c r="E16" s="5">
        <f>+$D16*'Sheet2(F_12)'!$F16/100</f>
        <v>0</v>
      </c>
      <c r="F16" s="5">
        <f>+C16-E16</f>
        <v>25.87261634278153</v>
      </c>
      <c r="G16" s="5">
        <f>+$F16*'Sheet2(F_12)'!$I16</f>
        <v>25.87261634278153</v>
      </c>
    </row>
    <row r="17" spans="1:7" ht="12.75">
      <c r="A17">
        <f>+A16+1</f>
        <v>2021</v>
      </c>
      <c r="B17" s="5">
        <f>(+Partcipation!$C16+(Partcipation!$C17-Partcipation!$C16)/2)*Title_RESULTS!$C$10/1000</f>
        <v>2675.8227848101264</v>
      </c>
      <c r="C17" s="5">
        <f>$B17*'Sheet2(F_12)'!$E17/100</f>
        <v>76.9865168391037</v>
      </c>
      <c r="D17" s="5">
        <f>(+Partcipation!$C16+(Partcipation!$C17-Partcipation!$C16)/2)*(+Title_RESULTS!$C$31/(1-Title_RESULTS!$C$11/100))/1000</f>
        <v>0</v>
      </c>
      <c r="E17" s="5">
        <f>+$D17*'Sheet2(F_12)'!$F17/100</f>
        <v>0</v>
      </c>
      <c r="F17" s="5">
        <f>+C17-E17</f>
        <v>76.9865168391037</v>
      </c>
      <c r="G17" s="5">
        <f>+$F17*'Sheet2(F_12)'!$I17</f>
        <v>76.9865168391037</v>
      </c>
    </row>
    <row r="18" spans="1:7" ht="12.75">
      <c r="A18">
        <f>+A17+1</f>
        <v>2022</v>
      </c>
      <c r="B18" s="5">
        <f>(+Partcipation!$C17+(Partcipation!$C18-Partcipation!$C17)/2)*Title_RESULTS!$C$10/1000</f>
        <v>4459.70464135021</v>
      </c>
      <c r="C18" s="5">
        <f>$B18*'Sheet2(F_12)'!$E18/100</f>
        <v>132.42539711898476</v>
      </c>
      <c r="D18" s="5">
        <f>(+Partcipation!$C17+(Partcipation!$C18-Partcipation!$C17)/2)*(+Title_RESULTS!$C$31/(1-Title_RESULTS!$C$11/100))/1000</f>
        <v>0</v>
      </c>
      <c r="E18" s="5">
        <f>+$D18*'Sheet2(F_12)'!$F18/100</f>
        <v>0</v>
      </c>
      <c r="F18" s="5">
        <f>+C18-E18</f>
        <v>132.42539711898476</v>
      </c>
      <c r="G18" s="5">
        <f>+$F18*'Sheet2(F_12)'!$I18</f>
        <v>132.42539711898476</v>
      </c>
    </row>
    <row r="19" spans="1:7" ht="12.75">
      <c r="A19">
        <f aca="true" t="shared" si="0" ref="A19:A33">+A18+1</f>
        <v>2023</v>
      </c>
      <c r="B19" s="5">
        <f>(+Partcipation!$C18+(Partcipation!$C19-Partcipation!$C18)/2)*Title_RESULTS!$C$10/1000</f>
        <v>5351.645569620253</v>
      </c>
      <c r="C19" s="5">
        <f>$B19*'Sheet2(F_12)'!$E19/100</f>
        <v>165.42958725892532</v>
      </c>
      <c r="D19" s="5">
        <f>(+Partcipation!$C18+(Partcipation!$C19-Partcipation!$C18)/2)*(+Title_RESULTS!$C$31/(1-Title_RESULTS!$C$11/100))/1000</f>
        <v>0</v>
      </c>
      <c r="E19" s="5">
        <f>+$D19*'Sheet2(F_12)'!$F19/100</f>
        <v>0</v>
      </c>
      <c r="F19" s="5">
        <f aca="true" t="shared" si="1" ref="F19:F33">+C19-E19</f>
        <v>165.42958725892532</v>
      </c>
      <c r="G19" s="5">
        <f>+$F19*'Sheet2(F_12)'!$I19</f>
        <v>165.42958725892532</v>
      </c>
    </row>
    <row r="20" spans="1:7" ht="12.75">
      <c r="A20">
        <f t="shared" si="0"/>
        <v>2024</v>
      </c>
      <c r="B20" s="5">
        <f>(+Partcipation!$C19+(Partcipation!$C20-Partcipation!$C19)/2)*Title_RESULTS!$C$10/1000</f>
        <v>5351.645569620253</v>
      </c>
      <c r="C20" s="5">
        <f>$B20*'Sheet2(F_12)'!$E20/100</f>
        <v>171.9303464968912</v>
      </c>
      <c r="D20" s="5">
        <f>(+Partcipation!$C19+(Partcipation!$C20-Partcipation!$C19)/2)*(+Title_RESULTS!$C$31/(1-Title_RESULTS!$C$11/100))/1000</f>
        <v>0</v>
      </c>
      <c r="E20" s="5">
        <f>+$D20*'Sheet2(F_12)'!$F20/100</f>
        <v>0</v>
      </c>
      <c r="F20" s="5">
        <f t="shared" si="1"/>
        <v>171.9303464968912</v>
      </c>
      <c r="G20" s="5">
        <f>+$F20*'Sheet2(F_12)'!$I20</f>
        <v>171.9303464968912</v>
      </c>
    </row>
    <row r="21" spans="1:7" ht="12.75">
      <c r="A21">
        <f t="shared" si="0"/>
        <v>2025</v>
      </c>
      <c r="B21" s="5">
        <f>(+Partcipation!$C20+(Partcipation!$C21-Partcipation!$C20)/2)*Title_RESULTS!$C$10/1000</f>
        <v>5351.645569620253</v>
      </c>
      <c r="C21" s="5">
        <f>$B21*'Sheet2(F_12)'!$E21/100</f>
        <v>184.60142986917901</v>
      </c>
      <c r="D21" s="5">
        <f>(+Partcipation!$C20+(Partcipation!$C21-Partcipation!$C20)/2)*(+Title_RESULTS!$C$31/(1-Title_RESULTS!$C$11/100))/1000</f>
        <v>0</v>
      </c>
      <c r="E21" s="5">
        <f>+$D21*'Sheet2(F_12)'!$F21/100</f>
        <v>0</v>
      </c>
      <c r="F21" s="5">
        <f t="shared" si="1"/>
        <v>184.60142986917901</v>
      </c>
      <c r="G21" s="5">
        <f>+$F21*'Sheet2(F_12)'!$I21</f>
        <v>184.60142986917901</v>
      </c>
    </row>
    <row r="22" spans="1:7" ht="12.75">
      <c r="A22">
        <f t="shared" si="0"/>
        <v>2026</v>
      </c>
      <c r="B22" s="5">
        <f>(+Partcipation!$C21+(Partcipation!$C22-Partcipation!$C21)/2)*Title_RESULTS!$C$10/1000</f>
        <v>5351.645569620253</v>
      </c>
      <c r="C22" s="5">
        <f>$B22*'Sheet2(F_12)'!$E22/100</f>
        <v>190.52245142862645</v>
      </c>
      <c r="D22" s="5">
        <f>(+Partcipation!$C21+(Partcipation!$C22-Partcipation!$C21)/2)*(+Title_RESULTS!$C$31/(1-Title_RESULTS!$C$11/100))/1000</f>
        <v>0</v>
      </c>
      <c r="E22" s="5">
        <f>+$D22*'Sheet2(F_12)'!$F22/100</f>
        <v>0</v>
      </c>
      <c r="F22" s="5">
        <f t="shared" si="1"/>
        <v>190.52245142862645</v>
      </c>
      <c r="G22" s="5">
        <f>+$F22*'Sheet2(F_12)'!$I22</f>
        <v>190.52245142862645</v>
      </c>
    </row>
    <row r="23" spans="1:7" ht="12.75">
      <c r="A23">
        <f t="shared" si="0"/>
        <v>2027</v>
      </c>
      <c r="B23" s="5">
        <f>(+Partcipation!$C22+(Partcipation!$C23-Partcipation!$C22)/2)*Title_RESULTS!$C$10/1000</f>
        <v>5351.645569620253</v>
      </c>
      <c r="C23" s="5">
        <f>$B23*'Sheet2(F_12)'!$E23/100</f>
        <v>202.42925190258748</v>
      </c>
      <c r="D23" s="5">
        <f>(+Partcipation!$C22+(Partcipation!$C23-Partcipation!$C22)/2)*(+Title_RESULTS!$C$31/(1-Title_RESULTS!$C$11/100))/1000</f>
        <v>0</v>
      </c>
      <c r="E23" s="5">
        <f>+$D23*'Sheet2(F_12)'!$F23/100</f>
        <v>0</v>
      </c>
      <c r="F23" s="5">
        <f t="shared" si="1"/>
        <v>202.42925190258748</v>
      </c>
      <c r="G23" s="5">
        <f>+$F23*'Sheet2(F_12)'!$I23</f>
        <v>202.42925190258748</v>
      </c>
    </row>
    <row r="24" spans="1:7" ht="12.75">
      <c r="A24">
        <f t="shared" si="0"/>
        <v>2028</v>
      </c>
      <c r="B24" s="5">
        <f>(+Partcipation!$C23+(Partcipation!$C24-Partcipation!$C23)/2)*Title_RESULTS!$C$10/1000</f>
        <v>5351.645569620253</v>
      </c>
      <c r="C24" s="5">
        <f>$B24*'Sheet2(F_12)'!$E24/100</f>
        <v>224.315020136343</v>
      </c>
      <c r="D24" s="5">
        <f>(+Partcipation!$C23+(Partcipation!$C24-Partcipation!$C23)/2)*(+Title_RESULTS!$C$31/(1-Title_RESULTS!$C$11/100))/1000</f>
        <v>0</v>
      </c>
      <c r="E24" s="5">
        <f>+$D24*'Sheet2(F_12)'!$F24/100</f>
        <v>0</v>
      </c>
      <c r="F24" s="5">
        <f t="shared" si="1"/>
        <v>224.315020136343</v>
      </c>
      <c r="G24" s="5">
        <f>+$F24*'Sheet2(F_12)'!$I24</f>
        <v>224.315020136343</v>
      </c>
    </row>
    <row r="25" spans="1:7" ht="12.75">
      <c r="A25">
        <f t="shared" si="0"/>
        <v>2029</v>
      </c>
      <c r="B25" s="5">
        <f>(+Partcipation!$C24+(Partcipation!$C25-Partcipation!$C24)/2)*Title_RESULTS!$C$10/1000</f>
        <v>5351.645569620253</v>
      </c>
      <c r="C25" s="5">
        <f>$B25*'Sheet2(F_12)'!$E25/100</f>
        <v>240.32309750881447</v>
      </c>
      <c r="D25" s="5">
        <f>(+Partcipation!$C24+(Partcipation!$C25-Partcipation!$C24)/2)*(+Title_RESULTS!$C$31/(1-Title_RESULTS!$C$11/100))/1000</f>
        <v>0</v>
      </c>
      <c r="E25" s="5">
        <f>+$D25*'Sheet2(F_12)'!$F25/100</f>
        <v>0</v>
      </c>
      <c r="F25" s="5">
        <f t="shared" si="1"/>
        <v>240.32309750881447</v>
      </c>
      <c r="G25" s="5">
        <f>+$F25*'Sheet2(F_12)'!$I25</f>
        <v>240.32309750881447</v>
      </c>
    </row>
    <row r="26" spans="1:7" ht="12.75">
      <c r="A26">
        <f t="shared" si="0"/>
        <v>2030</v>
      </c>
      <c r="B26" s="5">
        <f>(+Partcipation!$C25+(Partcipation!$C26-Partcipation!$C25)/2)*Title_RESULTS!$C$10/1000</f>
        <v>5351.645569620253</v>
      </c>
      <c r="C26" s="5">
        <f>$B26*'Sheet2(F_12)'!$E26/100</f>
        <v>268.4275859680559</v>
      </c>
      <c r="D26" s="5">
        <f>(+Partcipation!$C25+(Partcipation!$C26-Partcipation!$C25)/2)*(+Title_RESULTS!$C$31/(1-Title_RESULTS!$C$11/100))/1000</f>
        <v>0</v>
      </c>
      <c r="E26" s="5">
        <f>+$D26*'Sheet2(F_12)'!$F26/100</f>
        <v>0</v>
      </c>
      <c r="F26" s="5">
        <f t="shared" si="1"/>
        <v>268.4275859680559</v>
      </c>
      <c r="G26" s="5">
        <f>+$F26*'Sheet2(F_12)'!$I26</f>
        <v>268.4275859680559</v>
      </c>
    </row>
    <row r="27" spans="1:7" ht="12.75">
      <c r="A27">
        <f t="shared" si="0"/>
        <v>2031</v>
      </c>
      <c r="B27" s="5">
        <f>(+Partcipation!$C26+(Partcipation!$C27-Partcipation!$C26)/2)*Title_RESULTS!$C$10/1000</f>
        <v>5351.645569620253</v>
      </c>
      <c r="C27" s="5">
        <f>$B27*'Sheet2(F_12)'!$E27/100</f>
        <v>267.4293452305262</v>
      </c>
      <c r="D27" s="5">
        <f>(+Partcipation!$C26+(Partcipation!$C27-Partcipation!$C26)/2)*(+Title_RESULTS!$C$31/(1-Title_RESULTS!$C$11/100))/1000</f>
        <v>0</v>
      </c>
      <c r="E27" s="5">
        <f>+$D27*'Sheet2(F_12)'!$F27/100</f>
        <v>0</v>
      </c>
      <c r="F27" s="5">
        <f t="shared" si="1"/>
        <v>267.4293452305262</v>
      </c>
      <c r="G27" s="5">
        <f>+$F27*'Sheet2(F_12)'!$I27</f>
        <v>267.4293452305262</v>
      </c>
    </row>
    <row r="28" spans="1:7" ht="12.75">
      <c r="A28">
        <f t="shared" si="0"/>
        <v>2032</v>
      </c>
      <c r="B28" s="5">
        <f>(+Partcipation!$C27+(Partcipation!$C28-Partcipation!$C27)/2)*Title_RESULTS!$C$10/1000</f>
        <v>5351.645569620253</v>
      </c>
      <c r="C28" s="5">
        <f>$B28*'Sheet2(F_12)'!$E28/100</f>
        <v>292.27555747696215</v>
      </c>
      <c r="D28" s="5">
        <f>(+Partcipation!$C27+(Partcipation!$C28-Partcipation!$C27)/2)*(+Title_RESULTS!$C$31/(1-Title_RESULTS!$C$11/100))/1000</f>
        <v>0</v>
      </c>
      <c r="E28" s="5">
        <f>+$D28*'Sheet2(F_12)'!$F28/100</f>
        <v>0</v>
      </c>
      <c r="F28" s="5">
        <f t="shared" si="1"/>
        <v>292.27555747696215</v>
      </c>
      <c r="G28" s="5">
        <f>+$F28*'Sheet2(F_12)'!$I28</f>
        <v>292.27555747696215</v>
      </c>
    </row>
    <row r="29" spans="1:7" ht="12.75">
      <c r="A29">
        <f t="shared" si="0"/>
        <v>2033</v>
      </c>
      <c r="B29" s="5">
        <f>(+Partcipation!$C28+(Partcipation!$C29-Partcipation!$C28)/2)*Title_RESULTS!$C$10/1000</f>
        <v>5351.645569620253</v>
      </c>
      <c r="C29" s="5">
        <f>$B29*'Sheet2(F_12)'!$E29/100</f>
        <v>311.68529551278345</v>
      </c>
      <c r="D29" s="5">
        <f>(+Partcipation!$C28+(Partcipation!$C29-Partcipation!$C28)/2)*(+Title_RESULTS!$C$31/(1-Title_RESULTS!$C$11/100))/1000</f>
        <v>0</v>
      </c>
      <c r="E29" s="5">
        <f>+$D29*'Sheet2(F_12)'!$F29/100</f>
        <v>0</v>
      </c>
      <c r="F29" s="5">
        <f t="shared" si="1"/>
        <v>311.68529551278345</v>
      </c>
      <c r="G29" s="5">
        <f>+$F29*'Sheet2(F_12)'!$I29</f>
        <v>311.68529551278345</v>
      </c>
    </row>
    <row r="30" spans="1:7" ht="12.75">
      <c r="A30">
        <f t="shared" si="0"/>
        <v>2034</v>
      </c>
      <c r="B30" s="5">
        <f>(+Partcipation!$C29+(Partcipation!$C30-Partcipation!$C29)/2)*Title_RESULTS!$C$10/1000</f>
        <v>5351.645569620253</v>
      </c>
      <c r="C30" s="5">
        <f>$B30*'Sheet2(F_12)'!$E30/100</f>
        <v>326.1980704294549</v>
      </c>
      <c r="D30" s="5">
        <f>(+Partcipation!$C29+(Partcipation!$C30-Partcipation!$C29)/2)*(+Title_RESULTS!$C$31/(1-Title_RESULTS!$C$11/100))/1000</f>
        <v>0</v>
      </c>
      <c r="E30" s="5">
        <f>+$D30*'Sheet2(F_12)'!$F30/100</f>
        <v>0</v>
      </c>
      <c r="F30" s="5">
        <f t="shared" si="1"/>
        <v>326.1980704294549</v>
      </c>
      <c r="G30" s="5">
        <f>+$F30*'Sheet2(F_12)'!$I30</f>
        <v>326.1980704294549</v>
      </c>
    </row>
    <row r="31" spans="1:7" ht="12.75">
      <c r="A31">
        <f t="shared" si="0"/>
        <v>2035</v>
      </c>
      <c r="B31" s="5">
        <f>(+Partcipation!$C30+(Partcipation!$C31-Partcipation!$C30)/2)*Title_RESULTS!$C$10/1000</f>
        <v>5351.645569620253</v>
      </c>
      <c r="C31" s="5">
        <f>$B31*'Sheet2(F_12)'!$E31/100</f>
        <v>359.25731110918406</v>
      </c>
      <c r="D31" s="5">
        <f>(+Partcipation!$C30+(Partcipation!$C31-Partcipation!$C30)/2)*(+Title_RESULTS!$C$31/(1-Title_RESULTS!$C$11/100))/1000</f>
        <v>0</v>
      </c>
      <c r="E31" s="5">
        <f>+$D31*'Sheet2(F_12)'!$F31/100</f>
        <v>0</v>
      </c>
      <c r="F31" s="5">
        <f t="shared" si="1"/>
        <v>359.25731110918406</v>
      </c>
      <c r="G31" s="5">
        <f>+$F31*'Sheet2(F_12)'!$I31</f>
        <v>359.25731110918406</v>
      </c>
    </row>
    <row r="32" spans="1:7" ht="12.75">
      <c r="A32">
        <f t="shared" si="0"/>
        <v>2036</v>
      </c>
      <c r="B32" s="5">
        <f>(+Partcipation!$C31+(Partcipation!$C32-Partcipation!$C31)/2)*Title_RESULTS!$C$10/1000</f>
        <v>5351.645569620253</v>
      </c>
      <c r="C32" s="5">
        <f>$B32*'Sheet2(F_12)'!$E32/100</f>
        <v>354.8393648021341</v>
      </c>
      <c r="D32" s="5">
        <f>(+Partcipation!$C31+(Partcipation!$C32-Partcipation!$C31)/2)*(+Title_RESULTS!$C$31/(1-Title_RESULTS!$C$11/100))/1000</f>
        <v>0</v>
      </c>
      <c r="E32" s="5">
        <f>+$D32*'Sheet2(F_12)'!$F32/100</f>
        <v>0</v>
      </c>
      <c r="F32" s="5">
        <f t="shared" si="1"/>
        <v>354.8393648021341</v>
      </c>
      <c r="G32" s="5">
        <f>+$F32*'Sheet2(F_12)'!$I32</f>
        <v>354.8393648021341</v>
      </c>
    </row>
    <row r="33" spans="1:7" ht="12.75">
      <c r="A33">
        <f t="shared" si="0"/>
        <v>2037</v>
      </c>
      <c r="B33" s="5">
        <f>(+Partcipation!$C32+(Partcipation!$C33-Partcipation!$C32)/2)*Title_RESULTS!$C$10/1000</f>
        <v>5351.645569620253</v>
      </c>
      <c r="C33" s="5">
        <f>$B33*'Sheet2(F_12)'!$E33/100</f>
        <v>378.7252455253067</v>
      </c>
      <c r="D33" s="5">
        <f>(+Partcipation!$C32+(Partcipation!$C33-Partcipation!$C32)/2)*(+Title_RESULTS!$C$31/(1-Title_RESULTS!$C$11/100))/1000</f>
        <v>0</v>
      </c>
      <c r="E33" s="5">
        <f>+$D33*'Sheet2(F_12)'!$F33/100</f>
        <v>0</v>
      </c>
      <c r="F33" s="5">
        <f t="shared" si="1"/>
        <v>378.7252455253067</v>
      </c>
      <c r="G33" s="5">
        <f>+$F33*'Sheet2(F_12)'!$I33</f>
        <v>378.7252455253067</v>
      </c>
    </row>
    <row r="34" spans="2:7" ht="12.75">
      <c r="B34" s="5"/>
      <c r="C34" s="5"/>
      <c r="D34" s="5"/>
      <c r="E34" s="5"/>
      <c r="F34" s="5"/>
      <c r="G34" s="5"/>
    </row>
    <row r="35" spans="1:7" ht="12.75">
      <c r="A35" t="s">
        <v>87</v>
      </c>
      <c r="B35" s="5">
        <f aca="true" t="shared" si="2" ref="B35:G35">SUM(B16:B34)</f>
        <v>88302.15189873416</v>
      </c>
      <c r="C35" s="5">
        <f t="shared" si="2"/>
        <v>4173.673490956645</v>
      </c>
      <c r="D35" s="5">
        <f t="shared" si="2"/>
        <v>0</v>
      </c>
      <c r="E35" s="5">
        <f t="shared" si="2"/>
        <v>0</v>
      </c>
      <c r="F35" s="5">
        <f t="shared" si="2"/>
        <v>4173.673490956645</v>
      </c>
      <c r="G35" s="5">
        <f t="shared" si="2"/>
        <v>4173.673490956645</v>
      </c>
    </row>
    <row r="36" spans="2:7" ht="12.75">
      <c r="B36" s="5"/>
      <c r="C36" s="5"/>
      <c r="D36" s="5"/>
      <c r="E36" s="5"/>
      <c r="F36" s="5"/>
      <c r="G36" s="5"/>
    </row>
    <row r="37" spans="1:7" ht="12.75">
      <c r="A37" t="s">
        <v>118</v>
      </c>
      <c r="B37" s="5"/>
      <c r="C37" s="5">
        <f>NPV(+Title_RESULTS!$C$37,C17:C34)+C16</f>
        <v>2130.5605342240606</v>
      </c>
      <c r="D37" s="5"/>
      <c r="E37" s="5">
        <f>NPV(+Title_RESULTS!$C$37,E17:E34)+E16</f>
        <v>0</v>
      </c>
      <c r="F37" s="5">
        <f>NPV(+Title_RESULTS!$C$37,F17:F34)+F16</f>
        <v>2130.5605342240606</v>
      </c>
      <c r="G37" s="5">
        <f>NPV(+Title_RESULTS!$C$37,G17:G34)+G16</f>
        <v>2130.5605342240606</v>
      </c>
    </row>
    <row r="38" spans="6:7" ht="12.75">
      <c r="F38" s="9"/>
      <c r="G38" s="9"/>
    </row>
    <row r="39" ht="12.75">
      <c r="A39" t="s">
        <v>91</v>
      </c>
    </row>
    <row r="152" spans="32:56" ht="12.75">
      <c r="AF152" s="1"/>
      <c r="AQ152" s="1"/>
      <c r="BD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5">
    <tabColor theme="4"/>
  </sheetPr>
  <dimension ref="A1:P48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6.00390625" style="0" customWidth="1"/>
    <col min="3" max="3" width="16.140625" style="0" customWidth="1"/>
    <col min="4" max="4" width="11.140625" style="0" customWidth="1"/>
    <col min="5" max="6" width="11.8515625" style="0" customWidth="1"/>
    <col min="7" max="8" width="15.421875" style="0" customWidth="1"/>
    <col min="9" max="9" width="16.57421875" style="0" customWidth="1"/>
    <col min="10" max="10" width="17.00390625" style="0" customWidth="1"/>
    <col min="11" max="11" width="11.57421875" style="10" customWidth="1"/>
    <col min="16" max="16" width="15.57421875" style="0" bestFit="1" customWidth="1"/>
  </cols>
  <sheetData>
    <row r="1" spans="4:10" ht="12.75">
      <c r="D1" t="s">
        <v>40</v>
      </c>
      <c r="J1" t="s">
        <v>380</v>
      </c>
    </row>
    <row r="2" spans="4:10" ht="12.75">
      <c r="D2" t="s">
        <v>41</v>
      </c>
      <c r="E2" t="str">
        <f>+Input!C3</f>
        <v>LED Street Lights</v>
      </c>
      <c r="J2" t="s">
        <v>42</v>
      </c>
    </row>
    <row r="3" spans="9:10" ht="12.75">
      <c r="I3" s="4"/>
      <c r="J3" s="35">
        <f>+Title_RESULTS!I4</f>
        <v>43599.31995208334</v>
      </c>
    </row>
    <row r="8" spans="1:11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4" t="s">
        <v>22</v>
      </c>
    </row>
    <row r="10" spans="1:11" ht="12.75">
      <c r="A10" s="6"/>
      <c r="B10" s="6"/>
      <c r="C10" s="6"/>
      <c r="D10" s="6" t="s">
        <v>43</v>
      </c>
      <c r="E10" s="6"/>
      <c r="F10" s="6"/>
      <c r="G10" s="6"/>
      <c r="H10" s="6"/>
      <c r="I10" s="6"/>
      <c r="J10" s="6"/>
      <c r="K10" s="54"/>
    </row>
    <row r="11" spans="1:11" ht="12.75">
      <c r="A11" s="6"/>
      <c r="B11" s="6"/>
      <c r="C11" s="6"/>
      <c r="D11" s="6" t="s">
        <v>44</v>
      </c>
      <c r="E11" s="6"/>
      <c r="F11" s="6"/>
      <c r="G11" s="6"/>
      <c r="H11" s="6"/>
      <c r="I11" s="6"/>
      <c r="J11" s="6"/>
      <c r="K11" s="54"/>
    </row>
    <row r="12" spans="1:11" ht="12.75">
      <c r="A12" s="6"/>
      <c r="B12" s="6" t="s">
        <v>25</v>
      </c>
      <c r="C12" s="6" t="s">
        <v>23</v>
      </c>
      <c r="D12" s="6" t="s">
        <v>45</v>
      </c>
      <c r="E12" s="6" t="s">
        <v>46</v>
      </c>
      <c r="F12" s="6" t="s">
        <v>47</v>
      </c>
      <c r="G12" s="6"/>
      <c r="H12" s="6" t="s">
        <v>24</v>
      </c>
      <c r="I12" s="6" t="s">
        <v>24</v>
      </c>
      <c r="J12" s="6" t="s">
        <v>29</v>
      </c>
      <c r="K12" s="54" t="s">
        <v>29</v>
      </c>
    </row>
    <row r="13" spans="1:11" ht="12.75">
      <c r="A13" s="6"/>
      <c r="B13" s="6" t="s">
        <v>50</v>
      </c>
      <c r="C13" s="6" t="s">
        <v>25</v>
      </c>
      <c r="D13" s="6" t="s">
        <v>48</v>
      </c>
      <c r="E13" s="6" t="s">
        <v>31</v>
      </c>
      <c r="F13" s="6" t="s">
        <v>31</v>
      </c>
      <c r="G13" s="6" t="s">
        <v>49</v>
      </c>
      <c r="H13" s="6" t="s">
        <v>27</v>
      </c>
      <c r="I13" s="6" t="s">
        <v>28</v>
      </c>
      <c r="J13" s="6" t="s">
        <v>33</v>
      </c>
      <c r="K13" s="54" t="s">
        <v>34</v>
      </c>
    </row>
    <row r="14" spans="1:11" ht="15.75">
      <c r="A14" s="6"/>
      <c r="B14" s="6" t="s">
        <v>30</v>
      </c>
      <c r="C14" s="6" t="s">
        <v>30</v>
      </c>
      <c r="D14" s="6" t="s">
        <v>33</v>
      </c>
      <c r="E14" s="6" t="s">
        <v>26</v>
      </c>
      <c r="F14" s="6" t="s">
        <v>26</v>
      </c>
      <c r="G14" s="6" t="s">
        <v>26</v>
      </c>
      <c r="H14" s="6" t="s">
        <v>32</v>
      </c>
      <c r="I14" s="6" t="s">
        <v>32</v>
      </c>
      <c r="J14" s="6"/>
      <c r="K14" s="54" t="s">
        <v>399</v>
      </c>
    </row>
    <row r="15" spans="1:11" ht="12.75">
      <c r="A15" s="27" t="s">
        <v>35</v>
      </c>
      <c r="B15" s="27" t="s">
        <v>36</v>
      </c>
      <c r="C15" s="27" t="s">
        <v>36</v>
      </c>
      <c r="D15" s="27" t="s">
        <v>38</v>
      </c>
      <c r="E15" s="27" t="s">
        <v>38</v>
      </c>
      <c r="F15" s="27" t="s">
        <v>38</v>
      </c>
      <c r="G15" s="27" t="s">
        <v>38</v>
      </c>
      <c r="H15" s="27" t="s">
        <v>37</v>
      </c>
      <c r="I15" s="27" t="s">
        <v>37</v>
      </c>
      <c r="J15" s="27" t="s">
        <v>39</v>
      </c>
      <c r="K15" s="55" t="s">
        <v>39</v>
      </c>
    </row>
    <row r="16" spans="1:16" ht="15">
      <c r="A16">
        <f>+Title_RESULTS!H7</f>
        <v>2020</v>
      </c>
      <c r="B16" s="28">
        <f>+Partcipation!B16</f>
        <v>1000</v>
      </c>
      <c r="C16" s="28">
        <f>+Partcipation!C16</f>
        <v>1000</v>
      </c>
      <c r="D16" s="10">
        <f>+Partcipation!D16</f>
        <v>2.4346125415616804</v>
      </c>
      <c r="E16" s="10">
        <f>+Partcipation!E16</f>
        <v>2.9007096235579843</v>
      </c>
      <c r="F16">
        <v>0</v>
      </c>
      <c r="G16" s="10">
        <f>+Partcipation!G16</f>
        <v>2.878920847571778</v>
      </c>
      <c r="H16">
        <v>1</v>
      </c>
      <c r="I16">
        <v>1</v>
      </c>
      <c r="J16">
        <v>0</v>
      </c>
      <c r="K16" s="10">
        <f>+Partcipation!L16</f>
        <v>0</v>
      </c>
      <c r="N16" s="64"/>
      <c r="P16" s="65"/>
    </row>
    <row r="17" spans="1:16" ht="15">
      <c r="A17">
        <f>+A16+1</f>
        <v>2021</v>
      </c>
      <c r="B17" s="28">
        <f>+Partcipation!B17</f>
        <v>2000</v>
      </c>
      <c r="C17" s="28">
        <f>+Partcipation!C17</f>
        <v>2000</v>
      </c>
      <c r="D17" s="10">
        <f>+Partcipation!D17</f>
        <v>2.5504842341169973</v>
      </c>
      <c r="E17" s="10">
        <f>+Partcipation!E17</f>
        <v>2.877115677321157</v>
      </c>
      <c r="F17">
        <v>0</v>
      </c>
      <c r="G17" s="10">
        <f>+Partcipation!G17</f>
        <v>3.037777795649506</v>
      </c>
      <c r="H17">
        <v>1</v>
      </c>
      <c r="I17">
        <v>1</v>
      </c>
      <c r="J17">
        <v>0</v>
      </c>
      <c r="K17" s="10">
        <f>+Partcipation!L17</f>
        <v>0</v>
      </c>
      <c r="N17" s="64"/>
      <c r="P17" s="65"/>
    </row>
    <row r="18" spans="1:16" ht="15">
      <c r="A18">
        <f>+A17+1</f>
        <v>2022</v>
      </c>
      <c r="B18" s="28">
        <f>+Partcipation!B18</f>
        <v>3000</v>
      </c>
      <c r="C18" s="28">
        <f>+Partcipation!C18</f>
        <v>3000</v>
      </c>
      <c r="D18" s="10">
        <f>+Partcipation!D18</f>
        <v>2.644432310672106</v>
      </c>
      <c r="E18" s="10">
        <f>+Partcipation!E18</f>
        <v>2.9693759512937596</v>
      </c>
      <c r="F18">
        <v>0</v>
      </c>
      <c r="G18" s="10">
        <f>+Partcipation!G18</f>
        <v>3.156234230110476</v>
      </c>
      <c r="H18">
        <v>1</v>
      </c>
      <c r="I18">
        <v>1</v>
      </c>
      <c r="J18">
        <v>0</v>
      </c>
      <c r="K18" s="10">
        <f>+Partcipation!L18</f>
        <v>0</v>
      </c>
      <c r="N18" s="64"/>
      <c r="P18" s="65"/>
    </row>
    <row r="19" spans="1:16" ht="15">
      <c r="A19">
        <f aca="true" t="shared" si="0" ref="A19:A33">+A18+1</f>
        <v>2023</v>
      </c>
      <c r="B19" s="28">
        <f>+Partcipation!B19</f>
        <v>3000</v>
      </c>
      <c r="C19" s="28">
        <f>+Partcipation!C19</f>
        <v>3000</v>
      </c>
      <c r="D19" s="10">
        <f>+Partcipation!D19</f>
        <v>2.622754871717878</v>
      </c>
      <c r="E19" s="10">
        <f>+Partcipation!E19</f>
        <v>3.0911910197869106</v>
      </c>
      <c r="F19">
        <v>0</v>
      </c>
      <c r="G19" s="10">
        <f>+Partcipation!G19</f>
        <v>3.1726275779238713</v>
      </c>
      <c r="H19">
        <v>1</v>
      </c>
      <c r="I19">
        <v>1</v>
      </c>
      <c r="J19">
        <v>0</v>
      </c>
      <c r="K19" s="10">
        <f>+Partcipation!L19</f>
        <v>0</v>
      </c>
      <c r="N19" s="64"/>
      <c r="P19" s="65"/>
    </row>
    <row r="20" spans="1:16" ht="15">
      <c r="A20">
        <f t="shared" si="0"/>
        <v>2024</v>
      </c>
      <c r="B20" s="28">
        <f>+Partcipation!B20</f>
        <v>3000</v>
      </c>
      <c r="C20" s="28">
        <f>+Partcipation!C20</f>
        <v>3000</v>
      </c>
      <c r="D20" s="10">
        <f>+Partcipation!D20</f>
        <v>2.7715168291961763</v>
      </c>
      <c r="E20" s="10">
        <f>+Partcipation!E20</f>
        <v>3.212663175470553</v>
      </c>
      <c r="F20">
        <v>0</v>
      </c>
      <c r="G20" s="10">
        <f>+Partcipation!G20</f>
        <v>3.31455317769606</v>
      </c>
      <c r="H20">
        <v>1</v>
      </c>
      <c r="I20">
        <v>1</v>
      </c>
      <c r="J20">
        <v>0</v>
      </c>
      <c r="K20" s="10">
        <f>+Partcipation!L20</f>
        <v>0</v>
      </c>
      <c r="N20" s="64"/>
      <c r="P20" s="65"/>
    </row>
    <row r="21" spans="1:16" ht="15">
      <c r="A21">
        <f t="shared" si="0"/>
        <v>2025</v>
      </c>
      <c r="B21" s="28">
        <f>+Partcipation!B21</f>
        <v>3000</v>
      </c>
      <c r="C21" s="28">
        <f>+Partcipation!C21</f>
        <v>3000</v>
      </c>
      <c r="D21" s="10">
        <f>+Partcipation!D21</f>
        <v>2.930598228294713</v>
      </c>
      <c r="E21" s="10">
        <f>+Partcipation!E21</f>
        <v>3.44943302891933</v>
      </c>
      <c r="F21">
        <v>0</v>
      </c>
      <c r="G21" s="10">
        <f>+Partcipation!G21</f>
        <v>3.4459033295335075</v>
      </c>
      <c r="H21">
        <v>1</v>
      </c>
      <c r="I21">
        <v>1</v>
      </c>
      <c r="J21">
        <v>0</v>
      </c>
      <c r="K21" s="10">
        <f>+Partcipation!L21</f>
        <v>0</v>
      </c>
      <c r="N21" s="64"/>
      <c r="P21" s="65"/>
    </row>
    <row r="22" spans="1:16" ht="15">
      <c r="A22">
        <f t="shared" si="0"/>
        <v>2026</v>
      </c>
      <c r="B22" s="28">
        <f>+Partcipation!B22</f>
        <v>3000</v>
      </c>
      <c r="C22" s="28">
        <f>+Partcipation!C22</f>
        <v>3000</v>
      </c>
      <c r="D22" s="10">
        <f>+Partcipation!D22</f>
        <v>3.0631027844213077</v>
      </c>
      <c r="E22" s="10">
        <f>+Partcipation!E22</f>
        <v>3.5600722983257227</v>
      </c>
      <c r="F22">
        <v>0</v>
      </c>
      <c r="G22" s="10">
        <f>+Partcipation!G22</f>
        <v>3.5575518290932058</v>
      </c>
      <c r="H22">
        <v>1</v>
      </c>
      <c r="I22">
        <v>1</v>
      </c>
      <c r="J22">
        <v>0</v>
      </c>
      <c r="K22" s="10">
        <f>+Partcipation!L22</f>
        <v>0</v>
      </c>
      <c r="N22" s="64"/>
      <c r="P22" s="65"/>
    </row>
    <row r="23" spans="1:16" ht="15">
      <c r="A23">
        <f t="shared" si="0"/>
        <v>2027</v>
      </c>
      <c r="B23" s="28">
        <f>+Partcipation!B23</f>
        <v>3000</v>
      </c>
      <c r="C23" s="28">
        <f>+Partcipation!C23</f>
        <v>3000</v>
      </c>
      <c r="D23" s="10">
        <f>+Partcipation!D23</f>
        <v>3.243461241226195</v>
      </c>
      <c r="E23" s="10">
        <f>+Partcipation!E23</f>
        <v>3.7825608828006088</v>
      </c>
      <c r="F23">
        <v>0</v>
      </c>
      <c r="G23" s="10">
        <f>+Partcipation!G23</f>
        <v>3.716786671076347</v>
      </c>
      <c r="H23">
        <v>1</v>
      </c>
      <c r="I23">
        <v>1</v>
      </c>
      <c r="J23">
        <v>0</v>
      </c>
      <c r="K23" s="10">
        <f>+Partcipation!L23</f>
        <v>0</v>
      </c>
      <c r="N23" s="64"/>
      <c r="P23" s="65"/>
    </row>
    <row r="24" spans="1:16" ht="15">
      <c r="A24">
        <f t="shared" si="0"/>
        <v>2028</v>
      </c>
      <c r="B24" s="28">
        <f>+Partcipation!B24</f>
        <v>3000</v>
      </c>
      <c r="C24" s="28">
        <f>+Partcipation!C24</f>
        <v>3000</v>
      </c>
      <c r="D24" s="10">
        <f>+Partcipation!D24</f>
        <v>3.550601164924807</v>
      </c>
      <c r="E24" s="10">
        <f>+Partcipation!E24</f>
        <v>4.191514875531269</v>
      </c>
      <c r="F24">
        <v>0</v>
      </c>
      <c r="G24" s="10">
        <f>+Partcipation!G24</f>
        <v>4.000245139678956</v>
      </c>
      <c r="H24">
        <v>1</v>
      </c>
      <c r="I24">
        <v>1</v>
      </c>
      <c r="J24">
        <v>0</v>
      </c>
      <c r="K24" s="10">
        <f>+Partcipation!L24</f>
        <v>0</v>
      </c>
      <c r="N24" s="64"/>
      <c r="P24" s="65"/>
    </row>
    <row r="25" spans="1:16" ht="15">
      <c r="A25">
        <f t="shared" si="0"/>
        <v>2029</v>
      </c>
      <c r="B25" s="28">
        <f>+Partcipation!B25</f>
        <v>3000</v>
      </c>
      <c r="C25" s="28">
        <f>+Partcipation!C25</f>
        <v>3000</v>
      </c>
      <c r="D25" s="10">
        <f>+Partcipation!D25</f>
        <v>3.7314962992555465</v>
      </c>
      <c r="E25" s="10">
        <f>+Partcipation!E25</f>
        <v>4.490639269406392</v>
      </c>
      <c r="F25">
        <v>0</v>
      </c>
      <c r="G25" s="10">
        <f>+Partcipation!G25</f>
        <v>4.175798511985919</v>
      </c>
      <c r="H25">
        <v>1</v>
      </c>
      <c r="I25">
        <v>1</v>
      </c>
      <c r="J25">
        <v>0</v>
      </c>
      <c r="K25" s="10">
        <f>+Partcipation!L25</f>
        <v>0</v>
      </c>
      <c r="N25" s="64"/>
      <c r="P25" s="65"/>
    </row>
    <row r="26" spans="1:16" ht="15">
      <c r="A26">
        <f t="shared" si="0"/>
        <v>2030</v>
      </c>
      <c r="B26" s="28">
        <f>+Partcipation!B26</f>
        <v>3000</v>
      </c>
      <c r="C26" s="28">
        <f>+Partcipation!C26</f>
        <v>3000</v>
      </c>
      <c r="D26" s="10">
        <f>+Partcipation!D26</f>
        <v>4.0656592081591345</v>
      </c>
      <c r="E26" s="10">
        <f>+Partcipation!E26</f>
        <v>5.015795281582955</v>
      </c>
      <c r="F26">
        <v>0</v>
      </c>
      <c r="G26" s="10">
        <f>+Partcipation!G26</f>
        <v>4.486281269102866</v>
      </c>
      <c r="H26">
        <v>1</v>
      </c>
      <c r="I26">
        <v>1</v>
      </c>
      <c r="J26">
        <v>0</v>
      </c>
      <c r="K26" s="10">
        <f>+Partcipation!L26</f>
        <v>0</v>
      </c>
      <c r="N26" s="64"/>
      <c r="P26" s="65"/>
    </row>
    <row r="27" spans="1:16" ht="15">
      <c r="A27">
        <f t="shared" si="0"/>
        <v>2031</v>
      </c>
      <c r="B27" s="28">
        <f>+Partcipation!B27</f>
        <v>3000</v>
      </c>
      <c r="C27" s="28">
        <f>+Partcipation!C27</f>
        <v>3000</v>
      </c>
      <c r="D27" s="10">
        <f>+Partcipation!D27</f>
        <v>4.205810946168665</v>
      </c>
      <c r="E27" s="10">
        <f>+Partcipation!E27</f>
        <v>4.997142313546424</v>
      </c>
      <c r="F27">
        <v>0</v>
      </c>
      <c r="G27" s="10">
        <f>+Partcipation!G27</f>
        <v>4.597841879721795</v>
      </c>
      <c r="H27">
        <v>1</v>
      </c>
      <c r="I27">
        <v>1</v>
      </c>
      <c r="J27">
        <v>0</v>
      </c>
      <c r="K27" s="10">
        <f>+Partcipation!L27</f>
        <v>0</v>
      </c>
      <c r="N27" s="64"/>
      <c r="P27" s="65"/>
    </row>
    <row r="28" spans="1:16" ht="15">
      <c r="A28">
        <f t="shared" si="0"/>
        <v>2032</v>
      </c>
      <c r="B28" s="28">
        <f>+Partcipation!B28</f>
        <v>3000</v>
      </c>
      <c r="C28" s="28">
        <f>+Partcipation!C28</f>
        <v>3000</v>
      </c>
      <c r="D28" s="10">
        <f>+Partcipation!D28</f>
        <v>4.5058999642058986</v>
      </c>
      <c r="E28" s="10">
        <f>+Partcipation!E28</f>
        <v>5.461414693381903</v>
      </c>
      <c r="F28">
        <v>0</v>
      </c>
      <c r="G28" s="10">
        <f>+Partcipation!G28</f>
        <v>4.873757963953245</v>
      </c>
      <c r="H28">
        <v>1</v>
      </c>
      <c r="I28">
        <v>1</v>
      </c>
      <c r="J28">
        <v>0</v>
      </c>
      <c r="K28" s="10">
        <f>+Partcipation!L28</f>
        <v>0</v>
      </c>
      <c r="N28" s="64"/>
      <c r="P28" s="65"/>
    </row>
    <row r="29" spans="1:16" ht="15">
      <c r="A29">
        <f t="shared" si="0"/>
        <v>2033</v>
      </c>
      <c r="B29" s="28">
        <f>+Partcipation!B29</f>
        <v>3000</v>
      </c>
      <c r="C29" s="28">
        <f>+Partcipation!C29</f>
        <v>3000</v>
      </c>
      <c r="D29" s="10">
        <f>+Partcipation!D29</f>
        <v>4.600412945356765</v>
      </c>
      <c r="E29" s="10">
        <f>+Partcipation!E29</f>
        <v>5.8241019786910195</v>
      </c>
      <c r="F29">
        <v>0</v>
      </c>
      <c r="G29" s="10">
        <f>+Partcipation!G29</f>
        <v>4.984915998097977</v>
      </c>
      <c r="H29">
        <v>1</v>
      </c>
      <c r="I29">
        <v>1</v>
      </c>
      <c r="J29">
        <v>0</v>
      </c>
      <c r="K29" s="10">
        <f>+Partcipation!L29</f>
        <v>0</v>
      </c>
      <c r="N29" s="64"/>
      <c r="P29" s="65"/>
    </row>
    <row r="30" spans="1:16" ht="15">
      <c r="A30">
        <f t="shared" si="0"/>
        <v>2034</v>
      </c>
      <c r="B30" s="28">
        <f>+Partcipation!B30</f>
        <v>3000</v>
      </c>
      <c r="C30" s="28">
        <f>+Partcipation!C30</f>
        <v>3000</v>
      </c>
      <c r="D30" s="10">
        <f>+Partcipation!D30</f>
        <v>4.904246138242304</v>
      </c>
      <c r="E30" s="10">
        <f>+Partcipation!E30</f>
        <v>6.095285388127853</v>
      </c>
      <c r="F30">
        <v>0</v>
      </c>
      <c r="G30" s="10">
        <f>+Partcipation!G30</f>
        <v>5.306578161570519</v>
      </c>
      <c r="H30">
        <v>1</v>
      </c>
      <c r="I30">
        <v>1</v>
      </c>
      <c r="J30">
        <v>0</v>
      </c>
      <c r="K30" s="10">
        <f>+Partcipation!L30</f>
        <v>0</v>
      </c>
      <c r="N30" s="64"/>
      <c r="P30" s="65"/>
    </row>
    <row r="31" spans="1:16" ht="15">
      <c r="A31">
        <f t="shared" si="0"/>
        <v>2035</v>
      </c>
      <c r="B31" s="28">
        <f>+Partcipation!B31</f>
        <v>3000</v>
      </c>
      <c r="C31" s="28">
        <f>+Partcipation!C31</f>
        <v>3000</v>
      </c>
      <c r="D31" s="10">
        <f>+Partcipation!D31</f>
        <v>5.112907004977054</v>
      </c>
      <c r="E31" s="10">
        <f>+Partcipation!E31</f>
        <v>6.713025114155245</v>
      </c>
      <c r="F31">
        <v>0</v>
      </c>
      <c r="G31" s="10">
        <f>+Partcipation!G31</f>
        <v>5.5100494593143035</v>
      </c>
      <c r="H31">
        <v>1</v>
      </c>
      <c r="I31">
        <v>1</v>
      </c>
      <c r="J31">
        <v>0</v>
      </c>
      <c r="K31" s="10">
        <f>+Partcipation!L31</f>
        <v>0</v>
      </c>
      <c r="N31" s="64"/>
      <c r="P31" s="65"/>
    </row>
    <row r="32" spans="1:16" ht="15">
      <c r="A32">
        <f t="shared" si="0"/>
        <v>2036</v>
      </c>
      <c r="B32" s="28">
        <f>+Partcipation!B32</f>
        <v>3000</v>
      </c>
      <c r="C32" s="28">
        <f>+Partcipation!C32</f>
        <v>3000</v>
      </c>
      <c r="D32" s="10">
        <f>+Partcipation!D32</f>
        <v>5.284774499790177</v>
      </c>
      <c r="E32" s="10">
        <f>+Partcipation!E32</f>
        <v>6.630472070431098</v>
      </c>
      <c r="F32">
        <v>0</v>
      </c>
      <c r="G32" s="10">
        <f>+Partcipation!G32</f>
        <v>5.621141176298189</v>
      </c>
      <c r="H32">
        <v>1</v>
      </c>
      <c r="I32">
        <v>1</v>
      </c>
      <c r="J32">
        <v>0</v>
      </c>
      <c r="K32" s="10">
        <f>+Partcipation!L32</f>
        <v>0</v>
      </c>
      <c r="N32" s="64"/>
      <c r="P32" s="65"/>
    </row>
    <row r="33" spans="1:16" ht="15">
      <c r="A33">
        <f t="shared" si="0"/>
        <v>2037</v>
      </c>
      <c r="B33" s="28">
        <f>+Partcipation!B33</f>
        <v>3000</v>
      </c>
      <c r="C33" s="28">
        <f>+Partcipation!C33</f>
        <v>3000</v>
      </c>
      <c r="D33" s="10">
        <f>+Partcipation!D33</f>
        <v>5.5807770564484205</v>
      </c>
      <c r="E33" s="10">
        <f>+Partcipation!E33</f>
        <v>7.076799847792998</v>
      </c>
      <c r="F33">
        <v>0</v>
      </c>
      <c r="G33" s="10">
        <f>+Partcipation!G33</f>
        <v>5.925802405175698</v>
      </c>
      <c r="H33">
        <v>1</v>
      </c>
      <c r="I33">
        <v>1</v>
      </c>
      <c r="J33">
        <v>0</v>
      </c>
      <c r="K33" s="10">
        <f>+Partcipation!L33</f>
        <v>0</v>
      </c>
      <c r="N33" s="64"/>
      <c r="P33" s="65"/>
    </row>
    <row r="34" spans="2:14" ht="15">
      <c r="B34" s="28"/>
      <c r="C34" s="28"/>
      <c r="D34" s="10"/>
      <c r="E34" s="10"/>
      <c r="N34" s="64"/>
    </row>
    <row r="35" spans="2:14" ht="15">
      <c r="B35" s="28"/>
      <c r="C35" s="28"/>
      <c r="D35" s="10"/>
      <c r="E35" s="10"/>
      <c r="N35" s="64"/>
    </row>
    <row r="36" spans="2:14" ht="15">
      <c r="B36" s="28"/>
      <c r="C36" s="28"/>
      <c r="D36" s="10"/>
      <c r="E36" s="10"/>
      <c r="N36" s="64"/>
    </row>
    <row r="37" spans="2:14" ht="15">
      <c r="B37" s="28"/>
      <c r="C37" s="28"/>
      <c r="D37" s="10"/>
      <c r="E37" s="10"/>
      <c r="N37" s="64"/>
    </row>
    <row r="38" spans="2:14" ht="15">
      <c r="B38" s="28"/>
      <c r="C38" s="28"/>
      <c r="D38" s="10"/>
      <c r="E38" s="10"/>
      <c r="N38" s="64"/>
    </row>
    <row r="39" spans="2:5" ht="12.75">
      <c r="B39" s="28"/>
      <c r="C39" s="28"/>
      <c r="D39" s="10"/>
      <c r="E39" s="10"/>
    </row>
    <row r="40" spans="2:5" ht="12.75">
      <c r="B40" s="28"/>
      <c r="C40" s="28"/>
      <c r="D40" s="10"/>
      <c r="E40" s="10"/>
    </row>
    <row r="41" spans="2:5" ht="12.75">
      <c r="B41" s="28"/>
      <c r="C41" s="28"/>
      <c r="D41" s="10"/>
      <c r="E41" s="10"/>
    </row>
    <row r="42" spans="2:5" ht="12.75">
      <c r="B42" s="28"/>
      <c r="C42" s="28"/>
      <c r="D42" s="10"/>
      <c r="E42" s="10"/>
    </row>
    <row r="43" spans="2:5" ht="12.75">
      <c r="B43" s="28"/>
      <c r="C43" s="28"/>
      <c r="D43" s="10"/>
      <c r="E43" s="10"/>
    </row>
    <row r="44" spans="2:5" ht="12.75">
      <c r="B44" s="28"/>
      <c r="C44" s="28"/>
      <c r="D44" s="10"/>
      <c r="E44" s="10"/>
    </row>
    <row r="45" spans="2:5" ht="12.75">
      <c r="B45" s="28"/>
      <c r="C45" s="28"/>
      <c r="D45" s="10"/>
      <c r="E45" s="10"/>
    </row>
    <row r="46" spans="2:5" ht="12.75">
      <c r="B46" s="28"/>
      <c r="C46" s="28"/>
      <c r="D46" s="10"/>
      <c r="E46" s="10"/>
    </row>
    <row r="47" spans="2:5" ht="12.75">
      <c r="B47" s="28"/>
      <c r="C47" s="28"/>
      <c r="D47" s="10"/>
      <c r="E47" s="10"/>
    </row>
    <row r="48" spans="2:5" ht="12.75">
      <c r="B48" s="28"/>
      <c r="C48" s="28"/>
      <c r="D48" s="10"/>
      <c r="E48" s="10"/>
    </row>
  </sheetData>
  <sheetProtection/>
  <printOptions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7">
    <pageSetUpPr fitToPage="1"/>
  </sheetPr>
  <dimension ref="A1:AQ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4.421875" style="0" customWidth="1"/>
    <col min="3" max="3" width="15.57421875" style="0" customWidth="1"/>
    <col min="4" max="4" width="15.8515625" style="0" customWidth="1"/>
    <col min="5" max="5" width="14.421875" style="0" customWidth="1"/>
    <col min="6" max="6" width="13.57421875" style="0" customWidth="1"/>
    <col min="7" max="7" width="15.57421875" style="0" customWidth="1"/>
    <col min="8" max="8" width="17.421875" style="0" customWidth="1"/>
    <col min="9" max="9" width="13.421875" style="0" customWidth="1"/>
    <col min="10" max="10" width="10.140625" style="0" customWidth="1"/>
  </cols>
  <sheetData>
    <row r="1" spans="3:8" ht="12.75">
      <c r="C1" t="s">
        <v>53</v>
      </c>
      <c r="H1" t="s">
        <v>54</v>
      </c>
    </row>
    <row r="2" spans="3:8" ht="12.75">
      <c r="C2" t="s">
        <v>56</v>
      </c>
      <c r="D2" t="str">
        <f>+Input!C3</f>
        <v>LED Street Lights</v>
      </c>
      <c r="H2" t="s">
        <v>108</v>
      </c>
    </row>
    <row r="3" ht="12.75">
      <c r="H3" s="35">
        <f>+Title_RESULTS!I4</f>
        <v>43599.31995208334</v>
      </c>
    </row>
    <row r="5" spans="3:6" ht="12.75">
      <c r="C5" t="s">
        <v>60</v>
      </c>
      <c r="F5" s="38">
        <f>+'Value of Defferal'!L4</f>
        <v>0</v>
      </c>
    </row>
    <row r="6" spans="3:6" ht="12.75">
      <c r="C6" t="s">
        <v>62</v>
      </c>
      <c r="F6" s="38">
        <f>+'Value of Defferal'!L5</f>
        <v>0</v>
      </c>
    </row>
    <row r="9" spans="1:10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</row>
    <row r="11" spans="1:10" ht="12.75">
      <c r="A11" s="6"/>
      <c r="B11" s="6" t="s">
        <v>46</v>
      </c>
      <c r="C11" s="6" t="s">
        <v>46</v>
      </c>
      <c r="D11" s="6"/>
      <c r="E11" s="6" t="s">
        <v>46</v>
      </c>
      <c r="F11" s="6" t="s">
        <v>46</v>
      </c>
      <c r="G11" s="6"/>
      <c r="H11" s="6"/>
      <c r="I11" s="6"/>
      <c r="J11" s="6"/>
    </row>
    <row r="12" spans="1:10" ht="12.75">
      <c r="A12" s="6"/>
      <c r="B12" s="6" t="s">
        <v>71</v>
      </c>
      <c r="C12" s="6" t="s">
        <v>71</v>
      </c>
      <c r="D12" s="6" t="s">
        <v>72</v>
      </c>
      <c r="E12" s="6" t="s">
        <v>73</v>
      </c>
      <c r="F12" s="6" t="s">
        <v>73</v>
      </c>
      <c r="G12" s="6" t="s">
        <v>72</v>
      </c>
      <c r="H12" s="6" t="s">
        <v>24</v>
      </c>
      <c r="I12" s="6"/>
      <c r="J12" s="6"/>
    </row>
    <row r="13" spans="1:10" ht="12.75">
      <c r="A13" s="6"/>
      <c r="B13" s="6" t="s">
        <v>75</v>
      </c>
      <c r="C13" s="6" t="s">
        <v>78</v>
      </c>
      <c r="D13" s="6" t="s">
        <v>71</v>
      </c>
      <c r="E13" s="6" t="s">
        <v>75</v>
      </c>
      <c r="F13" s="6" t="s">
        <v>78</v>
      </c>
      <c r="G13" s="6" t="s">
        <v>73</v>
      </c>
      <c r="H13" s="6" t="s">
        <v>48</v>
      </c>
      <c r="I13" s="6"/>
      <c r="J13" s="6"/>
    </row>
    <row r="14" spans="1:10" ht="12.75">
      <c r="A14" s="6"/>
      <c r="B14" s="6" t="s">
        <v>79</v>
      </c>
      <c r="C14" s="6" t="s">
        <v>79</v>
      </c>
      <c r="D14" s="6" t="s">
        <v>79</v>
      </c>
      <c r="E14" s="6" t="s">
        <v>79</v>
      </c>
      <c r="F14" s="6" t="s">
        <v>79</v>
      </c>
      <c r="G14" s="6" t="s">
        <v>79</v>
      </c>
      <c r="H14" s="6" t="s">
        <v>82</v>
      </c>
      <c r="I14" s="6"/>
      <c r="J14" s="6"/>
    </row>
    <row r="15" spans="1:10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/>
      <c r="J15" s="27"/>
    </row>
    <row r="16" spans="1:10" ht="12.75">
      <c r="A16">
        <f>+Title_RESULTS!$H$7</f>
        <v>2020</v>
      </c>
      <c r="B16" s="5">
        <f>VLOOKUP(A16,'Value of Defferal'!$I23:$P$58,'Value of Defferal'!$K$9)</f>
        <v>0</v>
      </c>
      <c r="C16" s="5">
        <f>IF(+Title_RESULTS!$H$9&lt;='Sheet4(F_22)'!$A16,(+Title_RESULTS!$H$16*((1+Title_RESULTS!$H$18/100)^('Sheet4(F_22)'!$A16-Title_RESULTS!$H$7))*Title_RESULTS!$C$8*Partcipation!$C$26/1000),0)</f>
        <v>0</v>
      </c>
      <c r="D16" s="5">
        <f>(+B16+C16)*+Partcipation!$H16</f>
        <v>0</v>
      </c>
      <c r="E16" s="5">
        <f>VLOOKUP(A16,'Value of Defferal'!$I23:$P$58,'Value of Defferal'!$K$13)</f>
        <v>0</v>
      </c>
      <c r="F16" s="5">
        <f>IF(+'Value of Defferal'!P23=0,0,Title_RESULTS!$H$17*Title_RESULTS!$C$7*Partcipation!$C$26*(1+Title_RESULTS!$H$18/100)^('Sheet4(F_22)'!A16-Title_RESULTS!$H$7))/1000</f>
        <v>0</v>
      </c>
      <c r="G16" s="5">
        <f>(+E16+F16)*Partcipation!$H16</f>
        <v>0</v>
      </c>
      <c r="H16" s="5">
        <f>+'Sheet5(p_5)'!$F16*'Sheet2(F_12)'!$I16</f>
        <v>25.87261634278153</v>
      </c>
      <c r="I16" s="5"/>
      <c r="J16" s="5"/>
    </row>
    <row r="17" spans="1:10" ht="12.75">
      <c r="A17">
        <f>+A16+1</f>
        <v>2021</v>
      </c>
      <c r="B17" s="5">
        <f>VLOOKUP(A17,'Value of Defferal'!$I24:$P$58,'Value of Defferal'!$K$9)</f>
        <v>0</v>
      </c>
      <c r="C17" s="5">
        <f>IF(+Title_RESULTS!$H$9&lt;='Sheet4(F_22)'!$A17,(+Title_RESULTS!$H$16*((1+Title_RESULTS!$H$18/100)^('Sheet4(F_22)'!$A17-Title_RESULTS!$H$7))*Title_RESULTS!$C$8*Partcipation!$C$26/1000),0)</f>
        <v>0</v>
      </c>
      <c r="D17" s="5">
        <f>(+B17+C17)*+Partcipation!$H17</f>
        <v>0</v>
      </c>
      <c r="E17" s="5">
        <f>VLOOKUP(A17,'Value of Defferal'!$I24:$P$58,'Value of Defferal'!$K$13)</f>
        <v>0</v>
      </c>
      <c r="F17" s="5">
        <f>IF(+'Value of Defferal'!P24=0,0,Title_RESULTS!$H$17*Title_RESULTS!$C$7*Partcipation!$C$26*(1+Title_RESULTS!$H$18/100)^('Sheet4(F_22)'!A17-Title_RESULTS!$H$7))/1000</f>
        <v>0</v>
      </c>
      <c r="G17" s="5">
        <f>(+E17+F17)*Partcipation!$H17</f>
        <v>0</v>
      </c>
      <c r="H17" s="5">
        <f>+'Sheet5(p_5)'!$F17*'Sheet2(F_12)'!$I17</f>
        <v>76.9865168391037</v>
      </c>
      <c r="I17" s="5"/>
      <c r="J17" s="5"/>
    </row>
    <row r="18" spans="1:10" ht="12.75">
      <c r="A18">
        <f>+A17+1</f>
        <v>2022</v>
      </c>
      <c r="B18" s="5">
        <f>VLOOKUP(A18,'Value of Defferal'!$I25:$P$58,'Value of Defferal'!$K$9)</f>
        <v>0</v>
      </c>
      <c r="C18" s="5">
        <f>IF(+Title_RESULTS!$H$9&lt;='Sheet4(F_22)'!$A18,(+Title_RESULTS!$H$16*((1+Title_RESULTS!$H$18/100)^('Sheet4(F_22)'!$A18-Title_RESULTS!$H$7))*Title_RESULTS!$C$8*Partcipation!$C$26/1000),0)</f>
        <v>0</v>
      </c>
      <c r="D18" s="5">
        <f>(+B18+C18)*+Partcipation!$H18</f>
        <v>0</v>
      </c>
      <c r="E18" s="5">
        <f>VLOOKUP(A18,'Value of Defferal'!$I25:$P$58,'Value of Defferal'!$K$13)</f>
        <v>0</v>
      </c>
      <c r="F18" s="5">
        <f>IF(+'Value of Defferal'!P25=0,0,Title_RESULTS!$H$17*Title_RESULTS!$C$7*Partcipation!$C$26*(1+Title_RESULTS!$H$18/100)^('Sheet4(F_22)'!A18-Title_RESULTS!$H$7))/1000</f>
        <v>0</v>
      </c>
      <c r="G18" s="5">
        <f>(+E18+F18)*Partcipation!$H18</f>
        <v>0</v>
      </c>
      <c r="H18" s="5">
        <f>+'Sheet5(p_5)'!$F18*'Sheet2(F_12)'!$I18</f>
        <v>132.42539711898476</v>
      </c>
      <c r="I18" s="5"/>
      <c r="J18" s="5"/>
    </row>
    <row r="19" spans="1:10" ht="12.75">
      <c r="A19">
        <f aca="true" t="shared" si="0" ref="A19:A33">+A18+1</f>
        <v>2023</v>
      </c>
      <c r="B19" s="5">
        <f>VLOOKUP(A19,'Value of Defferal'!$I26:$P$58,'Value of Defferal'!$K$9)</f>
        <v>0</v>
      </c>
      <c r="C19" s="5">
        <f>IF(+Title_RESULTS!$H$9&lt;='Sheet4(F_22)'!$A19,(+Title_RESULTS!$H$16*((1+Title_RESULTS!$H$18/100)^('Sheet4(F_22)'!$A19-Title_RESULTS!$H$7))*Title_RESULTS!$C$8*Partcipation!$C$26/1000),0)</f>
        <v>0</v>
      </c>
      <c r="D19" s="5">
        <f>(+B19+C19)*+Partcipation!$H19</f>
        <v>0</v>
      </c>
      <c r="E19" s="5">
        <f>VLOOKUP(A19,'Value of Defferal'!$I26:$P$58,'Value of Defferal'!$K$13)</f>
        <v>0</v>
      </c>
      <c r="F19" s="5">
        <f>IF(+'Value of Defferal'!P26=0,0,Title_RESULTS!$H$17*Title_RESULTS!$C$7*Partcipation!$C$26*(1+Title_RESULTS!$H$18/100)^('Sheet4(F_22)'!A19-Title_RESULTS!$H$7))/1000</f>
        <v>0</v>
      </c>
      <c r="G19" s="5">
        <f>(+E19+F19)*Partcipation!$H19</f>
        <v>0</v>
      </c>
      <c r="H19" s="5">
        <f>+'Sheet5(p_5)'!$F19*'Sheet2(F_12)'!$I19</f>
        <v>165.42958725892532</v>
      </c>
      <c r="I19" s="5"/>
      <c r="J19" s="5"/>
    </row>
    <row r="20" spans="1:10" ht="12.75">
      <c r="A20">
        <f t="shared" si="0"/>
        <v>2024</v>
      </c>
      <c r="B20" s="5">
        <f>VLOOKUP(A20,'Value of Defferal'!$I27:$P$58,'Value of Defferal'!$K$9)</f>
        <v>0</v>
      </c>
      <c r="C20" s="5">
        <f>IF(+Title_RESULTS!$H$9&lt;='Sheet4(F_22)'!$A20,(+Title_RESULTS!$H$16*((1+Title_RESULTS!$H$18/100)^('Sheet4(F_22)'!$A20-Title_RESULTS!$H$7))*Title_RESULTS!$C$8*Partcipation!$C$26/1000),0)</f>
        <v>0</v>
      </c>
      <c r="D20" s="5">
        <f>(+B20+C20)*+Partcipation!$H20</f>
        <v>0</v>
      </c>
      <c r="E20" s="5">
        <f>VLOOKUP(A20,'Value of Defferal'!$I27:$P$58,'Value of Defferal'!$K$13)</f>
        <v>0</v>
      </c>
      <c r="F20" s="5">
        <f>IF(+'Value of Defferal'!P27=0,0,Title_RESULTS!$H$17*Title_RESULTS!$C$7*Partcipation!$C$26*(1+Title_RESULTS!$H$18/100)^('Sheet4(F_22)'!A20-Title_RESULTS!$H$7))/1000</f>
        <v>0</v>
      </c>
      <c r="G20" s="5">
        <f>(+E20+F20)*Partcipation!$H20</f>
        <v>0</v>
      </c>
      <c r="H20" s="5">
        <f>+'Sheet5(p_5)'!$F20*'Sheet2(F_12)'!$I20</f>
        <v>171.9303464968912</v>
      </c>
      <c r="I20" s="5"/>
      <c r="J20" s="5"/>
    </row>
    <row r="21" spans="1:10" ht="12.75">
      <c r="A21">
        <f t="shared" si="0"/>
        <v>2025</v>
      </c>
      <c r="B21" s="5">
        <f>VLOOKUP(A21,'Value of Defferal'!$I28:$P$58,'Value of Defferal'!$K$9)</f>
        <v>0</v>
      </c>
      <c r="C21" s="5">
        <f>IF(+Title_RESULTS!$H$9&lt;='Sheet4(F_22)'!$A21,(+Title_RESULTS!$H$16*((1+Title_RESULTS!$H$18/100)^('Sheet4(F_22)'!$A21-Title_RESULTS!$H$7))*Title_RESULTS!$C$8*Partcipation!$C$26/1000),0)</f>
        <v>0</v>
      </c>
      <c r="D21" s="5">
        <f>(+B21+C21)*+Partcipation!$H21</f>
        <v>0</v>
      </c>
      <c r="E21" s="5">
        <f>VLOOKUP(A21,'Value of Defferal'!$I28:$P$58,'Value of Defferal'!$K$13)</f>
        <v>0</v>
      </c>
      <c r="F21" s="5">
        <f>IF(+'Value of Defferal'!P28=0,0,Title_RESULTS!$H$17*Title_RESULTS!$C$7*Partcipation!$C$26*(1+Title_RESULTS!$H$18/100)^('Sheet4(F_22)'!A21-Title_RESULTS!$H$7))/1000</f>
        <v>0</v>
      </c>
      <c r="G21" s="5">
        <f>(+E21+F21)*Partcipation!$H21</f>
        <v>0</v>
      </c>
      <c r="H21" s="5">
        <f>+'Sheet5(p_5)'!$F21*'Sheet2(F_12)'!$I21</f>
        <v>184.60142986917901</v>
      </c>
      <c r="I21" s="5"/>
      <c r="J21" s="5"/>
    </row>
    <row r="22" spans="1:10" ht="12.75">
      <c r="A22">
        <f t="shared" si="0"/>
        <v>2026</v>
      </c>
      <c r="B22" s="5">
        <f>VLOOKUP(A22,'Value of Defferal'!$I29:$P$58,'Value of Defferal'!$K$9)</f>
        <v>0</v>
      </c>
      <c r="C22" s="5">
        <f>IF(+Title_RESULTS!$H$9&lt;='Sheet4(F_22)'!$A22,(+Title_RESULTS!$H$16*((1+Title_RESULTS!$H$18/100)^('Sheet4(F_22)'!$A22-Title_RESULTS!$H$7))*Title_RESULTS!$C$8*Partcipation!$C$26/1000),0)</f>
        <v>0</v>
      </c>
      <c r="D22" s="5">
        <f>(+B22+C22)*+Partcipation!$H22</f>
        <v>0</v>
      </c>
      <c r="E22" s="5">
        <f>VLOOKUP(A22,'Value of Defferal'!$I29:$P$58,'Value of Defferal'!$K$13)</f>
        <v>0</v>
      </c>
      <c r="F22" s="5">
        <f>IF(+'Value of Defferal'!P29=0,0,Title_RESULTS!$H$17*Title_RESULTS!$C$7*Partcipation!$C$26*(1+Title_RESULTS!$H$18/100)^('Sheet4(F_22)'!A22-Title_RESULTS!$H$7))/1000</f>
        <v>0</v>
      </c>
      <c r="G22" s="5">
        <f>(+E22+F22)*Partcipation!$H22</f>
        <v>0</v>
      </c>
      <c r="H22" s="5">
        <f>+'Sheet5(p_5)'!$F22*'Sheet2(F_12)'!$I22</f>
        <v>190.52245142862645</v>
      </c>
      <c r="I22" s="5"/>
      <c r="J22" s="5"/>
    </row>
    <row r="23" spans="1:10" ht="12.75">
      <c r="A23">
        <f t="shared" si="0"/>
        <v>2027</v>
      </c>
      <c r="B23" s="5">
        <f>VLOOKUP(A23,'Value of Defferal'!$I30:$P$58,'Value of Defferal'!$K$9)</f>
        <v>0</v>
      </c>
      <c r="C23" s="5">
        <f>IF(+Title_RESULTS!$H$9&lt;='Sheet4(F_22)'!$A23,(+Title_RESULTS!$H$16*((1+Title_RESULTS!$H$18/100)^('Sheet4(F_22)'!$A23-Title_RESULTS!$H$7))*Title_RESULTS!$C$8*Partcipation!$C$26/1000),0)</f>
        <v>0</v>
      </c>
      <c r="D23" s="5">
        <f>(+B23+C23)*+Partcipation!$H23</f>
        <v>0</v>
      </c>
      <c r="E23" s="5">
        <f>VLOOKUP(A23,'Value of Defferal'!$I30:$P$58,'Value of Defferal'!$K$13)</f>
        <v>0</v>
      </c>
      <c r="F23" s="5">
        <f>IF(+'Value of Defferal'!P30=0,0,Title_RESULTS!$H$17*Title_RESULTS!$C$7*Partcipation!$C$26*(1+Title_RESULTS!$H$18/100)^('Sheet4(F_22)'!A23-Title_RESULTS!$H$7))/1000</f>
        <v>0</v>
      </c>
      <c r="G23" s="5">
        <f>(+E23+F23)*Partcipation!$H23</f>
        <v>0</v>
      </c>
      <c r="H23" s="5">
        <f>+'Sheet5(p_5)'!$F23*'Sheet2(F_12)'!$I23</f>
        <v>202.42925190258748</v>
      </c>
      <c r="I23" s="5"/>
      <c r="J23" s="5"/>
    </row>
    <row r="24" spans="1:10" ht="12.75">
      <c r="A24">
        <f t="shared" si="0"/>
        <v>2028</v>
      </c>
      <c r="B24" s="5">
        <f>VLOOKUP(A24,'Value of Defferal'!$I31:$P$58,'Value of Defferal'!$K$9)</f>
        <v>0</v>
      </c>
      <c r="C24" s="5">
        <f>IF(+Title_RESULTS!$H$9&lt;='Sheet4(F_22)'!$A24,(+Title_RESULTS!$H$16*((1+Title_RESULTS!$H$18/100)^('Sheet4(F_22)'!$A24-Title_RESULTS!$H$7))*Title_RESULTS!$C$8*Partcipation!$C$26/1000),0)</f>
        <v>0</v>
      </c>
      <c r="D24" s="5">
        <f>(+B24+C24)*+Partcipation!$H24</f>
        <v>0</v>
      </c>
      <c r="E24" s="5">
        <f>VLOOKUP(A24,'Value of Defferal'!$I31:$P$58,'Value of Defferal'!$K$13)</f>
        <v>0</v>
      </c>
      <c r="F24" s="5">
        <f>IF(+'Value of Defferal'!P31=0,0,Title_RESULTS!$H$17*Title_RESULTS!$C$7*Partcipation!$C$26*(1+Title_RESULTS!$H$18/100)^('Sheet4(F_22)'!A24-Title_RESULTS!$H$7))/1000</f>
        <v>0</v>
      </c>
      <c r="G24" s="5">
        <f>(+E24+F24)*Partcipation!$H24</f>
        <v>0</v>
      </c>
      <c r="H24" s="5">
        <f>+'Sheet5(p_5)'!$F24*'Sheet2(F_12)'!$I24</f>
        <v>224.315020136343</v>
      </c>
      <c r="I24" s="5"/>
      <c r="J24" s="5"/>
    </row>
    <row r="25" spans="1:10" ht="12.75">
      <c r="A25">
        <f t="shared" si="0"/>
        <v>2029</v>
      </c>
      <c r="B25" s="5">
        <f>VLOOKUP(A25,'Value of Defferal'!$I32:$P$58,'Value of Defferal'!$K$9)</f>
        <v>0</v>
      </c>
      <c r="C25" s="5">
        <f>IF(+Title_RESULTS!$H$9&lt;='Sheet4(F_22)'!$A25,(+Title_RESULTS!$H$16*((1+Title_RESULTS!$H$18/100)^('Sheet4(F_22)'!$A25-Title_RESULTS!$H$7))*Title_RESULTS!$C$8*Partcipation!$C$26/1000),0)</f>
        <v>0</v>
      </c>
      <c r="D25" s="5">
        <f>(+B25+C25)*+Partcipation!$H25</f>
        <v>0</v>
      </c>
      <c r="E25" s="5">
        <f>VLOOKUP(A25,'Value of Defferal'!$I32:$P$58,'Value of Defferal'!$K$13)</f>
        <v>0</v>
      </c>
      <c r="F25" s="5">
        <f>IF(+'Value of Defferal'!P32=0,0,Title_RESULTS!$H$17*Title_RESULTS!$C$7*Partcipation!$C$26*(1+Title_RESULTS!$H$18/100)^('Sheet4(F_22)'!A25-Title_RESULTS!$H$7))/1000</f>
        <v>0</v>
      </c>
      <c r="G25" s="5">
        <f>(+E25+F25)*Partcipation!$H25</f>
        <v>0</v>
      </c>
      <c r="H25" s="5">
        <f>+'Sheet5(p_5)'!$F25*'Sheet2(F_12)'!$I25</f>
        <v>240.32309750881447</v>
      </c>
      <c r="I25" s="5"/>
      <c r="J25" s="5"/>
    </row>
    <row r="26" spans="1:10" ht="12.75">
      <c r="A26">
        <f t="shared" si="0"/>
        <v>2030</v>
      </c>
      <c r="B26" s="5">
        <f>VLOOKUP(A26,'Value of Defferal'!$I33:$P$58,'Value of Defferal'!$K$9)</f>
        <v>0</v>
      </c>
      <c r="C26" s="5">
        <f>IF(+Title_RESULTS!$H$9&lt;='Sheet4(F_22)'!$A26,(+Title_RESULTS!$H$16*((1+Title_RESULTS!$H$18/100)^('Sheet4(F_22)'!$A26-Title_RESULTS!$H$7))*Title_RESULTS!$C$8*Partcipation!$C$26/1000),0)</f>
        <v>0</v>
      </c>
      <c r="D26" s="5">
        <f>(+B26+C26)*+Partcipation!$H26</f>
        <v>0</v>
      </c>
      <c r="E26" s="5">
        <f>VLOOKUP(A26,'Value of Defferal'!$I33:$P$58,'Value of Defferal'!$K$13)</f>
        <v>0</v>
      </c>
      <c r="F26" s="5">
        <f>IF(+'Value of Defferal'!P33=0,0,Title_RESULTS!$H$17*Title_RESULTS!$C$7*Partcipation!$C$26*(1+Title_RESULTS!$H$18/100)^('Sheet4(F_22)'!A26-Title_RESULTS!$H$7))/1000</f>
        <v>0</v>
      </c>
      <c r="G26" s="5">
        <f>(+E26+F26)*Partcipation!$H26</f>
        <v>0</v>
      </c>
      <c r="H26" s="5">
        <f>+'Sheet5(p_5)'!$F26*'Sheet2(F_12)'!$I26</f>
        <v>268.4275859680559</v>
      </c>
      <c r="I26" s="5"/>
      <c r="J26" s="5"/>
    </row>
    <row r="27" spans="1:10" ht="12.75">
      <c r="A27">
        <f t="shared" si="0"/>
        <v>2031</v>
      </c>
      <c r="B27" s="5">
        <f>VLOOKUP(A27,'Value of Defferal'!$I34:$P$58,'Value of Defferal'!$K$9)</f>
        <v>0</v>
      </c>
      <c r="C27" s="5">
        <f>IF(+Title_RESULTS!$H$9&lt;='Sheet4(F_22)'!$A27,(+Title_RESULTS!$H$16*((1+Title_RESULTS!$H$18/100)^('Sheet4(F_22)'!$A27-Title_RESULTS!$H$7))*Title_RESULTS!$C$8*Partcipation!$C$26/1000),0)</f>
        <v>0</v>
      </c>
      <c r="D27" s="5">
        <f>(+B27+C27)*+Partcipation!$H27</f>
        <v>0</v>
      </c>
      <c r="E27" s="5">
        <f>VLOOKUP(A27,'Value of Defferal'!$I34:$P$58,'Value of Defferal'!$K$13)</f>
        <v>0</v>
      </c>
      <c r="F27" s="5">
        <f>IF(+'Value of Defferal'!P34=0,0,Title_RESULTS!$H$17*Title_RESULTS!$C$7*Partcipation!$C$26*(1+Title_RESULTS!$H$18/100)^('Sheet4(F_22)'!A27-Title_RESULTS!$H$7))/1000</f>
        <v>0</v>
      </c>
      <c r="G27" s="5">
        <f>(+E27+F27)*Partcipation!$H27</f>
        <v>0</v>
      </c>
      <c r="H27" s="5">
        <f>+'Sheet5(p_5)'!$F27*'Sheet2(F_12)'!$I27</f>
        <v>267.4293452305262</v>
      </c>
      <c r="I27" s="5"/>
      <c r="J27" s="5"/>
    </row>
    <row r="28" spans="1:10" ht="12.75">
      <c r="A28">
        <f t="shared" si="0"/>
        <v>2032</v>
      </c>
      <c r="B28" s="5">
        <f>VLOOKUP(A28,'Value of Defferal'!$I35:$P$58,'Value of Defferal'!$K$9)</f>
        <v>0</v>
      </c>
      <c r="C28" s="5">
        <f>IF(+Title_RESULTS!$H$9&lt;='Sheet4(F_22)'!$A28,(+Title_RESULTS!$H$16*((1+Title_RESULTS!$H$18/100)^('Sheet4(F_22)'!$A28-Title_RESULTS!$H$7))*Title_RESULTS!$C$8*Partcipation!$C$26/1000),0)</f>
        <v>0</v>
      </c>
      <c r="D28" s="5">
        <f>(+B28+C28)*+Partcipation!$H28</f>
        <v>0</v>
      </c>
      <c r="E28" s="5">
        <f>VLOOKUP(A28,'Value of Defferal'!$I35:$P$58,'Value of Defferal'!$K$13)</f>
        <v>0</v>
      </c>
      <c r="F28" s="5">
        <f>IF(+'Value of Defferal'!P35=0,0,Title_RESULTS!$H$17*Title_RESULTS!$C$7*Partcipation!$C$26*(1+Title_RESULTS!$H$18/100)^('Sheet4(F_22)'!A28-Title_RESULTS!$H$7))/1000</f>
        <v>0</v>
      </c>
      <c r="G28" s="5">
        <f>(+E28+F28)*Partcipation!$H28</f>
        <v>0</v>
      </c>
      <c r="H28" s="5">
        <f>+'Sheet5(p_5)'!$F28*'Sheet2(F_12)'!$I28</f>
        <v>292.27555747696215</v>
      </c>
      <c r="I28" s="5"/>
      <c r="J28" s="5"/>
    </row>
    <row r="29" spans="1:10" ht="12.75">
      <c r="A29">
        <f t="shared" si="0"/>
        <v>2033</v>
      </c>
      <c r="B29" s="5">
        <f>VLOOKUP(A29,'Value of Defferal'!$I36:$P$58,'Value of Defferal'!$K$9)</f>
        <v>0</v>
      </c>
      <c r="C29" s="5">
        <f>IF(+Title_RESULTS!$H$9&lt;='Sheet4(F_22)'!$A29,(+Title_RESULTS!$H$16*((1+Title_RESULTS!$H$18/100)^('Sheet4(F_22)'!$A29-Title_RESULTS!$H$7))*Title_RESULTS!$C$8*Partcipation!$C$26/1000),0)</f>
        <v>0</v>
      </c>
      <c r="D29" s="5">
        <f>(+B29+C29)*+Partcipation!$H29</f>
        <v>0</v>
      </c>
      <c r="E29" s="5">
        <f>VLOOKUP(A29,'Value of Defferal'!$I36:$P$58,'Value of Defferal'!$K$13)</f>
        <v>0</v>
      </c>
      <c r="F29" s="5">
        <f>IF(+'Value of Defferal'!P36=0,0,Title_RESULTS!$H$17*Title_RESULTS!$C$7*Partcipation!$C$26*(1+Title_RESULTS!$H$18/100)^('Sheet4(F_22)'!A29-Title_RESULTS!$H$7))/1000</f>
        <v>0</v>
      </c>
      <c r="G29" s="5">
        <f>(+E29+F29)*Partcipation!$H29</f>
        <v>0</v>
      </c>
      <c r="H29" s="5">
        <f>+'Sheet5(p_5)'!$F29*'Sheet2(F_12)'!$I29</f>
        <v>311.68529551278345</v>
      </c>
      <c r="I29" s="5"/>
      <c r="J29" s="5"/>
    </row>
    <row r="30" spans="1:10" ht="12.75">
      <c r="A30">
        <f t="shared" si="0"/>
        <v>2034</v>
      </c>
      <c r="B30" s="5">
        <f>VLOOKUP(A30,'Value of Defferal'!$I37:$P$58,'Value of Defferal'!$K$9)</f>
        <v>0</v>
      </c>
      <c r="C30" s="5">
        <f>IF(+Title_RESULTS!$H$9&lt;='Sheet4(F_22)'!$A30,(+Title_RESULTS!$H$16*((1+Title_RESULTS!$H$18/100)^('Sheet4(F_22)'!$A30-Title_RESULTS!$H$7))*Title_RESULTS!$C$8*Partcipation!$C$26/1000),0)</f>
        <v>0</v>
      </c>
      <c r="D30" s="5">
        <f>(+B30+C30)*+Partcipation!$H30</f>
        <v>0</v>
      </c>
      <c r="E30" s="5">
        <f>VLOOKUP(A30,'Value of Defferal'!$I37:$P$58,'Value of Defferal'!$K$13)</f>
        <v>0</v>
      </c>
      <c r="F30" s="5">
        <f>IF(+'Value of Defferal'!P37=0,0,Title_RESULTS!$H$17*Title_RESULTS!$C$7*Partcipation!$C$26*(1+Title_RESULTS!$H$18/100)^('Sheet4(F_22)'!A30-Title_RESULTS!$H$7))/1000</f>
        <v>0</v>
      </c>
      <c r="G30" s="5">
        <f>(+E30+F30)*Partcipation!$H30</f>
        <v>0</v>
      </c>
      <c r="H30" s="5">
        <f>+'Sheet5(p_5)'!$F30*'Sheet2(F_12)'!$I30</f>
        <v>326.1980704294549</v>
      </c>
      <c r="I30" s="5"/>
      <c r="J30" s="5"/>
    </row>
    <row r="31" spans="1:10" ht="12.75">
      <c r="A31">
        <f t="shared" si="0"/>
        <v>2035</v>
      </c>
      <c r="B31" s="5">
        <f>VLOOKUP(A31,'Value of Defferal'!$I38:$P$58,'Value of Defferal'!$K$9)</f>
        <v>0</v>
      </c>
      <c r="C31" s="5">
        <f>IF(+Title_RESULTS!$H$9&lt;='Sheet4(F_22)'!$A31,(+Title_RESULTS!$H$16*((1+Title_RESULTS!$H$18/100)^('Sheet4(F_22)'!$A31-Title_RESULTS!$H$7))*Title_RESULTS!$C$8*Partcipation!$C$26/1000),0)</f>
        <v>0</v>
      </c>
      <c r="D31" s="5">
        <f>(+B31+C31)*+Partcipation!$H31</f>
        <v>0</v>
      </c>
      <c r="E31" s="5">
        <f>VLOOKUP(A31,'Value of Defferal'!$I38:$P$58,'Value of Defferal'!$K$13)</f>
        <v>0</v>
      </c>
      <c r="F31" s="5">
        <f>IF(+'Value of Defferal'!P38=0,0,Title_RESULTS!$H$17*Title_RESULTS!$C$7*Partcipation!$C$26*(1+Title_RESULTS!$H$18/100)^('Sheet4(F_22)'!A31-Title_RESULTS!$H$7))/1000</f>
        <v>0</v>
      </c>
      <c r="G31" s="5">
        <f>(+E31+F31)*Partcipation!$H31</f>
        <v>0</v>
      </c>
      <c r="H31" s="5">
        <f>+'Sheet5(p_5)'!$F31*'Sheet2(F_12)'!$I31</f>
        <v>359.25731110918406</v>
      </c>
      <c r="I31" s="5"/>
      <c r="J31" s="5"/>
    </row>
    <row r="32" spans="1:10" ht="12.75">
      <c r="A32">
        <f t="shared" si="0"/>
        <v>2036</v>
      </c>
      <c r="B32" s="5">
        <f>VLOOKUP(A32,'Value of Defferal'!$I39:$P$58,'Value of Defferal'!$K$9)</f>
        <v>0</v>
      </c>
      <c r="C32" s="5">
        <f>IF(+Title_RESULTS!$H$9&lt;='Sheet4(F_22)'!$A32,(+Title_RESULTS!$H$16*((1+Title_RESULTS!$H$18/100)^('Sheet4(F_22)'!$A32-Title_RESULTS!$H$7))*Title_RESULTS!$C$8*Partcipation!$C$26/1000),0)</f>
        <v>0</v>
      </c>
      <c r="D32" s="5">
        <f>(+B32+C32)*+Partcipation!$H32</f>
        <v>0</v>
      </c>
      <c r="E32" s="5">
        <f>VLOOKUP(A32,'Value of Defferal'!$I39:$P$58,'Value of Defferal'!$K$13)</f>
        <v>0</v>
      </c>
      <c r="F32" s="5">
        <f>IF(+'Value of Defferal'!P39=0,0,Title_RESULTS!$H$17*Title_RESULTS!$C$7*Partcipation!$C$26*(1+Title_RESULTS!$H$18/100)^('Sheet4(F_22)'!A32-Title_RESULTS!$H$7))/1000</f>
        <v>0</v>
      </c>
      <c r="G32" s="5">
        <f>(+E32+F32)*Partcipation!$H32</f>
        <v>0</v>
      </c>
      <c r="H32" s="5">
        <f>+'Sheet5(p_5)'!$F32*'Sheet2(F_12)'!$I32</f>
        <v>354.8393648021341</v>
      </c>
      <c r="I32" s="5"/>
      <c r="J32" s="5"/>
    </row>
    <row r="33" spans="1:10" ht="12.75">
      <c r="A33">
        <f t="shared" si="0"/>
        <v>2037</v>
      </c>
      <c r="B33" s="5">
        <f>VLOOKUP(A33,'Value of Defferal'!$I40:$P$58,'Value of Defferal'!$K$9)</f>
        <v>0</v>
      </c>
      <c r="C33" s="5">
        <f>IF(+Title_RESULTS!$H$9&lt;='Sheet4(F_22)'!$A33,(+Title_RESULTS!$H$16*((1+Title_RESULTS!$H$18/100)^('Sheet4(F_22)'!$A33-Title_RESULTS!$H$7))*Title_RESULTS!$C$8*Partcipation!$C$26/1000),0)</f>
        <v>0</v>
      </c>
      <c r="D33" s="5">
        <f>(+B33+C33)*+Partcipation!$H33</f>
        <v>0</v>
      </c>
      <c r="E33" s="5">
        <f>VLOOKUP(A33,'Value of Defferal'!$I40:$P$58,'Value of Defferal'!$K$13)</f>
        <v>0</v>
      </c>
      <c r="F33" s="5">
        <f>IF(+'Value of Defferal'!P40=0,0,Title_RESULTS!$H$17*Title_RESULTS!$C$7*Partcipation!$C$26*(1+Title_RESULTS!$H$18/100)^('Sheet4(F_22)'!A33-Title_RESULTS!$H$7))/1000</f>
        <v>0</v>
      </c>
      <c r="G33" s="5">
        <f>(+E33+F33)*Partcipation!$H33</f>
        <v>0</v>
      </c>
      <c r="H33" s="5">
        <f>+'Sheet5(p_5)'!$F33*'Sheet2(F_12)'!$I33</f>
        <v>378.7252455253067</v>
      </c>
      <c r="I33" s="5"/>
      <c r="J33" s="5"/>
    </row>
    <row r="34" spans="2:10" ht="12.75">
      <c r="B34" s="5"/>
      <c r="C34" s="5"/>
      <c r="D34" s="5"/>
      <c r="E34" s="5"/>
      <c r="F34" s="5"/>
      <c r="G34" s="5"/>
      <c r="H34" s="5"/>
      <c r="I34" s="5"/>
      <c r="J34" s="5"/>
    </row>
    <row r="35" spans="1:10" ht="12.75">
      <c r="A35" t="s">
        <v>88</v>
      </c>
      <c r="B35" s="5">
        <f aca="true" t="shared" si="1" ref="B35:H35">SUM(B16:B34)</f>
        <v>0</v>
      </c>
      <c r="C35" s="5">
        <f t="shared" si="1"/>
        <v>0</v>
      </c>
      <c r="D35" s="5">
        <f t="shared" si="1"/>
        <v>0</v>
      </c>
      <c r="E35" s="5">
        <f t="shared" si="1"/>
        <v>0</v>
      </c>
      <c r="F35" s="5">
        <f t="shared" si="1"/>
        <v>0</v>
      </c>
      <c r="G35" s="5">
        <f t="shared" si="1"/>
        <v>0</v>
      </c>
      <c r="H35" s="5">
        <f t="shared" si="1"/>
        <v>4173.673490956645</v>
      </c>
      <c r="I35" s="5"/>
      <c r="J35" s="5"/>
    </row>
    <row r="36" spans="2:10" ht="12.75">
      <c r="B36" s="5"/>
      <c r="C36" s="5"/>
      <c r="D36" s="5"/>
      <c r="E36" s="5"/>
      <c r="F36" s="5"/>
      <c r="G36" s="5"/>
      <c r="H36" s="5"/>
      <c r="I36" s="5"/>
      <c r="J36" s="5"/>
    </row>
    <row r="37" spans="1:10" ht="12.75">
      <c r="A37" t="s">
        <v>90</v>
      </c>
      <c r="B37" s="5">
        <f>NPV(Title_RESULTS!$C$37,'Sheet4(F_22)'!B17:B34)+'Sheet4(F_22)'!B16</f>
        <v>0</v>
      </c>
      <c r="C37" s="5">
        <f>NPV(Title_RESULTS!$C$37,'Sheet4(F_22)'!C17:C34)+'Sheet4(F_22)'!C16</f>
        <v>0</v>
      </c>
      <c r="D37" s="5">
        <f>NPV(Title_RESULTS!$C$37,'Sheet4(F_22)'!D17:D34)+'Sheet4(F_22)'!D16</f>
        <v>0</v>
      </c>
      <c r="E37" s="5">
        <f>NPV(Title_RESULTS!$C$37,'Sheet4(F_22)'!E17:E34)+'Sheet4(F_22)'!E16</f>
        <v>0</v>
      </c>
      <c r="F37" s="5">
        <f>NPV(Title_RESULTS!$C$37,'Sheet4(F_22)'!F17:F34)+'Sheet4(F_22)'!F16</f>
        <v>0</v>
      </c>
      <c r="G37" s="5">
        <f>NPV(Title_RESULTS!$C$37,'Sheet4(F_22)'!G17:G34)+'Sheet4(F_22)'!G16</f>
        <v>0</v>
      </c>
      <c r="H37" s="5">
        <f>NPV(Title_RESULTS!$C$37,'Sheet4(F_22)'!H17:H34)+'Sheet4(F_22)'!H16</f>
        <v>2130.5605342240606</v>
      </c>
      <c r="I37" s="5"/>
      <c r="J37" s="5"/>
    </row>
    <row r="38" spans="2:10" ht="12.75">
      <c r="B38" s="5"/>
      <c r="C38" s="5"/>
      <c r="D38" s="5"/>
      <c r="E38" s="5"/>
      <c r="F38" s="5"/>
      <c r="G38" s="5"/>
      <c r="H38" s="5"/>
      <c r="I38" s="5"/>
      <c r="J38" s="5"/>
    </row>
    <row r="39" ht="12.75">
      <c r="A39" t="s">
        <v>91</v>
      </c>
    </row>
    <row r="152" spans="32:43" ht="12.75">
      <c r="AF152" s="1"/>
      <c r="AQ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BN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8.57421875" style="0" customWidth="1"/>
    <col min="3" max="3" width="8.421875" style="0" customWidth="1"/>
    <col min="4" max="4" width="10.140625" style="0" customWidth="1"/>
    <col min="5" max="6" width="10.00390625" style="0" customWidth="1"/>
    <col min="7" max="7" width="9.421875" style="0" customWidth="1"/>
    <col min="8" max="8" width="16.140625" style="0" bestFit="1" customWidth="1"/>
    <col min="9" max="9" width="10.421875" style="0" customWidth="1"/>
    <col min="10" max="10" width="16.140625" style="0" bestFit="1" customWidth="1"/>
    <col min="12" max="12" width="10.421875" style="0" customWidth="1"/>
    <col min="13" max="14" width="9.57421875" style="0" customWidth="1"/>
    <col min="16" max="16" width="19.00390625" style="0" customWidth="1"/>
    <col min="17" max="18" width="12.57421875" style="0" bestFit="1" customWidth="1"/>
    <col min="21" max="21" width="10.8515625" style="0" bestFit="1" customWidth="1"/>
  </cols>
  <sheetData>
    <row r="1" spans="3:16" ht="12.75">
      <c r="C1" t="s">
        <v>119</v>
      </c>
      <c r="P1" t="s">
        <v>120</v>
      </c>
    </row>
    <row r="2" spans="3:16" ht="12.75">
      <c r="C2" t="s">
        <v>107</v>
      </c>
      <c r="E2" t="str">
        <f>+Input!C3</f>
        <v>LED Street Lights</v>
      </c>
      <c r="P2" t="s">
        <v>121</v>
      </c>
    </row>
    <row r="3" ht="12.75">
      <c r="P3" s="35">
        <f>+Title_RESULTS!I4</f>
        <v>43599.31995208334</v>
      </c>
    </row>
    <row r="7" spans="1:18" ht="12.75">
      <c r="A7" s="6" t="s">
        <v>12</v>
      </c>
      <c r="B7" s="6" t="s">
        <v>13</v>
      </c>
      <c r="C7" s="6" t="s">
        <v>14</v>
      </c>
      <c r="D7" s="6" t="s">
        <v>15</v>
      </c>
      <c r="E7" s="6" t="s">
        <v>16</v>
      </c>
      <c r="F7" s="6" t="s">
        <v>17</v>
      </c>
      <c r="G7" s="6" t="s">
        <v>18</v>
      </c>
      <c r="H7" s="6" t="s">
        <v>19</v>
      </c>
      <c r="I7" s="6" t="s">
        <v>20</v>
      </c>
      <c r="J7" s="6" t="s">
        <v>21</v>
      </c>
      <c r="K7" s="6" t="s">
        <v>22</v>
      </c>
      <c r="L7" s="6" t="s">
        <v>122</v>
      </c>
      <c r="M7" s="6" t="s">
        <v>123</v>
      </c>
      <c r="N7" s="6" t="s">
        <v>124</v>
      </c>
      <c r="O7" s="6" t="s">
        <v>125</v>
      </c>
      <c r="P7" s="6" t="s">
        <v>126</v>
      </c>
      <c r="Q7" s="6" t="s">
        <v>127</v>
      </c>
      <c r="R7" s="6" t="s">
        <v>128</v>
      </c>
    </row>
    <row r="9" spans="1:18" ht="12.75">
      <c r="A9" s="6"/>
      <c r="B9" s="6" t="s">
        <v>129</v>
      </c>
      <c r="C9" s="6"/>
      <c r="D9" s="6"/>
      <c r="E9" s="6"/>
      <c r="F9" s="6"/>
      <c r="G9" s="6"/>
      <c r="H9" s="6" t="s">
        <v>130</v>
      </c>
      <c r="I9" s="6"/>
      <c r="J9" s="6"/>
      <c r="K9" s="6"/>
      <c r="L9" s="6"/>
      <c r="M9" s="6"/>
      <c r="N9" s="6"/>
      <c r="O9" s="6"/>
      <c r="P9" s="6"/>
      <c r="Q9" s="6"/>
      <c r="R9" s="6"/>
    </row>
    <row r="10" spans="1:18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</row>
    <row r="11" spans="1:18" ht="12.75">
      <c r="A11" s="6"/>
      <c r="B11" s="6"/>
      <c r="C11" s="6"/>
      <c r="D11" s="6" t="s">
        <v>50</v>
      </c>
      <c r="E11" s="6"/>
      <c r="F11" s="6"/>
      <c r="G11" s="6" t="s">
        <v>50</v>
      </c>
      <c r="H11" s="6" t="s">
        <v>131</v>
      </c>
      <c r="I11" s="6" t="s">
        <v>131</v>
      </c>
      <c r="J11" s="6" t="s">
        <v>50</v>
      </c>
      <c r="K11" s="6" t="s">
        <v>132</v>
      </c>
      <c r="L11" s="6" t="s">
        <v>133</v>
      </c>
      <c r="M11" s="6" t="s">
        <v>133</v>
      </c>
      <c r="N11" s="6" t="s">
        <v>134</v>
      </c>
      <c r="O11" s="6" t="s">
        <v>135</v>
      </c>
      <c r="P11" s="6" t="s">
        <v>135</v>
      </c>
      <c r="Q11" s="6" t="s">
        <v>135</v>
      </c>
      <c r="R11" s="6" t="s">
        <v>134</v>
      </c>
    </row>
    <row r="12" spans="1:18" ht="12.75">
      <c r="A12" s="6"/>
      <c r="B12" s="6" t="s">
        <v>136</v>
      </c>
      <c r="C12" s="6" t="s">
        <v>136</v>
      </c>
      <c r="D12" s="6" t="s">
        <v>136</v>
      </c>
      <c r="E12" s="6" t="s">
        <v>136</v>
      </c>
      <c r="F12" s="6" t="s">
        <v>136</v>
      </c>
      <c r="G12" s="6" t="s">
        <v>137</v>
      </c>
      <c r="H12" s="6" t="s">
        <v>138</v>
      </c>
      <c r="I12" s="6" t="s">
        <v>138</v>
      </c>
      <c r="J12" s="6" t="s">
        <v>33</v>
      </c>
      <c r="K12" s="6" t="s">
        <v>139</v>
      </c>
      <c r="L12" s="6" t="s">
        <v>140</v>
      </c>
      <c r="M12" s="6" t="s">
        <v>140</v>
      </c>
      <c r="N12" s="6" t="s">
        <v>140</v>
      </c>
      <c r="O12" s="6" t="s">
        <v>139</v>
      </c>
      <c r="P12" s="6" t="s">
        <v>140</v>
      </c>
      <c r="Q12" s="6" t="s">
        <v>140</v>
      </c>
      <c r="R12" s="6" t="s">
        <v>141</v>
      </c>
    </row>
    <row r="13" spans="1:18" ht="12.75">
      <c r="A13" s="6"/>
      <c r="B13" s="6" t="s">
        <v>142</v>
      </c>
      <c r="C13" s="6" t="s">
        <v>143</v>
      </c>
      <c r="D13" s="6" t="s">
        <v>144</v>
      </c>
      <c r="E13" s="6" t="s">
        <v>142</v>
      </c>
      <c r="F13" s="6" t="s">
        <v>145</v>
      </c>
      <c r="G13" s="6" t="s">
        <v>146</v>
      </c>
      <c r="H13" s="6" t="s">
        <v>147</v>
      </c>
      <c r="I13" s="6" t="s">
        <v>148</v>
      </c>
      <c r="J13" s="6" t="s">
        <v>131</v>
      </c>
      <c r="K13" s="6" t="s">
        <v>149</v>
      </c>
      <c r="L13" s="6" t="s">
        <v>150</v>
      </c>
      <c r="M13" s="6" t="s">
        <v>151</v>
      </c>
      <c r="N13" s="6" t="s">
        <v>132</v>
      </c>
      <c r="O13" s="6" t="s">
        <v>149</v>
      </c>
      <c r="P13" s="6" t="s">
        <v>150</v>
      </c>
      <c r="Q13" s="6" t="s">
        <v>151</v>
      </c>
      <c r="R13" s="6" t="s">
        <v>135</v>
      </c>
    </row>
    <row r="14" spans="1:18" ht="12.75">
      <c r="A14" s="6"/>
      <c r="B14" s="6" t="s">
        <v>33</v>
      </c>
      <c r="C14" s="6" t="s">
        <v>152</v>
      </c>
      <c r="D14" s="6" t="s">
        <v>33</v>
      </c>
      <c r="E14" s="6" t="s">
        <v>153</v>
      </c>
      <c r="F14" s="6" t="s">
        <v>153</v>
      </c>
      <c r="G14" s="6" t="s">
        <v>33</v>
      </c>
      <c r="H14" s="6" t="s">
        <v>33</v>
      </c>
      <c r="I14" s="6" t="s">
        <v>33</v>
      </c>
      <c r="J14" s="6" t="s">
        <v>138</v>
      </c>
      <c r="K14" s="6" t="s">
        <v>28</v>
      </c>
      <c r="L14" s="6" t="s">
        <v>154</v>
      </c>
      <c r="M14" s="6" t="s">
        <v>154</v>
      </c>
      <c r="N14" s="6" t="s">
        <v>155</v>
      </c>
      <c r="O14" s="6" t="s">
        <v>28</v>
      </c>
      <c r="P14" s="6" t="s">
        <v>154</v>
      </c>
      <c r="Q14" s="6" t="s">
        <v>154</v>
      </c>
      <c r="R14" s="6" t="s">
        <v>156</v>
      </c>
    </row>
    <row r="15" spans="1:18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84</v>
      </c>
      <c r="L15" s="27" t="s">
        <v>83</v>
      </c>
      <c r="M15" s="27" t="s">
        <v>83</v>
      </c>
      <c r="N15" s="27" t="s">
        <v>83</v>
      </c>
      <c r="O15" s="27" t="s">
        <v>84</v>
      </c>
      <c r="P15" s="27" t="s">
        <v>83</v>
      </c>
      <c r="Q15" s="27"/>
      <c r="R15" s="27" t="s">
        <v>83</v>
      </c>
    </row>
    <row r="16" spans="1:21" ht="12.75">
      <c r="A16">
        <f>+Title_RESULTS!H7</f>
        <v>2020</v>
      </c>
      <c r="B16" s="5">
        <f>IF(+'Sheet9(F_25)'!$A16&gt;=Title_RESULTS!$H$8,0,((Partcipation!$B16-Partcipation!$B15)*(Title_RESULTS!$C$26*((1+Title_RESULTS!$C$28/100)^('Sheet9(F_25)'!$A16-Title_RESULTS!$H$7)))/1000))</f>
        <v>175</v>
      </c>
      <c r="C16" s="5">
        <f>(Partcipation!$C15+(Partcipation!$C16-Partcipation!$C15)/2)*(Title_RESULTS!$C$27*((1+Title_RESULTS!$C$28/100)^('Sheet9(F_25)'!$A16-Title_RESULTS!$H$7)))/1000</f>
        <v>0</v>
      </c>
      <c r="D16" s="5">
        <f>SUM(B16:C16)</f>
        <v>175</v>
      </c>
      <c r="E16" s="5">
        <f>IF(+'Sheet9(F_25)'!$A16&gt;=Title_RESULTS!$H$8,0,((Partcipation!$B16-Partcipation!$B15)*(Title_RESULTS!$C$39*((1+Title_RESULTS!$C$41/100)^('Sheet9(F_25)'!$A16-Title_RESULTS!$H$7)))/1000))</f>
        <v>85.12</v>
      </c>
      <c r="F16" s="5">
        <f>(Partcipation!$C15+(Partcipation!$C16-Partcipation!$C15)/2)*(Title_RESULTS!$C$40*((1+Title_RESULTS!$C$41/100)^('Sheet9(F_25)'!$A16-Title_RESULTS!$H$7)))/1000</f>
        <v>0</v>
      </c>
      <c r="G16" s="5">
        <f>SUM(E16:F16)</f>
        <v>85.12</v>
      </c>
      <c r="H16" s="5">
        <f>IF(Partcipation!$B17&lt;Partcipation!$B16,0,IF(Partcipation!$B16=0,0,(Partcipation!$B16-Partcipation!$B15)*(+Title_RESULTS!$C$29*(1+Title_RESULTS!$C$30/100)^(+'Sheet8(F_24)'!$A16-Title_RESULTS!$H$7))/1000))</f>
        <v>238.57</v>
      </c>
      <c r="I16" s="5">
        <f>IF(+Title_RESULTS!$C$31&lt;0,0,(+Partcipation!$B15+(Partcipation!$B16-Partcipation!$B15)/2)*(+Title_RESULTS!$C$31*(1+Title_RESULTS!$C$32/100)^(+'Sheet6(p_6)'!$A16-Title_RESULTS!$H$7))/1000)</f>
        <v>0</v>
      </c>
      <c r="J16" s="5">
        <f>SUM(H16:I16)</f>
        <v>238.57</v>
      </c>
      <c r="K16" s="5">
        <f>(+Partcipation!$B15+(Partcipation!$B16-Partcipation!$B15)/2)*(+Title_RESULTS!$C$14)/1000</f>
        <v>845.56</v>
      </c>
      <c r="L16" s="5">
        <f>($K16)*Partcipation!$E73*Title_RESULTS!$C$12/100</f>
        <v>20.586109806428944</v>
      </c>
      <c r="M16" s="5">
        <f>((+$K16*(Title_RESULTS!$H$30/100)*((1+Title_RESULTS!$H$31/100)^('Sheet9(F_25)'!$A16-Title_RESULTS!$H$7)))+((Title_RESULTS!$H$32*Title_RESULTS!$H$35*12*Title_RESULTS!$C$7/1000)*(Partcipation!$B15+(Partcipation!$B16-Partcipation!$B15)/2))*((1+Title_RESULTS!$H$33/100)^('Sheet9(F_25)'!$A16-Title_RESULTS!$H$7)))</f>
        <v>15.3722808</v>
      </c>
      <c r="N16" s="5">
        <f>'Sheet2(F_12)'!$I16*('Sheet6(p_6)'!$L16+'Sheet6(p_6)'!$M16)</f>
        <v>35.95839060642894</v>
      </c>
      <c r="O16" s="5">
        <f>(Partcipation!$B15+(Partcipation!$B16-Partcipation!$B15)/2)*(Title_RESULTS!$C$13)/1000</f>
        <v>0</v>
      </c>
      <c r="P16" s="5">
        <f>($O16)*'Sheet2(F_12)'!$D16*Title_RESULTS!$C$12/100</f>
        <v>0</v>
      </c>
      <c r="Q16" s="5">
        <f>+$O16*((Title_RESULTS!$H$30/100)*((1+Title_RESULTS!$H$31/100)^('Sheet9(F_25)'!$A16-Title_RESULTS!$H$7)))</f>
        <v>0</v>
      </c>
      <c r="R16" s="5">
        <f>+Partcipation!$I16*('Sheet6(p_6)'!$P16-'Sheet6(p_6)'!$Q16)</f>
        <v>0</v>
      </c>
      <c r="U16" s="50"/>
    </row>
    <row r="17" spans="1:18" ht="12.75">
      <c r="A17">
        <f>+A16+1</f>
        <v>2021</v>
      </c>
      <c r="B17" s="5">
        <f>IF(+'Sheet9(F_25)'!$A17&gt;=Title_RESULTS!$H$8,0,((Partcipation!$B17-Partcipation!$B16)*(Title_RESULTS!$C$26*((1+Title_RESULTS!$C$28/100)^('Sheet9(F_25)'!$A17-Title_RESULTS!$H$7)))/1000))</f>
        <v>179.20000000000002</v>
      </c>
      <c r="C17" s="5">
        <f>(Partcipation!$C16+(Partcipation!$C17-Partcipation!$C16)/2)*(Title_RESULTS!$C$27*((1+Title_RESULTS!$C$28/100)^('Sheet9(F_25)'!$A17-Title_RESULTS!$H$7)))/1000</f>
        <v>0</v>
      </c>
      <c r="D17" s="5">
        <f>SUM(B17:C17)</f>
        <v>179.20000000000002</v>
      </c>
      <c r="E17" s="5">
        <f>IF(+'Sheet9(F_25)'!$A17&gt;=Title_RESULTS!$H$8,0,((Partcipation!$B17-Partcipation!$B16)*(Title_RESULTS!$C$39*((1+Title_RESULTS!$C$41/100)^('Sheet9(F_25)'!$A17-Title_RESULTS!$H$7)))/1000))</f>
        <v>85.12</v>
      </c>
      <c r="F17" s="5">
        <f>(Partcipation!$C16+(Partcipation!$C17-Partcipation!$C16)/2)*(Title_RESULTS!$C$40*((1+Title_RESULTS!$C$41/100)^('Sheet9(F_25)'!$A17-Title_RESULTS!$H$7)))/1000</f>
        <v>0</v>
      </c>
      <c r="G17" s="5">
        <f>SUM(E17:F17)</f>
        <v>85.12</v>
      </c>
      <c r="H17" s="5">
        <f>IF(Partcipation!$B18&lt;Partcipation!$B17,0,IF(Partcipation!$B17=0,0,(Partcipation!$B17-Partcipation!$B16)*(+Title_RESULTS!$C$29*(1+Title_RESULTS!$C$30/100)^(+'Sheet8(F_24)'!$A17-Title_RESULTS!$H$7))/1000))</f>
        <v>244.05710999999997</v>
      </c>
      <c r="I17" s="5">
        <f>IF(+Title_RESULTS!$C$31&lt;0,0,(+Partcipation!$B16+(Partcipation!$B17-Partcipation!$B16)/2)*(+Title_RESULTS!$C$31*(1+Title_RESULTS!$C$32/100)^(+'Sheet6(p_6)'!$A17-Title_RESULTS!$H$7))/1000)</f>
        <v>0</v>
      </c>
      <c r="J17" s="5">
        <f>SUM(H17:I17)</f>
        <v>244.05710999999997</v>
      </c>
      <c r="K17" s="5">
        <f>(+Partcipation!$B16+(Partcipation!$B17-Partcipation!$B16)/2)*(+Title_RESULTS!$C$14)/1000</f>
        <v>2536.68</v>
      </c>
      <c r="L17" s="5">
        <f>($K17)*Partcipation!$E74*Title_RESULTS!$C$12/100</f>
        <v>64.69762346999904</v>
      </c>
      <c r="M17" s="5">
        <f>((+$K17*(Title_RESULTS!$H$30/100)*((1+Title_RESULTS!$H$31/100)^('Sheet9(F_25)'!$A17-Title_RESULTS!$H$7)))+((Title_RESULTS!$H$32*Title_RESULTS!$H$35*12*Title_RESULTS!$C$7/1000)*(Partcipation!$B16+(Partcipation!$B17-Partcipation!$B16)/2))*((1+Title_RESULTS!$H$33/100)^('Sheet9(F_25)'!$A17-Title_RESULTS!$H$7)))</f>
        <v>46.578010824</v>
      </c>
      <c r="N17" s="5">
        <f>'Sheet2(F_12)'!$I17*('Sheet6(p_6)'!$L17+'Sheet6(p_6)'!$M17)</f>
        <v>111.27563429399905</v>
      </c>
      <c r="O17" s="5">
        <f>(Partcipation!$B16+(Partcipation!$B17-Partcipation!$B16)/2)*(Title_RESULTS!$C$13)/1000</f>
        <v>0</v>
      </c>
      <c r="P17" s="5">
        <f>($O17)*'Sheet2(F_12)'!$D17*Title_RESULTS!$C$12/100</f>
        <v>0</v>
      </c>
      <c r="Q17" s="5">
        <f>+$O17*((Title_RESULTS!$H$30/100)*((1+Title_RESULTS!$H$31/100)^('Sheet9(F_25)'!$A17-Title_RESULTS!$H$7)))</f>
        <v>0</v>
      </c>
      <c r="R17" s="5">
        <f>+Partcipation!$I17*('Sheet6(p_6)'!$P17-'Sheet6(p_6)'!$Q17)</f>
        <v>0</v>
      </c>
    </row>
    <row r="18" spans="1:18" ht="12.75">
      <c r="A18">
        <f>+A17+1</f>
        <v>2022</v>
      </c>
      <c r="B18" s="5">
        <f>IF(+'Sheet9(F_25)'!$A18&gt;=Title_RESULTS!$H$8,0,((Partcipation!$B18-Partcipation!$B17)*(Title_RESULTS!$C$26*((1+Title_RESULTS!$C$28/100)^('Sheet9(F_25)'!$A18-Title_RESULTS!$H$7)))/1000))</f>
        <v>183.5008</v>
      </c>
      <c r="C18" s="5">
        <f>(Partcipation!$C17+(Partcipation!$C18-Partcipation!$C17)/2)*(Title_RESULTS!$C$27*((1+Title_RESULTS!$C$28/100)^('Sheet9(F_25)'!$A18-Title_RESULTS!$H$7)))/1000</f>
        <v>0</v>
      </c>
      <c r="D18" s="5">
        <f>SUM(B18:C18)</f>
        <v>183.5008</v>
      </c>
      <c r="E18" s="5">
        <f>IF(+'Sheet9(F_25)'!$A18&gt;=Title_RESULTS!$H$8,0,((Partcipation!$B18-Partcipation!$B17)*(Title_RESULTS!$C$39*((1+Title_RESULTS!$C$41/100)^('Sheet9(F_25)'!$A18-Title_RESULTS!$H$7)))/1000))</f>
        <v>85.12</v>
      </c>
      <c r="F18" s="5">
        <f>(Partcipation!$C17+(Partcipation!$C18-Partcipation!$C17)/2)*(Title_RESULTS!$C$40*((1+Title_RESULTS!$C$41/100)^('Sheet9(F_25)'!$A18-Title_RESULTS!$H$7)))/1000</f>
        <v>0</v>
      </c>
      <c r="G18" s="5">
        <f>SUM(E18:F18)</f>
        <v>85.12</v>
      </c>
      <c r="H18" s="5">
        <f>IF(Partcipation!$B19&lt;Partcipation!$B18,0,IF(Partcipation!$B18=0,0,(Partcipation!$B18-Partcipation!$B17)*(+Title_RESULTS!$C$29*(1+Title_RESULTS!$C$30/100)^(+'Sheet8(F_24)'!$A18-Title_RESULTS!$H$7))/1000))</f>
        <v>249.67042352999994</v>
      </c>
      <c r="I18" s="5">
        <f>IF(+Title_RESULTS!$C$31&lt;0,0,(+Partcipation!$B17+(Partcipation!$B18-Partcipation!$B17)/2)*(+Title_RESULTS!$C$31*(1+Title_RESULTS!$C$32/100)^(+'Sheet6(p_6)'!$A18-Title_RESULTS!$H$7))/1000)</f>
        <v>0</v>
      </c>
      <c r="J18" s="5">
        <f>SUM(H18:I18)</f>
        <v>249.67042352999994</v>
      </c>
      <c r="K18" s="5">
        <f>(+Partcipation!$B17+(Partcipation!$B18-Partcipation!$B17)/2)*(+Title_RESULTS!$C$14)/1000</f>
        <v>4227.8</v>
      </c>
      <c r="L18" s="5">
        <f>($K18)*Partcipation!$E75*Title_RESULTS!$C$12/100</f>
        <v>111.80130923059531</v>
      </c>
      <c r="M18" s="5">
        <f>((+$K18*(Title_RESULTS!$H$30/100)*((1+Title_RESULTS!$H$31/100)^('Sheet9(F_25)'!$A18-Title_RESULTS!$H$7)))+((Title_RESULTS!$H$32*Title_RESULTS!$H$35*12*Title_RESULTS!$C$7/1000)*(Partcipation!$B17+(Partcipation!$B18-Partcipation!$B17)/2))*((1+Title_RESULTS!$H$33/100)^('Sheet9(F_25)'!$A18-Title_RESULTS!$H$7)))</f>
        <v>78.40631822040001</v>
      </c>
      <c r="N18" s="5">
        <f>'Sheet2(F_12)'!$I18*('Sheet6(p_6)'!$L18+'Sheet6(p_6)'!$M18)</f>
        <v>190.20762745099532</v>
      </c>
      <c r="O18" s="5">
        <f>(Partcipation!$B17+(Partcipation!$B18-Partcipation!$B17)/2)*(Title_RESULTS!$C$13)/1000</f>
        <v>0</v>
      </c>
      <c r="P18" s="5">
        <f>($O18)*'Sheet2(F_12)'!$D18*Title_RESULTS!$C$12/100</f>
        <v>0</v>
      </c>
      <c r="Q18" s="5">
        <f>+$O18*((Title_RESULTS!$H$30/100)*((1+Title_RESULTS!$H$31/100)^('Sheet9(F_25)'!$A18-Title_RESULTS!$H$7)))</f>
        <v>0</v>
      </c>
      <c r="R18" s="5">
        <f>+Partcipation!$I18*('Sheet6(p_6)'!$P18-'Sheet6(p_6)'!$Q18)</f>
        <v>0</v>
      </c>
    </row>
    <row r="19" spans="1:18" ht="12.75">
      <c r="A19">
        <f aca="true" t="shared" si="0" ref="A19:A33">+A18+1</f>
        <v>2023</v>
      </c>
      <c r="B19" s="5">
        <f>IF(+'Sheet9(F_25)'!$A19&gt;=Title_RESULTS!$H$8,0,((Partcipation!$B19-Partcipation!$B18)*(Title_RESULTS!$C$26*((1+Title_RESULTS!$C$28/100)^('Sheet9(F_25)'!$A19-Title_RESULTS!$H$7)))/1000))</f>
        <v>0</v>
      </c>
      <c r="C19" s="5">
        <f>(Partcipation!$C18+(Partcipation!$C19-Partcipation!$C18)/2)*(Title_RESULTS!$C$27*((1+Title_RESULTS!$C$28/100)^('Sheet9(F_25)'!$A19-Title_RESULTS!$H$7)))/1000</f>
        <v>0</v>
      </c>
      <c r="D19" s="5">
        <f aca="true" t="shared" si="1" ref="D19:D33">SUM(B19:C19)</f>
        <v>0</v>
      </c>
      <c r="E19" s="5">
        <f>IF(+'Sheet9(F_25)'!$A19&gt;=Title_RESULTS!$H$8,0,((Partcipation!$B19-Partcipation!$B18)*(Title_RESULTS!$C$39*((1+Title_RESULTS!$C$41/100)^('Sheet9(F_25)'!$A19-Title_RESULTS!$H$7)))/1000))</f>
        <v>0</v>
      </c>
      <c r="F19" s="5">
        <f>(Partcipation!$C18+(Partcipation!$C19-Partcipation!$C18)/2)*(Title_RESULTS!$C$40*((1+Title_RESULTS!$C$41/100)^('Sheet9(F_25)'!$A19-Title_RESULTS!$H$7)))/1000</f>
        <v>0</v>
      </c>
      <c r="G19" s="5">
        <f aca="true" t="shared" si="2" ref="G19:G33">SUM(E19:F19)</f>
        <v>0</v>
      </c>
      <c r="H19" s="5">
        <f>IF(Partcipation!$B20&lt;Partcipation!$B19,0,IF(Partcipation!$B19=0,0,(Partcipation!$B19-Partcipation!$B18)*(+Title_RESULTS!$C$29*(1+Title_RESULTS!$C$30/100)^(+'Sheet8(F_24)'!$A19-Title_RESULTS!$H$7))/1000))</f>
        <v>0</v>
      </c>
      <c r="I19" s="5">
        <f>IF(+Title_RESULTS!$C$31&lt;0,0,(+Partcipation!$B18+(Partcipation!$B19-Partcipation!$B18)/2)*(+Title_RESULTS!$C$31*(1+Title_RESULTS!$C$32/100)^(+'Sheet6(p_6)'!$A19-Title_RESULTS!$H$7))/1000)</f>
        <v>0</v>
      </c>
      <c r="J19" s="5">
        <f aca="true" t="shared" si="3" ref="J19:J33">SUM(H19:I19)</f>
        <v>0</v>
      </c>
      <c r="K19" s="5">
        <f>(+Partcipation!$B18+(Partcipation!$B19-Partcipation!$B18)/2)*(+Title_RESULTS!$C$14)/1000</f>
        <v>5073.36</v>
      </c>
      <c r="L19" s="5">
        <f>($K19)*Partcipation!$E76*Title_RESULTS!$C$12/100</f>
        <v>133.06179655978613</v>
      </c>
      <c r="M19" s="5">
        <f>((+$K19*(Title_RESULTS!$H$30/100)*((1+Title_RESULTS!$H$31/100)^('Sheet9(F_25)'!$A19-Title_RESULTS!$H$7)))+((Title_RESULTS!$H$32*Title_RESULTS!$H$35*12*Title_RESULTS!$C$7/1000)*(Partcipation!$B18+(Partcipation!$B19-Partcipation!$B18)/2))*((1+Title_RESULTS!$H$33/100)^('Sheet9(F_25)'!$A19-Title_RESULTS!$H$7)))</f>
        <v>95.0284576831248</v>
      </c>
      <c r="N19" s="5">
        <f>'Sheet2(F_12)'!$I19*('Sheet6(p_6)'!$L19+'Sheet6(p_6)'!$M19)</f>
        <v>228.09025424291093</v>
      </c>
      <c r="O19" s="5">
        <f>(Partcipation!$B18+(Partcipation!$B19-Partcipation!$B18)/2)*(Title_RESULTS!$C$13)/1000</f>
        <v>0</v>
      </c>
      <c r="P19" s="5">
        <f>($O19)*'Sheet2(F_12)'!$D19*Title_RESULTS!$C$12/100</f>
        <v>0</v>
      </c>
      <c r="Q19" s="5">
        <f>+$O19*((Title_RESULTS!$H$30/100)*((1+Title_RESULTS!$H$31/100)^('Sheet9(F_25)'!$A19-Title_RESULTS!$H$7)))</f>
        <v>0</v>
      </c>
      <c r="R19" s="5">
        <f>+Partcipation!$I19*('Sheet6(p_6)'!$P19-'Sheet6(p_6)'!$Q19)</f>
        <v>0</v>
      </c>
    </row>
    <row r="20" spans="1:18" ht="12.75">
      <c r="A20">
        <f t="shared" si="0"/>
        <v>2024</v>
      </c>
      <c r="B20" s="5">
        <f>IF(+'Sheet9(F_25)'!$A20&gt;=Title_RESULTS!$H$8,0,((Partcipation!$B20-Partcipation!$B19)*(Title_RESULTS!$C$26*((1+Title_RESULTS!$C$28/100)^('Sheet9(F_25)'!$A20-Title_RESULTS!$H$7)))/1000))</f>
        <v>0</v>
      </c>
      <c r="C20" s="5">
        <f>(Partcipation!$C19+(Partcipation!$C20-Partcipation!$C19)/2)*(Title_RESULTS!$C$27*((1+Title_RESULTS!$C$28/100)^('Sheet9(F_25)'!$A20-Title_RESULTS!$H$7)))/1000</f>
        <v>0</v>
      </c>
      <c r="D20" s="5">
        <f t="shared" si="1"/>
        <v>0</v>
      </c>
      <c r="E20" s="5">
        <f>IF(+'Sheet9(F_25)'!$A20&gt;=Title_RESULTS!$H$8,0,((Partcipation!$B20-Partcipation!$B19)*(Title_RESULTS!$C$39*((1+Title_RESULTS!$C$41/100)^('Sheet9(F_25)'!$A20-Title_RESULTS!$H$7)))/1000))</f>
        <v>0</v>
      </c>
      <c r="F20" s="5">
        <f>(Partcipation!$C19+(Partcipation!$C20-Partcipation!$C19)/2)*(Title_RESULTS!$C$40*((1+Title_RESULTS!$C$41/100)^('Sheet9(F_25)'!$A20-Title_RESULTS!$H$7)))/1000</f>
        <v>0</v>
      </c>
      <c r="G20" s="5">
        <f t="shared" si="2"/>
        <v>0</v>
      </c>
      <c r="H20" s="5">
        <f>IF(Partcipation!$B21&lt;Partcipation!$B20,0,IF(Partcipation!$B20=0,0,(Partcipation!$B20-Partcipation!$B19)*(+Title_RESULTS!$C$29*(1+Title_RESULTS!$C$30/100)^(+'Sheet8(F_24)'!$A20-Title_RESULTS!$H$7))/1000))</f>
        <v>0</v>
      </c>
      <c r="I20" s="5">
        <f>IF(+Title_RESULTS!$C$31&lt;0,0,(+Partcipation!$B19+(Partcipation!$B20-Partcipation!$B19)/2)*(+Title_RESULTS!$C$31*(1+Title_RESULTS!$C$32/100)^(+'Sheet6(p_6)'!$A20-Title_RESULTS!$H$7))/1000)</f>
        <v>0</v>
      </c>
      <c r="J20" s="5">
        <f t="shared" si="3"/>
        <v>0</v>
      </c>
      <c r="K20" s="5">
        <f>(+Partcipation!$B19+(Partcipation!$B20-Partcipation!$B19)/2)*(+Title_RESULTS!$C$14)/1000</f>
        <v>5073.36</v>
      </c>
      <c r="L20" s="5">
        <f>($K20)*Partcipation!$E77*Title_RESULTS!$C$12/100</f>
        <v>140.60902620570712</v>
      </c>
      <c r="M20" s="5">
        <f>((+$K20*(Title_RESULTS!$H$30/100)*((1+Title_RESULTS!$H$31/100)^('Sheet9(F_25)'!$A20-Title_RESULTS!$H$7)))+((Title_RESULTS!$H$32*Title_RESULTS!$H$35*12*Title_RESULTS!$C$7/1000)*(Partcipation!$B19+(Partcipation!$B20-Partcipation!$B19)/2))*((1+Title_RESULTS!$H$33/100)^('Sheet9(F_25)'!$A20-Title_RESULTS!$H$7)))</f>
        <v>95.97874225995605</v>
      </c>
      <c r="N20" s="5">
        <f>'Sheet2(F_12)'!$I20*('Sheet6(p_6)'!$L20+'Sheet6(p_6)'!$M20)</f>
        <v>236.58776846566317</v>
      </c>
      <c r="O20" s="5">
        <f>(Partcipation!$B19+(Partcipation!$B20-Partcipation!$B19)/2)*(Title_RESULTS!$C$13)/1000</f>
        <v>0</v>
      </c>
      <c r="P20" s="5">
        <f>($O20)*'Sheet2(F_12)'!$D20*Title_RESULTS!$C$12/100</f>
        <v>0</v>
      </c>
      <c r="Q20" s="5">
        <f>+$O20*((Title_RESULTS!$H$30/100)*((1+Title_RESULTS!$H$31/100)^('Sheet9(F_25)'!$A20-Title_RESULTS!$H$7)))</f>
        <v>0</v>
      </c>
      <c r="R20" s="5">
        <f>+Partcipation!$I20*('Sheet6(p_6)'!$P20-'Sheet6(p_6)'!$Q20)</f>
        <v>0</v>
      </c>
    </row>
    <row r="21" spans="1:18" ht="12.75">
      <c r="A21">
        <f t="shared" si="0"/>
        <v>2025</v>
      </c>
      <c r="B21" s="5">
        <f>IF(+'Sheet9(F_25)'!$A21&gt;=Title_RESULTS!$H$8,0,((Partcipation!$B21-Partcipation!$B20)*(Title_RESULTS!$C$26*((1+Title_RESULTS!$C$28/100)^('Sheet9(F_25)'!$A21-Title_RESULTS!$H$7)))/1000))</f>
        <v>0</v>
      </c>
      <c r="C21" s="5">
        <f>(Partcipation!$C20+(Partcipation!$C21-Partcipation!$C20)/2)*(Title_RESULTS!$C$27*((1+Title_RESULTS!$C$28/100)^('Sheet9(F_25)'!$A21-Title_RESULTS!$H$7)))/1000</f>
        <v>0</v>
      </c>
      <c r="D21" s="5">
        <f t="shared" si="1"/>
        <v>0</v>
      </c>
      <c r="E21" s="5">
        <f>IF(+'Sheet9(F_25)'!$A21&gt;=Title_RESULTS!$H$8,0,((Partcipation!$B21-Partcipation!$B20)*(Title_RESULTS!$C$39*((1+Title_RESULTS!$C$41/100)^('Sheet9(F_25)'!$A21-Title_RESULTS!$H$7)))/1000))</f>
        <v>0</v>
      </c>
      <c r="F21" s="5">
        <f>(Partcipation!$C20+(Partcipation!$C21-Partcipation!$C20)/2)*(Title_RESULTS!$C$40*((1+Title_RESULTS!$C$41/100)^('Sheet9(F_25)'!$A21-Title_RESULTS!$H$7)))/1000</f>
        <v>0</v>
      </c>
      <c r="G21" s="5">
        <f t="shared" si="2"/>
        <v>0</v>
      </c>
      <c r="H21" s="5">
        <f>IF(Partcipation!$B22&lt;Partcipation!$B21,0,IF(Partcipation!$B21=0,0,(Partcipation!$B21-Partcipation!$B20)*(+Title_RESULTS!$C$29*(1+Title_RESULTS!$C$30/100)^(+'Sheet8(F_24)'!$A21-Title_RESULTS!$H$7))/1000))</f>
        <v>0</v>
      </c>
      <c r="I21" s="5">
        <f>IF(+Title_RESULTS!$C$31&lt;0,0,(+Partcipation!$B20+(Partcipation!$B21-Partcipation!$B20)/2)*(+Title_RESULTS!$C$31*(1+Title_RESULTS!$C$32/100)^(+'Sheet6(p_6)'!$A21-Title_RESULTS!$H$7))/1000)</f>
        <v>0</v>
      </c>
      <c r="J21" s="5">
        <f t="shared" si="3"/>
        <v>0</v>
      </c>
      <c r="K21" s="5">
        <f>(+Partcipation!$B20+(Partcipation!$B21-Partcipation!$B20)/2)*(+Title_RESULTS!$C$14)/1000</f>
        <v>5073.36</v>
      </c>
      <c r="L21" s="5">
        <f>($K21)*Partcipation!$E78*Title_RESULTS!$C$12/100</f>
        <v>148.67979827501264</v>
      </c>
      <c r="M21" s="5">
        <f>((+$K21*(Title_RESULTS!$H$30/100)*((1+Title_RESULTS!$H$31/100)^('Sheet9(F_25)'!$A21-Title_RESULTS!$H$7)))+((Title_RESULTS!$H$32*Title_RESULTS!$H$35*12*Title_RESULTS!$C$7/1000)*(Partcipation!$B20+(Partcipation!$B21-Partcipation!$B20)/2))*((1+Title_RESULTS!$H$33/100)^('Sheet9(F_25)'!$A21-Title_RESULTS!$H$7)))</f>
        <v>96.93852968255561</v>
      </c>
      <c r="N21" s="5">
        <f>'Sheet2(F_12)'!$I21*('Sheet6(p_6)'!$L21+'Sheet6(p_6)'!$M21)</f>
        <v>245.61832795756825</v>
      </c>
      <c r="O21" s="5">
        <f>(Partcipation!$B20+(Partcipation!$B21-Partcipation!$B20)/2)*(Title_RESULTS!$C$13)/1000</f>
        <v>0</v>
      </c>
      <c r="P21" s="5">
        <f>($O21)*'Sheet2(F_12)'!$D21*Title_RESULTS!$C$12/100</f>
        <v>0</v>
      </c>
      <c r="Q21" s="5">
        <f>+$O21*((Title_RESULTS!$H$30/100)*((1+Title_RESULTS!$H$31/100)^('Sheet9(F_25)'!$A21-Title_RESULTS!$H$7)))</f>
        <v>0</v>
      </c>
      <c r="R21" s="5">
        <f>+Partcipation!$I21*('Sheet6(p_6)'!$P21-'Sheet6(p_6)'!$Q21)</f>
        <v>0</v>
      </c>
    </row>
    <row r="22" spans="1:18" ht="12.75">
      <c r="A22">
        <f t="shared" si="0"/>
        <v>2026</v>
      </c>
      <c r="B22" s="5">
        <f>IF(+'Sheet9(F_25)'!$A22&gt;=Title_RESULTS!$H$8,0,((Partcipation!$B22-Partcipation!$B21)*(Title_RESULTS!$C$26*((1+Title_RESULTS!$C$28/100)^('Sheet9(F_25)'!$A22-Title_RESULTS!$H$7)))/1000))</f>
        <v>0</v>
      </c>
      <c r="C22" s="5">
        <f>(Partcipation!$C21+(Partcipation!$C22-Partcipation!$C21)/2)*(Title_RESULTS!$C$27*((1+Title_RESULTS!$C$28/100)^('Sheet9(F_25)'!$A22-Title_RESULTS!$H$7)))/1000</f>
        <v>0</v>
      </c>
      <c r="D22" s="5">
        <f t="shared" si="1"/>
        <v>0</v>
      </c>
      <c r="E22" s="5">
        <f>IF(+'Sheet9(F_25)'!$A22&gt;=Title_RESULTS!$H$8,0,((Partcipation!$B22-Partcipation!$B21)*(Title_RESULTS!$C$39*((1+Title_RESULTS!$C$41/100)^('Sheet9(F_25)'!$A22-Title_RESULTS!$H$7)))/1000))</f>
        <v>0</v>
      </c>
      <c r="F22" s="5">
        <f>(Partcipation!$C21+(Partcipation!$C22-Partcipation!$C21)/2)*(Title_RESULTS!$C$40*((1+Title_RESULTS!$C$41/100)^('Sheet9(F_25)'!$A22-Title_RESULTS!$H$7)))/1000</f>
        <v>0</v>
      </c>
      <c r="G22" s="5">
        <f t="shared" si="2"/>
        <v>0</v>
      </c>
      <c r="H22" s="5">
        <f>IF(Partcipation!$B23&lt;Partcipation!$B22,0,IF(Partcipation!$B22=0,0,(Partcipation!$B22-Partcipation!$B21)*(+Title_RESULTS!$C$29*(1+Title_RESULTS!$C$30/100)^(+'Sheet8(F_24)'!$A22-Title_RESULTS!$H$7))/1000))</f>
        <v>0</v>
      </c>
      <c r="I22" s="5">
        <f>IF(+Title_RESULTS!$C$31&lt;0,0,(+Partcipation!$B21+(Partcipation!$B22-Partcipation!$B21)/2)*(+Title_RESULTS!$C$31*(1+Title_RESULTS!$C$32/100)^(+'Sheet6(p_6)'!$A22-Title_RESULTS!$H$7))/1000)</f>
        <v>0</v>
      </c>
      <c r="J22" s="5">
        <f t="shared" si="3"/>
        <v>0</v>
      </c>
      <c r="K22" s="5">
        <f>(+Partcipation!$B21+(Partcipation!$B22-Partcipation!$B21)/2)*(+Title_RESULTS!$C$14)/1000</f>
        <v>5073.36</v>
      </c>
      <c r="L22" s="5">
        <f>($K22)*Partcipation!$E79*Title_RESULTS!$C$12/100</f>
        <v>155.40223142371684</v>
      </c>
      <c r="M22" s="5">
        <f>((+$K22*(Title_RESULTS!$H$30/100)*((1+Title_RESULTS!$H$31/100)^('Sheet9(F_25)'!$A22-Title_RESULTS!$H$7)))+((Title_RESULTS!$H$32*Title_RESULTS!$H$35*12*Title_RESULTS!$C$7/1000)*(Partcipation!$B21+(Partcipation!$B22-Partcipation!$B21)/2))*((1+Title_RESULTS!$H$33/100)^('Sheet9(F_25)'!$A22-Title_RESULTS!$H$7)))</f>
        <v>97.90791497938119</v>
      </c>
      <c r="N22" s="5">
        <f>'Sheet2(F_12)'!$I22*('Sheet6(p_6)'!$L22+'Sheet6(p_6)'!$M22)</f>
        <v>253.31014640309803</v>
      </c>
      <c r="O22" s="5">
        <f>(Partcipation!$B21+(Partcipation!$B22-Partcipation!$B21)/2)*(Title_RESULTS!$C$13)/1000</f>
        <v>0</v>
      </c>
      <c r="P22" s="5">
        <f>($O22)*'Sheet2(F_12)'!$D22*Title_RESULTS!$C$12/100</f>
        <v>0</v>
      </c>
      <c r="Q22" s="5">
        <f>+$O22*((Title_RESULTS!$H$30/100)*((1+Title_RESULTS!$H$31/100)^('Sheet9(F_25)'!$A22-Title_RESULTS!$H$7)))</f>
        <v>0</v>
      </c>
      <c r="R22" s="5">
        <f>+Partcipation!$I22*('Sheet6(p_6)'!$P22-'Sheet6(p_6)'!$Q22)</f>
        <v>0</v>
      </c>
    </row>
    <row r="23" spans="1:18" ht="12.75">
      <c r="A23">
        <f t="shared" si="0"/>
        <v>2027</v>
      </c>
      <c r="B23" s="5">
        <f>IF(+'Sheet9(F_25)'!$A23&gt;=Title_RESULTS!$H$8,0,((Partcipation!$B23-Partcipation!$B22)*(Title_RESULTS!$C$26*((1+Title_RESULTS!$C$28/100)^('Sheet9(F_25)'!$A23-Title_RESULTS!$H$7)))/1000))</f>
        <v>0</v>
      </c>
      <c r="C23" s="5">
        <f>(Partcipation!$C22+(Partcipation!$C23-Partcipation!$C22)/2)*(Title_RESULTS!$C$27*((1+Title_RESULTS!$C$28/100)^('Sheet9(F_25)'!$A23-Title_RESULTS!$H$7)))/1000</f>
        <v>0</v>
      </c>
      <c r="D23" s="5">
        <f t="shared" si="1"/>
        <v>0</v>
      </c>
      <c r="E23" s="5">
        <f>IF(+'Sheet9(F_25)'!$A23&gt;=Title_RESULTS!$H$8,0,((Partcipation!$B23-Partcipation!$B22)*(Title_RESULTS!$C$39*((1+Title_RESULTS!$C$41/100)^('Sheet9(F_25)'!$A23-Title_RESULTS!$H$7)))/1000))</f>
        <v>0</v>
      </c>
      <c r="F23" s="5">
        <f>(Partcipation!$C22+(Partcipation!$C23-Partcipation!$C22)/2)*(Title_RESULTS!$C$40*((1+Title_RESULTS!$C$41/100)^('Sheet9(F_25)'!$A23-Title_RESULTS!$H$7)))/1000</f>
        <v>0</v>
      </c>
      <c r="G23" s="5">
        <f t="shared" si="2"/>
        <v>0</v>
      </c>
      <c r="H23" s="5">
        <f>IF(Partcipation!$B24&lt;Partcipation!$B23,0,IF(Partcipation!$B23=0,0,(Partcipation!$B23-Partcipation!$B22)*(+Title_RESULTS!$C$29*(1+Title_RESULTS!$C$30/100)^(+'Sheet8(F_24)'!$A23-Title_RESULTS!$H$7))/1000))</f>
        <v>0</v>
      </c>
      <c r="I23" s="5">
        <f>IF(+Title_RESULTS!$C$31&lt;0,0,(+Partcipation!$B22+(Partcipation!$B23-Partcipation!$B22)/2)*(+Title_RESULTS!$C$31*(1+Title_RESULTS!$C$32/100)^(+'Sheet6(p_6)'!$A23-Title_RESULTS!$H$7))/1000)</f>
        <v>0</v>
      </c>
      <c r="J23" s="5">
        <f t="shared" si="3"/>
        <v>0</v>
      </c>
      <c r="K23" s="5">
        <f>(+Partcipation!$B22+(Partcipation!$B23-Partcipation!$B22)/2)*(+Title_RESULTS!$C$14)/1000</f>
        <v>5073.36</v>
      </c>
      <c r="L23" s="5">
        <f>($K23)*Partcipation!$E80*Title_RESULTS!$C$12/100</f>
        <v>164.55246522787328</v>
      </c>
      <c r="M23" s="5">
        <f>((+$K23*(Title_RESULTS!$H$30/100)*((1+Title_RESULTS!$H$31/100)^('Sheet9(F_25)'!$A23-Title_RESULTS!$H$7)))+((Title_RESULTS!$H$32*Title_RESULTS!$H$35*12*Title_RESULTS!$C$7/1000)*(Partcipation!$B22+(Partcipation!$B23-Partcipation!$B22)/2))*((1+Title_RESULTS!$H$33/100)^('Sheet9(F_25)'!$A23-Title_RESULTS!$H$7)))</f>
        <v>98.88699412917497</v>
      </c>
      <c r="N23" s="5">
        <f>'Sheet2(F_12)'!$I23*('Sheet6(p_6)'!$L23+'Sheet6(p_6)'!$M23)</f>
        <v>263.43945935704824</v>
      </c>
      <c r="O23" s="5">
        <f>(Partcipation!$B22+(Partcipation!$B23-Partcipation!$B22)/2)*(Title_RESULTS!$C$13)/1000</f>
        <v>0</v>
      </c>
      <c r="P23" s="5">
        <f>($O23)*'Sheet2(F_12)'!$D23*Title_RESULTS!$C$12/100</f>
        <v>0</v>
      </c>
      <c r="Q23" s="5">
        <f>+$O23*((Title_RESULTS!$H$30/100)*((1+Title_RESULTS!$H$31/100)^('Sheet9(F_25)'!$A23-Title_RESULTS!$H$7)))</f>
        <v>0</v>
      </c>
      <c r="R23" s="5">
        <f>+Partcipation!$I23*('Sheet6(p_6)'!$P23-'Sheet6(p_6)'!$Q23)</f>
        <v>0</v>
      </c>
    </row>
    <row r="24" spans="1:18" ht="12.75">
      <c r="A24">
        <f t="shared" si="0"/>
        <v>2028</v>
      </c>
      <c r="B24" s="5">
        <f>IF(+'Sheet9(F_25)'!$A24&gt;=Title_RESULTS!$H$8,0,((Partcipation!$B24-Partcipation!$B23)*(Title_RESULTS!$C$26*((1+Title_RESULTS!$C$28/100)^('Sheet9(F_25)'!$A24-Title_RESULTS!$H$7)))/1000))</f>
        <v>0</v>
      </c>
      <c r="C24" s="5">
        <f>(Partcipation!$C23+(Partcipation!$C24-Partcipation!$C23)/2)*(Title_RESULTS!$C$27*((1+Title_RESULTS!$C$28/100)^('Sheet9(F_25)'!$A24-Title_RESULTS!$H$7)))/1000</f>
        <v>0</v>
      </c>
      <c r="D24" s="5">
        <f t="shared" si="1"/>
        <v>0</v>
      </c>
      <c r="E24" s="5">
        <f>IF(+'Sheet9(F_25)'!$A24&gt;=Title_RESULTS!$H$8,0,((Partcipation!$B24-Partcipation!$B23)*(Title_RESULTS!$C$39*((1+Title_RESULTS!$C$41/100)^('Sheet9(F_25)'!$A24-Title_RESULTS!$H$7)))/1000))</f>
        <v>0</v>
      </c>
      <c r="F24" s="5">
        <f>(Partcipation!$C23+(Partcipation!$C24-Partcipation!$C23)/2)*(Title_RESULTS!$C$40*((1+Title_RESULTS!$C$41/100)^('Sheet9(F_25)'!$A24-Title_RESULTS!$H$7)))/1000</f>
        <v>0</v>
      </c>
      <c r="G24" s="5">
        <f t="shared" si="2"/>
        <v>0</v>
      </c>
      <c r="H24" s="5">
        <f>IF(Partcipation!$B25&lt;Partcipation!$B24,0,IF(Partcipation!$B24=0,0,(Partcipation!$B24-Partcipation!$B23)*(+Title_RESULTS!$C$29*(1+Title_RESULTS!$C$30/100)^(+'Sheet8(F_24)'!$A24-Title_RESULTS!$H$7))/1000))</f>
        <v>0</v>
      </c>
      <c r="I24" s="5">
        <f>IF(+Title_RESULTS!$C$31&lt;0,0,(+Partcipation!$B23+(Partcipation!$B24-Partcipation!$B23)/2)*(+Title_RESULTS!$C$31*(1+Title_RESULTS!$C$32/100)^(+'Sheet6(p_6)'!$A24-Title_RESULTS!$H$7))/1000)</f>
        <v>0</v>
      </c>
      <c r="J24" s="5">
        <f t="shared" si="3"/>
        <v>0</v>
      </c>
      <c r="K24" s="5">
        <f>(+Partcipation!$B23+(Partcipation!$B24-Partcipation!$B23)/2)*(+Title_RESULTS!$C$14)/1000</f>
        <v>5073.36</v>
      </c>
      <c r="L24" s="5">
        <f>($K24)*Partcipation!$E81*Title_RESULTS!$C$12/100</f>
        <v>180.13477926082916</v>
      </c>
      <c r="M24" s="5">
        <f>((+$K24*(Title_RESULTS!$H$30/100)*((1+Title_RESULTS!$H$31/100)^('Sheet9(F_25)'!$A24-Title_RESULTS!$H$7)))+((Title_RESULTS!$H$32*Title_RESULTS!$H$35*12*Title_RESULTS!$C$7/1000)*(Partcipation!$B23+(Partcipation!$B24-Partcipation!$B23)/2))*((1+Title_RESULTS!$H$33/100)^('Sheet9(F_25)'!$A24-Title_RESULTS!$H$7)))</f>
        <v>99.87586407046675</v>
      </c>
      <c r="N24" s="5">
        <f>'Sheet2(F_12)'!$I24*('Sheet6(p_6)'!$L24+'Sheet6(p_6)'!$M24)</f>
        <v>280.0106433312959</v>
      </c>
      <c r="O24" s="5">
        <f>(Partcipation!$B23+(Partcipation!$B24-Partcipation!$B23)/2)*(Title_RESULTS!$C$13)/1000</f>
        <v>0</v>
      </c>
      <c r="P24" s="5">
        <f>($O24)*'Sheet2(F_12)'!$D24*Title_RESULTS!$C$12/100</f>
        <v>0</v>
      </c>
      <c r="Q24" s="5">
        <f>+$O24*((Title_RESULTS!$H$30/100)*((1+Title_RESULTS!$H$31/100)^('Sheet9(F_25)'!$A24-Title_RESULTS!$H$7)))</f>
        <v>0</v>
      </c>
      <c r="R24" s="5">
        <f>+Partcipation!$I24*('Sheet6(p_6)'!$P24-'Sheet6(p_6)'!$Q24)</f>
        <v>0</v>
      </c>
    </row>
    <row r="25" spans="1:18" ht="12.75">
      <c r="A25">
        <f t="shared" si="0"/>
        <v>2029</v>
      </c>
      <c r="B25" s="5">
        <f>IF(+'Sheet9(F_25)'!$A25&gt;=Title_RESULTS!$H$8,0,((Partcipation!$B25-Partcipation!$B24)*(Title_RESULTS!$C$26*((1+Title_RESULTS!$C$28/100)^('Sheet9(F_25)'!$A25-Title_RESULTS!$H$7)))/1000))</f>
        <v>0</v>
      </c>
      <c r="C25" s="5">
        <f>(Partcipation!$C24+(Partcipation!$C25-Partcipation!$C24)/2)*(Title_RESULTS!$C$27*((1+Title_RESULTS!$C$28/100)^('Sheet9(F_25)'!$A25-Title_RESULTS!$H$7)))/1000</f>
        <v>0</v>
      </c>
      <c r="D25" s="5">
        <f t="shared" si="1"/>
        <v>0</v>
      </c>
      <c r="E25" s="5">
        <f>IF(+'Sheet9(F_25)'!$A25&gt;=Title_RESULTS!$H$8,0,((Partcipation!$B25-Partcipation!$B24)*(Title_RESULTS!$C$39*((1+Title_RESULTS!$C$41/100)^('Sheet9(F_25)'!$A25-Title_RESULTS!$H$7)))/1000))</f>
        <v>0</v>
      </c>
      <c r="F25" s="5">
        <f>(Partcipation!$C24+(Partcipation!$C25-Partcipation!$C24)/2)*(Title_RESULTS!$C$40*((1+Title_RESULTS!$C$41/100)^('Sheet9(F_25)'!$A25-Title_RESULTS!$H$7)))/1000</f>
        <v>0</v>
      </c>
      <c r="G25" s="5">
        <f t="shared" si="2"/>
        <v>0</v>
      </c>
      <c r="H25" s="5">
        <f>IF(Partcipation!$B26&lt;Partcipation!$B25,0,IF(Partcipation!$B25=0,0,(Partcipation!$B25-Partcipation!$B24)*(+Title_RESULTS!$C$29*(1+Title_RESULTS!$C$30/100)^(+'Sheet8(F_24)'!$A25-Title_RESULTS!$H$7))/1000))</f>
        <v>0</v>
      </c>
      <c r="I25" s="5">
        <f>IF(+Title_RESULTS!$C$31&lt;0,0,(+Partcipation!$B24+(Partcipation!$B25-Partcipation!$B24)/2)*(+Title_RESULTS!$C$31*(1+Title_RESULTS!$C$32/100)^(+'Sheet6(p_6)'!$A25-Title_RESULTS!$H$7))/1000)</f>
        <v>0</v>
      </c>
      <c r="J25" s="5">
        <f t="shared" si="3"/>
        <v>0</v>
      </c>
      <c r="K25" s="5">
        <f>(+Partcipation!$B24+(Partcipation!$B25-Partcipation!$B24)/2)*(+Title_RESULTS!$C$14)/1000</f>
        <v>5073.36</v>
      </c>
      <c r="L25" s="5">
        <f>($K25)*Partcipation!$E82*Title_RESULTS!$C$12/100</f>
        <v>189.31224064791115</v>
      </c>
      <c r="M25" s="5">
        <f>((+$K25*(Title_RESULTS!$H$30/100)*((1+Title_RESULTS!$H$31/100)^('Sheet9(F_25)'!$A25-Title_RESULTS!$H$7)))+((Title_RESULTS!$H$32*Title_RESULTS!$H$35*12*Title_RESULTS!$C$7/1000)*(Partcipation!$B24+(Partcipation!$B25-Partcipation!$B24)/2))*((1+Title_RESULTS!$H$33/100)^('Sheet9(F_25)'!$A25-Title_RESULTS!$H$7)))</f>
        <v>100.87462271117141</v>
      </c>
      <c r="N25" s="5">
        <f>'Sheet2(F_12)'!$I25*('Sheet6(p_6)'!$L25+'Sheet6(p_6)'!$M25)</f>
        <v>290.18686335908257</v>
      </c>
      <c r="O25" s="5">
        <f>(Partcipation!$B24+(Partcipation!$B25-Partcipation!$B24)/2)*(Title_RESULTS!$C$13)/1000</f>
        <v>0</v>
      </c>
      <c r="P25" s="5">
        <f>($O25)*'Sheet2(F_12)'!$D25*Title_RESULTS!$C$12/100</f>
        <v>0</v>
      </c>
      <c r="Q25" s="5">
        <f>+$O25*((Title_RESULTS!$H$30/100)*((1+Title_RESULTS!$H$31/100)^('Sheet9(F_25)'!$A25-Title_RESULTS!$H$7)))</f>
        <v>0</v>
      </c>
      <c r="R25" s="5">
        <f>+Partcipation!$I25*('Sheet6(p_6)'!$P25-'Sheet6(p_6)'!$Q25)</f>
        <v>0</v>
      </c>
    </row>
    <row r="26" spans="1:18" ht="12.75">
      <c r="A26">
        <f t="shared" si="0"/>
        <v>2030</v>
      </c>
      <c r="B26" s="5">
        <f>IF(+'Sheet9(F_25)'!$A26&gt;=Title_RESULTS!$H$8,0,((Partcipation!$B26-Partcipation!$B25)*(Title_RESULTS!$C$26*((1+Title_RESULTS!$C$28/100)^('Sheet9(F_25)'!$A26-Title_RESULTS!$H$7)))/1000))</f>
        <v>0</v>
      </c>
      <c r="C26" s="5">
        <f>(Partcipation!$C25+(Partcipation!$C26-Partcipation!$C25)/2)*(Title_RESULTS!$C$27*((1+Title_RESULTS!$C$28/100)^('Sheet9(F_25)'!$A26-Title_RESULTS!$H$7)))/1000</f>
        <v>0</v>
      </c>
      <c r="D26" s="5">
        <f t="shared" si="1"/>
        <v>0</v>
      </c>
      <c r="E26" s="5">
        <f>IF(+'Sheet9(F_25)'!$A26&gt;=Title_RESULTS!$H$8,0,((Partcipation!$B26-Partcipation!$B25)*(Title_RESULTS!$C$39*((1+Title_RESULTS!$C$41/100)^('Sheet9(F_25)'!$A26-Title_RESULTS!$H$7)))/1000))</f>
        <v>0</v>
      </c>
      <c r="F26" s="5">
        <f>(Partcipation!$C25+(Partcipation!$C26-Partcipation!$C25)/2)*(Title_RESULTS!$C$40*((1+Title_RESULTS!$C$41/100)^('Sheet9(F_25)'!$A26-Title_RESULTS!$H$7)))/1000</f>
        <v>0</v>
      </c>
      <c r="G26" s="5">
        <f t="shared" si="2"/>
        <v>0</v>
      </c>
      <c r="H26" s="5">
        <f>IF(Partcipation!$B27&lt;Partcipation!$B26,0,IF(Partcipation!$B26=0,0,(Partcipation!$B26-Partcipation!$B25)*(+Title_RESULTS!$C$29*(1+Title_RESULTS!$C$30/100)^(+'Sheet8(F_24)'!$A26-Title_RESULTS!$H$7))/1000))</f>
        <v>0</v>
      </c>
      <c r="I26" s="5">
        <f>IF(+Title_RESULTS!$C$31&lt;0,0,(+Partcipation!$B25+(Partcipation!$B26-Partcipation!$B25)/2)*(+Title_RESULTS!$C$31*(1+Title_RESULTS!$C$32/100)^(+'Sheet6(p_6)'!$A26-Title_RESULTS!$H$7))/1000)</f>
        <v>0</v>
      </c>
      <c r="J26" s="5">
        <f t="shared" si="3"/>
        <v>0</v>
      </c>
      <c r="K26" s="5">
        <f>(+Partcipation!$B25+(Partcipation!$B26-Partcipation!$B25)/2)*(+Title_RESULTS!$C$14)/1000</f>
        <v>5073.36</v>
      </c>
      <c r="L26" s="5">
        <f>($K26)*Partcipation!$E83*Title_RESULTS!$C$12/100</f>
        <v>206.26552800306226</v>
      </c>
      <c r="M26" s="5">
        <f>((+$K26*(Title_RESULTS!$H$30/100)*((1+Title_RESULTS!$H$31/100)^('Sheet9(F_25)'!$A26-Title_RESULTS!$H$7)))+((Title_RESULTS!$H$32*Title_RESULTS!$H$35*12*Title_RESULTS!$C$7/1000)*(Partcipation!$B25+(Partcipation!$B26-Partcipation!$B25)/2))*((1+Title_RESULTS!$H$33/100)^('Sheet9(F_25)'!$A26-Title_RESULTS!$H$7)))</f>
        <v>101.88336893828314</v>
      </c>
      <c r="N26" s="5">
        <f>'Sheet2(F_12)'!$I26*('Sheet6(p_6)'!$L26+'Sheet6(p_6)'!$M26)</f>
        <v>308.1488969413454</v>
      </c>
      <c r="O26" s="5">
        <f>(Partcipation!$B25+(Partcipation!$B26-Partcipation!$B25)/2)*(Title_RESULTS!$C$13)/1000</f>
        <v>0</v>
      </c>
      <c r="P26" s="5">
        <f>($O26)*'Sheet2(F_12)'!$D26*Title_RESULTS!$C$12/100</f>
        <v>0</v>
      </c>
      <c r="Q26" s="5">
        <f>+$O26*((Title_RESULTS!$H$30/100)*((1+Title_RESULTS!$H$31/100)^('Sheet9(F_25)'!$A26-Title_RESULTS!$H$7)))</f>
        <v>0</v>
      </c>
      <c r="R26" s="5">
        <f>+Partcipation!$I26*('Sheet6(p_6)'!$P26-'Sheet6(p_6)'!$Q26)</f>
        <v>0</v>
      </c>
    </row>
    <row r="27" spans="1:18" ht="12.75">
      <c r="A27">
        <f t="shared" si="0"/>
        <v>2031</v>
      </c>
      <c r="B27" s="5">
        <f>IF(+'Sheet9(F_25)'!$A27&gt;=Title_RESULTS!$H$8,0,((Partcipation!$B27-Partcipation!$B26)*(Title_RESULTS!$C$26*((1+Title_RESULTS!$C$28/100)^('Sheet9(F_25)'!$A27-Title_RESULTS!$H$7)))/1000))</f>
        <v>0</v>
      </c>
      <c r="C27" s="5">
        <f>(Partcipation!$C26+(Partcipation!$C27-Partcipation!$C26)/2)*(Title_RESULTS!$C$27*((1+Title_RESULTS!$C$28/100)^('Sheet9(F_25)'!$A27-Title_RESULTS!$H$7)))/1000</f>
        <v>0</v>
      </c>
      <c r="D27" s="5">
        <f t="shared" si="1"/>
        <v>0</v>
      </c>
      <c r="E27" s="5">
        <f>IF(+'Sheet9(F_25)'!$A27&gt;=Title_RESULTS!$H$8,0,((Partcipation!$B27-Partcipation!$B26)*(Title_RESULTS!$C$39*((1+Title_RESULTS!$C$41/100)^('Sheet9(F_25)'!$A27-Title_RESULTS!$H$7)))/1000))</f>
        <v>0</v>
      </c>
      <c r="F27" s="5">
        <f>(Partcipation!$C26+(Partcipation!$C27-Partcipation!$C26)/2)*(Title_RESULTS!$C$40*((1+Title_RESULTS!$C$41/100)^('Sheet9(F_25)'!$A27-Title_RESULTS!$H$7)))/1000</f>
        <v>0</v>
      </c>
      <c r="G27" s="5">
        <f t="shared" si="2"/>
        <v>0</v>
      </c>
      <c r="H27" s="5">
        <f>IF(Partcipation!$B28&lt;Partcipation!$B27,0,IF(Partcipation!$B27=0,0,(Partcipation!$B27-Partcipation!$B26)*(+Title_RESULTS!$C$29*(1+Title_RESULTS!$C$30/100)^(+'Sheet8(F_24)'!$A27-Title_RESULTS!$H$7))/1000))</f>
        <v>0</v>
      </c>
      <c r="I27" s="5">
        <f>IF(+Title_RESULTS!$C$31&lt;0,0,(+Partcipation!$B26+(Partcipation!$B27-Partcipation!$B26)/2)*(+Title_RESULTS!$C$31*(1+Title_RESULTS!$C$32/100)^(+'Sheet6(p_6)'!$A27-Title_RESULTS!$H$7))/1000)</f>
        <v>0</v>
      </c>
      <c r="J27" s="5">
        <f t="shared" si="3"/>
        <v>0</v>
      </c>
      <c r="K27" s="5">
        <f>(+Partcipation!$B26+(Partcipation!$B27-Partcipation!$B26)/2)*(+Title_RESULTS!$C$14)/1000</f>
        <v>5073.36</v>
      </c>
      <c r="L27" s="5">
        <f>($K27)*Partcipation!$E84*Title_RESULTS!$C$12/100</f>
        <v>213.37593021854255</v>
      </c>
      <c r="M27" s="5">
        <f>((+$K27*(Title_RESULTS!$H$30/100)*((1+Title_RESULTS!$H$31/100)^('Sheet9(F_25)'!$A27-Title_RESULTS!$H$7)))+((Title_RESULTS!$H$32*Title_RESULTS!$H$35*12*Title_RESULTS!$C$7/1000)*(Partcipation!$B26+(Partcipation!$B27-Partcipation!$B26)/2))*((1+Title_RESULTS!$H$33/100)^('Sheet9(F_25)'!$A27-Title_RESULTS!$H$7)))</f>
        <v>102.90220262766594</v>
      </c>
      <c r="N27" s="5">
        <f>'Sheet2(F_12)'!$I27*('Sheet6(p_6)'!$L27+'Sheet6(p_6)'!$M27)</f>
        <v>316.2781328462085</v>
      </c>
      <c r="O27" s="5">
        <f>(Partcipation!$B26+(Partcipation!$B27-Partcipation!$B26)/2)*(Title_RESULTS!$C$13)/1000</f>
        <v>0</v>
      </c>
      <c r="P27" s="5">
        <f>($O27)*'Sheet2(F_12)'!$D27*Title_RESULTS!$C$12/100</f>
        <v>0</v>
      </c>
      <c r="Q27" s="5">
        <f>+$O27*((Title_RESULTS!$H$30/100)*((1+Title_RESULTS!$H$31/100)^('Sheet9(F_25)'!$A27-Title_RESULTS!$H$7)))</f>
        <v>0</v>
      </c>
      <c r="R27" s="5">
        <f>+Partcipation!$I27*('Sheet6(p_6)'!$P27-'Sheet6(p_6)'!$Q27)</f>
        <v>0</v>
      </c>
    </row>
    <row r="28" spans="1:18" ht="12.75">
      <c r="A28">
        <f t="shared" si="0"/>
        <v>2032</v>
      </c>
      <c r="B28" s="5">
        <f>IF(+'Sheet9(F_25)'!$A28&gt;=Title_RESULTS!$H$8,0,((Partcipation!$B28-Partcipation!$B27)*(Title_RESULTS!$C$26*((1+Title_RESULTS!$C$28/100)^('Sheet9(F_25)'!$A28-Title_RESULTS!$H$7)))/1000))</f>
        <v>0</v>
      </c>
      <c r="C28" s="5">
        <f>(Partcipation!$C27+(Partcipation!$C28-Partcipation!$C27)/2)*(Title_RESULTS!$C$27*((1+Title_RESULTS!$C$28/100)^('Sheet9(F_25)'!$A28-Title_RESULTS!$H$7)))/1000</f>
        <v>0</v>
      </c>
      <c r="D28" s="5">
        <f t="shared" si="1"/>
        <v>0</v>
      </c>
      <c r="E28" s="5">
        <f>IF(+'Sheet9(F_25)'!$A28&gt;=Title_RESULTS!$H$8,0,((Partcipation!$B28-Partcipation!$B27)*(Title_RESULTS!$C$39*((1+Title_RESULTS!$C$41/100)^('Sheet9(F_25)'!$A28-Title_RESULTS!$H$7)))/1000))</f>
        <v>0</v>
      </c>
      <c r="F28" s="5">
        <f>(Partcipation!$C27+(Partcipation!$C28-Partcipation!$C27)/2)*(Title_RESULTS!$C$40*((1+Title_RESULTS!$C$41/100)^('Sheet9(F_25)'!$A28-Title_RESULTS!$H$7)))/1000</f>
        <v>0</v>
      </c>
      <c r="G28" s="5">
        <f t="shared" si="2"/>
        <v>0</v>
      </c>
      <c r="H28" s="5">
        <f>IF(Partcipation!$B29&lt;Partcipation!$B28,0,IF(Partcipation!$B28=0,0,(Partcipation!$B28-Partcipation!$B27)*(+Title_RESULTS!$C$29*(1+Title_RESULTS!$C$30/100)^(+'Sheet8(F_24)'!$A28-Title_RESULTS!$H$7))/1000))</f>
        <v>0</v>
      </c>
      <c r="I28" s="5">
        <f>IF(+Title_RESULTS!$C$31&lt;0,0,(+Partcipation!$B27+(Partcipation!$B28-Partcipation!$B27)/2)*(+Title_RESULTS!$C$31*(1+Title_RESULTS!$C$32/100)^(+'Sheet6(p_6)'!$A28-Title_RESULTS!$H$7))/1000)</f>
        <v>0</v>
      </c>
      <c r="J28" s="5">
        <f t="shared" si="3"/>
        <v>0</v>
      </c>
      <c r="K28" s="5">
        <f>(+Partcipation!$B27+(Partcipation!$B28-Partcipation!$B27)/2)*(+Title_RESULTS!$C$14)/1000</f>
        <v>5073.36</v>
      </c>
      <c r="L28" s="5">
        <f>($K28)*Partcipation!$E85*Title_RESULTS!$C$12/100</f>
        <v>228.60052642403636</v>
      </c>
      <c r="M28" s="5">
        <f>((+$K28*(Title_RESULTS!$H$30/100)*((1+Title_RESULTS!$H$31/100)^('Sheet9(F_25)'!$A28-Title_RESULTS!$H$7)))+((Title_RESULTS!$H$32*Title_RESULTS!$H$35*12*Title_RESULTS!$C$7/1000)*(Partcipation!$B27+(Partcipation!$B28-Partcipation!$B27)/2))*((1+Title_RESULTS!$H$33/100)^('Sheet9(F_25)'!$A28-Title_RESULTS!$H$7)))</f>
        <v>103.9312246539426</v>
      </c>
      <c r="N28" s="5">
        <f>'Sheet2(F_12)'!$I28*('Sheet6(p_6)'!$L28+'Sheet6(p_6)'!$M28)</f>
        <v>332.531751077979</v>
      </c>
      <c r="O28" s="5">
        <f>(Partcipation!$B27+(Partcipation!$B28-Partcipation!$B27)/2)*(Title_RESULTS!$C$13)/1000</f>
        <v>0</v>
      </c>
      <c r="P28" s="5">
        <f>($O28)*'Sheet2(F_12)'!$D28*Title_RESULTS!$C$12/100</f>
        <v>0</v>
      </c>
      <c r="Q28" s="5">
        <f>+$O28*((Title_RESULTS!$H$30/100)*((1+Title_RESULTS!$H$31/100)^('Sheet9(F_25)'!$A28-Title_RESULTS!$H$7)))</f>
        <v>0</v>
      </c>
      <c r="R28" s="5">
        <f>+Partcipation!$I28*('Sheet6(p_6)'!$P28-'Sheet6(p_6)'!$Q28)</f>
        <v>0</v>
      </c>
    </row>
    <row r="29" spans="1:18" ht="12.75">
      <c r="A29">
        <f t="shared" si="0"/>
        <v>2033</v>
      </c>
      <c r="B29" s="5">
        <f>IF(+'Sheet9(F_25)'!$A29&gt;=Title_RESULTS!$H$8,0,((Partcipation!$B29-Partcipation!$B28)*(Title_RESULTS!$C$26*((1+Title_RESULTS!$C$28/100)^('Sheet9(F_25)'!$A29-Title_RESULTS!$H$7)))/1000))</f>
        <v>0</v>
      </c>
      <c r="C29" s="5">
        <f>(Partcipation!$C28+(Partcipation!$C29-Partcipation!$C28)/2)*(Title_RESULTS!$C$27*((1+Title_RESULTS!$C$28/100)^('Sheet9(F_25)'!$A29-Title_RESULTS!$H$7)))/1000</f>
        <v>0</v>
      </c>
      <c r="D29" s="5">
        <f t="shared" si="1"/>
        <v>0</v>
      </c>
      <c r="E29" s="5">
        <f>IF(+'Sheet9(F_25)'!$A29&gt;=Title_RESULTS!$H$8,0,((Partcipation!$B29-Partcipation!$B28)*(Title_RESULTS!$C$39*((1+Title_RESULTS!$C$41/100)^('Sheet9(F_25)'!$A29-Title_RESULTS!$H$7)))/1000))</f>
        <v>0</v>
      </c>
      <c r="F29" s="5">
        <f>(Partcipation!$C28+(Partcipation!$C29-Partcipation!$C28)/2)*(Title_RESULTS!$C$40*((1+Title_RESULTS!$C$41/100)^('Sheet9(F_25)'!$A29-Title_RESULTS!$H$7)))/1000</f>
        <v>0</v>
      </c>
      <c r="G29" s="5">
        <f t="shared" si="2"/>
        <v>0</v>
      </c>
      <c r="H29" s="5">
        <f>IF(Partcipation!$B30&lt;Partcipation!$B29,0,IF(Partcipation!$B29=0,0,(Partcipation!$B29-Partcipation!$B28)*(+Title_RESULTS!$C$29*(1+Title_RESULTS!$C$30/100)^(+'Sheet8(F_24)'!$A29-Title_RESULTS!$H$7))/1000))</f>
        <v>0</v>
      </c>
      <c r="I29" s="5">
        <f>IF(+Title_RESULTS!$C$31&lt;0,0,(+Partcipation!$B28+(Partcipation!$B29-Partcipation!$B28)/2)*(+Title_RESULTS!$C$31*(1+Title_RESULTS!$C$32/100)^(+'Sheet6(p_6)'!$A29-Title_RESULTS!$H$7))/1000)</f>
        <v>0</v>
      </c>
      <c r="J29" s="5">
        <f t="shared" si="3"/>
        <v>0</v>
      </c>
      <c r="K29" s="5">
        <f>(+Partcipation!$B28+(Partcipation!$B29-Partcipation!$B28)/2)*(+Title_RESULTS!$C$14)/1000</f>
        <v>5073.36</v>
      </c>
      <c r="L29" s="5">
        <f>($K29)*Partcipation!$E86*Title_RESULTS!$C$12/100</f>
        <v>233.39551020455193</v>
      </c>
      <c r="M29" s="5">
        <f>((+$K29*(Title_RESULTS!$H$30/100)*((1+Title_RESULTS!$H$31/100)^('Sheet9(F_25)'!$A29-Title_RESULTS!$H$7)))+((Title_RESULTS!$H$32*Title_RESULTS!$H$35*12*Title_RESULTS!$C$7/1000)*(Partcipation!$B28+(Partcipation!$B29-Partcipation!$B28)/2))*((1+Title_RESULTS!$H$33/100)^('Sheet9(F_25)'!$A29-Title_RESULTS!$H$7)))</f>
        <v>104.97053690048203</v>
      </c>
      <c r="N29" s="5">
        <f>'Sheet2(F_12)'!$I29*('Sheet6(p_6)'!$L29+'Sheet6(p_6)'!$M29)</f>
        <v>338.36604710503394</v>
      </c>
      <c r="O29" s="5">
        <f>(Partcipation!$B28+(Partcipation!$B29-Partcipation!$B28)/2)*(Title_RESULTS!$C$13)/1000</f>
        <v>0</v>
      </c>
      <c r="P29" s="5">
        <f>($O29)*'Sheet2(F_12)'!$D29*Title_RESULTS!$C$12/100</f>
        <v>0</v>
      </c>
      <c r="Q29" s="5">
        <f>+$O29*((Title_RESULTS!$H$30/100)*((1+Title_RESULTS!$H$31/100)^('Sheet9(F_25)'!$A29-Title_RESULTS!$H$7)))</f>
        <v>0</v>
      </c>
      <c r="R29" s="5">
        <f>+Partcipation!$I29*('Sheet6(p_6)'!$P29-'Sheet6(p_6)'!$Q29)</f>
        <v>0</v>
      </c>
    </row>
    <row r="30" spans="1:18" ht="12.75">
      <c r="A30">
        <f t="shared" si="0"/>
        <v>2034</v>
      </c>
      <c r="B30" s="5">
        <f>IF(+'Sheet9(F_25)'!$A30&gt;=Title_RESULTS!$H$8,0,((Partcipation!$B30-Partcipation!$B29)*(Title_RESULTS!$C$26*((1+Title_RESULTS!$C$28/100)^('Sheet9(F_25)'!$A30-Title_RESULTS!$H$7)))/1000))</f>
        <v>0</v>
      </c>
      <c r="C30" s="5">
        <f>(Partcipation!$C29+(Partcipation!$C30-Partcipation!$C29)/2)*(Title_RESULTS!$C$27*((1+Title_RESULTS!$C$28/100)^('Sheet9(F_25)'!$A30-Title_RESULTS!$H$7)))/1000</f>
        <v>0</v>
      </c>
      <c r="D30" s="5">
        <f t="shared" si="1"/>
        <v>0</v>
      </c>
      <c r="E30" s="5">
        <f>IF(+'Sheet9(F_25)'!$A30&gt;=Title_RESULTS!$H$8,0,((Partcipation!$B30-Partcipation!$B29)*(Title_RESULTS!$C$39*((1+Title_RESULTS!$C$41/100)^('Sheet9(F_25)'!$A30-Title_RESULTS!$H$7)))/1000))</f>
        <v>0</v>
      </c>
      <c r="F30" s="5">
        <f>(Partcipation!$C29+(Partcipation!$C30-Partcipation!$C29)/2)*(Title_RESULTS!$C$40*((1+Title_RESULTS!$C$41/100)^('Sheet9(F_25)'!$A30-Title_RESULTS!$H$7)))/1000</f>
        <v>0</v>
      </c>
      <c r="G30" s="5">
        <f t="shared" si="2"/>
        <v>0</v>
      </c>
      <c r="H30" s="5">
        <f>IF(Partcipation!$B31&lt;Partcipation!$B30,0,IF(Partcipation!$B30=0,0,(Partcipation!$B30-Partcipation!$B29)*(+Title_RESULTS!$C$29*(1+Title_RESULTS!$C$30/100)^(+'Sheet8(F_24)'!$A30-Title_RESULTS!$H$7))/1000))</f>
        <v>0</v>
      </c>
      <c r="I30" s="5">
        <f>IF(+Title_RESULTS!$C$31&lt;0,0,(+Partcipation!$B29+(Partcipation!$B30-Partcipation!$B29)/2)*(+Title_RESULTS!$C$31*(1+Title_RESULTS!$C$32/100)^(+'Sheet6(p_6)'!$A30-Title_RESULTS!$H$7))/1000)</f>
        <v>0</v>
      </c>
      <c r="J30" s="5">
        <f t="shared" si="3"/>
        <v>0</v>
      </c>
      <c r="K30" s="5">
        <f>(+Partcipation!$B29+(Partcipation!$B30-Partcipation!$B29)/2)*(+Title_RESULTS!$C$14)/1000</f>
        <v>5073.36</v>
      </c>
      <c r="L30" s="5">
        <f>($K30)*Partcipation!$E87*Title_RESULTS!$C$12/100</f>
        <v>248.81006187912976</v>
      </c>
      <c r="M30" s="5">
        <f>((+$K30*(Title_RESULTS!$H$30/100)*((1+Title_RESULTS!$H$31/100)^('Sheet9(F_25)'!$A30-Title_RESULTS!$H$7)))+((Title_RESULTS!$H$32*Title_RESULTS!$H$35*12*Title_RESULTS!$C$7/1000)*(Partcipation!$B29+(Partcipation!$B30-Partcipation!$B29)/2))*((1+Title_RESULTS!$H$33/100)^('Sheet9(F_25)'!$A30-Title_RESULTS!$H$7)))</f>
        <v>106.02024226948687</v>
      </c>
      <c r="N30" s="5">
        <f>'Sheet2(F_12)'!$I30*('Sheet6(p_6)'!$L30+'Sheet6(p_6)'!$M30)</f>
        <v>354.8303041486166</v>
      </c>
      <c r="O30" s="5">
        <f>(Partcipation!$B29+(Partcipation!$B30-Partcipation!$B29)/2)*(Title_RESULTS!$C$13)/1000</f>
        <v>0</v>
      </c>
      <c r="P30" s="5">
        <f>($O30)*'Sheet2(F_12)'!$D30*Title_RESULTS!$C$12/100</f>
        <v>0</v>
      </c>
      <c r="Q30" s="5">
        <f>+$O30*((Title_RESULTS!$H$30/100)*((1+Title_RESULTS!$H$31/100)^('Sheet9(F_25)'!$A30-Title_RESULTS!$H$7)))</f>
        <v>0</v>
      </c>
      <c r="R30" s="5">
        <f>+Partcipation!$I30*('Sheet6(p_6)'!$P30-'Sheet6(p_6)'!$Q30)</f>
        <v>0</v>
      </c>
    </row>
    <row r="31" spans="1:18" ht="12.75">
      <c r="A31">
        <f t="shared" si="0"/>
        <v>2035</v>
      </c>
      <c r="B31" s="5">
        <f>IF(+'Sheet9(F_25)'!$A31&gt;=Title_RESULTS!$H$8,0,((Partcipation!$B31-Partcipation!$B30)*(Title_RESULTS!$C$26*((1+Title_RESULTS!$C$28/100)^('Sheet9(F_25)'!$A31-Title_RESULTS!$H$7)))/1000))</f>
        <v>0</v>
      </c>
      <c r="C31" s="5">
        <f>(Partcipation!$C30+(Partcipation!$C31-Partcipation!$C30)/2)*(Title_RESULTS!$C$27*((1+Title_RESULTS!$C$28/100)^('Sheet9(F_25)'!$A31-Title_RESULTS!$H$7)))/1000</f>
        <v>0</v>
      </c>
      <c r="D31" s="5">
        <f t="shared" si="1"/>
        <v>0</v>
      </c>
      <c r="E31" s="5">
        <f>IF(+'Sheet9(F_25)'!$A31&gt;=Title_RESULTS!$H$8,0,((Partcipation!$B31-Partcipation!$B30)*(Title_RESULTS!$C$39*((1+Title_RESULTS!$C$41/100)^('Sheet9(F_25)'!$A31-Title_RESULTS!$H$7)))/1000))</f>
        <v>0</v>
      </c>
      <c r="F31" s="5">
        <f>(Partcipation!$C30+(Partcipation!$C31-Partcipation!$C30)/2)*(Title_RESULTS!$C$40*((1+Title_RESULTS!$C$41/100)^('Sheet9(F_25)'!$A31-Title_RESULTS!$H$7)))/1000</f>
        <v>0</v>
      </c>
      <c r="G31" s="5">
        <f t="shared" si="2"/>
        <v>0</v>
      </c>
      <c r="H31" s="5">
        <f>IF(Partcipation!$B32&lt;Partcipation!$B31,0,IF(Partcipation!$B31=0,0,(Partcipation!$B31-Partcipation!$B30)*(+Title_RESULTS!$C$29*(1+Title_RESULTS!$C$30/100)^(+'Sheet8(F_24)'!$A31-Title_RESULTS!$H$7))/1000))</f>
        <v>0</v>
      </c>
      <c r="I31" s="5">
        <f>IF(+Title_RESULTS!$C$31&lt;0,0,(+Partcipation!$B30+(Partcipation!$B31-Partcipation!$B30)/2)*(+Title_RESULTS!$C$31*(1+Title_RESULTS!$C$32/100)^(+'Sheet6(p_6)'!$A31-Title_RESULTS!$H$7))/1000)</f>
        <v>0</v>
      </c>
      <c r="J31" s="5">
        <f t="shared" si="3"/>
        <v>0</v>
      </c>
      <c r="K31" s="5">
        <f>(+Partcipation!$B30+(Partcipation!$B31-Partcipation!$B30)/2)*(+Title_RESULTS!$C$14)/1000</f>
        <v>5073.36</v>
      </c>
      <c r="L31" s="5">
        <f>($K31)*Partcipation!$E88*Title_RESULTS!$C$12/100</f>
        <v>259.39617882770386</v>
      </c>
      <c r="M31" s="5">
        <f>((+$K31*(Title_RESULTS!$H$30/100)*((1+Title_RESULTS!$H$31/100)^('Sheet9(F_25)'!$A31-Title_RESULTS!$H$7)))+((Title_RESULTS!$H$32*Title_RESULTS!$H$35*12*Title_RESULTS!$C$7/1000)*(Partcipation!$B30+(Partcipation!$B31-Partcipation!$B30)/2))*((1+Title_RESULTS!$H$33/100)^('Sheet9(F_25)'!$A31-Title_RESULTS!$H$7)))</f>
        <v>107.08044469218171</v>
      </c>
      <c r="N31" s="5">
        <f>'Sheet2(F_12)'!$I31*('Sheet6(p_6)'!$L31+'Sheet6(p_6)'!$M31)</f>
        <v>366.4766235198856</v>
      </c>
      <c r="O31" s="5">
        <f>(Partcipation!$B30+(Partcipation!$B31-Partcipation!$B30)/2)*(Title_RESULTS!$C$13)/1000</f>
        <v>0</v>
      </c>
      <c r="P31" s="5">
        <f>($O31)*'Sheet2(F_12)'!$D31*Title_RESULTS!$C$12/100</f>
        <v>0</v>
      </c>
      <c r="Q31" s="5">
        <f>+$O31*((Title_RESULTS!$H$30/100)*((1+Title_RESULTS!$H$31/100)^('Sheet9(F_25)'!$A31-Title_RESULTS!$H$7)))</f>
        <v>0</v>
      </c>
      <c r="R31" s="5">
        <f>+Partcipation!$I31*('Sheet6(p_6)'!$P31-'Sheet6(p_6)'!$Q31)</f>
        <v>0</v>
      </c>
    </row>
    <row r="32" spans="1:18" ht="12.75">
      <c r="A32">
        <f t="shared" si="0"/>
        <v>2036</v>
      </c>
      <c r="B32" s="5">
        <f>IF(+'Sheet9(F_25)'!$A32&gt;=Title_RESULTS!$H$8,0,((Partcipation!$B32-Partcipation!$B31)*(Title_RESULTS!$C$26*((1+Title_RESULTS!$C$28/100)^('Sheet9(F_25)'!$A32-Title_RESULTS!$H$7)))/1000))</f>
        <v>0</v>
      </c>
      <c r="C32" s="5">
        <f>(Partcipation!$C31+(Partcipation!$C32-Partcipation!$C31)/2)*(Title_RESULTS!$C$27*((1+Title_RESULTS!$C$28/100)^('Sheet9(F_25)'!$A32-Title_RESULTS!$H$7)))/1000</f>
        <v>0</v>
      </c>
      <c r="D32" s="5">
        <f t="shared" si="1"/>
        <v>0</v>
      </c>
      <c r="E32" s="5">
        <f>IF(+'Sheet9(F_25)'!$A32&gt;=Title_RESULTS!$H$8,0,((Partcipation!$B32-Partcipation!$B31)*(Title_RESULTS!$C$39*((1+Title_RESULTS!$C$41/100)^('Sheet9(F_25)'!$A32-Title_RESULTS!$H$7)))/1000))</f>
        <v>0</v>
      </c>
      <c r="F32" s="5">
        <f>(Partcipation!$C31+(Partcipation!$C32-Partcipation!$C31)/2)*(Title_RESULTS!$C$40*((1+Title_RESULTS!$C$41/100)^('Sheet9(F_25)'!$A32-Title_RESULTS!$H$7)))/1000</f>
        <v>0</v>
      </c>
      <c r="G32" s="5">
        <f t="shared" si="2"/>
        <v>0</v>
      </c>
      <c r="H32" s="5">
        <f>IF(Partcipation!$B33&lt;Partcipation!$B32,0,IF(Partcipation!$B32=0,0,(Partcipation!$B32-Partcipation!$B31)*(+Title_RESULTS!$C$29*(1+Title_RESULTS!$C$30/100)^(+'Sheet8(F_24)'!$A32-Title_RESULTS!$H$7))/1000))</f>
        <v>0</v>
      </c>
      <c r="I32" s="5">
        <f>IF(+Title_RESULTS!$C$31&lt;0,0,(+Partcipation!$B31+(Partcipation!$B32-Partcipation!$B31)/2)*(+Title_RESULTS!$C$31*(1+Title_RESULTS!$C$32/100)^(+'Sheet6(p_6)'!$A32-Title_RESULTS!$H$7))/1000)</f>
        <v>0</v>
      </c>
      <c r="J32" s="5">
        <f t="shared" si="3"/>
        <v>0</v>
      </c>
      <c r="K32" s="5">
        <f>(+Partcipation!$B31+(Partcipation!$B32-Partcipation!$B31)/2)*(+Title_RESULTS!$C$14)/1000</f>
        <v>5073.36</v>
      </c>
      <c r="L32" s="5">
        <f>($K32)*Partcipation!$E89*Title_RESULTS!$C$12/100</f>
        <v>268.11563556255487</v>
      </c>
      <c r="M32" s="5">
        <f>((+$K32*(Title_RESULTS!$H$30/100)*((1+Title_RESULTS!$H$31/100)^('Sheet9(F_25)'!$A32-Title_RESULTS!$H$7)))+((Title_RESULTS!$H$32*Title_RESULTS!$H$35*12*Title_RESULTS!$C$7/1000)*(Partcipation!$B31+(Partcipation!$B32-Partcipation!$B31)/2))*((1+Title_RESULTS!$H$33/100)^('Sheet9(F_25)'!$A32-Title_RESULTS!$H$7)))</f>
        <v>108.15124913910356</v>
      </c>
      <c r="N32" s="5">
        <f>'Sheet2(F_12)'!$I32*('Sheet6(p_6)'!$L32+'Sheet6(p_6)'!$M32)</f>
        <v>376.26688470165846</v>
      </c>
      <c r="O32" s="5">
        <f>(Partcipation!$B31+(Partcipation!$B32-Partcipation!$B31)/2)*(Title_RESULTS!$C$13)/1000</f>
        <v>0</v>
      </c>
      <c r="P32" s="5">
        <f>($O32)*'Sheet2(F_12)'!$D32*Title_RESULTS!$C$12/100</f>
        <v>0</v>
      </c>
      <c r="Q32" s="5">
        <f>+$O32*((Title_RESULTS!$H$30/100)*((1+Title_RESULTS!$H$31/100)^('Sheet9(F_25)'!$A32-Title_RESULTS!$H$7)))</f>
        <v>0</v>
      </c>
      <c r="R32" s="5">
        <f>+Partcipation!$I32*('Sheet6(p_6)'!$P32-'Sheet6(p_6)'!$Q32)</f>
        <v>0</v>
      </c>
    </row>
    <row r="33" spans="1:18" ht="12.75">
      <c r="A33">
        <f t="shared" si="0"/>
        <v>2037</v>
      </c>
      <c r="B33" s="5">
        <f>IF(+'Sheet9(F_25)'!$A33&gt;=Title_RESULTS!$H$8,0,((Partcipation!$B33-Partcipation!$B32)*(Title_RESULTS!$C$26*((1+Title_RESULTS!$C$28/100)^('Sheet9(F_25)'!$A33-Title_RESULTS!$H$7)))/1000))</f>
        <v>0</v>
      </c>
      <c r="C33" s="5">
        <f>(Partcipation!$C32+(Partcipation!$C33-Partcipation!$C32)/2)*(Title_RESULTS!$C$27*((1+Title_RESULTS!$C$28/100)^('Sheet9(F_25)'!$A33-Title_RESULTS!$H$7)))/1000</f>
        <v>0</v>
      </c>
      <c r="D33" s="5">
        <f t="shared" si="1"/>
        <v>0</v>
      </c>
      <c r="E33" s="5">
        <f>IF(+'Sheet9(F_25)'!$A33&gt;=Title_RESULTS!$H$8,0,((Partcipation!$B33-Partcipation!$B32)*(Title_RESULTS!$C$39*((1+Title_RESULTS!$C$41/100)^('Sheet9(F_25)'!$A33-Title_RESULTS!$H$7)))/1000))</f>
        <v>0</v>
      </c>
      <c r="F33" s="5">
        <f>(Partcipation!$C32+(Partcipation!$C33-Partcipation!$C32)/2)*(Title_RESULTS!$C$40*((1+Title_RESULTS!$C$41/100)^('Sheet9(F_25)'!$A33-Title_RESULTS!$H$7)))/1000</f>
        <v>0</v>
      </c>
      <c r="G33" s="5">
        <f t="shared" si="2"/>
        <v>0</v>
      </c>
      <c r="H33" s="5">
        <f>IF(Partcipation!$B34&lt;Partcipation!$B33,0,IF(Partcipation!$B33=0,0,(Partcipation!$B33-Partcipation!$B32)*(+Title_RESULTS!$C$29*(1+Title_RESULTS!$C$30/100)^(+'Sheet8(F_24)'!$A33-Title_RESULTS!$H$7))/1000))</f>
        <v>0</v>
      </c>
      <c r="I33" s="5">
        <f>IF(+Title_RESULTS!$C$31&lt;0,0,(+Partcipation!$B32+(Partcipation!$B33-Partcipation!$B32)/2)*(+Title_RESULTS!$C$31*(1+Title_RESULTS!$C$32/100)^(+'Sheet6(p_6)'!$A33-Title_RESULTS!$H$7))/1000)</f>
        <v>0</v>
      </c>
      <c r="J33" s="5">
        <f t="shared" si="3"/>
        <v>0</v>
      </c>
      <c r="K33" s="5">
        <f>(+Partcipation!$B32+(Partcipation!$B33-Partcipation!$B32)/2)*(+Title_RESULTS!$C$14)/1000</f>
        <v>5073.36</v>
      </c>
      <c r="L33" s="5">
        <f>($K33)*Partcipation!$E90*Title_RESULTS!$C$12/100</f>
        <v>283.1329108710316</v>
      </c>
      <c r="M33" s="5">
        <f>((+$K33*(Title_RESULTS!$H$30/100)*((1+Title_RESULTS!$H$31/100)^('Sheet9(F_25)'!$A33-Title_RESULTS!$H$7)))+((Title_RESULTS!$H$32*Title_RESULTS!$H$35*12*Title_RESULTS!$C$7/1000)*(Partcipation!$B32+(Partcipation!$B33-Partcipation!$B32)/2))*((1+Title_RESULTS!$H$33/100)^('Sheet9(F_25)'!$A33-Title_RESULTS!$H$7)))</f>
        <v>109.23276163049461</v>
      </c>
      <c r="N33" s="5">
        <f>'Sheet2(F_12)'!$I33*('Sheet6(p_6)'!$L33+'Sheet6(p_6)'!$M33)</f>
        <v>392.3656725015262</v>
      </c>
      <c r="O33" s="5">
        <f>(Partcipation!$B32+(Partcipation!$B33-Partcipation!$B32)/2)*(Title_RESULTS!$C$13)/1000</f>
        <v>0</v>
      </c>
      <c r="P33" s="5">
        <f>($O33)*'Sheet2(F_12)'!$D33*Title_RESULTS!$C$12/100</f>
        <v>0</v>
      </c>
      <c r="Q33" s="5">
        <f>+$O33*((Title_RESULTS!$H$30/100)*((1+Title_RESULTS!$H$31/100)^('Sheet9(F_25)'!$A33-Title_RESULTS!$H$7)))</f>
        <v>0</v>
      </c>
      <c r="R33" s="5">
        <f>+Partcipation!$I33*('Sheet6(p_6)'!$P33-'Sheet6(p_6)'!$Q33)</f>
        <v>0</v>
      </c>
    </row>
    <row r="34" spans="2:18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</row>
    <row r="35" spans="1:18" ht="12.75">
      <c r="A35" t="s">
        <v>87</v>
      </c>
      <c r="B35" s="5">
        <f aca="true" t="shared" si="4" ref="B35:R35">SUM(B16:B34)</f>
        <v>537.7008000000001</v>
      </c>
      <c r="C35" s="5">
        <f t="shared" si="4"/>
        <v>0</v>
      </c>
      <c r="D35" s="5">
        <f t="shared" si="4"/>
        <v>537.7008000000001</v>
      </c>
      <c r="E35" s="5">
        <f t="shared" si="4"/>
        <v>255.36</v>
      </c>
      <c r="F35" s="5">
        <f t="shared" si="4"/>
        <v>0</v>
      </c>
      <c r="G35" s="5">
        <f t="shared" si="4"/>
        <v>255.36</v>
      </c>
      <c r="H35" s="5">
        <f t="shared" si="4"/>
        <v>732.2975335299999</v>
      </c>
      <c r="I35" s="5">
        <f t="shared" si="4"/>
        <v>0</v>
      </c>
      <c r="J35" s="5">
        <f t="shared" si="4"/>
        <v>732.2975335299999</v>
      </c>
      <c r="K35" s="5">
        <f t="shared" si="4"/>
        <v>83710.44</v>
      </c>
      <c r="L35" s="5">
        <f t="shared" si="4"/>
        <v>3249.929662098473</v>
      </c>
      <c r="M35" s="5">
        <f t="shared" si="4"/>
        <v>1670.0197662118715</v>
      </c>
      <c r="N35" s="5">
        <f t="shared" si="4"/>
        <v>4919.949428310344</v>
      </c>
      <c r="O35" s="5">
        <f t="shared" si="4"/>
        <v>0</v>
      </c>
      <c r="P35" s="5">
        <f t="shared" si="4"/>
        <v>0</v>
      </c>
      <c r="Q35" s="5">
        <f t="shared" si="4"/>
        <v>0</v>
      </c>
      <c r="R35" s="5">
        <f t="shared" si="4"/>
        <v>0</v>
      </c>
    </row>
    <row r="36" spans="2:18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</row>
    <row r="37" spans="1:18" ht="12.75">
      <c r="A37" t="s">
        <v>89</v>
      </c>
      <c r="B37" s="5">
        <f>NPV(Title_RESULTS!$C$37,'Sheet6(p_6)'!B17:B34)+'Sheet6(p_6)'!B16</f>
        <v>502.3888206918773</v>
      </c>
      <c r="C37" s="5">
        <f>NPV(Title_RESULTS!$C$37,'Sheet6(p_6)'!C17:C34)+'Sheet6(p_6)'!C16</f>
        <v>0</v>
      </c>
      <c r="D37" s="5">
        <f>NPV(Title_RESULTS!$C$37,'Sheet6(p_6)'!D17:D34)+'Sheet6(p_6)'!D16</f>
        <v>502.3888206918773</v>
      </c>
      <c r="E37" s="5">
        <f>NPV(Title_RESULTS!$C$37,'Sheet6(p_6)'!E17:E34)+'Sheet6(p_6)'!E16</f>
        <v>238.8480244878515</v>
      </c>
      <c r="F37" s="5">
        <f>NPV(Title_RESULTS!$C$37,'Sheet6(p_6)'!F17:F34)+'Sheet6(p_6)'!F16</f>
        <v>0</v>
      </c>
      <c r="G37" s="5">
        <f>NPV(Title_RESULTS!$C$37,'Sheet6(p_6)'!G17:G34)+'Sheet6(p_6)'!G16</f>
        <v>238.8480244878515</v>
      </c>
      <c r="H37" s="5">
        <f>NPV(Title_RESULTS!$C$37,'Sheet6(p_6)'!H17:H34)+'Sheet6(p_6)'!H16</f>
        <v>684.2364431311344</v>
      </c>
      <c r="I37" s="5">
        <f>NPV(Title_RESULTS!$C$37,'Sheet6(p_6)'!I17:I34)+'Sheet6(p_6)'!I16</f>
        <v>0</v>
      </c>
      <c r="J37" s="5">
        <f>NPV(Title_RESULTS!$C$37,'Sheet6(p_6)'!J17:J34)+'Sheet6(p_6)'!J16</f>
        <v>684.2364431311344</v>
      </c>
      <c r="K37" s="5"/>
      <c r="L37" s="5">
        <f>NPV(Title_RESULTS!$C$37,'Sheet6(p_6)'!L17:L34)+'Sheet6(p_6)'!L16</f>
        <v>1678.7996493412222</v>
      </c>
      <c r="M37" s="5">
        <f>NPV(Title_RESULTS!$C$37,'Sheet6(p_6)'!M17:M34)+'Sheet6(p_6)'!M16</f>
        <v>923.1792213360773</v>
      </c>
      <c r="N37" s="5">
        <f>NPV(Title_RESULTS!$C$37,'Sheet6(p_6)'!N17:N34)+'Sheet6(p_6)'!N16</f>
        <v>2601.9788706772993</v>
      </c>
      <c r="O37" s="5"/>
      <c r="P37" s="5">
        <f>NPV(Title_RESULTS!$C$37,'Sheet6(p_6)'!P17:P34)+'Sheet6(p_6)'!P16</f>
        <v>0</v>
      </c>
      <c r="Q37" s="5">
        <f>NPV(Title_RESULTS!$C$37,'Sheet6(p_6)'!Q17:Q34)+'Sheet6(p_6)'!Q16</f>
        <v>0</v>
      </c>
      <c r="R37" s="5">
        <f>NPV(Title_RESULTS!$C$37,'Sheet6(p_6)'!R17:R34)+'Sheet6(p_6)'!R16</f>
        <v>0</v>
      </c>
    </row>
    <row r="39" ht="12.75">
      <c r="A39" t="s">
        <v>91</v>
      </c>
    </row>
    <row r="150" ht="12.75">
      <c r="S150" s="1"/>
    </row>
    <row r="152" ht="12.75">
      <c r="BN152" s="1"/>
    </row>
  </sheetData>
  <sheetProtection/>
  <printOptions/>
  <pageMargins left="0.75" right="0.75" top="1" bottom="1" header="0.5" footer="0.5"/>
  <pageSetup fitToHeight="1" fitToWidth="1" horizontalDpi="300" verticalDpi="300" orientation="landscape" scale="61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10">
    <pageSetUpPr fitToPage="1"/>
  </sheetPr>
  <dimension ref="A1:CH152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0.8515625" style="0" customWidth="1"/>
    <col min="4" max="4" width="14.421875" style="0" customWidth="1"/>
    <col min="7" max="8" width="10.421875" style="0" customWidth="1"/>
    <col min="9" max="9" width="10.8515625" style="0" customWidth="1"/>
    <col min="10" max="10" width="10.57421875" style="0" customWidth="1"/>
    <col min="11" max="11" width="11.00390625" style="0" customWidth="1"/>
    <col min="12" max="12" width="10.421875" style="0" customWidth="1"/>
    <col min="13" max="13" width="18.421875" style="0" customWidth="1"/>
  </cols>
  <sheetData>
    <row r="1" spans="4:13" ht="12.75">
      <c r="D1" t="s">
        <v>157</v>
      </c>
      <c r="M1" t="s">
        <v>382</v>
      </c>
    </row>
    <row r="2" spans="4:13" ht="12.75">
      <c r="D2" t="s">
        <v>107</v>
      </c>
      <c r="E2" t="str">
        <f>+Input!C3</f>
        <v>LED Street Lights</v>
      </c>
      <c r="M2" t="s">
        <v>55</v>
      </c>
    </row>
    <row r="3" ht="12.75">
      <c r="M3" s="35">
        <f>+Title_RESULTS!I4</f>
        <v>43599.31995208334</v>
      </c>
    </row>
    <row r="8" spans="1:13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6" t="s">
        <v>22</v>
      </c>
      <c r="L8" s="6" t="s">
        <v>122</v>
      </c>
      <c r="M8" s="6" t="s">
        <v>123</v>
      </c>
    </row>
    <row r="9" spans="1:13" ht="12.7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</row>
    <row r="10" spans="1:13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 t="s">
        <v>25</v>
      </c>
    </row>
    <row r="11" spans="1:13" ht="12.75">
      <c r="A11" s="6"/>
      <c r="B11" s="6" t="s">
        <v>47</v>
      </c>
      <c r="C11" s="6" t="s">
        <v>43</v>
      </c>
      <c r="D11" s="6" t="s">
        <v>158</v>
      </c>
      <c r="E11" s="6"/>
      <c r="F11" s="6"/>
      <c r="G11" s="6"/>
      <c r="H11" s="6"/>
      <c r="I11" s="6" t="s">
        <v>24</v>
      </c>
      <c r="J11" s="6"/>
      <c r="K11" s="6"/>
      <c r="L11" s="6"/>
      <c r="M11" s="6" t="s">
        <v>159</v>
      </c>
    </row>
    <row r="12" spans="1:13" ht="12.75">
      <c r="A12" s="6"/>
      <c r="B12" s="6" t="s">
        <v>160</v>
      </c>
      <c r="C12" s="6" t="s">
        <v>24</v>
      </c>
      <c r="D12" s="6" t="s">
        <v>24</v>
      </c>
      <c r="E12" s="6" t="s">
        <v>29</v>
      </c>
      <c r="F12" s="6" t="s">
        <v>50</v>
      </c>
      <c r="G12" s="6" t="s">
        <v>46</v>
      </c>
      <c r="H12" s="6" t="s">
        <v>46</v>
      </c>
      <c r="I12" s="6" t="s">
        <v>48</v>
      </c>
      <c r="J12" s="6" t="s">
        <v>29</v>
      </c>
      <c r="K12" s="6" t="s">
        <v>50</v>
      </c>
      <c r="L12" s="6" t="s">
        <v>111</v>
      </c>
      <c r="M12" s="6" t="s">
        <v>111</v>
      </c>
    </row>
    <row r="13" spans="1:13" ht="12.75">
      <c r="A13" s="6"/>
      <c r="B13" s="6" t="s">
        <v>33</v>
      </c>
      <c r="C13" s="6" t="s">
        <v>152</v>
      </c>
      <c r="D13" s="6" t="s">
        <v>33</v>
      </c>
      <c r="E13" s="6" t="s">
        <v>33</v>
      </c>
      <c r="F13" s="6" t="s">
        <v>33</v>
      </c>
      <c r="G13" s="6" t="s">
        <v>67</v>
      </c>
      <c r="H13" s="6" t="s">
        <v>161</v>
      </c>
      <c r="I13" s="6" t="s">
        <v>82</v>
      </c>
      <c r="J13" s="6" t="s">
        <v>34</v>
      </c>
      <c r="K13" s="6" t="s">
        <v>34</v>
      </c>
      <c r="L13" s="6" t="s">
        <v>34</v>
      </c>
      <c r="M13" s="6" t="s">
        <v>34</v>
      </c>
    </row>
    <row r="14" spans="1:13" ht="12.75">
      <c r="A14" s="6"/>
      <c r="B14" s="6"/>
      <c r="C14" s="6"/>
      <c r="D14" s="6"/>
      <c r="E14" s="6"/>
      <c r="F14" s="6"/>
      <c r="G14" s="6" t="s">
        <v>34</v>
      </c>
      <c r="H14" s="6" t="s">
        <v>34</v>
      </c>
      <c r="I14" s="6"/>
      <c r="J14" s="6"/>
      <c r="K14" s="6"/>
      <c r="L14" s="6"/>
      <c r="M14" s="6"/>
    </row>
    <row r="15" spans="1:13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  <c r="M15" s="27" t="s">
        <v>83</v>
      </c>
    </row>
    <row r="16" spans="1:13" ht="12.75">
      <c r="A16">
        <f>+Title_RESULTS!H7</f>
        <v>2020</v>
      </c>
      <c r="B16" s="5">
        <f>IF(A16&gt;=(Title_RESULTS!$H$7+Title_RESULTS!$C$17),0,(IF($A16&gt;=Title_RESULTS!$H$8,(Partcipation!$B15+(Partcipation!$B16-Partcipation!$B15)/2)*Title_RESULTS!$C$35*(1+Title_RESULTS!$C$36/100)^('Sheet7(F_23)'!$A16-Title_RESULTS!$H$7),0)))</f>
        <v>0</v>
      </c>
      <c r="C16" s="5">
        <f>IF(A16&gt;=(Title_RESULTS!$H$7+Title_RESULTS!$C$17),0,(+'Sheet6(p_6)'!$D16))</f>
        <v>175</v>
      </c>
      <c r="D16" s="5">
        <f>IF(A16&gt;=(Title_RESULTS!$H$7+Title_RESULTS!$C$17),0,(+'Sheet6(p_6)'!$J16))</f>
        <v>238.57</v>
      </c>
      <c r="E16" s="5">
        <f>IF(A16&gt;=(Title_RESULTS!$H$7+Title_RESULTS!$C$17),0,(+'f-11B'!$N15))</f>
        <v>0</v>
      </c>
      <c r="F16" s="5">
        <f>IF(A16&gt;=(Title_RESULTS!$H$7+Title_RESULTS!$C$17),0,(SUM(B16:E16)))</f>
        <v>413.57</v>
      </c>
      <c r="G16" s="5">
        <f>IF(A16&gt;=(Title_RESULTS!$H$7+Title_RESULTS!$C$17),0,('Sheet3(F_21)'!$J16))</f>
        <v>0</v>
      </c>
      <c r="H16" s="5">
        <f>IF(A16&gt;=(Title_RESULTS!$H$7+Title_RESULTS!$C$17),0,(+'Sheet4(F_22)'!$D16+'Sheet4(F_22)'!$G16))</f>
        <v>0</v>
      </c>
      <c r="I16" s="5">
        <f>IF(A16&gt;=(Title_RESULTS!$H$7+Title_RESULTS!$C$17),0,(+'Sheet4(F_22)'!$H16))</f>
        <v>25.87261634278153</v>
      </c>
      <c r="J16" s="5">
        <f>IF(A16&gt;=(Title_RESULTS!$H$7+Title_RESULTS!$C$17),0,(IF(Title_RESULTS!$C$31&lt;0,((Partcipation!$B15+(Partcipation!$B16-Partcipation!$B15)/2)*(ABS(Title_RESULTS!$C$31)*(1+Title_RESULTS!$C$32/100)^('Sheet7(F_23)'!$A16-Title_RESULTS!$H$7))/1000)+'f-11B'!$O15,+'f-11B'!$O15)))</f>
        <v>0</v>
      </c>
      <c r="K16" s="5">
        <f>IF(A16&gt;=(Title_RESULTS!$H$7+Title_RESULTS!$C$17),0,(SUM(G16:J16)))</f>
        <v>25.87261634278153</v>
      </c>
      <c r="L16" s="23">
        <f>IF(A16&gt;=(Title_RESULTS!$H$7+Title_RESULTS!$C$17),0,(+$K16-$F16))</f>
        <v>-387.69738365721844</v>
      </c>
      <c r="M16" s="23">
        <f>IF(A16&gt;=(Title_RESULTS!$H$7+Title_RESULTS!$C$17),0,(+$L16/(1+Title_RESULTS!$C$37)^('Sheet7(F_23)'!$A16-Title_RESULTS!$H$7)))</f>
        <v>-387.69738365721844</v>
      </c>
    </row>
    <row r="17" spans="1:13" ht="12.75">
      <c r="A17">
        <f>+A16+1</f>
        <v>2021</v>
      </c>
      <c r="B17" s="5">
        <f>IF(A17&gt;=(Title_RESULTS!$H$7+Title_RESULTS!$C$17),0,(IF($A17&gt;=Title_RESULTS!$H$8,(Partcipation!$B16+(Partcipation!$B17-Partcipation!$B16)/2)*Title_RESULTS!$C$35*(1+Title_RESULTS!$C$36/100)^('Sheet7(F_23)'!$A17-Title_RESULTS!$H$7),0)))</f>
        <v>0</v>
      </c>
      <c r="C17" s="5">
        <f>IF(A17&gt;=(Title_RESULTS!$H$7+Title_RESULTS!$C$17),0,(+'Sheet6(p_6)'!$D17))</f>
        <v>179.20000000000002</v>
      </c>
      <c r="D17" s="5">
        <f>IF(A17&gt;=(Title_RESULTS!$H$7+Title_RESULTS!$C$17),0,(+'Sheet6(p_6)'!$J17))</f>
        <v>244.05710999999997</v>
      </c>
      <c r="E17" s="5">
        <f>IF(A17&gt;=(Title_RESULTS!$H$7+Title_RESULTS!$C$17),0,(+'f-11B'!$N16))</f>
        <v>0</v>
      </c>
      <c r="F17" s="5">
        <f>IF(A17&gt;=(Title_RESULTS!$H$7+Title_RESULTS!$C$17),0,(SUM(B17:E17)))</f>
        <v>423.25711</v>
      </c>
      <c r="G17" s="5">
        <f>IF(A17&gt;=(Title_RESULTS!$H$7+Title_RESULTS!$C$17),0,('Sheet3(F_21)'!$J17))</f>
        <v>0</v>
      </c>
      <c r="H17" s="5">
        <f>IF(A17&gt;=(Title_RESULTS!$H$7+Title_RESULTS!$C$17),0,(+'Sheet4(F_22)'!$D17+'Sheet4(F_22)'!$G17))</f>
        <v>0</v>
      </c>
      <c r="I17" s="5">
        <f>IF(A17&gt;=(Title_RESULTS!$H$7+Title_RESULTS!$C$17),0,(+'Sheet4(F_22)'!$H17))</f>
        <v>76.9865168391037</v>
      </c>
      <c r="J17" s="5">
        <f>IF(A17&gt;=(Title_RESULTS!$H$7+Title_RESULTS!$C$17),0,(IF(Title_RESULTS!$C$31&lt;0,((Partcipation!$B16+(Partcipation!$B17-Partcipation!$B16)/2)*(ABS(Title_RESULTS!$C$31)*(1+Title_RESULTS!$C$32/100)^('Sheet7(F_23)'!$A17-Title_RESULTS!$H$7))/1000)+'f-11B'!$O16,+'f-11B'!$O16)))</f>
        <v>0</v>
      </c>
      <c r="K17" s="5">
        <f>IF(A17&gt;=(Title_RESULTS!$H$7+Title_RESULTS!$C$17),0,(SUM(G17:J17)))</f>
        <v>76.9865168391037</v>
      </c>
      <c r="L17" s="23">
        <f>IF(A17&gt;=(Title_RESULTS!$H$7+Title_RESULTS!$C$17),0,(+$K17-$F17))</f>
        <v>-346.2705931608963</v>
      </c>
      <c r="M17" s="23">
        <f>IF(A17&gt;=(Title_RESULTS!$H$7+Title_RESULTS!$C$17),0,(+M16+$L17/(1+Title_RESULTS!$C$37)^('Sheet7(F_23)'!$A17-Title_RESULTS!$H$7)))</f>
        <v>-711.0729842930947</v>
      </c>
    </row>
    <row r="18" spans="1:13" ht="12.75">
      <c r="A18">
        <f>+A17+1</f>
        <v>2022</v>
      </c>
      <c r="B18" s="5">
        <f>IF(A18&gt;=(Title_RESULTS!$H$7+Title_RESULTS!$C$17),0,(IF($A18&gt;=Title_RESULTS!$H$8,(Partcipation!$B17+(Partcipation!$B18-Partcipation!$B17)/2)*Title_RESULTS!$C$35*(1+Title_RESULTS!$C$36/100)^('Sheet7(F_23)'!$A18-Title_RESULTS!$H$7),0)))</f>
        <v>0</v>
      </c>
      <c r="C18" s="5">
        <f>IF(A18&gt;=(Title_RESULTS!$H$7+Title_RESULTS!$C$17),0,(+'Sheet6(p_6)'!$D18))</f>
        <v>183.5008</v>
      </c>
      <c r="D18" s="5">
        <f>IF(A18&gt;=(Title_RESULTS!$H$7+Title_RESULTS!$C$17),0,(+'Sheet6(p_6)'!$J18))</f>
        <v>249.67042352999994</v>
      </c>
      <c r="E18" s="5">
        <f>IF(A18&gt;=(Title_RESULTS!$H$7+Title_RESULTS!$C$17),0,(+'f-11B'!$N17))</f>
        <v>0</v>
      </c>
      <c r="F18" s="5">
        <f>IF(A18&gt;=(Title_RESULTS!$H$7+Title_RESULTS!$C$17),0,(SUM(B18:E18)))</f>
        <v>433.1712235299999</v>
      </c>
      <c r="G18" s="5">
        <f>IF(A18&gt;=(Title_RESULTS!$H$7+Title_RESULTS!$C$17),0,('Sheet3(F_21)'!$J18))</f>
        <v>0</v>
      </c>
      <c r="H18" s="5">
        <f>IF(A18&gt;=(Title_RESULTS!$H$7+Title_RESULTS!$C$17),0,(+'Sheet4(F_22)'!$D18+'Sheet4(F_22)'!$G18))</f>
        <v>0</v>
      </c>
      <c r="I18" s="5">
        <f>IF(A18&gt;=(Title_RESULTS!$H$7+Title_RESULTS!$C$17),0,(+'Sheet4(F_22)'!$H18))</f>
        <v>132.42539711898476</v>
      </c>
      <c r="J18" s="5">
        <f>IF(A18&gt;=(Title_RESULTS!$H$7+Title_RESULTS!$C$17),0,(IF(Title_RESULTS!$C$31&lt;0,((Partcipation!$B17+(Partcipation!$B18-Partcipation!$B17)/2)*(ABS(Title_RESULTS!$C$31)*(1+Title_RESULTS!$C$32/100)^('Sheet7(F_23)'!$A18-Title_RESULTS!$H$7))/1000)+'f-11B'!$O17,+'f-11B'!$O17)))</f>
        <v>0</v>
      </c>
      <c r="K18" s="5">
        <f>IF(A18&gt;=(Title_RESULTS!$H$7+Title_RESULTS!$C$17),0,(SUM(G18:J18)))</f>
        <v>132.42539711898476</v>
      </c>
      <c r="L18" s="23">
        <f>IF(A18&gt;=(Title_RESULTS!$H$7+Title_RESULTS!$C$17),0,(+$K18-$F18))</f>
        <v>-300.7458264110152</v>
      </c>
      <c r="M18" s="23">
        <f>IF(A18&gt;=(Title_RESULTS!$H$7+Title_RESULTS!$C$17),0,(+M17+$L18/(1+Title_RESULTS!$C$37)^('Sheet7(F_23)'!$A18-Title_RESULTS!$H$7)))</f>
        <v>-973.3636794410352</v>
      </c>
    </row>
    <row r="19" spans="1:13" ht="12.75">
      <c r="A19">
        <f aca="true" t="shared" si="0" ref="A19:A33">+A18+1</f>
        <v>2023</v>
      </c>
      <c r="B19" s="5">
        <f>IF(A19&gt;=(Title_RESULTS!$H$7+Title_RESULTS!$C$17),0,(IF($A19&gt;=Title_RESULTS!$H$8,(Partcipation!$B18+(Partcipation!$B19-Partcipation!$B18)/2)*Title_RESULTS!$C$35*(1+Title_RESULTS!$C$36/100)^('Sheet7(F_23)'!$A19-Title_RESULTS!$H$7),0)))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IF(A19&gt;=(Title_RESULTS!$H$7+Title_RESULTS!$C$17),0,(+'Sheet6(p_6)'!$J19))</f>
        <v>0</v>
      </c>
      <c r="E19" s="5">
        <f>IF(A19&gt;=(Title_RESULTS!$H$7+Title_RESULTS!$C$17),0,(+'f-11B'!$N18))</f>
        <v>0</v>
      </c>
      <c r="F19" s="5">
        <f>IF(A19&gt;=(Title_RESULTS!$H$7+Title_RESULTS!$C$17),0,(SUM(B19:E19)))</f>
        <v>0</v>
      </c>
      <c r="G19" s="5">
        <f>IF(A19&gt;=(Title_RESULTS!$H$7+Title_RESULTS!$C$17),0,('Sheet3(F_21)'!$J19))</f>
        <v>0</v>
      </c>
      <c r="H19" s="5">
        <f>IF(A19&gt;=(Title_RESULTS!$H$7+Title_RESULTS!$C$17),0,(+'Sheet4(F_22)'!$D19+'Sheet4(F_22)'!$G19))</f>
        <v>0</v>
      </c>
      <c r="I19" s="5">
        <f>IF(A19&gt;=(Title_RESULTS!$H$7+Title_RESULTS!$C$17),0,(+'Sheet4(F_22)'!$H19))</f>
        <v>165.42958725892532</v>
      </c>
      <c r="J19" s="5">
        <f>IF(A19&gt;=(Title_RESULTS!$H$7+Title_RESULTS!$C$17),0,(IF(Title_RESULTS!$C$31&lt;0,((Partcipation!$B18+(Partcipation!$B19-Partcipation!$B18)/2)*(ABS(Title_RESULTS!$C$31)*(1+Title_RESULTS!$C$32/100)^('Sheet7(F_23)'!$A19-Title_RESULTS!$H$7))/1000)+'f-11B'!$O18,+'f-11B'!$O18)))</f>
        <v>0</v>
      </c>
      <c r="K19" s="5">
        <f>IF(A19&gt;=(Title_RESULTS!$H$7+Title_RESULTS!$C$17),0,(SUM(G19:J19)))</f>
        <v>165.42958725892532</v>
      </c>
      <c r="L19" s="23">
        <f>IF(A19&gt;=(Title_RESULTS!$H$7+Title_RESULTS!$C$17),0,(+$K19-$F19))</f>
        <v>165.42958725892532</v>
      </c>
      <c r="M19" s="23">
        <f>IF(A19&gt;=(Title_RESULTS!$H$7+Title_RESULTS!$C$17),0,(+M18+$L19/(1+Title_RESULTS!$C$37)^('Sheet7(F_23)'!$A19-Title_RESULTS!$H$7)))</f>
        <v>-838.6262992823297</v>
      </c>
    </row>
    <row r="20" spans="1:13" ht="12.75">
      <c r="A20">
        <f t="shared" si="0"/>
        <v>2024</v>
      </c>
      <c r="B20" s="5">
        <f>IF(A20&gt;=(Title_RESULTS!$H$7+Title_RESULTS!$C$17),0,(IF($A20&gt;=Title_RESULTS!$H$8,(Partcipation!$B19+(Partcipation!$B20-Partcipation!$B19)/2)*Title_RESULTS!$C$35*(1+Title_RESULTS!$C$36/100)^('Sheet7(F_23)'!$A20-Title_RESULTS!$H$7),0)))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IF(A20&gt;=(Title_RESULTS!$H$7+Title_RESULTS!$C$17),0,(+'Sheet6(p_6)'!$J20))</f>
        <v>0</v>
      </c>
      <c r="E20" s="5">
        <f>IF(A20&gt;=(Title_RESULTS!$H$7+Title_RESULTS!$C$17),0,(+'f-11B'!$N19))</f>
        <v>0</v>
      </c>
      <c r="F20" s="5">
        <f>IF(A20&gt;=(Title_RESULTS!$H$7+Title_RESULTS!$C$17),0,(SUM(B20:E20)))</f>
        <v>0</v>
      </c>
      <c r="G20" s="5">
        <f>IF(A20&gt;=(Title_RESULTS!$H$7+Title_RESULTS!$C$17),0,('Sheet3(F_21)'!$J20))</f>
        <v>0</v>
      </c>
      <c r="H20" s="5">
        <f>IF(A20&gt;=(Title_RESULTS!$H$7+Title_RESULTS!$C$17),0,(+'Sheet4(F_22)'!$D20+'Sheet4(F_22)'!$G20))</f>
        <v>0</v>
      </c>
      <c r="I20" s="5">
        <f>IF(A20&gt;=(Title_RESULTS!$H$7+Title_RESULTS!$C$17),0,(+'Sheet4(F_22)'!$H20))</f>
        <v>171.9303464968912</v>
      </c>
      <c r="J20" s="5">
        <f>IF(A20&gt;=(Title_RESULTS!$H$7+Title_RESULTS!$C$17),0,(IF(Title_RESULTS!$C$31&lt;0,((Partcipation!$B19+(Partcipation!$B20-Partcipation!$B19)/2)*(ABS(Title_RESULTS!$C$31)*(1+Title_RESULTS!$C$32/100)^('Sheet7(F_23)'!$A20-Title_RESULTS!$H$7))/1000)+'f-11B'!$O19,+'f-11B'!$O19)))</f>
        <v>0</v>
      </c>
      <c r="K20" s="5">
        <f>IF(A20&gt;=(Title_RESULTS!$H$7+Title_RESULTS!$C$17),0,(SUM(G20:J20)))</f>
        <v>171.9303464968912</v>
      </c>
      <c r="L20" s="23">
        <f>IF(A20&gt;=(Title_RESULTS!$H$7+Title_RESULTS!$C$17),0,(+$K20-$F20))</f>
        <v>171.9303464968912</v>
      </c>
      <c r="M20" s="23">
        <f>IF(A20&gt;=(Title_RESULTS!$H$7+Title_RESULTS!$C$17),0,(+M19+$L20/(1+Title_RESULTS!$C$37)^('Sheet7(F_23)'!$A20-Title_RESULTS!$H$7)))</f>
        <v>-707.8529976914983</v>
      </c>
    </row>
    <row r="21" spans="1:13" ht="12.75">
      <c r="A21">
        <f t="shared" si="0"/>
        <v>2025</v>
      </c>
      <c r="B21" s="5">
        <f>IF(A21&gt;=(Title_RESULTS!$H$7+Title_RESULTS!$C$17),0,(IF($A21&gt;=Title_RESULTS!$H$8,(Partcipation!$B20+(Partcipation!$B21-Partcipation!$B20)/2)*Title_RESULTS!$C$35*(1+Title_RESULTS!$C$36/100)^('Sheet7(F_23)'!$A21-Title_RESULTS!$H$7),0)))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IF(A21&gt;=(Title_RESULTS!$H$7+Title_RESULTS!$C$17),0,(+'Sheet6(p_6)'!$J21))</f>
        <v>0</v>
      </c>
      <c r="E21" s="5">
        <f>IF(A21&gt;=(Title_RESULTS!$H$7+Title_RESULTS!$C$17),0,(+'f-11B'!$N20))</f>
        <v>0</v>
      </c>
      <c r="F21" s="5">
        <f>IF(A21&gt;=(Title_RESULTS!$H$7+Title_RESULTS!$C$17),0,(SUM(B21:E21)))</f>
        <v>0</v>
      </c>
      <c r="G21" s="5">
        <f>IF(A21&gt;=(Title_RESULTS!$H$7+Title_RESULTS!$C$17),0,('Sheet3(F_21)'!$J21))</f>
        <v>0</v>
      </c>
      <c r="H21" s="5">
        <f>IF(A21&gt;=(Title_RESULTS!$H$7+Title_RESULTS!$C$17),0,(+'Sheet4(F_22)'!$D21+'Sheet4(F_22)'!$G21))</f>
        <v>0</v>
      </c>
      <c r="I21" s="5">
        <f>IF(A21&gt;=(Title_RESULTS!$H$7+Title_RESULTS!$C$17),0,(+'Sheet4(F_22)'!$H21))</f>
        <v>184.60142986917901</v>
      </c>
      <c r="J21" s="5">
        <f>IF(A21&gt;=(Title_RESULTS!$H$7+Title_RESULTS!$C$17),0,(IF(Title_RESULTS!$C$31&lt;0,((Partcipation!$B20+(Partcipation!$B21-Partcipation!$B20)/2)*(ABS(Title_RESULTS!$C$31)*(1+Title_RESULTS!$C$32/100)^('Sheet7(F_23)'!$A21-Title_RESULTS!$H$7))/1000)+'f-11B'!$O20,+'f-11B'!$O20)))</f>
        <v>0</v>
      </c>
      <c r="K21" s="5">
        <f>IF(A21&gt;=(Title_RESULTS!$H$7+Title_RESULTS!$C$17),0,(SUM(G21:J21)))</f>
        <v>184.60142986917901</v>
      </c>
      <c r="L21" s="23">
        <f>IF(A21&gt;=(Title_RESULTS!$H$7+Title_RESULTS!$C$17),0,(+$K21-$F21))</f>
        <v>184.60142986917901</v>
      </c>
      <c r="M21" s="23">
        <f>IF(A21&gt;=(Title_RESULTS!$H$7+Title_RESULTS!$C$17),0,(+M20+$L21/(1+Title_RESULTS!$C$37)^('Sheet7(F_23)'!$A21-Title_RESULTS!$H$7)))</f>
        <v>-576.7256586927585</v>
      </c>
    </row>
    <row r="22" spans="1:13" ht="12.75">
      <c r="A22">
        <f t="shared" si="0"/>
        <v>2026</v>
      </c>
      <c r="B22" s="5">
        <f>IF(A22&gt;=(Title_RESULTS!$H$7+Title_RESULTS!$C$17),0,(IF($A22&gt;=Title_RESULTS!$H$8,(Partcipation!$B21+(Partcipation!$B22-Partcipation!$B21)/2)*Title_RESULTS!$C$35*(1+Title_RESULTS!$C$36/100)^('Sheet7(F_23)'!$A22-Title_RESULTS!$H$7),0)))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IF(A22&gt;=(Title_RESULTS!$H$7+Title_RESULTS!$C$17),0,(+'Sheet6(p_6)'!$J22))</f>
        <v>0</v>
      </c>
      <c r="E22" s="5">
        <f>IF(A22&gt;=(Title_RESULTS!$H$7+Title_RESULTS!$C$17),0,(+'f-11B'!$N21))</f>
        <v>0</v>
      </c>
      <c r="F22" s="5">
        <f>IF(A22&gt;=(Title_RESULTS!$H$7+Title_RESULTS!$C$17),0,(SUM(B22:E22)))</f>
        <v>0</v>
      </c>
      <c r="G22" s="5">
        <f>IF(A22&gt;=(Title_RESULTS!$H$7+Title_RESULTS!$C$17),0,('Sheet3(F_21)'!$J22))</f>
        <v>0</v>
      </c>
      <c r="H22" s="5">
        <f>IF(A22&gt;=(Title_RESULTS!$H$7+Title_RESULTS!$C$17),0,(+'Sheet4(F_22)'!$D22+'Sheet4(F_22)'!$G22))</f>
        <v>0</v>
      </c>
      <c r="I22" s="5">
        <f>IF(A22&gt;=(Title_RESULTS!$H$7+Title_RESULTS!$C$17),0,(+'Sheet4(F_22)'!$H22))</f>
        <v>190.52245142862645</v>
      </c>
      <c r="J22" s="5">
        <f>IF(A22&gt;=(Title_RESULTS!$H$7+Title_RESULTS!$C$17),0,(IF(Title_RESULTS!$C$31&lt;0,((Partcipation!$B21+(Partcipation!$B22-Partcipation!$B21)/2)*(ABS(Title_RESULTS!$C$31)*(1+Title_RESULTS!$C$32/100)^('Sheet7(F_23)'!$A22-Title_RESULTS!$H$7))/1000)+'f-11B'!$O21,+'f-11B'!$O21)))</f>
        <v>0</v>
      </c>
      <c r="K22" s="5">
        <f>IF(A22&gt;=(Title_RESULTS!$H$7+Title_RESULTS!$C$17),0,(SUM(G22:J22)))</f>
        <v>190.52245142862645</v>
      </c>
      <c r="L22" s="23">
        <f>IF(A22&gt;=(Title_RESULTS!$H$7+Title_RESULTS!$C$17),0,(+$K22-$F22))</f>
        <v>190.52245142862645</v>
      </c>
      <c r="M22" s="23">
        <f>IF(A22&gt;=(Title_RESULTS!$H$7+Title_RESULTS!$C$17),0,(+M21+$L22/(1+Title_RESULTS!$C$37)^('Sheet7(F_23)'!$A22-Title_RESULTS!$H$7)))</f>
        <v>-450.34052685775964</v>
      </c>
    </row>
    <row r="23" spans="1:13" ht="12.75">
      <c r="A23">
        <f t="shared" si="0"/>
        <v>2027</v>
      </c>
      <c r="B23" s="5">
        <f>IF(A23&gt;=(Title_RESULTS!$H$7+Title_RESULTS!$C$17),0,(IF($A23&gt;=Title_RESULTS!$H$8,(Partcipation!$B22+(Partcipation!$B23-Partcipation!$B22)/2)*Title_RESULTS!$C$35*(1+Title_RESULTS!$C$36/100)^('Sheet7(F_23)'!$A23-Title_RESULTS!$H$7),0)))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IF(A23&gt;=(Title_RESULTS!$H$7+Title_RESULTS!$C$17),0,(+'Sheet6(p_6)'!$J23))</f>
        <v>0</v>
      </c>
      <c r="E23" s="5">
        <f>IF(A23&gt;=(Title_RESULTS!$H$7+Title_RESULTS!$C$17),0,(+'f-11B'!$N22))</f>
        <v>0</v>
      </c>
      <c r="F23" s="5">
        <f>IF(A23&gt;=(Title_RESULTS!$H$7+Title_RESULTS!$C$17),0,(SUM(B23:E23)))</f>
        <v>0</v>
      </c>
      <c r="G23" s="5">
        <f>IF(A23&gt;=(Title_RESULTS!$H$7+Title_RESULTS!$C$17),0,('Sheet3(F_21)'!$J23))</f>
        <v>0</v>
      </c>
      <c r="H23" s="5">
        <f>IF(A23&gt;=(Title_RESULTS!$H$7+Title_RESULTS!$C$17),0,(+'Sheet4(F_22)'!$D23+'Sheet4(F_22)'!$G23))</f>
        <v>0</v>
      </c>
      <c r="I23" s="5">
        <f>IF(A23&gt;=(Title_RESULTS!$H$7+Title_RESULTS!$C$17),0,(+'Sheet4(F_22)'!$H23))</f>
        <v>202.42925190258748</v>
      </c>
      <c r="J23" s="5">
        <f>IF(A23&gt;=(Title_RESULTS!$H$7+Title_RESULTS!$C$17),0,(IF(Title_RESULTS!$C$31&lt;0,((Partcipation!$B22+(Partcipation!$B23-Partcipation!$B22)/2)*(ABS(Title_RESULTS!$C$31)*(1+Title_RESULTS!$C$32/100)^('Sheet7(F_23)'!$A23-Title_RESULTS!$H$7))/1000)+'f-11B'!$O22,+'f-11B'!$O22)))</f>
        <v>0</v>
      </c>
      <c r="K23" s="5">
        <f>IF(A23&gt;=(Title_RESULTS!$H$7+Title_RESULTS!$C$17),0,(SUM(G23:J23)))</f>
        <v>202.42925190258748</v>
      </c>
      <c r="L23" s="23">
        <f>IF(A23&gt;=(Title_RESULTS!$H$7+Title_RESULTS!$C$17),0,(+$K23-$F23))</f>
        <v>202.42925190258748</v>
      </c>
      <c r="M23" s="23">
        <f>IF(A23&gt;=(Title_RESULTS!$H$7+Title_RESULTS!$C$17),0,(+M22+$L23/(1+Title_RESULTS!$C$37)^('Sheet7(F_23)'!$A23-Title_RESULTS!$H$7)))</f>
        <v>-324.9355615046096</v>
      </c>
    </row>
    <row r="24" spans="1:13" ht="12.75">
      <c r="A24">
        <f t="shared" si="0"/>
        <v>2028</v>
      </c>
      <c r="B24" s="5">
        <f>IF(A24&gt;=(Title_RESULTS!$H$7+Title_RESULTS!$C$17),0,(IF($A24&gt;=Title_RESULTS!$H$8,(Partcipation!$B23+(Partcipation!$B24-Partcipation!$B23)/2)*Title_RESULTS!$C$35*(1+Title_RESULTS!$C$36/100)^('Sheet7(F_23)'!$A24-Title_RESULTS!$H$7),0)))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IF(A24&gt;=(Title_RESULTS!$H$7+Title_RESULTS!$C$17),0,(+'Sheet6(p_6)'!$J24))</f>
        <v>0</v>
      </c>
      <c r="E24" s="5">
        <f>IF(A24&gt;=(Title_RESULTS!$H$7+Title_RESULTS!$C$17),0,(+'f-11B'!$N23))</f>
        <v>0</v>
      </c>
      <c r="F24" s="5">
        <f>IF(A24&gt;=(Title_RESULTS!$H$7+Title_RESULTS!$C$17),0,(SUM(B24:E24)))</f>
        <v>0</v>
      </c>
      <c r="G24" s="5">
        <f>IF(A24&gt;=(Title_RESULTS!$H$7+Title_RESULTS!$C$17),0,('Sheet3(F_21)'!$J24))</f>
        <v>0</v>
      </c>
      <c r="H24" s="5">
        <f>IF(A24&gt;=(Title_RESULTS!$H$7+Title_RESULTS!$C$17),0,(+'Sheet4(F_22)'!$D24+'Sheet4(F_22)'!$G24))</f>
        <v>0</v>
      </c>
      <c r="I24" s="5">
        <f>IF(A24&gt;=(Title_RESULTS!$H$7+Title_RESULTS!$C$17),0,(+'Sheet4(F_22)'!$H24))</f>
        <v>224.315020136343</v>
      </c>
      <c r="J24" s="5">
        <f>IF(A24&gt;=(Title_RESULTS!$H$7+Title_RESULTS!$C$17),0,(IF(Title_RESULTS!$C$31&lt;0,((Partcipation!$B23+(Partcipation!$B24-Partcipation!$B23)/2)*(ABS(Title_RESULTS!$C$31)*(1+Title_RESULTS!$C$32/100)^('Sheet7(F_23)'!$A24-Title_RESULTS!$H$7))/1000)+'f-11B'!$O23,+'f-11B'!$O23)))</f>
        <v>0</v>
      </c>
      <c r="K24" s="5">
        <f>IF(A24&gt;=(Title_RESULTS!$H$7+Title_RESULTS!$C$17),0,(SUM(G24:J24)))</f>
        <v>224.315020136343</v>
      </c>
      <c r="L24" s="23">
        <f>IF(A24&gt;=(Title_RESULTS!$H$7+Title_RESULTS!$C$17),0,(+$K24-$F24))</f>
        <v>224.315020136343</v>
      </c>
      <c r="M24" s="23">
        <f>IF(A24&gt;=(Title_RESULTS!$H$7+Title_RESULTS!$C$17),0,(+M23+$L24/(1+Title_RESULTS!$C$37)^('Sheet7(F_23)'!$A24-Title_RESULTS!$H$7)))</f>
        <v>-195.16043682271547</v>
      </c>
    </row>
    <row r="25" spans="1:13" ht="12.75">
      <c r="A25">
        <f t="shared" si="0"/>
        <v>2029</v>
      </c>
      <c r="B25" s="5">
        <f>IF(A25&gt;=(Title_RESULTS!$H$7+Title_RESULTS!$C$17),0,(IF($A25&gt;=Title_RESULTS!$H$8,(Partcipation!$B24+(Partcipation!$B25-Partcipation!$B24)/2)*Title_RESULTS!$C$35*(1+Title_RESULTS!$C$36/100)^('Sheet7(F_23)'!$A25-Title_RESULTS!$H$7),0)))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IF(A25&gt;=(Title_RESULTS!$H$7+Title_RESULTS!$C$17),0,(+'Sheet6(p_6)'!$J25))</f>
        <v>0</v>
      </c>
      <c r="E25" s="5">
        <f>IF(A25&gt;=(Title_RESULTS!$H$7+Title_RESULTS!$C$17),0,(+'f-11B'!$N24))</f>
        <v>0</v>
      </c>
      <c r="F25" s="5">
        <f>IF(A25&gt;=(Title_RESULTS!$H$7+Title_RESULTS!$C$17),0,(SUM(B25:E25)))</f>
        <v>0</v>
      </c>
      <c r="G25" s="5">
        <f>IF(A25&gt;=(Title_RESULTS!$H$7+Title_RESULTS!$C$17),0,('Sheet3(F_21)'!$J25))</f>
        <v>0</v>
      </c>
      <c r="H25" s="5">
        <f>IF(A25&gt;=(Title_RESULTS!$H$7+Title_RESULTS!$C$17),0,(+'Sheet4(F_22)'!$D25+'Sheet4(F_22)'!$G25))</f>
        <v>0</v>
      </c>
      <c r="I25" s="5">
        <f>IF(A25&gt;=(Title_RESULTS!$H$7+Title_RESULTS!$C$17),0,(+'Sheet4(F_22)'!$H25))</f>
        <v>240.32309750881447</v>
      </c>
      <c r="J25" s="5">
        <f>IF(A25&gt;=(Title_RESULTS!$H$7+Title_RESULTS!$C$17),0,(IF(Title_RESULTS!$C$31&lt;0,((Partcipation!$B24+(Partcipation!$B25-Partcipation!$B24)/2)*(ABS(Title_RESULTS!$C$31)*(1+Title_RESULTS!$C$32/100)^('Sheet7(F_23)'!$A25-Title_RESULTS!$H$7))/1000)+'f-11B'!$O24,+'f-11B'!$O24)))</f>
        <v>0</v>
      </c>
      <c r="K25" s="5">
        <f>IF(A25&gt;=(Title_RESULTS!$H$7+Title_RESULTS!$C$17),0,(SUM(G25:J25)))</f>
        <v>240.32309750881447</v>
      </c>
      <c r="L25" s="23">
        <f>IF(A25&gt;=(Title_RESULTS!$H$7+Title_RESULTS!$C$17),0,(+$K25-$F25))</f>
        <v>240.32309750881447</v>
      </c>
      <c r="M25" s="23">
        <f>IF(A25&gt;=(Title_RESULTS!$H$7+Title_RESULTS!$C$17),0,(+M24+$L25/(1+Title_RESULTS!$C$37)^('Sheet7(F_23)'!$A25-Title_RESULTS!$H$7)))</f>
        <v>-65.31692584827118</v>
      </c>
    </row>
    <row r="26" spans="1:13" ht="12.75">
      <c r="A26">
        <f t="shared" si="0"/>
        <v>2030</v>
      </c>
      <c r="B26" s="5">
        <f>IF(A26&gt;=(Title_RESULTS!$H$7+Title_RESULTS!$C$17),0,(IF($A26&gt;=Title_RESULTS!$H$8,(Partcipation!$B25+(Partcipation!$B26-Partcipation!$B25)/2)*Title_RESULTS!$C$35*(1+Title_RESULTS!$C$36/100)^('Sheet7(F_23)'!$A26-Title_RESULTS!$H$7),0)))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IF(A26&gt;=(Title_RESULTS!$H$7+Title_RESULTS!$C$17),0,(+'Sheet6(p_6)'!$J26))</f>
        <v>0</v>
      </c>
      <c r="E26" s="5">
        <f>IF(A26&gt;=(Title_RESULTS!$H$7+Title_RESULTS!$C$17),0,(+'f-11B'!$N25))</f>
        <v>0</v>
      </c>
      <c r="F26" s="5">
        <f>IF(A26&gt;=(Title_RESULTS!$H$7+Title_RESULTS!$C$17),0,(SUM(B26:E26)))</f>
        <v>0</v>
      </c>
      <c r="G26" s="5">
        <f>IF(A26&gt;=(Title_RESULTS!$H$7+Title_RESULTS!$C$17),0,('Sheet3(F_21)'!$J26))</f>
        <v>0</v>
      </c>
      <c r="H26" s="5">
        <f>IF(A26&gt;=(Title_RESULTS!$H$7+Title_RESULTS!$C$17),0,(+'Sheet4(F_22)'!$D26+'Sheet4(F_22)'!$G26))</f>
        <v>0</v>
      </c>
      <c r="I26" s="5">
        <f>IF(A26&gt;=(Title_RESULTS!$H$7+Title_RESULTS!$C$17),0,(+'Sheet4(F_22)'!$H26))</f>
        <v>268.4275859680559</v>
      </c>
      <c r="J26" s="5">
        <f>IF(A26&gt;=(Title_RESULTS!$H$7+Title_RESULTS!$C$17),0,(IF(Title_RESULTS!$C$31&lt;0,((Partcipation!$B25+(Partcipation!$B26-Partcipation!$B25)/2)*(ABS(Title_RESULTS!$C$31)*(1+Title_RESULTS!$C$32/100)^('Sheet7(F_23)'!$A26-Title_RESULTS!$H$7))/1000)+'f-11B'!$O25,+'f-11B'!$O25)))</f>
        <v>0</v>
      </c>
      <c r="K26" s="5">
        <f>IF(A26&gt;=(Title_RESULTS!$H$7+Title_RESULTS!$C$17),0,(SUM(G26:J26)))</f>
        <v>268.4275859680559</v>
      </c>
      <c r="L26" s="23">
        <f>IF(A26&gt;=(Title_RESULTS!$H$7+Title_RESULTS!$C$17),0,(+$K26-$F26))</f>
        <v>268.4275859680559</v>
      </c>
      <c r="M26" s="23">
        <f>IF(A26&gt;=(Title_RESULTS!$H$7+Title_RESULTS!$C$17),0,(+M25+$L26/(1+Title_RESULTS!$C$37)^('Sheet7(F_23)'!$A26-Title_RESULTS!$H$7)))</f>
        <v>70.1220061662045</v>
      </c>
    </row>
    <row r="27" spans="1:13" ht="12.75">
      <c r="A27">
        <f t="shared" si="0"/>
        <v>2031</v>
      </c>
      <c r="B27" s="5">
        <f>IF(A27&gt;=(Title_RESULTS!$H$7+Title_RESULTS!$C$17),0,(IF($A27&gt;=Title_RESULTS!$H$8,(Partcipation!$B26+(Partcipation!$B27-Partcipation!$B26)/2)*Title_RESULTS!$C$35*(1+Title_RESULTS!$C$36/100)^('Sheet7(F_23)'!$A27-Title_RESULTS!$H$7),0)))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IF(A27&gt;=(Title_RESULTS!$H$7+Title_RESULTS!$C$17),0,(+'Sheet6(p_6)'!$J27))</f>
        <v>0</v>
      </c>
      <c r="E27" s="5">
        <f>IF(A27&gt;=(Title_RESULTS!$H$7+Title_RESULTS!$C$17),0,(+'f-11B'!$N26))</f>
        <v>0</v>
      </c>
      <c r="F27" s="5">
        <f>IF(A27&gt;=(Title_RESULTS!$H$7+Title_RESULTS!$C$17),0,(SUM(B27:E27)))</f>
        <v>0</v>
      </c>
      <c r="G27" s="5">
        <f>IF(A27&gt;=(Title_RESULTS!$H$7+Title_RESULTS!$C$17),0,('Sheet3(F_21)'!$J27))</f>
        <v>0</v>
      </c>
      <c r="H27" s="5">
        <f>IF(A27&gt;=(Title_RESULTS!$H$7+Title_RESULTS!$C$17),0,(+'Sheet4(F_22)'!$D27+'Sheet4(F_22)'!$G27))</f>
        <v>0</v>
      </c>
      <c r="I27" s="5">
        <f>IF(A27&gt;=(Title_RESULTS!$H$7+Title_RESULTS!$C$17),0,(+'Sheet4(F_22)'!$H27))</f>
        <v>267.4293452305262</v>
      </c>
      <c r="J27" s="5">
        <f>IF(A27&gt;=(Title_RESULTS!$H$7+Title_RESULTS!$C$17),0,(IF(Title_RESULTS!$C$31&lt;0,((Partcipation!$B26+(Partcipation!$B27-Partcipation!$B26)/2)*(ABS(Title_RESULTS!$C$31)*(1+Title_RESULTS!$C$32/100)^('Sheet7(F_23)'!$A27-Title_RESULTS!$H$7))/1000)+'f-11B'!$O26,+'f-11B'!$O26)))</f>
        <v>0</v>
      </c>
      <c r="K27" s="5">
        <f>IF(A27&gt;=(Title_RESULTS!$H$7+Title_RESULTS!$C$17),0,(SUM(G27:J27)))</f>
        <v>267.4293452305262</v>
      </c>
      <c r="L27" s="23">
        <f>IF(A27&gt;=(Title_RESULTS!$H$7+Title_RESULTS!$C$17),0,(+$K27-$F27))</f>
        <v>267.4293452305262</v>
      </c>
      <c r="M27" s="23">
        <f>IF(A27&gt;=(Title_RESULTS!$H$7+Title_RESULTS!$C$17),0,(+M26+$L27/(1+Title_RESULTS!$C$37)^('Sheet7(F_23)'!$A27-Title_RESULTS!$H$7)))</f>
        <v>196.13550592606748</v>
      </c>
    </row>
    <row r="28" spans="1:13" ht="12.75">
      <c r="A28">
        <f t="shared" si="0"/>
        <v>2032</v>
      </c>
      <c r="B28" s="5">
        <f>IF(A28&gt;=(Title_RESULTS!$H$7+Title_RESULTS!$C$17),0,(IF($A28&gt;=Title_RESULTS!$H$8,(Partcipation!$B27+(Partcipation!$B28-Partcipation!$B27)/2)*Title_RESULTS!$C$35*(1+Title_RESULTS!$C$36/100)^('Sheet7(F_23)'!$A28-Title_RESULTS!$H$7),0)))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IF(A28&gt;=(Title_RESULTS!$H$7+Title_RESULTS!$C$17),0,(+'Sheet6(p_6)'!$J28))</f>
        <v>0</v>
      </c>
      <c r="E28" s="5">
        <f>IF(A28&gt;=(Title_RESULTS!$H$7+Title_RESULTS!$C$17),0,(+'f-11B'!$N27))</f>
        <v>0</v>
      </c>
      <c r="F28" s="5">
        <f>IF(A28&gt;=(Title_RESULTS!$H$7+Title_RESULTS!$C$17),0,(SUM(B28:E28)))</f>
        <v>0</v>
      </c>
      <c r="G28" s="5">
        <f>IF(A28&gt;=(Title_RESULTS!$H$7+Title_RESULTS!$C$17),0,('Sheet3(F_21)'!$J28))</f>
        <v>0</v>
      </c>
      <c r="H28" s="5">
        <f>IF(A28&gt;=(Title_RESULTS!$H$7+Title_RESULTS!$C$17),0,(+'Sheet4(F_22)'!$D28+'Sheet4(F_22)'!$G28))</f>
        <v>0</v>
      </c>
      <c r="I28" s="5">
        <f>IF(A28&gt;=(Title_RESULTS!$H$7+Title_RESULTS!$C$17),0,(+'Sheet4(F_22)'!$H28))</f>
        <v>292.27555747696215</v>
      </c>
      <c r="J28" s="5">
        <f>IF(A28&gt;=(Title_RESULTS!$H$7+Title_RESULTS!$C$17),0,(IF(Title_RESULTS!$C$31&lt;0,((Partcipation!$B27+(Partcipation!$B28-Partcipation!$B27)/2)*(ABS(Title_RESULTS!$C$31)*(1+Title_RESULTS!$C$32/100)^('Sheet7(F_23)'!$A28-Title_RESULTS!$H$7))/1000)+'f-11B'!$O27,+'f-11B'!$O27)))</f>
        <v>0</v>
      </c>
      <c r="K28" s="5">
        <f>IF(A28&gt;=(Title_RESULTS!$H$7+Title_RESULTS!$C$17),0,(SUM(G28:J28)))</f>
        <v>292.27555747696215</v>
      </c>
      <c r="L28" s="23">
        <f>IF(A28&gt;=(Title_RESULTS!$H$7+Title_RESULTS!$C$17),0,(+$K28-$F28))</f>
        <v>292.27555747696215</v>
      </c>
      <c r="M28" s="23">
        <f>IF(A28&gt;=(Title_RESULTS!$H$7+Title_RESULTS!$C$17),0,(+M27+$L28/(1+Title_RESULTS!$C$37)^('Sheet7(F_23)'!$A28-Title_RESULTS!$H$7)))</f>
        <v>324.75066149187865</v>
      </c>
    </row>
    <row r="29" spans="1:13" ht="12.75">
      <c r="A29">
        <f t="shared" si="0"/>
        <v>2033</v>
      </c>
      <c r="B29" s="5">
        <f>IF(A29&gt;=(Title_RESULTS!$H$7+Title_RESULTS!$C$17),0,(IF($A29&gt;=Title_RESULTS!$H$8,(Partcipation!$B28+(Partcipation!$B29-Partcipation!$B28)/2)*Title_RESULTS!$C$35*(1+Title_RESULTS!$C$36/100)^('Sheet7(F_23)'!$A29-Title_RESULTS!$H$7),0)))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IF(A29&gt;=(Title_RESULTS!$H$7+Title_RESULTS!$C$17),0,(+'Sheet6(p_6)'!$J29))</f>
        <v>0</v>
      </c>
      <c r="E29" s="5">
        <f>IF(A29&gt;=(Title_RESULTS!$H$7+Title_RESULTS!$C$17),0,(+'f-11B'!$N28))</f>
        <v>0</v>
      </c>
      <c r="F29" s="5">
        <f>IF(A29&gt;=(Title_RESULTS!$H$7+Title_RESULTS!$C$17),0,(SUM(B29:E29)))</f>
        <v>0</v>
      </c>
      <c r="G29" s="5">
        <f>IF(A29&gt;=(Title_RESULTS!$H$7+Title_RESULTS!$C$17),0,('Sheet3(F_21)'!$J29))</f>
        <v>0</v>
      </c>
      <c r="H29" s="5">
        <f>IF(A29&gt;=(Title_RESULTS!$H$7+Title_RESULTS!$C$17),0,(+'Sheet4(F_22)'!$D29+'Sheet4(F_22)'!$G29))</f>
        <v>0</v>
      </c>
      <c r="I29" s="5">
        <f>IF(A29&gt;=(Title_RESULTS!$H$7+Title_RESULTS!$C$17),0,(+'Sheet4(F_22)'!$H29))</f>
        <v>311.68529551278345</v>
      </c>
      <c r="J29" s="5">
        <f>IF(A29&gt;=(Title_RESULTS!$H$7+Title_RESULTS!$C$17),0,(IF(Title_RESULTS!$C$31&lt;0,((Partcipation!$B28+(Partcipation!$B29-Partcipation!$B28)/2)*(ABS(Title_RESULTS!$C$31)*(1+Title_RESULTS!$C$32/100)^('Sheet7(F_23)'!$A29-Title_RESULTS!$H$7))/1000)+'f-11B'!$O28,+'f-11B'!$O28)))</f>
        <v>0</v>
      </c>
      <c r="K29" s="5">
        <f>IF(A29&gt;=(Title_RESULTS!$H$7+Title_RESULTS!$C$17),0,(SUM(G29:J29)))</f>
        <v>311.68529551278345</v>
      </c>
      <c r="L29" s="23">
        <f>IF(A29&gt;=(Title_RESULTS!$H$7+Title_RESULTS!$C$17),0,(+$K29-$F29))</f>
        <v>311.68529551278345</v>
      </c>
      <c r="M29" s="23">
        <f>IF(A29&gt;=(Title_RESULTS!$H$7+Title_RESULTS!$C$17),0,(+M28+$L29/(1+Title_RESULTS!$C$37)^('Sheet7(F_23)'!$A29-Title_RESULTS!$H$7)))</f>
        <v>452.83841277091256</v>
      </c>
    </row>
    <row r="30" spans="1:13" ht="12.75">
      <c r="A30">
        <f t="shared" si="0"/>
        <v>2034</v>
      </c>
      <c r="B30" s="5">
        <f>IF(A30&gt;=(Title_RESULTS!$H$7+Title_RESULTS!$C$17),0,(IF($A30&gt;=Title_RESULTS!$H$8,(Partcipation!$B29+(Partcipation!$B30-Partcipation!$B29)/2)*Title_RESULTS!$C$35*(1+Title_RESULTS!$C$36/100)^('Sheet7(F_23)'!$A30-Title_RESULTS!$H$7),0)))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IF(A30&gt;=(Title_RESULTS!$H$7+Title_RESULTS!$C$17),0,(+'Sheet6(p_6)'!$J30))</f>
        <v>0</v>
      </c>
      <c r="E30" s="5">
        <f>IF(A30&gt;=(Title_RESULTS!$H$7+Title_RESULTS!$C$17),0,(+'f-11B'!$N29))</f>
        <v>0</v>
      </c>
      <c r="F30" s="5">
        <f>IF(A30&gt;=(Title_RESULTS!$H$7+Title_RESULTS!$C$17),0,(SUM(B30:E30)))</f>
        <v>0</v>
      </c>
      <c r="G30" s="5">
        <f>IF(A30&gt;=(Title_RESULTS!$H$7+Title_RESULTS!$C$17),0,('Sheet3(F_21)'!$J30))</f>
        <v>0</v>
      </c>
      <c r="H30" s="5">
        <f>IF(A30&gt;=(Title_RESULTS!$H$7+Title_RESULTS!$C$17),0,(+'Sheet4(F_22)'!$D30+'Sheet4(F_22)'!$G30))</f>
        <v>0</v>
      </c>
      <c r="I30" s="5">
        <f>IF(A30&gt;=(Title_RESULTS!$H$7+Title_RESULTS!$C$17),0,(+'Sheet4(F_22)'!$H30))</f>
        <v>326.1980704294549</v>
      </c>
      <c r="J30" s="5">
        <f>IF(A30&gt;=(Title_RESULTS!$H$7+Title_RESULTS!$C$17),0,(IF(Title_RESULTS!$C$31&lt;0,((Partcipation!$B29+(Partcipation!$B30-Partcipation!$B29)/2)*(ABS(Title_RESULTS!$C$31)*(1+Title_RESULTS!$C$32/100)^('Sheet7(F_23)'!$A30-Title_RESULTS!$H$7))/1000)+'f-11B'!$O29,+'f-11B'!$O29)))</f>
        <v>0</v>
      </c>
      <c r="K30" s="5">
        <f>IF(A30&gt;=(Title_RESULTS!$H$7+Title_RESULTS!$C$17),0,(SUM(G30:J30)))</f>
        <v>326.1980704294549</v>
      </c>
      <c r="L30" s="23">
        <f>IF(A30&gt;=(Title_RESULTS!$H$7+Title_RESULTS!$C$17),0,(+$K30-$F30))</f>
        <v>326.1980704294549</v>
      </c>
      <c r="M30" s="23">
        <f>IF(A30&gt;=(Title_RESULTS!$H$7+Title_RESULTS!$C$17),0,(+M29+$L30/(1+Title_RESULTS!$C$37)^('Sheet7(F_23)'!$A30-Title_RESULTS!$H$7)))</f>
        <v>578.0268772375931</v>
      </c>
    </row>
    <row r="31" spans="1:13" ht="12.75">
      <c r="A31">
        <f t="shared" si="0"/>
        <v>2035</v>
      </c>
      <c r="B31" s="5">
        <f>IF(A31&gt;=(Title_RESULTS!$H$7+Title_RESULTS!$C$17),0,(IF($A31&gt;=Title_RESULTS!$H$8,(Partcipation!$B30+(Partcipation!$B31-Partcipation!$B30)/2)*Title_RESULTS!$C$35*(1+Title_RESULTS!$C$36/100)^('Sheet7(F_23)'!$A31-Title_RESULTS!$H$7),0)))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IF(A31&gt;=(Title_RESULTS!$H$7+Title_RESULTS!$C$17),0,(+'Sheet6(p_6)'!$J31))</f>
        <v>0</v>
      </c>
      <c r="E31" s="5">
        <f>IF(A31&gt;=(Title_RESULTS!$H$7+Title_RESULTS!$C$17),0,(+'f-11B'!$N30))</f>
        <v>0</v>
      </c>
      <c r="F31" s="5">
        <f>IF(A31&gt;=(Title_RESULTS!$H$7+Title_RESULTS!$C$17),0,(SUM(B31:E31)))</f>
        <v>0</v>
      </c>
      <c r="G31" s="5">
        <f>IF(A31&gt;=(Title_RESULTS!$H$7+Title_RESULTS!$C$17),0,('Sheet3(F_21)'!$J31))</f>
        <v>0</v>
      </c>
      <c r="H31" s="5">
        <f>IF(A31&gt;=(Title_RESULTS!$H$7+Title_RESULTS!$C$17),0,(+'Sheet4(F_22)'!$D31+'Sheet4(F_22)'!$G31))</f>
        <v>0</v>
      </c>
      <c r="I31" s="5">
        <f>IF(A31&gt;=(Title_RESULTS!$H$7+Title_RESULTS!$C$17),0,(+'Sheet4(F_22)'!$H31))</f>
        <v>359.25731110918406</v>
      </c>
      <c r="J31" s="5">
        <f>IF(A31&gt;=(Title_RESULTS!$H$7+Title_RESULTS!$C$17),0,(IF(Title_RESULTS!$C$31&lt;0,((Partcipation!$B30+(Partcipation!$B31-Partcipation!$B30)/2)*(ABS(Title_RESULTS!$C$31)*(1+Title_RESULTS!$C$32/100)^('Sheet7(F_23)'!$A31-Title_RESULTS!$H$7))/1000)+'f-11B'!$O30,+'f-11B'!$O30)))</f>
        <v>0</v>
      </c>
      <c r="K31" s="5">
        <f>IF(A31&gt;=(Title_RESULTS!$H$7+Title_RESULTS!$C$17),0,(SUM(G31:J31)))</f>
        <v>359.25731110918406</v>
      </c>
      <c r="L31" s="23">
        <f>IF(A31&gt;=(Title_RESULTS!$H$7+Title_RESULTS!$C$17),0,(+$K31-$F31))</f>
        <v>359.25731110918406</v>
      </c>
      <c r="M31" s="23">
        <f>IF(A31&gt;=(Title_RESULTS!$H$7+Title_RESULTS!$C$17),0,(+M30+$L31/(1+Title_RESULTS!$C$37)^('Sheet7(F_23)'!$A31-Title_RESULTS!$H$7)))</f>
        <v>706.7866428167265</v>
      </c>
    </row>
    <row r="32" spans="1:13" ht="12.75">
      <c r="A32">
        <f t="shared" si="0"/>
        <v>2036</v>
      </c>
      <c r="B32" s="5">
        <f>IF(A32&gt;=(Title_RESULTS!$H$7+Title_RESULTS!$C$17),0,(IF($A32&gt;=Title_RESULTS!$H$8,(Partcipation!$B31+(Partcipation!$B32-Partcipation!$B31)/2)*Title_RESULTS!$C$35*(1+Title_RESULTS!$C$36/100)^('Sheet7(F_23)'!$A32-Title_RESULTS!$H$7),0)))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IF(A32&gt;=(Title_RESULTS!$H$7+Title_RESULTS!$C$17),0,(+'Sheet6(p_6)'!$J32))</f>
        <v>0</v>
      </c>
      <c r="E32" s="5">
        <f>IF(A32&gt;=(Title_RESULTS!$H$7+Title_RESULTS!$C$17),0,(+'f-11B'!$N31))</f>
        <v>0</v>
      </c>
      <c r="F32" s="5">
        <f>IF(A32&gt;=(Title_RESULTS!$H$7+Title_RESULTS!$C$17),0,(SUM(B32:E32)))</f>
        <v>0</v>
      </c>
      <c r="G32" s="5">
        <f>IF(A32&gt;=(Title_RESULTS!$H$7+Title_RESULTS!$C$17),0,('Sheet3(F_21)'!$J32))</f>
        <v>0</v>
      </c>
      <c r="H32" s="5">
        <f>IF(A32&gt;=(Title_RESULTS!$H$7+Title_RESULTS!$C$17),0,(+'Sheet4(F_22)'!$D32+'Sheet4(F_22)'!$G32))</f>
        <v>0</v>
      </c>
      <c r="I32" s="5">
        <f>IF(A32&gt;=(Title_RESULTS!$H$7+Title_RESULTS!$C$17),0,(+'Sheet4(F_22)'!$H32))</f>
        <v>354.8393648021341</v>
      </c>
      <c r="J32" s="5">
        <f>IF(A32&gt;=(Title_RESULTS!$H$7+Title_RESULTS!$C$17),0,(IF(Title_RESULTS!$C$31&lt;0,((Partcipation!$B31+(Partcipation!$B32-Partcipation!$B31)/2)*(ABS(Title_RESULTS!$C$31)*(1+Title_RESULTS!$C$32/100)^('Sheet7(F_23)'!$A32-Title_RESULTS!$H$7))/1000)+'f-11B'!$O31,+'f-11B'!$O31)))</f>
        <v>0</v>
      </c>
      <c r="K32" s="5">
        <f>IF(A32&gt;=(Title_RESULTS!$H$7+Title_RESULTS!$C$17),0,(SUM(G32:J32)))</f>
        <v>354.8393648021341</v>
      </c>
      <c r="L32" s="23">
        <f>IF(A32&gt;=(Title_RESULTS!$H$7+Title_RESULTS!$C$17),0,(+$K32-$F32))</f>
        <v>354.8393648021341</v>
      </c>
      <c r="M32" s="23">
        <f>IF(A32&gt;=(Title_RESULTS!$H$7+Title_RESULTS!$C$17),0,(+M31+$L32/(1+Title_RESULTS!$C$37)^('Sheet7(F_23)'!$A32-Title_RESULTS!$H$7)))</f>
        <v>825.5542461980733</v>
      </c>
    </row>
    <row r="33" spans="1:13" ht="12.75">
      <c r="A33">
        <f t="shared" si="0"/>
        <v>2037</v>
      </c>
      <c r="B33" s="5">
        <f>IF(A33&gt;=(Title_RESULTS!$H$7+Title_RESULTS!$C$17),0,(IF($A33&gt;=Title_RESULTS!$H$8,(Partcipation!$B32+(Partcipation!$B33-Partcipation!$B32)/2)*Title_RESULTS!$C$35*(1+Title_RESULTS!$C$36/100)^('Sheet7(F_23)'!$A33-Title_RESULTS!$H$7),0)))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IF(A33&gt;=(Title_RESULTS!$H$7+Title_RESULTS!$C$17),0,(+'Sheet6(p_6)'!$J33))</f>
        <v>0</v>
      </c>
      <c r="E33" s="5">
        <f>IF(A33&gt;=(Title_RESULTS!$H$7+Title_RESULTS!$C$17),0,(+'f-11B'!$N32))</f>
        <v>0</v>
      </c>
      <c r="F33" s="5">
        <f>IF(A33&gt;=(Title_RESULTS!$H$7+Title_RESULTS!$C$17),0,(SUM(B33:E33)))</f>
        <v>0</v>
      </c>
      <c r="G33" s="5">
        <f>IF(A33&gt;=(Title_RESULTS!$H$7+Title_RESULTS!$C$17),0,('Sheet3(F_21)'!$J33))</f>
        <v>0</v>
      </c>
      <c r="H33" s="5">
        <f>IF(A33&gt;=(Title_RESULTS!$H$7+Title_RESULTS!$C$17),0,(+'Sheet4(F_22)'!$D33+'Sheet4(F_22)'!$G33))</f>
        <v>0</v>
      </c>
      <c r="I33" s="5">
        <f>IF(A33&gt;=(Title_RESULTS!$H$7+Title_RESULTS!$C$17),0,(+'Sheet4(F_22)'!$H33))</f>
        <v>378.7252455253067</v>
      </c>
      <c r="J33" s="5">
        <f>IF(A33&gt;=(Title_RESULTS!$H$7+Title_RESULTS!$C$17),0,(IF(Title_RESULTS!$C$31&lt;0,((Partcipation!$B32+(Partcipation!$B33-Partcipation!$B32)/2)*(ABS(Title_RESULTS!$C$31)*(1+Title_RESULTS!$C$32/100)^('Sheet7(F_23)'!$A33-Title_RESULTS!$H$7))/1000)+'f-11B'!$O32,+'f-11B'!$O32)))</f>
        <v>0</v>
      </c>
      <c r="K33" s="5">
        <f>IF(A33&gt;=(Title_RESULTS!$H$7+Title_RESULTS!$C$17),0,(SUM(G33:J33)))</f>
        <v>378.7252455253067</v>
      </c>
      <c r="L33" s="23">
        <f>IF(A33&gt;=(Title_RESULTS!$H$7+Title_RESULTS!$C$17),0,(+$K33-$F33))</f>
        <v>378.7252455253067</v>
      </c>
      <c r="M33" s="23">
        <f>IF(A33&gt;=(Title_RESULTS!$H$7+Title_RESULTS!$C$17),0,(+M32+$L33/(1+Title_RESULTS!$C$37)^('Sheet7(F_23)'!$A33-Title_RESULTS!$H$7)))</f>
        <v>943.9352704010489</v>
      </c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t="s">
        <v>87</v>
      </c>
      <c r="B35" s="5">
        <f aca="true" t="shared" si="1" ref="B35:L35">SUM(B16:B34)</f>
        <v>0</v>
      </c>
      <c r="C35" s="5">
        <f t="shared" si="1"/>
        <v>537.7008000000001</v>
      </c>
      <c r="D35" s="5">
        <f t="shared" si="1"/>
        <v>732.2975335299999</v>
      </c>
      <c r="E35" s="5">
        <f t="shared" si="1"/>
        <v>0</v>
      </c>
      <c r="F35" s="5">
        <f t="shared" si="1"/>
        <v>1269.9983335299999</v>
      </c>
      <c r="G35" s="5">
        <f t="shared" si="1"/>
        <v>0</v>
      </c>
      <c r="H35" s="5">
        <f t="shared" si="1"/>
        <v>0</v>
      </c>
      <c r="I35" s="5">
        <f t="shared" si="1"/>
        <v>4173.673490956645</v>
      </c>
      <c r="J35" s="5">
        <f t="shared" si="1"/>
        <v>0</v>
      </c>
      <c r="K35" s="5">
        <f t="shared" si="1"/>
        <v>4173.673490956645</v>
      </c>
      <c r="L35" s="5">
        <f t="shared" si="1"/>
        <v>2903.6751574266445</v>
      </c>
      <c r="M35" s="5"/>
    </row>
    <row r="36" spans="2:13" ht="12.75"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</row>
    <row r="37" spans="1:13" ht="12.75">
      <c r="A37" t="s">
        <v>118</v>
      </c>
      <c r="B37" s="5">
        <f>NPV(Title_RESULTS!$C$37,'Sheet7(F_23)'!B17:B34)+'Sheet7(F_23)'!B16</f>
        <v>0</v>
      </c>
      <c r="C37" s="5">
        <f>NPV(Title_RESULTS!$C$37,'Sheet7(F_23)'!C17:C34)+'Sheet7(F_23)'!C16</f>
        <v>502.3888206918773</v>
      </c>
      <c r="D37" s="5">
        <f>NPV(Title_RESULTS!$C$37,'Sheet7(F_23)'!D17:D34)+'Sheet7(F_23)'!D16</f>
        <v>684.2364431311344</v>
      </c>
      <c r="E37" s="5">
        <f>NPV(Title_RESULTS!$C$37,'Sheet7(F_23)'!E17:E34)+'Sheet7(F_23)'!E16</f>
        <v>0</v>
      </c>
      <c r="F37" s="5">
        <f>NPV(Title_RESULTS!$C$37,'Sheet7(F_23)'!F17:F34)+'Sheet7(F_23)'!F16</f>
        <v>1186.6252638230117</v>
      </c>
      <c r="G37" s="5">
        <f>NPV(Title_RESULTS!$C$37,'Sheet7(F_23)'!G17:G34)+'Sheet7(F_23)'!G16</f>
        <v>0</v>
      </c>
      <c r="H37" s="5">
        <f>NPV(Title_RESULTS!$C$37,'Sheet7(F_23)'!H17:H34)+'Sheet7(F_23)'!H16</f>
        <v>0</v>
      </c>
      <c r="I37" s="5">
        <f>NPV(Title_RESULTS!$C$37,'Sheet7(F_23)'!I17:I34)+'Sheet7(F_23)'!I16</f>
        <v>2130.5605342240606</v>
      </c>
      <c r="J37" s="5">
        <f>NPV(Title_RESULTS!$C$37,'Sheet7(F_23)'!J17:J34)+'Sheet7(F_23)'!J16</f>
        <v>0</v>
      </c>
      <c r="K37" s="5">
        <f>NPV(Title_RESULTS!$C$37,'Sheet7(F_23)'!K17:K34)+'Sheet7(F_23)'!K16</f>
        <v>2130.5605342240606</v>
      </c>
      <c r="L37" s="5">
        <f>NPV(Title_RESULTS!$C$37,'Sheet7(F_23)'!L17:L34)+'Sheet7(F_23)'!L16</f>
        <v>943.9352704010486</v>
      </c>
      <c r="M37" s="5"/>
    </row>
    <row r="39" spans="1:8" ht="12.75">
      <c r="A39" t="s">
        <v>162</v>
      </c>
      <c r="C39">
        <f>+Title_RESULTS!C37</f>
        <v>0.0708</v>
      </c>
      <c r="D39" t="s">
        <v>163</v>
      </c>
      <c r="H39" s="10">
        <f>+K37/F37</f>
        <v>1.7954788248481446</v>
      </c>
    </row>
    <row r="152" ht="12.75">
      <c r="CH152" s="1"/>
    </row>
  </sheetData>
  <sheetProtection/>
  <printOptions/>
  <pageMargins left="0.75" right="0.75" top="1" bottom="1" header="0.5" footer="0.5"/>
  <pageSetup fitToHeight="1" fitToWidth="1" horizontalDpi="300" verticalDpi="300" orientation="landscape" scale="8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CW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5.421875" style="0" customWidth="1"/>
    <col min="3" max="3" width="12.57421875" style="0" bestFit="1" customWidth="1"/>
    <col min="4" max="4" width="9.57421875" style="0" customWidth="1"/>
    <col min="5" max="5" width="10.8515625" style="0" customWidth="1"/>
    <col min="6" max="6" width="10.421875" style="0" customWidth="1"/>
    <col min="7" max="7" width="11.8515625" style="0" customWidth="1"/>
    <col min="8" max="8" width="11.57421875" style="0" customWidth="1"/>
    <col min="9" max="9" width="12.57421875" style="0" bestFit="1" customWidth="1"/>
    <col min="10" max="10" width="16.140625" style="0" bestFit="1" customWidth="1"/>
    <col min="11" max="11" width="10.57421875" style="0" customWidth="1"/>
    <col min="12" max="12" width="18.8515625" style="0" bestFit="1" customWidth="1"/>
  </cols>
  <sheetData>
    <row r="1" spans="5:12" ht="12.75">
      <c r="E1" t="s">
        <v>164</v>
      </c>
      <c r="L1" t="s">
        <v>165</v>
      </c>
    </row>
    <row r="2" spans="5:12" ht="12.75">
      <c r="E2" t="s">
        <v>41</v>
      </c>
      <c r="F2" t="str">
        <f>+Input!C3</f>
        <v>LED Street Lights</v>
      </c>
      <c r="L2" t="s">
        <v>55</v>
      </c>
    </row>
    <row r="3" ht="12.75">
      <c r="L3" s="35">
        <f>+Title_RESULTS!I4</f>
        <v>43599.31995208334</v>
      </c>
    </row>
    <row r="8" spans="1:12" ht="12.7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</row>
    <row r="9" spans="1:12" ht="12.75">
      <c r="A9" s="6" t="s">
        <v>12</v>
      </c>
      <c r="B9" s="6" t="s">
        <v>13</v>
      </c>
      <c r="C9" s="6" t="s">
        <v>14</v>
      </c>
      <c r="D9" s="6" t="s">
        <v>15</v>
      </c>
      <c r="E9" s="6" t="s">
        <v>16</v>
      </c>
      <c r="F9" s="6" t="s">
        <v>17</v>
      </c>
      <c r="G9" s="6" t="s">
        <v>18</v>
      </c>
      <c r="H9" s="6" t="s">
        <v>19</v>
      </c>
      <c r="I9" s="6" t="s">
        <v>20</v>
      </c>
      <c r="J9" s="6" t="s">
        <v>21</v>
      </c>
      <c r="K9" s="6" t="s">
        <v>22</v>
      </c>
      <c r="L9" s="6" t="s">
        <v>122</v>
      </c>
    </row>
    <row r="10" spans="1:12" ht="12.7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2" ht="12.75">
      <c r="A11" s="6"/>
      <c r="B11" s="6" t="s">
        <v>82</v>
      </c>
      <c r="C11" s="6"/>
      <c r="D11" s="6"/>
      <c r="E11" s="6"/>
      <c r="F11" s="6"/>
      <c r="G11" s="6" t="s">
        <v>0</v>
      </c>
      <c r="H11" s="6"/>
      <c r="I11" s="6"/>
      <c r="J11" s="6"/>
      <c r="K11" s="6"/>
      <c r="L11" s="6"/>
    </row>
    <row r="12" spans="1:12" ht="12.75">
      <c r="A12" s="6"/>
      <c r="B12" s="6" t="s">
        <v>139</v>
      </c>
      <c r="C12" s="6"/>
      <c r="D12" s="6"/>
      <c r="E12" s="6"/>
      <c r="F12" s="6"/>
      <c r="G12" s="6" t="s">
        <v>167</v>
      </c>
      <c r="H12" s="6" t="s">
        <v>167</v>
      </c>
      <c r="I12" s="6"/>
      <c r="J12" s="6"/>
      <c r="K12" s="6"/>
      <c r="L12" s="6" t="s">
        <v>25</v>
      </c>
    </row>
    <row r="13" spans="1:12" ht="12.75">
      <c r="A13" s="6"/>
      <c r="B13" s="6" t="s">
        <v>168</v>
      </c>
      <c r="C13" s="6" t="s">
        <v>169</v>
      </c>
      <c r="D13" s="6" t="s">
        <v>43</v>
      </c>
      <c r="E13" s="6" t="s">
        <v>29</v>
      </c>
      <c r="F13" s="6" t="s">
        <v>50</v>
      </c>
      <c r="G13" s="6" t="s">
        <v>170</v>
      </c>
      <c r="H13" s="6" t="s">
        <v>148</v>
      </c>
      <c r="I13" s="6" t="s">
        <v>29</v>
      </c>
      <c r="J13" s="6" t="s">
        <v>50</v>
      </c>
      <c r="K13" s="6" t="s">
        <v>111</v>
      </c>
      <c r="L13" s="6" t="s">
        <v>159</v>
      </c>
    </row>
    <row r="14" spans="1:12" ht="12.75">
      <c r="A14" s="6"/>
      <c r="B14" s="6" t="s">
        <v>171</v>
      </c>
      <c r="C14" s="6" t="s">
        <v>172</v>
      </c>
      <c r="D14" s="6" t="s">
        <v>153</v>
      </c>
      <c r="E14" s="6" t="s">
        <v>34</v>
      </c>
      <c r="F14" s="6" t="s">
        <v>34</v>
      </c>
      <c r="G14" s="6" t="s">
        <v>33</v>
      </c>
      <c r="H14" s="6" t="s">
        <v>33</v>
      </c>
      <c r="I14" s="6" t="s">
        <v>33</v>
      </c>
      <c r="J14" s="6" t="s">
        <v>33</v>
      </c>
      <c r="K14" s="6" t="s">
        <v>34</v>
      </c>
      <c r="L14" s="6" t="s">
        <v>173</v>
      </c>
    </row>
    <row r="15" spans="1:12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27" t="s">
        <v>83</v>
      </c>
      <c r="L15" s="27" t="s">
        <v>83</v>
      </c>
    </row>
    <row r="16" spans="1:13" ht="12.75">
      <c r="A16">
        <f>+Title_RESULTS!$H$7</f>
        <v>2020</v>
      </c>
      <c r="B16" s="5">
        <f>IF(A16&gt;=(Title_RESULTS!$H$7+Title_RESULTS!$C$17),0,(+'Sheet6(p_6)'!N16-'Sheet6(p_6)'!R16))</f>
        <v>35.95839060642894</v>
      </c>
      <c r="C16" s="5">
        <f>IF(A16&gt;=(Title_RESULTS!$H$7+Title_RESULTS!$C$17),0,(IF(Partcipation!$B16=0,0,((Partcipation!$B16-Partcipation!$B15)*Title_RESULTS!$C$33*(1+Title_RESULTS!$C$35/100)^('Sheet8(F_24)'!$A16-Title_RESULTS!$H$7))/1000)))</f>
        <v>0</v>
      </c>
      <c r="D16" s="5">
        <f>IF(A16&gt;=(Title_RESULTS!$H$7+Title_RESULTS!$C$17),0,(+'Sheet6(p_6)'!$G16))</f>
        <v>85.12</v>
      </c>
      <c r="E16" s="5">
        <f>IF(A16&gt;=(Title_RESULTS!$H$7+Title_RESULTS!$C$17),0,(IF(Title_RESULTS!$C$31&lt;0,((Partcipation!$B15+(Partcipation!$B16-Partcipation!$B15)/2)*(ABS(Title_RESULTS!$C$31)*(1+Title_RESULTS!$C$32/100)^('Sheet6(p_6)'!$A16-Title_RESULTS!$H$7))/1000)+'f-11B'!$Q15,+'f-11B'!$Q15)))</f>
        <v>0</v>
      </c>
      <c r="F16" s="5">
        <f>IF(A16&gt;=(Title_RESULTS!$H$7+Title_RESULTS!$C$17),0,(SUM(B16:E16)))</f>
        <v>121.07839060642894</v>
      </c>
      <c r="G16" s="5">
        <f>IF(A16&gt;=(Title_RESULTS!$H$7+Title_RESULTS!$C$17),0,(+'Sheet6(p_6)'!$H16))</f>
        <v>238.57</v>
      </c>
      <c r="H16" s="5">
        <f>IF(A16&gt;=(Title_RESULTS!$H$7+Title_RESULTS!$C$17),0,(+'Sheet6(p_6)'!$I16))</f>
        <v>0</v>
      </c>
      <c r="I16" s="5">
        <f>IF(A16&gt;=(Title_RESULTS!$H$7+Title_RESULTS!$C$17),0,(+'f-11B'!$P15))</f>
        <v>0</v>
      </c>
      <c r="J16" s="5">
        <f>IF(A16&gt;=(Title_RESULTS!$H$7+Title_RESULTS!$C$17),0,(SUM(G16:I16)))</f>
        <v>238.57</v>
      </c>
      <c r="K16" s="23">
        <f>IF(A16&gt;=(Title_RESULTS!$H$7+Title_RESULTS!$C$17),0,(+F16-J16))</f>
        <v>-117.49160939357105</v>
      </c>
      <c r="L16" s="23">
        <f>IF(A16&gt;=(Title_RESULTS!$H$7+Title_RESULTS!$C$17),0,(+$K16/((1+Title_RESULTS!$C$37)^('Sheet8(F_24)'!$A16-Title_RESULTS!$H$7))))</f>
        <v>-117.49160939357105</v>
      </c>
      <c r="M16" s="5"/>
    </row>
    <row r="17" spans="1:13" ht="12.75">
      <c r="A17">
        <f>+A16+1</f>
        <v>2021</v>
      </c>
      <c r="B17" s="5">
        <f>IF(A17&gt;=(Title_RESULTS!$H$7+Title_RESULTS!$C$17),0,(+'Sheet6(p_6)'!N17-'Sheet6(p_6)'!R17))</f>
        <v>111.27563429399905</v>
      </c>
      <c r="C17" s="5">
        <f>IF(A17&gt;=(Title_RESULTS!$H$7+Title_RESULTS!$C$17),0,(IF(Partcipation!$B17=0,0,((Partcipation!$B17-Partcipation!$B16)*Title_RESULTS!$C$33*(1+Title_RESULTS!$C$35/100)^('Sheet8(F_24)'!$A17-Title_RESULTS!$H$7))/1000)))</f>
        <v>0</v>
      </c>
      <c r="D17" s="5">
        <f>IF(A17&gt;=(Title_RESULTS!$H$7+Title_RESULTS!$C$17),0,(+'Sheet6(p_6)'!$G17))</f>
        <v>85.12</v>
      </c>
      <c r="E17" s="5">
        <f>IF(A17&gt;=(Title_RESULTS!$H$7+Title_RESULTS!$C$17),0,(IF(Title_RESULTS!$C$31&lt;0,((Partcipation!$B16+(Partcipation!$B17-Partcipation!$B16)/2)*(ABS(Title_RESULTS!$C$31)*(1+Title_RESULTS!$C$32/100)^('Sheet6(p_6)'!$A17-Title_RESULTS!$H$7))/1000)+'f-11B'!$Q16,+'f-11B'!$Q16)))</f>
        <v>0</v>
      </c>
      <c r="F17" s="5">
        <f>IF(A17&gt;=(Title_RESULTS!$H$7+Title_RESULTS!$C$17),0,(SUM(B17:E17)))</f>
        <v>196.39563429399905</v>
      </c>
      <c r="G17" s="5">
        <f>IF(A17&gt;=(Title_RESULTS!$H$7+Title_RESULTS!$C$17),0,(+'Sheet6(p_6)'!$H17))</f>
        <v>244.05710999999997</v>
      </c>
      <c r="H17" s="5">
        <f>IF(A17&gt;=(Title_RESULTS!$H$7+Title_RESULTS!$C$17),0,(+'Sheet6(p_6)'!$I17))</f>
        <v>0</v>
      </c>
      <c r="I17" s="5">
        <f>IF(A17&gt;=(Title_RESULTS!$H$7+Title_RESULTS!$C$17),0,(+'f-11B'!$P16))</f>
        <v>0</v>
      </c>
      <c r="J17" s="5">
        <f>IF(A17&gt;=(Title_RESULTS!$H$7+Title_RESULTS!$C$17),0,(SUM(G17:I17)))</f>
        <v>244.05710999999997</v>
      </c>
      <c r="K17" s="23">
        <f>IF(A17&gt;=(Title_RESULTS!$H$7+Title_RESULTS!$C$17),0,(+F17-J17))</f>
        <v>-47.661475706000914</v>
      </c>
      <c r="L17" s="23">
        <f>IF(A16&gt;=(Title_RESULTS!$H$7+Title_RESULTS!$C$17),0,(+$K17/((1+Title_RESULTS!$C$37)^('Sheet8(F_24)'!$A17-Title_RESULTS!$H$7))+L16))</f>
        <v>-162.00176601105417</v>
      </c>
      <c r="M17" s="5"/>
    </row>
    <row r="18" spans="1:13" ht="12.75">
      <c r="A18">
        <f>+A17+1</f>
        <v>2022</v>
      </c>
      <c r="B18" s="5">
        <f>IF(A18&gt;=(Title_RESULTS!$H$7+Title_RESULTS!$C$17),0,(+'Sheet6(p_6)'!N18-'Sheet6(p_6)'!R18))</f>
        <v>190.20762745099532</v>
      </c>
      <c r="C18" s="5">
        <f>IF(A18&gt;=(Title_RESULTS!$H$7+Title_RESULTS!$C$17),0,(IF(Partcipation!$B18=0,0,((Partcipation!$B18-Partcipation!$B17)*Title_RESULTS!$C$33*(1+Title_RESULTS!$C$35/100)^('Sheet8(F_24)'!$A18-Title_RESULTS!$H$7))/1000)))</f>
        <v>0</v>
      </c>
      <c r="D18" s="5">
        <f>IF(A18&gt;=(Title_RESULTS!$H$7+Title_RESULTS!$C$17),0,(+'Sheet6(p_6)'!$G18))</f>
        <v>85.12</v>
      </c>
      <c r="E18" s="5">
        <f>IF(A18&gt;=(Title_RESULTS!$H$7+Title_RESULTS!$C$17),0,(IF(Title_RESULTS!$C$31&lt;0,((Partcipation!$B17+(Partcipation!$B18-Partcipation!$B17)/2)*(ABS(Title_RESULTS!$C$31)*(1+Title_RESULTS!$C$32/100)^('Sheet6(p_6)'!$A18-Title_RESULTS!$H$7))/1000)+'f-11B'!$Q17,+'f-11B'!$Q17)))</f>
        <v>0</v>
      </c>
      <c r="F18" s="5">
        <f>IF(A18&gt;=(Title_RESULTS!$H$7+Title_RESULTS!$C$17),0,(SUM(B18:E18)))</f>
        <v>275.32762745099535</v>
      </c>
      <c r="G18" s="5">
        <f>IF(A18&gt;=(Title_RESULTS!$H$7+Title_RESULTS!$C$17),0,(+'Sheet6(p_6)'!$H18))</f>
        <v>249.67042352999994</v>
      </c>
      <c r="H18" s="5">
        <f>IF(A18&gt;=(Title_RESULTS!$H$7+Title_RESULTS!$C$17),0,(+'Sheet6(p_6)'!$I18))</f>
        <v>0</v>
      </c>
      <c r="I18" s="5">
        <f>IF(A18&gt;=(Title_RESULTS!$H$7+Title_RESULTS!$C$17),0,(+'f-11B'!$P17))</f>
        <v>0</v>
      </c>
      <c r="J18" s="5">
        <f>IF(A18&gt;=(Title_RESULTS!$H$7+Title_RESULTS!$C$17),0,(SUM(G18:I18)))</f>
        <v>249.67042352999994</v>
      </c>
      <c r="K18" s="23">
        <f>IF(A18&gt;=(Title_RESULTS!$H$7+Title_RESULTS!$C$17),0,(+F18-J18))</f>
        <v>25.657203920995414</v>
      </c>
      <c r="L18" s="23">
        <f>IF(A17&gt;=(Title_RESULTS!$H$7+Title_RESULTS!$C$17),0,(+$K18/((1+Title_RESULTS!$C$37)^('Sheet8(F_24)'!$A18-Title_RESULTS!$H$7))+L17))</f>
        <v>-139.62524317680788</v>
      </c>
      <c r="M18" s="5"/>
    </row>
    <row r="19" spans="1:13" ht="12.75">
      <c r="A19">
        <f aca="true" t="shared" si="0" ref="A19:A33">+A18+1</f>
        <v>2023</v>
      </c>
      <c r="B19" s="5">
        <f>IF(A19&gt;=(Title_RESULTS!$H$7+Title_RESULTS!$C$17),0,(+'Sheet6(p_6)'!N19-'Sheet6(p_6)'!R19))</f>
        <v>228.09025424291093</v>
      </c>
      <c r="C19" s="5">
        <f>IF(A19&gt;=(Title_RESULTS!$H$7+Title_RESULTS!$C$17),0,(IF(Partcipation!$B19=0,0,((Partcipation!$B19-Partcipation!$B18)*Title_RESULTS!$C$33*(1+Title_RESULTS!$C$35/100)^('Sheet8(F_24)'!$A19-Title_RESULTS!$H$7))/1000)))</f>
        <v>0</v>
      </c>
      <c r="D19" s="5">
        <f>IF(A19&gt;=(Title_RESULTS!$H$7+Title_RESULTS!$C$17),0,(+'Sheet6(p_6)'!$G19))</f>
        <v>0</v>
      </c>
      <c r="E19" s="5">
        <f>IF(A19&gt;=(Title_RESULTS!$H$7+Title_RESULTS!$C$17),0,(IF(Title_RESULTS!$C$31&lt;0,((Partcipation!$B18+(Partcipation!$B19-Partcipation!$B18)/2)*(ABS(Title_RESULTS!$C$31)*(1+Title_RESULTS!$C$32/100)^('Sheet6(p_6)'!$A19-Title_RESULTS!$H$7))/1000)+'f-11B'!$Q18,+'f-11B'!$Q18)))</f>
        <v>0</v>
      </c>
      <c r="F19" s="5">
        <f>IF(A19&gt;=(Title_RESULTS!$H$7+Title_RESULTS!$C$17),0,(SUM(B19:E19)))</f>
        <v>228.09025424291093</v>
      </c>
      <c r="G19" s="5">
        <f>IF(A19&gt;=(Title_RESULTS!$H$7+Title_RESULTS!$C$17),0,(+'Sheet6(p_6)'!$H19))</f>
        <v>0</v>
      </c>
      <c r="H19" s="5">
        <f>IF(A19&gt;=(Title_RESULTS!$H$7+Title_RESULTS!$C$17),0,(+'Sheet6(p_6)'!$I19))</f>
        <v>0</v>
      </c>
      <c r="I19" s="5">
        <f>IF(A19&gt;=(Title_RESULTS!$H$7+Title_RESULTS!$C$17),0,(+'f-11B'!$P18))</f>
        <v>0</v>
      </c>
      <c r="J19" s="5">
        <f>IF(A19&gt;=(Title_RESULTS!$H$7+Title_RESULTS!$C$17),0,(SUM(G19:I19)))</f>
        <v>0</v>
      </c>
      <c r="K19" s="23">
        <f>IF(A19&gt;=(Title_RESULTS!$H$7+Title_RESULTS!$C$17),0,(+F19-J19))</f>
        <v>228.09025424291093</v>
      </c>
      <c r="L19" s="23">
        <f>IF(A18&gt;=(Title_RESULTS!$H$7+Title_RESULTS!$C$17),0,(+$K19/((1+Title_RESULTS!$C$37)^('Sheet8(F_24)'!$A19-Title_RESULTS!$H$7))+L18))</f>
        <v>46.147349293737676</v>
      </c>
      <c r="M19" s="5"/>
    </row>
    <row r="20" spans="1:13" ht="12.75">
      <c r="A20">
        <f t="shared" si="0"/>
        <v>2024</v>
      </c>
      <c r="B20" s="5">
        <f>IF(A20&gt;=(Title_RESULTS!$H$7+Title_RESULTS!$C$17),0,(+'Sheet6(p_6)'!N20-'Sheet6(p_6)'!R20))</f>
        <v>236.58776846566317</v>
      </c>
      <c r="C20" s="5">
        <f>IF(A20&gt;=(Title_RESULTS!$H$7+Title_RESULTS!$C$17),0,(IF(Partcipation!$B20=0,0,((Partcipation!$B20-Partcipation!$B19)*Title_RESULTS!$C$33*(1+Title_RESULTS!$C$35/100)^('Sheet8(F_24)'!$A20-Title_RESULTS!$H$7))/1000)))</f>
        <v>0</v>
      </c>
      <c r="D20" s="5">
        <f>IF(A20&gt;=(Title_RESULTS!$H$7+Title_RESULTS!$C$17),0,(+'Sheet6(p_6)'!$G20))</f>
        <v>0</v>
      </c>
      <c r="E20" s="5">
        <f>IF(A20&gt;=(Title_RESULTS!$H$7+Title_RESULTS!$C$17),0,(IF(Title_RESULTS!$C$31&lt;0,((Partcipation!$B19+(Partcipation!$B20-Partcipation!$B19)/2)*(ABS(Title_RESULTS!$C$31)*(1+Title_RESULTS!$C$32/100)^('Sheet6(p_6)'!$A20-Title_RESULTS!$H$7))/1000)+'f-11B'!$Q19,+'f-11B'!$Q19)))</f>
        <v>0</v>
      </c>
      <c r="F20" s="5">
        <f>IF(A20&gt;=(Title_RESULTS!$H$7+Title_RESULTS!$C$17),0,(SUM(B20:E20)))</f>
        <v>236.58776846566317</v>
      </c>
      <c r="G20" s="5">
        <f>IF(A20&gt;=(Title_RESULTS!$H$7+Title_RESULTS!$C$17),0,(+'Sheet6(p_6)'!$H20))</f>
        <v>0</v>
      </c>
      <c r="H20" s="5">
        <f>IF(A20&gt;=(Title_RESULTS!$H$7+Title_RESULTS!$C$17),0,(+'Sheet6(p_6)'!$I20))</f>
        <v>0</v>
      </c>
      <c r="I20" s="5">
        <f>IF(A20&gt;=(Title_RESULTS!$H$7+Title_RESULTS!$C$17),0,(+'f-11B'!$P19))</f>
        <v>0</v>
      </c>
      <c r="J20" s="5">
        <f>IF(A20&gt;=(Title_RESULTS!$H$7+Title_RESULTS!$C$17),0,(SUM(G20:I20)))</f>
        <v>0</v>
      </c>
      <c r="K20" s="23">
        <f>IF(A20&gt;=(Title_RESULTS!$H$7+Title_RESULTS!$C$17),0,(+F20-J20))</f>
        <v>236.58776846566317</v>
      </c>
      <c r="L20" s="23">
        <f>IF(A19&gt;=(Title_RESULTS!$H$7+Title_RESULTS!$C$17),0,(+$K20/((1+Title_RESULTS!$C$37)^('Sheet8(F_24)'!$A20-Title_RESULTS!$H$7))+L19))</f>
        <v>226.1002443390658</v>
      </c>
      <c r="M20" s="5"/>
    </row>
    <row r="21" spans="1:13" ht="12.75">
      <c r="A21">
        <f t="shared" si="0"/>
        <v>2025</v>
      </c>
      <c r="B21" s="5">
        <f>IF(A21&gt;=(Title_RESULTS!$H$7+Title_RESULTS!$C$17),0,(+'Sheet6(p_6)'!N21-'Sheet6(p_6)'!R21))</f>
        <v>245.61832795756825</v>
      </c>
      <c r="C21" s="5">
        <f>IF(A21&gt;=(Title_RESULTS!$H$7+Title_RESULTS!$C$17),0,(IF(Partcipation!$B21=0,0,((Partcipation!$B21-Partcipation!$B20)*Title_RESULTS!$C$33*(1+Title_RESULTS!$C$35/100)^('Sheet8(F_24)'!$A21-Title_RESULTS!$H$7))/1000)))</f>
        <v>0</v>
      </c>
      <c r="D21" s="5">
        <f>IF(A21&gt;=(Title_RESULTS!$H$7+Title_RESULTS!$C$17),0,(+'Sheet6(p_6)'!$G21))</f>
        <v>0</v>
      </c>
      <c r="E21" s="5">
        <f>IF(A21&gt;=(Title_RESULTS!$H$7+Title_RESULTS!$C$17),0,(IF(Title_RESULTS!$C$31&lt;0,((Partcipation!$B20+(Partcipation!$B21-Partcipation!$B20)/2)*(ABS(Title_RESULTS!$C$31)*(1+Title_RESULTS!$C$32/100)^('Sheet6(p_6)'!$A21-Title_RESULTS!$H$7))/1000)+'f-11B'!$Q20,+'f-11B'!$Q20)))</f>
        <v>0</v>
      </c>
      <c r="F21" s="5">
        <f>IF(A21&gt;=(Title_RESULTS!$H$7+Title_RESULTS!$C$17),0,(SUM(B21:E21)))</f>
        <v>245.61832795756825</v>
      </c>
      <c r="G21" s="5">
        <f>IF(A21&gt;=(Title_RESULTS!$H$7+Title_RESULTS!$C$17),0,(+'Sheet6(p_6)'!$H21))</f>
        <v>0</v>
      </c>
      <c r="H21" s="5">
        <f>IF(A21&gt;=(Title_RESULTS!$H$7+Title_RESULTS!$C$17),0,(+'Sheet6(p_6)'!$I21))</f>
        <v>0</v>
      </c>
      <c r="I21" s="5">
        <f>IF(A21&gt;=(Title_RESULTS!$H$7+Title_RESULTS!$C$17),0,(+'f-11B'!$P20))</f>
        <v>0</v>
      </c>
      <c r="J21" s="5">
        <f>IF(A21&gt;=(Title_RESULTS!$H$7+Title_RESULTS!$C$17),0,(SUM(G21:I21)))</f>
        <v>0</v>
      </c>
      <c r="K21" s="23">
        <f>IF(A21&gt;=(Title_RESULTS!$H$7+Title_RESULTS!$C$17),0,(+F21-J21))</f>
        <v>245.61832795756825</v>
      </c>
      <c r="L21" s="23">
        <f>IF(A20&gt;=(Title_RESULTS!$H$7+Title_RESULTS!$C$17),0,(+$K21/((1+Title_RESULTS!$C$37)^('Sheet8(F_24)'!$A21-Title_RESULTS!$H$7))+L20))</f>
        <v>400.5695199953808</v>
      </c>
      <c r="M21" s="5"/>
    </row>
    <row r="22" spans="1:13" ht="12.75">
      <c r="A22">
        <f t="shared" si="0"/>
        <v>2026</v>
      </c>
      <c r="B22" s="5">
        <f>IF(A22&gt;=(Title_RESULTS!$H$7+Title_RESULTS!$C$17),0,(+'Sheet6(p_6)'!N22-'Sheet6(p_6)'!R22))</f>
        <v>253.31014640309803</v>
      </c>
      <c r="C22" s="5">
        <f>IF(A22&gt;=(Title_RESULTS!$H$7+Title_RESULTS!$C$17),0,(IF(Partcipation!$B22=0,0,((Partcipation!$B22-Partcipation!$B21)*Title_RESULTS!$C$33*(1+Title_RESULTS!$C$35/100)^('Sheet8(F_24)'!$A22-Title_RESULTS!$H$7))/1000)))</f>
        <v>0</v>
      </c>
      <c r="D22" s="5">
        <f>IF(A22&gt;=(Title_RESULTS!$H$7+Title_RESULTS!$C$17),0,(+'Sheet6(p_6)'!$G22))</f>
        <v>0</v>
      </c>
      <c r="E22" s="5">
        <f>IF(A22&gt;=(Title_RESULTS!$H$7+Title_RESULTS!$C$17),0,(IF(Title_RESULTS!$C$31&lt;0,((Partcipation!$B21+(Partcipation!$B22-Partcipation!$B21)/2)*(ABS(Title_RESULTS!$C$31)*(1+Title_RESULTS!$C$32/100)^('Sheet6(p_6)'!$A22-Title_RESULTS!$H$7))/1000)+'f-11B'!$Q21,+'f-11B'!$Q21)))</f>
        <v>0</v>
      </c>
      <c r="F22" s="5">
        <f>IF(A22&gt;=(Title_RESULTS!$H$7+Title_RESULTS!$C$17),0,(SUM(B22:E22)))</f>
        <v>253.31014640309803</v>
      </c>
      <c r="G22" s="5">
        <f>IF(A22&gt;=(Title_RESULTS!$H$7+Title_RESULTS!$C$17),0,(+'Sheet6(p_6)'!$H22))</f>
        <v>0</v>
      </c>
      <c r="H22" s="5">
        <f>IF(A22&gt;=(Title_RESULTS!$H$7+Title_RESULTS!$C$17),0,(+'Sheet6(p_6)'!$I22))</f>
        <v>0</v>
      </c>
      <c r="I22" s="5">
        <f>IF(A22&gt;=(Title_RESULTS!$H$7+Title_RESULTS!$C$17),0,(+'f-11B'!$P21))</f>
        <v>0</v>
      </c>
      <c r="J22" s="5">
        <f>IF(A22&gt;=(Title_RESULTS!$H$7+Title_RESULTS!$C$17),0,(SUM(G22:I22)))</f>
        <v>0</v>
      </c>
      <c r="K22" s="23">
        <f>IF(A22&gt;=(Title_RESULTS!$H$7+Title_RESULTS!$C$17),0,(+F22-J22))</f>
        <v>253.31014640309803</v>
      </c>
      <c r="L22" s="23">
        <f>IF(A21&gt;=(Title_RESULTS!$H$7+Title_RESULTS!$C$17),0,(+$K22/((1+Title_RESULTS!$C$37)^('Sheet8(F_24)'!$A22-Title_RESULTS!$H$7))+L21))</f>
        <v>568.6055493884402</v>
      </c>
      <c r="M22" s="5"/>
    </row>
    <row r="23" spans="1:13" ht="12.75">
      <c r="A23">
        <f t="shared" si="0"/>
        <v>2027</v>
      </c>
      <c r="B23" s="5">
        <f>IF(A23&gt;=(Title_RESULTS!$H$7+Title_RESULTS!$C$17),0,(+'Sheet6(p_6)'!N23-'Sheet6(p_6)'!R23))</f>
        <v>263.43945935704824</v>
      </c>
      <c r="C23" s="5">
        <f>IF(A23&gt;=(Title_RESULTS!$H$7+Title_RESULTS!$C$17),0,(IF(Partcipation!$B23=0,0,((Partcipation!$B23-Partcipation!$B22)*Title_RESULTS!$C$33*(1+Title_RESULTS!$C$35/100)^('Sheet8(F_24)'!$A23-Title_RESULTS!$H$7))/1000)))</f>
        <v>0</v>
      </c>
      <c r="D23" s="5">
        <f>IF(A23&gt;=(Title_RESULTS!$H$7+Title_RESULTS!$C$17),0,(+'Sheet6(p_6)'!$G23))</f>
        <v>0</v>
      </c>
      <c r="E23" s="5">
        <f>IF(A23&gt;=(Title_RESULTS!$H$7+Title_RESULTS!$C$17),0,(IF(Title_RESULTS!$C$31&lt;0,((Partcipation!$B22+(Partcipation!$B23-Partcipation!$B22)/2)*(ABS(Title_RESULTS!$C$31)*(1+Title_RESULTS!$C$32/100)^('Sheet6(p_6)'!$A23-Title_RESULTS!$H$7))/1000)+'f-11B'!$Q22,+'f-11B'!$Q22)))</f>
        <v>0</v>
      </c>
      <c r="F23" s="5">
        <f>IF(A23&gt;=(Title_RESULTS!$H$7+Title_RESULTS!$C$17),0,(SUM(B23:E23)))</f>
        <v>263.43945935704824</v>
      </c>
      <c r="G23" s="5">
        <f>IF(A23&gt;=(Title_RESULTS!$H$7+Title_RESULTS!$C$17),0,(+'Sheet6(p_6)'!$H23))</f>
        <v>0</v>
      </c>
      <c r="H23" s="5">
        <f>IF(A23&gt;=(Title_RESULTS!$H$7+Title_RESULTS!$C$17),0,(+'Sheet6(p_6)'!$I23))</f>
        <v>0</v>
      </c>
      <c r="I23" s="5">
        <f>IF(A23&gt;=(Title_RESULTS!$H$7+Title_RESULTS!$C$17),0,(+'f-11B'!$P22))</f>
        <v>0</v>
      </c>
      <c r="J23" s="5">
        <f>IF(A23&gt;=(Title_RESULTS!$H$7+Title_RESULTS!$C$17),0,(SUM(G23:I23)))</f>
        <v>0</v>
      </c>
      <c r="K23" s="23">
        <f>IF(A23&gt;=(Title_RESULTS!$H$7+Title_RESULTS!$C$17),0,(+F23-J23))</f>
        <v>263.43945935704824</v>
      </c>
      <c r="L23" s="23">
        <f>IF(A22&gt;=(Title_RESULTS!$H$7+Title_RESULTS!$C$17),0,(+$K23/((1+Title_RESULTS!$C$37)^('Sheet8(F_24)'!$A23-Title_RESULTS!$H$7))+L22))</f>
        <v>731.8063514603709</v>
      </c>
      <c r="M23" s="5"/>
    </row>
    <row r="24" spans="1:13" ht="12.75">
      <c r="A24">
        <f t="shared" si="0"/>
        <v>2028</v>
      </c>
      <c r="B24" s="5">
        <f>IF(A24&gt;=(Title_RESULTS!$H$7+Title_RESULTS!$C$17),0,(+'Sheet6(p_6)'!N24-'Sheet6(p_6)'!R24))</f>
        <v>280.0106433312959</v>
      </c>
      <c r="C24" s="5">
        <f>IF(A24&gt;=(Title_RESULTS!$H$7+Title_RESULTS!$C$17),0,(IF(Partcipation!$B24=0,0,((Partcipation!$B24-Partcipation!$B23)*Title_RESULTS!$C$33*(1+Title_RESULTS!$C$35/100)^('Sheet8(F_24)'!$A24-Title_RESULTS!$H$7))/1000)))</f>
        <v>0</v>
      </c>
      <c r="D24" s="5">
        <f>IF(A24&gt;=(Title_RESULTS!$H$7+Title_RESULTS!$C$17),0,(+'Sheet6(p_6)'!$G24))</f>
        <v>0</v>
      </c>
      <c r="E24" s="5">
        <f>IF(A24&gt;=(Title_RESULTS!$H$7+Title_RESULTS!$C$17),0,(IF(Title_RESULTS!$C$31&lt;0,((Partcipation!$B23+(Partcipation!$B24-Partcipation!$B23)/2)*(ABS(Title_RESULTS!$C$31)*(1+Title_RESULTS!$C$32/100)^('Sheet6(p_6)'!$A24-Title_RESULTS!$H$7))/1000)+'f-11B'!$Q23,+'f-11B'!$Q23)))</f>
        <v>0</v>
      </c>
      <c r="F24" s="5">
        <f>IF(A24&gt;=(Title_RESULTS!$H$7+Title_RESULTS!$C$17),0,(SUM(B24:E24)))</f>
        <v>280.0106433312959</v>
      </c>
      <c r="G24" s="5">
        <f>IF(A24&gt;=(Title_RESULTS!$H$7+Title_RESULTS!$C$17),0,(+'Sheet6(p_6)'!$H24))</f>
        <v>0</v>
      </c>
      <c r="H24" s="5">
        <f>IF(A24&gt;=(Title_RESULTS!$H$7+Title_RESULTS!$C$17),0,(+'Sheet6(p_6)'!$I24))</f>
        <v>0</v>
      </c>
      <c r="I24" s="5">
        <f>IF(A24&gt;=(Title_RESULTS!$H$7+Title_RESULTS!$C$17),0,(+'f-11B'!$P23))</f>
        <v>0</v>
      </c>
      <c r="J24" s="5">
        <f>IF(A24&gt;=(Title_RESULTS!$H$7+Title_RESULTS!$C$17),0,(SUM(G24:I24)))</f>
        <v>0</v>
      </c>
      <c r="K24" s="23">
        <f>IF(A24&gt;=(Title_RESULTS!$H$7+Title_RESULTS!$C$17),0,(+F24-J24))</f>
        <v>280.0106433312959</v>
      </c>
      <c r="L24" s="23">
        <f>IF(A23&gt;=(Title_RESULTS!$H$7+Title_RESULTS!$C$17),0,(+$K24/((1+Title_RESULTS!$C$37)^('Sheet8(F_24)'!$A24-Title_RESULTS!$H$7))+L23))</f>
        <v>893.8036003672391</v>
      </c>
      <c r="M24" s="5"/>
    </row>
    <row r="25" spans="1:13" ht="12.75">
      <c r="A25">
        <f t="shared" si="0"/>
        <v>2029</v>
      </c>
      <c r="B25" s="5">
        <f>IF(A25&gt;=(Title_RESULTS!$H$7+Title_RESULTS!$C$17),0,(+'Sheet6(p_6)'!N25-'Sheet6(p_6)'!R25))</f>
        <v>290.18686335908257</v>
      </c>
      <c r="C25" s="5">
        <f>IF(A25&gt;=(Title_RESULTS!$H$7+Title_RESULTS!$C$17),0,(IF(Partcipation!$B25=0,0,((Partcipation!$B25-Partcipation!$B24)*Title_RESULTS!$C$33*(1+Title_RESULTS!$C$35/100)^('Sheet8(F_24)'!$A25-Title_RESULTS!$H$7))/1000)))</f>
        <v>0</v>
      </c>
      <c r="D25" s="5">
        <f>IF(A25&gt;=(Title_RESULTS!$H$7+Title_RESULTS!$C$17),0,(+'Sheet6(p_6)'!$G25))</f>
        <v>0</v>
      </c>
      <c r="E25" s="5">
        <f>IF(A25&gt;=(Title_RESULTS!$H$7+Title_RESULTS!$C$17),0,(IF(Title_RESULTS!$C$31&lt;0,((Partcipation!$B24+(Partcipation!$B25-Partcipation!$B24)/2)*(ABS(Title_RESULTS!$C$31)*(1+Title_RESULTS!$C$32/100)^('Sheet6(p_6)'!$A25-Title_RESULTS!$H$7))/1000)+'f-11B'!$Q24,+'f-11B'!$Q24)))</f>
        <v>0</v>
      </c>
      <c r="F25" s="5">
        <f>IF(A25&gt;=(Title_RESULTS!$H$7+Title_RESULTS!$C$17),0,(SUM(B25:E25)))</f>
        <v>290.18686335908257</v>
      </c>
      <c r="G25" s="5">
        <f>IF(A25&gt;=(Title_RESULTS!$H$7+Title_RESULTS!$C$17),0,(+'Sheet6(p_6)'!$H25))</f>
        <v>0</v>
      </c>
      <c r="H25" s="5">
        <f>IF(A25&gt;=(Title_RESULTS!$H$7+Title_RESULTS!$C$17),0,(+'Sheet6(p_6)'!$I25))</f>
        <v>0</v>
      </c>
      <c r="I25" s="5">
        <f>IF(A25&gt;=(Title_RESULTS!$H$7+Title_RESULTS!$C$17),0,(+'f-11B'!$P24))</f>
        <v>0</v>
      </c>
      <c r="J25" s="5">
        <f>IF(A25&gt;=(Title_RESULTS!$H$7+Title_RESULTS!$C$17),0,(SUM(G25:I25)))</f>
        <v>0</v>
      </c>
      <c r="K25" s="23">
        <f>IF(A25&gt;=(Title_RESULTS!$H$7+Title_RESULTS!$C$17),0,(+F25-J25))</f>
        <v>290.18686335908257</v>
      </c>
      <c r="L25" s="23">
        <f>IF(A24&gt;=(Title_RESULTS!$H$7+Title_RESULTS!$C$17),0,(+$K25/((1+Title_RESULTS!$C$37)^('Sheet8(F_24)'!$A25-Title_RESULTS!$H$7))+L24))</f>
        <v>1050.587869410803</v>
      </c>
      <c r="M25" s="5"/>
    </row>
    <row r="26" spans="1:13" ht="12.75">
      <c r="A26">
        <f t="shared" si="0"/>
        <v>2030</v>
      </c>
      <c r="B26" s="5">
        <f>IF(A26&gt;=(Title_RESULTS!$H$7+Title_RESULTS!$C$17),0,(+'Sheet6(p_6)'!N26-'Sheet6(p_6)'!R26))</f>
        <v>308.1488969413454</v>
      </c>
      <c r="C26" s="5">
        <f>IF(A26&gt;=(Title_RESULTS!$H$7+Title_RESULTS!$C$17),0,(IF(Partcipation!$B26=0,0,((Partcipation!$B26-Partcipation!$B25)*Title_RESULTS!$C$33*(1+Title_RESULTS!$C$35/100)^('Sheet8(F_24)'!$A26-Title_RESULTS!$H$7))/1000)))</f>
        <v>0</v>
      </c>
      <c r="D26" s="5">
        <f>IF(A26&gt;=(Title_RESULTS!$H$7+Title_RESULTS!$C$17),0,(+'Sheet6(p_6)'!$G26))</f>
        <v>0</v>
      </c>
      <c r="E26" s="5">
        <f>IF(A26&gt;=(Title_RESULTS!$H$7+Title_RESULTS!$C$17),0,(IF(Title_RESULTS!$C$31&lt;0,((Partcipation!$B25+(Partcipation!$B26-Partcipation!$B25)/2)*(ABS(Title_RESULTS!$C$31)*(1+Title_RESULTS!$C$32/100)^('Sheet6(p_6)'!$A26-Title_RESULTS!$H$7))/1000)+'f-11B'!$Q25,+'f-11B'!$Q25)))</f>
        <v>0</v>
      </c>
      <c r="F26" s="5">
        <f>IF(A26&gt;=(Title_RESULTS!$H$7+Title_RESULTS!$C$17),0,(SUM(B26:E26)))</f>
        <v>308.1488969413454</v>
      </c>
      <c r="G26" s="5">
        <f>IF(A26&gt;=(Title_RESULTS!$H$7+Title_RESULTS!$C$17),0,(+'Sheet6(p_6)'!$H26))</f>
        <v>0</v>
      </c>
      <c r="H26" s="5">
        <f>IF(A26&gt;=(Title_RESULTS!$H$7+Title_RESULTS!$C$17),0,(+'Sheet6(p_6)'!$I26))</f>
        <v>0</v>
      </c>
      <c r="I26" s="5">
        <f>IF(A26&gt;=(Title_RESULTS!$H$7+Title_RESULTS!$C$17),0,(+'f-11B'!$P25))</f>
        <v>0</v>
      </c>
      <c r="J26" s="5">
        <f>IF(A26&gt;=(Title_RESULTS!$H$7+Title_RESULTS!$C$17),0,(SUM(G26:I26)))</f>
        <v>0</v>
      </c>
      <c r="K26" s="23">
        <f>IF(A26&gt;=(Title_RESULTS!$H$7+Title_RESULTS!$C$17),0,(+F26-J26))</f>
        <v>308.1488969413454</v>
      </c>
      <c r="L26" s="23">
        <f>IF(A25&gt;=(Title_RESULTS!$H$7+Title_RESULTS!$C$17),0,(+$K26/((1+Title_RESULTS!$C$37)^('Sheet8(F_24)'!$A26-Title_RESULTS!$H$7))+L25))</f>
        <v>1206.0687502325725</v>
      </c>
      <c r="M26" s="5"/>
    </row>
    <row r="27" spans="1:13" ht="12.75">
      <c r="A27">
        <f t="shared" si="0"/>
        <v>2031</v>
      </c>
      <c r="B27" s="5">
        <f>IF(A27&gt;=(Title_RESULTS!$H$7+Title_RESULTS!$C$17),0,(+'Sheet6(p_6)'!N27-'Sheet6(p_6)'!R27))</f>
        <v>316.2781328462085</v>
      </c>
      <c r="C27" s="5">
        <f>IF(A27&gt;=(Title_RESULTS!$H$7+Title_RESULTS!$C$17),0,(IF(Partcipation!$B27=0,0,((Partcipation!$B27-Partcipation!$B26)*Title_RESULTS!$C$33*(1+Title_RESULTS!$C$35/100)^('Sheet8(F_24)'!$A27-Title_RESULTS!$H$7))/1000)))</f>
        <v>0</v>
      </c>
      <c r="D27" s="5">
        <f>IF(A27&gt;=(Title_RESULTS!$H$7+Title_RESULTS!$C$17),0,(+'Sheet6(p_6)'!$G27))</f>
        <v>0</v>
      </c>
      <c r="E27" s="5">
        <f>IF(A27&gt;=(Title_RESULTS!$H$7+Title_RESULTS!$C$17),0,(IF(Title_RESULTS!$C$31&lt;0,((Partcipation!$B26+(Partcipation!$B27-Partcipation!$B26)/2)*(ABS(Title_RESULTS!$C$31)*(1+Title_RESULTS!$C$32/100)^('Sheet6(p_6)'!$A27-Title_RESULTS!$H$7))/1000)+'f-11B'!$Q26,+'f-11B'!$Q26)))</f>
        <v>0</v>
      </c>
      <c r="F27" s="5">
        <f>IF(A27&gt;=(Title_RESULTS!$H$7+Title_RESULTS!$C$17),0,(SUM(B27:E27)))</f>
        <v>316.2781328462085</v>
      </c>
      <c r="G27" s="5">
        <f>IF(A27&gt;=(Title_RESULTS!$H$7+Title_RESULTS!$C$17),0,(+'Sheet6(p_6)'!$H27))</f>
        <v>0</v>
      </c>
      <c r="H27" s="5">
        <f>IF(A27&gt;=(Title_RESULTS!$H$7+Title_RESULTS!$C$17),0,(+'Sheet6(p_6)'!$I27))</f>
        <v>0</v>
      </c>
      <c r="I27" s="5">
        <f>IF(A27&gt;=(Title_RESULTS!$H$7+Title_RESULTS!$C$17),0,(+'f-11B'!$P26))</f>
        <v>0</v>
      </c>
      <c r="J27" s="5">
        <f>IF(A27&gt;=(Title_RESULTS!$H$7+Title_RESULTS!$C$17),0,(SUM(G27:I27)))</f>
        <v>0</v>
      </c>
      <c r="K27" s="23">
        <f>IF(A27&gt;=(Title_RESULTS!$H$7+Title_RESULTS!$C$17),0,(+F27-J27))</f>
        <v>316.2781328462085</v>
      </c>
      <c r="L27" s="23">
        <f>IF(A26&gt;=(Title_RESULTS!$H$7+Title_RESULTS!$C$17),0,(+$K27/((1+Title_RESULTS!$C$37)^('Sheet8(F_24)'!$A27-Title_RESULTS!$H$7))+L26))</f>
        <v>1355.099943436557</v>
      </c>
      <c r="M27" s="5"/>
    </row>
    <row r="28" spans="1:13" ht="12.75">
      <c r="A28">
        <f t="shared" si="0"/>
        <v>2032</v>
      </c>
      <c r="B28" s="5">
        <f>IF(A28&gt;=(Title_RESULTS!$H$7+Title_RESULTS!$C$17),0,(+'Sheet6(p_6)'!N28-'Sheet6(p_6)'!R28))</f>
        <v>332.531751077979</v>
      </c>
      <c r="C28" s="5">
        <f>IF(A28&gt;=(Title_RESULTS!$H$7+Title_RESULTS!$C$17),0,(IF(Partcipation!$B28=0,0,((Partcipation!$B28-Partcipation!$B27)*Title_RESULTS!$C$33*(1+Title_RESULTS!$C$35/100)^('Sheet8(F_24)'!$A28-Title_RESULTS!$H$7))/1000)))</f>
        <v>0</v>
      </c>
      <c r="D28" s="5">
        <f>IF(A28&gt;=(Title_RESULTS!$H$7+Title_RESULTS!$C$17),0,(+'Sheet6(p_6)'!$G28))</f>
        <v>0</v>
      </c>
      <c r="E28" s="5">
        <f>IF(A28&gt;=(Title_RESULTS!$H$7+Title_RESULTS!$C$17),0,(IF(Title_RESULTS!$C$31&lt;0,((Partcipation!$B27+(Partcipation!$B28-Partcipation!$B27)/2)*(ABS(Title_RESULTS!$C$31)*(1+Title_RESULTS!$C$32/100)^('Sheet6(p_6)'!$A28-Title_RESULTS!$H$7))/1000)+'f-11B'!$Q27,+'f-11B'!$Q27)))</f>
        <v>0</v>
      </c>
      <c r="F28" s="5">
        <f>IF(A28&gt;=(Title_RESULTS!$H$7+Title_RESULTS!$C$17),0,(SUM(B28:E28)))</f>
        <v>332.531751077979</v>
      </c>
      <c r="G28" s="5">
        <f>IF(A28&gt;=(Title_RESULTS!$H$7+Title_RESULTS!$C$17),0,(+'Sheet6(p_6)'!$H28))</f>
        <v>0</v>
      </c>
      <c r="H28" s="5">
        <f>IF(A28&gt;=(Title_RESULTS!$H$7+Title_RESULTS!$C$17),0,(+'Sheet6(p_6)'!$I28))</f>
        <v>0</v>
      </c>
      <c r="I28" s="5">
        <f>IF(A28&gt;=(Title_RESULTS!$H$7+Title_RESULTS!$C$17),0,(+'f-11B'!$P27))</f>
        <v>0</v>
      </c>
      <c r="J28" s="5">
        <f>IF(A28&gt;=(Title_RESULTS!$H$7+Title_RESULTS!$C$17),0,(SUM(G28:I28)))</f>
        <v>0</v>
      </c>
      <c r="K28" s="23">
        <f>IF(A28&gt;=(Title_RESULTS!$H$7+Title_RESULTS!$C$17),0,(+F28-J28))</f>
        <v>332.531751077979</v>
      </c>
      <c r="L28" s="23">
        <f>IF(A27&gt;=(Title_RESULTS!$H$7+Title_RESULTS!$C$17),0,(+$K28/((1+Title_RESULTS!$C$37)^('Sheet8(F_24)'!$A28-Title_RESULTS!$H$7))+L27))</f>
        <v>1501.429740100573</v>
      </c>
      <c r="M28" s="5"/>
    </row>
    <row r="29" spans="1:13" ht="12.75">
      <c r="A29">
        <f t="shared" si="0"/>
        <v>2033</v>
      </c>
      <c r="B29" s="5">
        <f>IF(A29&gt;=(Title_RESULTS!$H$7+Title_RESULTS!$C$17),0,(+'Sheet6(p_6)'!N29-'Sheet6(p_6)'!R29))</f>
        <v>338.36604710503394</v>
      </c>
      <c r="C29" s="5">
        <f>IF(A29&gt;=(Title_RESULTS!$H$7+Title_RESULTS!$C$17),0,(IF(Partcipation!$B29=0,0,((Partcipation!$B29-Partcipation!$B28)*Title_RESULTS!$C$33*(1+Title_RESULTS!$C$35/100)^('Sheet8(F_24)'!$A29-Title_RESULTS!$H$7))/1000)))</f>
        <v>0</v>
      </c>
      <c r="D29" s="5">
        <f>IF(A29&gt;=(Title_RESULTS!$H$7+Title_RESULTS!$C$17),0,(+'Sheet6(p_6)'!$G29))</f>
        <v>0</v>
      </c>
      <c r="E29" s="5">
        <f>IF(A29&gt;=(Title_RESULTS!$H$7+Title_RESULTS!$C$17),0,(IF(Title_RESULTS!$C$31&lt;0,((Partcipation!$B28+(Partcipation!$B29-Partcipation!$B28)/2)*(ABS(Title_RESULTS!$C$31)*(1+Title_RESULTS!$C$32/100)^('Sheet6(p_6)'!$A29-Title_RESULTS!$H$7))/1000)+'f-11B'!$Q28,+'f-11B'!$Q28)))</f>
        <v>0</v>
      </c>
      <c r="F29" s="5">
        <f>IF(A29&gt;=(Title_RESULTS!$H$7+Title_RESULTS!$C$17),0,(SUM(B29:E29)))</f>
        <v>338.36604710503394</v>
      </c>
      <c r="G29" s="5">
        <f>IF(A29&gt;=(Title_RESULTS!$H$7+Title_RESULTS!$C$17),0,(+'Sheet6(p_6)'!$H29))</f>
        <v>0</v>
      </c>
      <c r="H29" s="5">
        <f>IF(A29&gt;=(Title_RESULTS!$H$7+Title_RESULTS!$C$17),0,(+'Sheet6(p_6)'!$I29))</f>
        <v>0</v>
      </c>
      <c r="I29" s="5">
        <f>IF(A29&gt;=(Title_RESULTS!$H$7+Title_RESULTS!$C$17),0,(+'f-11B'!$P28))</f>
        <v>0</v>
      </c>
      <c r="J29" s="5">
        <f>IF(A29&gt;=(Title_RESULTS!$H$7+Title_RESULTS!$C$17),0,(SUM(G29:I29)))</f>
        <v>0</v>
      </c>
      <c r="K29" s="23">
        <f>IF(A29&gt;=(Title_RESULTS!$H$7+Title_RESULTS!$C$17),0,(+F29-J29))</f>
        <v>338.36604710503394</v>
      </c>
      <c r="L29" s="23">
        <f>IF(A28&gt;=(Title_RESULTS!$H$7+Title_RESULTS!$C$17),0,(+$K29/((1+Title_RESULTS!$C$37)^('Sheet8(F_24)'!$A29-Title_RESULTS!$H$7))+L28))</f>
        <v>1640.4820043774482</v>
      </c>
      <c r="M29" s="5"/>
    </row>
    <row r="30" spans="1:13" ht="12.75">
      <c r="A30">
        <f t="shared" si="0"/>
        <v>2034</v>
      </c>
      <c r="B30" s="5">
        <f>IF(A30&gt;=(Title_RESULTS!$H$7+Title_RESULTS!$C$17),0,(+'Sheet6(p_6)'!N30-'Sheet6(p_6)'!R30))</f>
        <v>354.8303041486166</v>
      </c>
      <c r="C30" s="5">
        <f>IF(A30&gt;=(Title_RESULTS!$H$7+Title_RESULTS!$C$17),0,(IF(Partcipation!$B30=0,0,((Partcipation!$B30-Partcipation!$B29)*Title_RESULTS!$C$33*(1+Title_RESULTS!$C$35/100)^('Sheet8(F_24)'!$A30-Title_RESULTS!$H$7))/1000)))</f>
        <v>0</v>
      </c>
      <c r="D30" s="5">
        <f>IF(A30&gt;=(Title_RESULTS!$H$7+Title_RESULTS!$C$17),0,(+'Sheet6(p_6)'!$G30))</f>
        <v>0</v>
      </c>
      <c r="E30" s="5">
        <f>IF(A30&gt;=(Title_RESULTS!$H$7+Title_RESULTS!$C$17),0,(IF(Title_RESULTS!$C$31&lt;0,((Partcipation!$B29+(Partcipation!$B30-Partcipation!$B29)/2)*(ABS(Title_RESULTS!$C$31)*(1+Title_RESULTS!$C$32/100)^('Sheet6(p_6)'!$A30-Title_RESULTS!$H$7))/1000)+'f-11B'!$Q29,+'f-11B'!$Q29)))</f>
        <v>0</v>
      </c>
      <c r="F30" s="5">
        <f>IF(A30&gt;=(Title_RESULTS!$H$7+Title_RESULTS!$C$17),0,(SUM(B30:E30)))</f>
        <v>354.8303041486166</v>
      </c>
      <c r="G30" s="5">
        <f>IF(A30&gt;=(Title_RESULTS!$H$7+Title_RESULTS!$C$17),0,(+'Sheet6(p_6)'!$H30))</f>
        <v>0</v>
      </c>
      <c r="H30" s="5">
        <f>IF(A30&gt;=(Title_RESULTS!$H$7+Title_RESULTS!$C$17),0,(+'Sheet6(p_6)'!$I30))</f>
        <v>0</v>
      </c>
      <c r="I30" s="5">
        <f>IF(A30&gt;=(Title_RESULTS!$H$7+Title_RESULTS!$C$17),0,(+'f-11B'!$P29))</f>
        <v>0</v>
      </c>
      <c r="J30" s="5">
        <f>IF(A30&gt;=(Title_RESULTS!$H$7+Title_RESULTS!$C$17),0,(SUM(G30:I30)))</f>
        <v>0</v>
      </c>
      <c r="K30" s="23">
        <f>IF(A30&gt;=(Title_RESULTS!$H$7+Title_RESULTS!$C$17),0,(+F30-J30))</f>
        <v>354.8303041486166</v>
      </c>
      <c r="L30" s="23">
        <f>IF(A29&gt;=(Title_RESULTS!$H$7+Title_RESULTS!$C$17),0,(+$K30/((1+Title_RESULTS!$C$37)^('Sheet8(F_24)'!$A30-Title_RESULTS!$H$7))+L29))</f>
        <v>1776.658962334706</v>
      </c>
      <c r="M30" s="5"/>
    </row>
    <row r="31" spans="1:13" ht="12.75">
      <c r="A31">
        <f t="shared" si="0"/>
        <v>2035</v>
      </c>
      <c r="B31" s="5">
        <f>IF(A31&gt;=(Title_RESULTS!$H$7+Title_RESULTS!$C$17),0,(+'Sheet6(p_6)'!N31-'Sheet6(p_6)'!R31))</f>
        <v>366.4766235198856</v>
      </c>
      <c r="C31" s="5">
        <f>IF(A31&gt;=(Title_RESULTS!$H$7+Title_RESULTS!$C$17),0,(IF(Partcipation!$B31=0,0,((Partcipation!$B31-Partcipation!$B30)*Title_RESULTS!$C$33*(1+Title_RESULTS!$C$35/100)^('Sheet8(F_24)'!$A31-Title_RESULTS!$H$7))/1000)))</f>
        <v>0</v>
      </c>
      <c r="D31" s="5">
        <f>IF(A31&gt;=(Title_RESULTS!$H$7+Title_RESULTS!$C$17),0,(+'Sheet6(p_6)'!$G31))</f>
        <v>0</v>
      </c>
      <c r="E31" s="5">
        <f>IF(A31&gt;=(Title_RESULTS!$H$7+Title_RESULTS!$C$17),0,(IF(Title_RESULTS!$C$31&lt;0,((Partcipation!$B30+(Partcipation!$B31-Partcipation!$B30)/2)*(ABS(Title_RESULTS!$C$31)*(1+Title_RESULTS!$C$32/100)^('Sheet6(p_6)'!$A31-Title_RESULTS!$H$7))/1000)+'f-11B'!$Q30,+'f-11B'!$Q30)))</f>
        <v>0</v>
      </c>
      <c r="F31" s="5">
        <f>IF(A31&gt;=(Title_RESULTS!$H$7+Title_RESULTS!$C$17),0,(SUM(B31:E31)))</f>
        <v>366.4766235198856</v>
      </c>
      <c r="G31" s="5">
        <f>IF(A31&gt;=(Title_RESULTS!$H$7+Title_RESULTS!$C$17),0,(+'Sheet6(p_6)'!$H31))</f>
        <v>0</v>
      </c>
      <c r="H31" s="5">
        <f>IF(A31&gt;=(Title_RESULTS!$H$7+Title_RESULTS!$C$17),0,(+'Sheet6(p_6)'!$I31))</f>
        <v>0</v>
      </c>
      <c r="I31" s="5">
        <f>IF(A31&gt;=(Title_RESULTS!$H$7+Title_RESULTS!$C$17),0,(+'f-11B'!$P30))</f>
        <v>0</v>
      </c>
      <c r="J31" s="5">
        <f>IF(A31&gt;=(Title_RESULTS!$H$7+Title_RESULTS!$C$17),0,(SUM(G31:I31)))</f>
        <v>0</v>
      </c>
      <c r="K31" s="23">
        <f>IF(A31&gt;=(Title_RESULTS!$H$7+Title_RESULTS!$C$17),0,(+F31-J31))</f>
        <v>366.4766235198856</v>
      </c>
      <c r="L31" s="23">
        <f>IF(A30&gt;=(Title_RESULTS!$H$7+Title_RESULTS!$C$17),0,(+$K31/((1+Title_RESULTS!$C$37)^('Sheet8(F_24)'!$A31-Title_RESULTS!$H$7))+L30))</f>
        <v>1908.0061685723872</v>
      </c>
      <c r="M31" s="5"/>
    </row>
    <row r="32" spans="1:13" ht="12.75">
      <c r="A32">
        <f t="shared" si="0"/>
        <v>2036</v>
      </c>
      <c r="B32" s="5">
        <f>IF(A32&gt;=(Title_RESULTS!$H$7+Title_RESULTS!$C$17),0,(+'Sheet6(p_6)'!N32-'Sheet6(p_6)'!R32))</f>
        <v>376.26688470165846</v>
      </c>
      <c r="C32" s="5">
        <f>IF(A32&gt;=(Title_RESULTS!$H$7+Title_RESULTS!$C$17),0,(IF(Partcipation!$B32=0,0,((Partcipation!$B32-Partcipation!$B31)*Title_RESULTS!$C$33*(1+Title_RESULTS!$C$35/100)^('Sheet8(F_24)'!$A32-Title_RESULTS!$H$7))/1000)))</f>
        <v>0</v>
      </c>
      <c r="D32" s="5">
        <f>IF(A32&gt;=(Title_RESULTS!$H$7+Title_RESULTS!$C$17),0,(+'Sheet6(p_6)'!$G32))</f>
        <v>0</v>
      </c>
      <c r="E32" s="5">
        <f>IF(A32&gt;=(Title_RESULTS!$H$7+Title_RESULTS!$C$17),0,(IF(Title_RESULTS!$C$31&lt;0,((Partcipation!$B31+(Partcipation!$B32-Partcipation!$B31)/2)*(ABS(Title_RESULTS!$C$31)*(1+Title_RESULTS!$C$32/100)^('Sheet6(p_6)'!$A32-Title_RESULTS!$H$7))/1000)+'f-11B'!$Q31,+'f-11B'!$Q31)))</f>
        <v>0</v>
      </c>
      <c r="F32" s="5">
        <f>IF(A32&gt;=(Title_RESULTS!$H$7+Title_RESULTS!$C$17),0,(SUM(B32:E32)))</f>
        <v>376.26688470165846</v>
      </c>
      <c r="G32" s="5">
        <f>IF(A32&gt;=(Title_RESULTS!$H$7+Title_RESULTS!$C$17),0,(+'Sheet6(p_6)'!$H32))</f>
        <v>0</v>
      </c>
      <c r="H32" s="5">
        <f>IF(A32&gt;=(Title_RESULTS!$H$7+Title_RESULTS!$C$17),0,(+'Sheet6(p_6)'!$I32))</f>
        <v>0</v>
      </c>
      <c r="I32" s="5">
        <f>IF(A32&gt;=(Title_RESULTS!$H$7+Title_RESULTS!$C$17),0,(+'f-11B'!$P31))</f>
        <v>0</v>
      </c>
      <c r="J32" s="5">
        <f>IF(A32&gt;=(Title_RESULTS!$H$7+Title_RESULTS!$C$17),0,(SUM(G32:I32)))</f>
        <v>0</v>
      </c>
      <c r="K32" s="23">
        <f>IF(A32&gt;=(Title_RESULTS!$H$7+Title_RESULTS!$C$17),0,(+F32-J32))</f>
        <v>376.26688470165846</v>
      </c>
      <c r="L32" s="23">
        <f>IF(A31&gt;=(Title_RESULTS!$H$7+Title_RESULTS!$C$17),0,(+$K32/((1+Title_RESULTS!$C$37)^('Sheet8(F_24)'!$A32-Title_RESULTS!$H$7))+L31))</f>
        <v>2033.9457360516062</v>
      </c>
      <c r="M32" s="5"/>
    </row>
    <row r="33" spans="1:13" ht="12.75">
      <c r="A33">
        <f t="shared" si="0"/>
        <v>2037</v>
      </c>
      <c r="B33" s="5">
        <f>IF(A33&gt;=(Title_RESULTS!$H$7+Title_RESULTS!$C$17),0,(+'Sheet6(p_6)'!N33-'Sheet6(p_6)'!R33))</f>
        <v>392.3656725015262</v>
      </c>
      <c r="C33" s="5">
        <f>IF(A33&gt;=(Title_RESULTS!$H$7+Title_RESULTS!$C$17),0,(IF(Partcipation!$B33=0,0,((Partcipation!$B33-Partcipation!$B32)*Title_RESULTS!$C$33*(1+Title_RESULTS!$C$35/100)^('Sheet8(F_24)'!$A33-Title_RESULTS!$H$7))/1000)))</f>
        <v>0</v>
      </c>
      <c r="D33" s="5">
        <f>IF(A33&gt;=(Title_RESULTS!$H$7+Title_RESULTS!$C$17),0,(+'Sheet6(p_6)'!$G33))</f>
        <v>0</v>
      </c>
      <c r="E33" s="5">
        <f>IF(A33&gt;=(Title_RESULTS!$H$7+Title_RESULTS!$C$17),0,(IF(Title_RESULTS!$C$31&lt;0,((Partcipation!$B32+(Partcipation!$B33-Partcipation!$B32)/2)*(ABS(Title_RESULTS!$C$31)*(1+Title_RESULTS!$C$32/100)^('Sheet6(p_6)'!$A33-Title_RESULTS!$H$7))/1000)+'f-11B'!$Q32,+'f-11B'!$Q32)))</f>
        <v>0</v>
      </c>
      <c r="F33" s="5">
        <f>IF(A33&gt;=(Title_RESULTS!$H$7+Title_RESULTS!$C$17),0,(SUM(B33:E33)))</f>
        <v>392.3656725015262</v>
      </c>
      <c r="G33" s="5">
        <f>IF(A33&gt;=(Title_RESULTS!$H$7+Title_RESULTS!$C$17),0,(+'Sheet6(p_6)'!$H33))</f>
        <v>0</v>
      </c>
      <c r="H33" s="5">
        <f>IF(A33&gt;=(Title_RESULTS!$H$7+Title_RESULTS!$C$17),0,(+'Sheet6(p_6)'!$I33))</f>
        <v>0</v>
      </c>
      <c r="I33" s="5">
        <f>IF(A33&gt;=(Title_RESULTS!$H$7+Title_RESULTS!$C$17),0,(+'f-11B'!$P32))</f>
        <v>0</v>
      </c>
      <c r="J33" s="5">
        <f>IF(A33&gt;=(Title_RESULTS!$H$7+Title_RESULTS!$C$17),0,(SUM(G33:I33)))</f>
        <v>0</v>
      </c>
      <c r="K33" s="23">
        <f>IF(A33&gt;=(Title_RESULTS!$H$7+Title_RESULTS!$C$17),0,(+F33-J33))</f>
        <v>392.3656725015262</v>
      </c>
      <c r="L33" s="23">
        <f>IF(A32&gt;=(Title_RESULTS!$H$7+Title_RESULTS!$C$17),0,(+$K33/((1+Title_RESULTS!$C$37)^('Sheet8(F_24)'!$A33-Title_RESULTS!$H$7))+L32))</f>
        <v>2156.590452034017</v>
      </c>
      <c r="M33" s="5"/>
    </row>
    <row r="34" spans="2:13" ht="12.75"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</row>
    <row r="35" spans="1:13" ht="12.75">
      <c r="A35" t="s">
        <v>87</v>
      </c>
      <c r="B35" s="5">
        <f aca="true" t="shared" si="1" ref="B35:K35">SUM(B16:B34)</f>
        <v>4919.949428310344</v>
      </c>
      <c r="C35" s="5">
        <f t="shared" si="1"/>
        <v>0</v>
      </c>
      <c r="D35" s="5">
        <f t="shared" si="1"/>
        <v>255.36</v>
      </c>
      <c r="E35" s="5">
        <f t="shared" si="1"/>
        <v>0</v>
      </c>
      <c r="F35" s="5">
        <f t="shared" si="1"/>
        <v>5175.309428310344</v>
      </c>
      <c r="G35" s="5">
        <f t="shared" si="1"/>
        <v>732.2975335299999</v>
      </c>
      <c r="H35" s="5">
        <f t="shared" si="1"/>
        <v>0</v>
      </c>
      <c r="I35" s="5">
        <f t="shared" si="1"/>
        <v>0</v>
      </c>
      <c r="J35" s="5">
        <f t="shared" si="1"/>
        <v>732.2975335299999</v>
      </c>
      <c r="K35" s="5">
        <f t="shared" si="1"/>
        <v>4443.011894780344</v>
      </c>
      <c r="L35" s="5"/>
      <c r="M35" s="5"/>
    </row>
    <row r="36" ht="12.75">
      <c r="M36" s="5"/>
    </row>
    <row r="37" spans="1:13" ht="12.75">
      <c r="A37" t="s">
        <v>118</v>
      </c>
      <c r="B37" s="5">
        <f>NPV(Title_RESULTS!$C$37,'Sheet8(F_24)'!B17:B34)+'Sheet8(F_24)'!B16</f>
        <v>2601.9788706772993</v>
      </c>
      <c r="C37" s="5">
        <f>NPV(Title_RESULTS!$C$37,'Sheet8(F_24)'!C17:C34)+'Sheet8(F_24)'!C16</f>
        <v>0</v>
      </c>
      <c r="D37" s="5">
        <f>NPV(Title_RESULTS!$C$37,'Sheet8(F_24)'!D17:D34)+'Sheet8(F_24)'!D16</f>
        <v>238.8480244878515</v>
      </c>
      <c r="E37" s="5">
        <f>NPV(Title_RESULTS!$C$37,'Sheet8(F_24)'!E17:E34)+'Sheet8(F_24)'!E16</f>
        <v>0</v>
      </c>
      <c r="F37" s="5">
        <f>NPV(Title_RESULTS!$C$37,'Sheet8(F_24)'!F17:F34)+'Sheet8(F_24)'!F16</f>
        <v>2840.8268951651503</v>
      </c>
      <c r="G37" s="5">
        <f>NPV(Title_RESULTS!$C$37,'Sheet8(F_24)'!G17:G34)+'Sheet8(F_24)'!G16</f>
        <v>684.2364431311344</v>
      </c>
      <c r="H37" s="5">
        <f>NPV(Title_RESULTS!$C$37,'Sheet8(F_24)'!H17:H34)+'Sheet8(F_24)'!H16</f>
        <v>0</v>
      </c>
      <c r="I37" s="5">
        <f>NPV(Title_RESULTS!$C$37,'Sheet8(F_24)'!I17:I34)+'Sheet8(F_24)'!I16</f>
        <v>0</v>
      </c>
      <c r="J37" s="5">
        <f>NPV(Title_RESULTS!$C$37,'Sheet8(F_24)'!J17:J34)+'Sheet8(F_24)'!J16</f>
        <v>684.2364431311344</v>
      </c>
      <c r="K37" s="5">
        <f>NPV(Title_RESULTS!$C$37,'Sheet8(F_24)'!K17:K34)+'Sheet8(F_24)'!K16</f>
        <v>2156.5904520340164</v>
      </c>
      <c r="L37" s="5"/>
      <c r="M37" s="5"/>
    </row>
    <row r="38" spans="2:12" ht="12.75"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</row>
    <row r="39" spans="1:11" ht="12.75">
      <c r="A39" t="s">
        <v>174</v>
      </c>
      <c r="D39">
        <f>+Title_RESULTS!H8</f>
        <v>2023</v>
      </c>
      <c r="F39">
        <f>+F37/J37</f>
        <v>4.151820505445811</v>
      </c>
      <c r="K39" s="10"/>
    </row>
    <row r="40" spans="1:10" ht="12.75">
      <c r="A40" t="s">
        <v>175</v>
      </c>
      <c r="D40">
        <f>+Title_RESULTS!C37</f>
        <v>0.0708</v>
      </c>
      <c r="J40" s="5"/>
    </row>
    <row r="151" ht="12.75">
      <c r="CW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DL151"/>
  <sheetViews>
    <sheetView zoomScale="75" zoomScaleNormal="75" zoomScalePageLayoutView="0" workbookViewId="0" topLeftCell="A1">
      <selection activeCell="A1" sqref="A1"/>
    </sheetView>
  </sheetViews>
  <sheetFormatPr defaultColWidth="9.140625" defaultRowHeight="12.75"/>
  <cols>
    <col min="2" max="2" width="11.57421875" style="0" customWidth="1"/>
    <col min="3" max="3" width="11.00390625" style="0" customWidth="1"/>
    <col min="4" max="4" width="12.00390625" style="0" customWidth="1"/>
    <col min="5" max="5" width="10.57421875" style="0" customWidth="1"/>
    <col min="6" max="6" width="12.421875" style="0" customWidth="1"/>
    <col min="8" max="8" width="11.421875" style="0" customWidth="1"/>
    <col min="9" max="9" width="10.421875" style="0" customWidth="1"/>
    <col min="10" max="10" width="9.57421875" style="0" customWidth="1"/>
    <col min="11" max="11" width="10.140625" style="9" customWidth="1"/>
    <col min="12" max="12" width="10.421875" style="0" customWidth="1"/>
    <col min="13" max="13" width="13.140625" style="0" customWidth="1"/>
    <col min="14" max="14" width="18.140625" style="0" customWidth="1"/>
  </cols>
  <sheetData>
    <row r="1" spans="6:14" ht="12.75">
      <c r="F1" t="s">
        <v>176</v>
      </c>
      <c r="N1" t="s">
        <v>383</v>
      </c>
    </row>
    <row r="2" spans="6:14" ht="12.75">
      <c r="F2" t="s">
        <v>56</v>
      </c>
      <c r="G2" t="str">
        <f>+Input!C3</f>
        <v>LED Street Lights</v>
      </c>
      <c r="N2" t="s">
        <v>55</v>
      </c>
    </row>
    <row r="3" ht="12.75">
      <c r="N3" s="35">
        <f>+Title_RESULTS!I4</f>
        <v>43599.31995208334</v>
      </c>
    </row>
    <row r="8" spans="1:14" ht="12.75">
      <c r="A8" s="6" t="s">
        <v>12</v>
      </c>
      <c r="B8" s="6" t="s">
        <v>13</v>
      </c>
      <c r="C8" s="6" t="s">
        <v>14</v>
      </c>
      <c r="D8" s="6" t="s">
        <v>15</v>
      </c>
      <c r="E8" s="6" t="s">
        <v>16</v>
      </c>
      <c r="F8" s="6" t="s">
        <v>17</v>
      </c>
      <c r="G8" s="6" t="s">
        <v>18</v>
      </c>
      <c r="H8" s="6" t="s">
        <v>19</v>
      </c>
      <c r="I8" s="6" t="s">
        <v>20</v>
      </c>
      <c r="J8" s="6" t="s">
        <v>21</v>
      </c>
      <c r="K8" s="56" t="s">
        <v>22</v>
      </c>
      <c r="L8" s="6" t="s">
        <v>122</v>
      </c>
      <c r="M8" s="6" t="s">
        <v>123</v>
      </c>
      <c r="N8" s="6" t="s">
        <v>124</v>
      </c>
    </row>
    <row r="9" spans="1:14" ht="12.75">
      <c r="A9" s="6"/>
      <c r="B9" s="6"/>
      <c r="C9" s="6"/>
      <c r="D9" s="6"/>
      <c r="E9" s="6"/>
      <c r="F9" s="6"/>
      <c r="G9" s="6"/>
      <c r="H9" s="6"/>
      <c r="I9" s="6"/>
      <c r="J9" s="6"/>
      <c r="K9" s="56"/>
      <c r="L9" s="6"/>
      <c r="M9" s="6"/>
      <c r="N9" s="6"/>
    </row>
    <row r="10" spans="1:14" ht="12.75">
      <c r="A10" s="6"/>
      <c r="B10" s="6"/>
      <c r="C10" s="6"/>
      <c r="D10" s="6"/>
      <c r="E10" s="6"/>
      <c r="F10" s="6"/>
      <c r="G10" s="6"/>
      <c r="H10" s="6" t="s">
        <v>46</v>
      </c>
      <c r="I10" s="6"/>
      <c r="J10" s="6"/>
      <c r="K10" s="56"/>
      <c r="L10" s="6"/>
      <c r="M10" s="6" t="s">
        <v>111</v>
      </c>
      <c r="N10" s="6" t="s">
        <v>25</v>
      </c>
    </row>
    <row r="11" spans="1:14" ht="12.75">
      <c r="A11" s="6"/>
      <c r="B11" s="6" t="s">
        <v>47</v>
      </c>
      <c r="C11" s="6" t="s">
        <v>43</v>
      </c>
      <c r="D11" s="6"/>
      <c r="E11" s="6"/>
      <c r="F11" s="6"/>
      <c r="G11" s="6"/>
      <c r="H11" s="6" t="s">
        <v>67</v>
      </c>
      <c r="I11" s="6" t="s">
        <v>46</v>
      </c>
      <c r="J11" s="6"/>
      <c r="K11" s="56"/>
      <c r="L11" s="6"/>
      <c r="M11" s="6" t="s">
        <v>34</v>
      </c>
      <c r="N11" s="6" t="s">
        <v>159</v>
      </c>
    </row>
    <row r="12" spans="1:14" ht="12.75">
      <c r="A12" s="6"/>
      <c r="B12" s="6" t="s">
        <v>160</v>
      </c>
      <c r="C12" s="6" t="s">
        <v>24</v>
      </c>
      <c r="D12" s="6"/>
      <c r="E12" s="6" t="s">
        <v>141</v>
      </c>
      <c r="F12" s="6" t="s">
        <v>29</v>
      </c>
      <c r="G12" s="6" t="s">
        <v>50</v>
      </c>
      <c r="H12" s="6" t="s">
        <v>177</v>
      </c>
      <c r="I12" s="6" t="s">
        <v>161</v>
      </c>
      <c r="J12" s="6" t="s">
        <v>141</v>
      </c>
      <c r="K12" s="56" t="s">
        <v>29</v>
      </c>
      <c r="L12" s="6" t="s">
        <v>50</v>
      </c>
      <c r="M12" s="6" t="s">
        <v>178</v>
      </c>
      <c r="N12" s="6" t="s">
        <v>111</v>
      </c>
    </row>
    <row r="13" spans="1:14" ht="12.75">
      <c r="A13" s="6"/>
      <c r="B13" s="6" t="s">
        <v>33</v>
      </c>
      <c r="C13" s="6" t="s">
        <v>33</v>
      </c>
      <c r="D13" s="6" t="s">
        <v>179</v>
      </c>
      <c r="E13" s="6" t="s">
        <v>180</v>
      </c>
      <c r="F13" s="6" t="s">
        <v>33</v>
      </c>
      <c r="G13" s="6" t="s">
        <v>33</v>
      </c>
      <c r="H13" s="6" t="s">
        <v>34</v>
      </c>
      <c r="I13" s="6" t="s">
        <v>34</v>
      </c>
      <c r="J13" s="6" t="s">
        <v>181</v>
      </c>
      <c r="K13" s="56" t="s">
        <v>34</v>
      </c>
      <c r="L13" s="6" t="s">
        <v>34</v>
      </c>
      <c r="M13" s="6" t="s">
        <v>36</v>
      </c>
      <c r="N13" s="6" t="s">
        <v>182</v>
      </c>
    </row>
    <row r="14" spans="1:14" ht="12.75">
      <c r="A14" s="6"/>
      <c r="B14" s="6"/>
      <c r="C14" s="6"/>
      <c r="D14" s="6"/>
      <c r="E14" s="6"/>
      <c r="F14" s="6"/>
      <c r="G14" s="6"/>
      <c r="H14" s="6"/>
      <c r="I14" s="6"/>
      <c r="J14" s="6"/>
      <c r="K14" s="56"/>
      <c r="L14" s="6"/>
      <c r="M14" s="6"/>
      <c r="N14" s="6"/>
    </row>
    <row r="15" spans="1:14" ht="12.75">
      <c r="A15" s="27" t="s">
        <v>35</v>
      </c>
      <c r="B15" s="27" t="s">
        <v>83</v>
      </c>
      <c r="C15" s="27" t="s">
        <v>83</v>
      </c>
      <c r="D15" s="27" t="s">
        <v>83</v>
      </c>
      <c r="E15" s="27" t="s">
        <v>83</v>
      </c>
      <c r="F15" s="27" t="s">
        <v>83</v>
      </c>
      <c r="G15" s="27" t="s">
        <v>83</v>
      </c>
      <c r="H15" s="27" t="s">
        <v>83</v>
      </c>
      <c r="I15" s="27" t="s">
        <v>83</v>
      </c>
      <c r="J15" s="27" t="s">
        <v>83</v>
      </c>
      <c r="K15" s="57" t="s">
        <v>83</v>
      </c>
      <c r="L15" s="27" t="s">
        <v>83</v>
      </c>
      <c r="M15" s="27" t="s">
        <v>83</v>
      </c>
      <c r="N15" s="27" t="s">
        <v>83</v>
      </c>
    </row>
    <row r="16" spans="1:14" ht="12.75">
      <c r="A16">
        <f>+Title_RESULTS!H7</f>
        <v>2020</v>
      </c>
      <c r="B16" s="5">
        <f>IF(A16&gt;=(Title_RESULTS!$H$7+Title_RESULTS!$C$17),0,(+'Sheet7(F_23)'!$B16))</f>
        <v>0</v>
      </c>
      <c r="C16" s="5">
        <f>IF(A16&gt;=(Title_RESULTS!$H$7+Title_RESULTS!$C$17),0,(+'Sheet6(p_6)'!$D16))</f>
        <v>175</v>
      </c>
      <c r="D16" s="5">
        <f>IF(A16&gt;=(Title_RESULTS!$H$7+Title_RESULTS!$C$17),0,(+'Sheet6(p_6)'!$G16))</f>
        <v>85.12</v>
      </c>
      <c r="E16" s="5">
        <f>+'Sheet6(p_6)'!M16</f>
        <v>15.3722808</v>
      </c>
      <c r="F16">
        <f>IF(A16&gt;=(Title_RESULTS!$H$7+Title_RESULTS!$C$17),0,(+'f-11B'!$R15))</f>
        <v>0</v>
      </c>
      <c r="G16" s="5">
        <f>IF(A16&gt;=(Title_RESULTS!$H$7+Title_RESULTS!$C$17),0,(SUM(B16:F16)))</f>
        <v>275.4922808</v>
      </c>
      <c r="H16" s="5">
        <f>IF(A16&gt;=(Title_RESULTS!$H$7+Title_RESULTS!$C$17),0,(+'Sheet3(F_21)'!$J16+'Sheet4(F_22)'!$H16))</f>
        <v>25.87261634278153</v>
      </c>
      <c r="I16" s="5">
        <f>IF(A16&gt;=(Title_RESULTS!$H$7+Title_RESULTS!$C$17),0,(+'Sheet4(F_22)'!$D16+'Sheet4(F_22)'!$G16))</f>
        <v>0</v>
      </c>
      <c r="J16" s="5">
        <f>IF(A16&gt;=(Title_RESULTS!$H$7+Title_RESULTS!$C$17),0,(+'Sheet6(p_6)'!$R16))</f>
        <v>0</v>
      </c>
      <c r="K16" s="9">
        <f>IF(A16&gt;=(Title_RESULTS!$H$7+Title_RESULTS!$C$17),0,(+'f-11B'!$S15))</f>
        <v>0</v>
      </c>
      <c r="L16" s="5">
        <f>IF(A16&gt;=(Title_RESULTS!$H$7+Title_RESULTS!$C$17),0,(SUM(H16:K16)))</f>
        <v>25.87261634278153</v>
      </c>
      <c r="M16" s="23">
        <f>IF(A16&gt;=(Title_RESULTS!$H$7+Title_RESULTS!$C$17),0,(+L16-G16))</f>
        <v>-249.61966445721848</v>
      </c>
      <c r="N16" s="24">
        <f>IF(A16&gt;=(Title_RESULTS!$H$7+Title_RESULTS!$C$17),0,(+$M16/((1+Title_RESULTS!$C$37)^('Sheet9(F_25)'!$A16-Title_RESULTS!$H$7))))</f>
        <v>-249.61966445721848</v>
      </c>
    </row>
    <row r="17" spans="1:14" ht="12.75">
      <c r="A17">
        <f>+A16+1</f>
        <v>2021</v>
      </c>
      <c r="B17" s="5">
        <f>IF(A17&gt;=(Title_RESULTS!$H$7+Title_RESULTS!$C$17),0,(+'Sheet7(F_23)'!$B17))</f>
        <v>0</v>
      </c>
      <c r="C17" s="5">
        <f>IF(A17&gt;=(Title_RESULTS!$H$7+Title_RESULTS!$C$17),0,(+'Sheet6(p_6)'!$D17))</f>
        <v>179.20000000000002</v>
      </c>
      <c r="D17" s="5">
        <f>IF(A17&gt;=(Title_RESULTS!$H$7+Title_RESULTS!$C$17),0,(+'Sheet6(p_6)'!$G17))</f>
        <v>85.12</v>
      </c>
      <c r="E17" s="5">
        <f>+'Sheet6(p_6)'!M17</f>
        <v>46.578010824</v>
      </c>
      <c r="F17">
        <f>IF(A17&gt;=(Title_RESULTS!$H$7+Title_RESULTS!$C$17),0,(+'f-11B'!$R16))</f>
        <v>0</v>
      </c>
      <c r="G17" s="5">
        <f>IF(A17&gt;=(Title_RESULTS!$H$7+Title_RESULTS!$C$17),0,(SUM(B17:F17)))</f>
        <v>310.89801082400004</v>
      </c>
      <c r="H17" s="5">
        <f>IF(A17&gt;=(Title_RESULTS!$H$7+Title_RESULTS!$C$17),0,(+'Sheet3(F_21)'!$J17+'Sheet4(F_22)'!$H17))</f>
        <v>76.9865168391037</v>
      </c>
      <c r="I17" s="5">
        <f>IF(A17&gt;=(Title_RESULTS!$H$7+Title_RESULTS!$C$17),0,(+'Sheet4(F_22)'!$D17+'Sheet4(F_22)'!$G17))</f>
        <v>0</v>
      </c>
      <c r="J17" s="5">
        <f>IF(A17&gt;=(Title_RESULTS!$H$7+Title_RESULTS!$C$17),0,(+'Sheet6(p_6)'!$R17))</f>
        <v>0</v>
      </c>
      <c r="K17" s="9">
        <f>IF(A17&gt;=(Title_RESULTS!$H$7+Title_RESULTS!$C$17),0,(+'f-11B'!$S16))</f>
        <v>0</v>
      </c>
      <c r="L17" s="5">
        <f>IF(A17&gt;=(Title_RESULTS!$H$7+Title_RESULTS!$C$17),0,(SUM(H17:K17)))</f>
        <v>76.9865168391037</v>
      </c>
      <c r="M17" s="23">
        <f>IF(A17&gt;=(Title_RESULTS!$H$7+Title_RESULTS!$C$17),0,(+L17-G17))</f>
        <v>-233.91149398489634</v>
      </c>
      <c r="N17" s="24">
        <f>(IF(A16&gt;=(Title_RESULTS!$H$7+Title_RESULTS!$C$17),0,(+$M17/((1+Title_RESULTS!$C$37)^('Sheet9(F_25)'!$A17-Title_RESULTS!$H$7))+N16)))</f>
        <v>-468.06521356526514</v>
      </c>
    </row>
    <row r="18" spans="1:14" ht="12.75">
      <c r="A18">
        <f>+A17+1</f>
        <v>2022</v>
      </c>
      <c r="B18" s="5">
        <f>IF(A18&gt;=(Title_RESULTS!$H$7+Title_RESULTS!$C$17),0,(+'Sheet7(F_23)'!$B18))</f>
        <v>0</v>
      </c>
      <c r="C18" s="5">
        <f>IF(A18&gt;=(Title_RESULTS!$H$7+Title_RESULTS!$C$17),0,(+'Sheet6(p_6)'!$D18))</f>
        <v>183.5008</v>
      </c>
      <c r="D18" s="5">
        <f>IF(A18&gt;=(Title_RESULTS!$H$7+Title_RESULTS!$C$17),0,(+'Sheet6(p_6)'!$G18))</f>
        <v>85.12</v>
      </c>
      <c r="E18" s="5">
        <f>+'Sheet6(p_6)'!M18</f>
        <v>78.40631822040001</v>
      </c>
      <c r="F18">
        <f>IF(A18&gt;=(Title_RESULTS!$H$7+Title_RESULTS!$C$17),0,(+'f-11B'!$R17))</f>
        <v>0</v>
      </c>
      <c r="G18" s="5">
        <f>IF(A18&gt;=(Title_RESULTS!$H$7+Title_RESULTS!$C$17),0,(SUM(B18:F18)))</f>
        <v>347.02711822040004</v>
      </c>
      <c r="H18" s="5">
        <f>IF(A18&gt;=(Title_RESULTS!$H$7+Title_RESULTS!$C$17),0,(+'Sheet3(F_21)'!$J18+'Sheet4(F_22)'!$H18))</f>
        <v>132.42539711898476</v>
      </c>
      <c r="I18" s="5">
        <f>IF(A18&gt;=(Title_RESULTS!$H$7+Title_RESULTS!$C$17),0,(+'Sheet4(F_22)'!$D18+'Sheet4(F_22)'!$G18))</f>
        <v>0</v>
      </c>
      <c r="J18" s="5">
        <f>IF(A18&gt;=(Title_RESULTS!$H$7+Title_RESULTS!$C$17),0,(+'Sheet6(p_6)'!$R18))</f>
        <v>0</v>
      </c>
      <c r="K18" s="9">
        <f>IF(A18&gt;=(Title_RESULTS!$H$7+Title_RESULTS!$C$17),0,(+'f-11B'!$S17))</f>
        <v>0</v>
      </c>
      <c r="L18" s="5">
        <f>IF(A18&gt;=(Title_RESULTS!$H$7+Title_RESULTS!$C$17),0,(SUM(H18:K18)))</f>
        <v>132.42539711898476</v>
      </c>
      <c r="M18" s="23">
        <f>IF(A18&gt;=(Title_RESULTS!$H$7+Title_RESULTS!$C$17),0,(+L18-G18))</f>
        <v>-214.60172110141528</v>
      </c>
      <c r="N18" s="24">
        <f>(IF(A17&gt;=(Title_RESULTS!$H$7+Title_RESULTS!$C$17),0,(+$M18/((1+Title_RESULTS!$C$37)^('Sheet9(F_25)'!$A18-Title_RESULTS!$H$7))+N17)))</f>
        <v>-655.2266956691213</v>
      </c>
    </row>
    <row r="19" spans="1:14" ht="12.75">
      <c r="A19">
        <f aca="true" t="shared" si="0" ref="A19:A33">+A18+1</f>
        <v>2023</v>
      </c>
      <c r="B19" s="5">
        <f>IF(A19&gt;=(Title_RESULTS!$H$7+Title_RESULTS!$C$17),0,(+'Sheet7(F_23)'!$B19))</f>
        <v>0</v>
      </c>
      <c r="C19" s="5">
        <f>IF(A19&gt;=(Title_RESULTS!$H$7+Title_RESULTS!$C$17),0,(+'Sheet6(p_6)'!$D19))</f>
        <v>0</v>
      </c>
      <c r="D19" s="5">
        <f>IF(A19&gt;=(Title_RESULTS!$H$7+Title_RESULTS!$C$17),0,(+'Sheet6(p_6)'!$G19))</f>
        <v>0</v>
      </c>
      <c r="E19" s="5">
        <f>+'Sheet6(p_6)'!M19</f>
        <v>95.0284576831248</v>
      </c>
      <c r="F19">
        <f>IF(A19&gt;=(Title_RESULTS!$H$7+Title_RESULTS!$C$17),0,(+'f-11B'!$R18))</f>
        <v>0</v>
      </c>
      <c r="G19" s="5">
        <f>IF(A19&gt;=(Title_RESULTS!$H$7+Title_RESULTS!$C$17),0,(SUM(B19:F19)))</f>
        <v>95.0284576831248</v>
      </c>
      <c r="H19" s="5">
        <f>IF(A19&gt;=(Title_RESULTS!$H$7+Title_RESULTS!$C$17),0,(+'Sheet3(F_21)'!$J19+'Sheet4(F_22)'!$H19))</f>
        <v>165.42958725892532</v>
      </c>
      <c r="I19" s="5">
        <f>IF(A19&gt;=(Title_RESULTS!$H$7+Title_RESULTS!$C$17),0,(+'Sheet4(F_22)'!$D19+'Sheet4(F_22)'!$G19))</f>
        <v>0</v>
      </c>
      <c r="J19" s="5">
        <f>IF(A19&gt;=(Title_RESULTS!$H$7+Title_RESULTS!$C$17),0,(+'Sheet6(p_6)'!$R19))</f>
        <v>0</v>
      </c>
      <c r="K19" s="9">
        <f>IF(A19&gt;=(Title_RESULTS!$H$7+Title_RESULTS!$C$17),0,(+'f-11B'!$S18))</f>
        <v>0</v>
      </c>
      <c r="L19" s="5">
        <f>IF(A19&gt;=(Title_RESULTS!$H$7+Title_RESULTS!$C$17),0,(SUM(H19:K19)))</f>
        <v>165.42958725892532</v>
      </c>
      <c r="M19" s="23">
        <f>IF(A19&gt;=(Title_RESULTS!$H$7+Title_RESULTS!$C$17),0,(+L19-G19))</f>
        <v>70.40112957580052</v>
      </c>
      <c r="N19" s="24">
        <f>(IF(A18&gt;=(Title_RESULTS!$H$7+Title_RESULTS!$C$17),0,(+$M19/((1+Title_RESULTS!$C$37)^('Sheet9(F_25)'!$A19-Title_RESULTS!$H$7))+N18)))</f>
        <v>-597.8871113998923</v>
      </c>
    </row>
    <row r="20" spans="1:14" ht="12.75">
      <c r="A20">
        <f t="shared" si="0"/>
        <v>2024</v>
      </c>
      <c r="B20" s="5">
        <f>IF(A20&gt;=(Title_RESULTS!$H$7+Title_RESULTS!$C$17),0,(+'Sheet7(F_23)'!$B20))</f>
        <v>0</v>
      </c>
      <c r="C20" s="5">
        <f>IF(A20&gt;=(Title_RESULTS!$H$7+Title_RESULTS!$C$17),0,(+'Sheet6(p_6)'!$D20))</f>
        <v>0</v>
      </c>
      <c r="D20" s="5">
        <f>IF(A20&gt;=(Title_RESULTS!$H$7+Title_RESULTS!$C$17),0,(+'Sheet6(p_6)'!$G20))</f>
        <v>0</v>
      </c>
      <c r="E20" s="5">
        <f>+'Sheet6(p_6)'!M20</f>
        <v>95.97874225995605</v>
      </c>
      <c r="F20">
        <f>IF(A20&gt;=(Title_RESULTS!$H$7+Title_RESULTS!$C$17),0,(+'f-11B'!$R19))</f>
        <v>0</v>
      </c>
      <c r="G20" s="5">
        <f>IF(A20&gt;=(Title_RESULTS!$H$7+Title_RESULTS!$C$17),0,(SUM(B20:F20)))</f>
        <v>95.97874225995605</v>
      </c>
      <c r="H20" s="5">
        <f>IF(A20&gt;=(Title_RESULTS!$H$7+Title_RESULTS!$C$17),0,(+'Sheet3(F_21)'!$J20+'Sheet4(F_22)'!$H20))</f>
        <v>171.9303464968912</v>
      </c>
      <c r="I20" s="5">
        <f>IF(A20&gt;=(Title_RESULTS!$H$7+Title_RESULTS!$C$17),0,(+'Sheet4(F_22)'!$D20+'Sheet4(F_22)'!$G20))</f>
        <v>0</v>
      </c>
      <c r="J20" s="5">
        <f>IF(A20&gt;=(Title_RESULTS!$H$7+Title_RESULTS!$C$17),0,(+'Sheet6(p_6)'!$R20))</f>
        <v>0</v>
      </c>
      <c r="K20" s="9">
        <f>IF(A20&gt;=(Title_RESULTS!$H$7+Title_RESULTS!$C$17),0,(+'f-11B'!$S19))</f>
        <v>0</v>
      </c>
      <c r="L20" s="5">
        <f>IF(A20&gt;=(Title_RESULTS!$H$7+Title_RESULTS!$C$17),0,(SUM(H20:K20)))</f>
        <v>171.9303464968912</v>
      </c>
      <c r="M20" s="23">
        <f>IF(A20&gt;=(Title_RESULTS!$H$7+Title_RESULTS!$C$17),0,(+L20-G20))</f>
        <v>75.95160423693514</v>
      </c>
      <c r="N20" s="24">
        <f>(IF(A19&gt;=(Title_RESULTS!$H$7+Title_RESULTS!$C$17),0,(+$M20/((1+Title_RESULTS!$C$37)^('Sheet9(F_25)'!$A20-Title_RESULTS!$H$7))+N19)))</f>
        <v>-540.1169605826614</v>
      </c>
    </row>
    <row r="21" spans="1:14" ht="12.75">
      <c r="A21">
        <f t="shared" si="0"/>
        <v>2025</v>
      </c>
      <c r="B21" s="5">
        <f>IF(A21&gt;=(Title_RESULTS!$H$7+Title_RESULTS!$C$17),0,(+'Sheet7(F_23)'!$B21))</f>
        <v>0</v>
      </c>
      <c r="C21" s="5">
        <f>IF(A21&gt;=(Title_RESULTS!$H$7+Title_RESULTS!$C$17),0,(+'Sheet6(p_6)'!$D21))</f>
        <v>0</v>
      </c>
      <c r="D21" s="5">
        <f>IF(A21&gt;=(Title_RESULTS!$H$7+Title_RESULTS!$C$17),0,(+'Sheet6(p_6)'!$G21))</f>
        <v>0</v>
      </c>
      <c r="E21" s="5">
        <f>+'Sheet6(p_6)'!M21</f>
        <v>96.93852968255561</v>
      </c>
      <c r="F21">
        <f>IF(A21&gt;=(Title_RESULTS!$H$7+Title_RESULTS!$C$17),0,(+'f-11B'!$R20))</f>
        <v>0</v>
      </c>
      <c r="G21" s="5">
        <f>IF(A21&gt;=(Title_RESULTS!$H$7+Title_RESULTS!$C$17),0,(SUM(B21:F21)))</f>
        <v>96.93852968255561</v>
      </c>
      <c r="H21" s="5">
        <f>IF(A21&gt;=(Title_RESULTS!$H$7+Title_RESULTS!$C$17),0,(+'Sheet3(F_21)'!$J21+'Sheet4(F_22)'!$H21))</f>
        <v>184.60142986917901</v>
      </c>
      <c r="I21" s="5">
        <f>IF(A21&gt;=(Title_RESULTS!$H$7+Title_RESULTS!$C$17),0,(+'Sheet4(F_22)'!$D21+'Sheet4(F_22)'!$G21))</f>
        <v>0</v>
      </c>
      <c r="J21" s="5">
        <f>IF(A21&gt;=(Title_RESULTS!$H$7+Title_RESULTS!$C$17),0,(+'Sheet6(p_6)'!$R21))</f>
        <v>0</v>
      </c>
      <c r="K21" s="9">
        <f>IF(A21&gt;=(Title_RESULTS!$H$7+Title_RESULTS!$C$17),0,(+'f-11B'!$S20))</f>
        <v>0</v>
      </c>
      <c r="L21" s="5">
        <f>IF(A21&gt;=(Title_RESULTS!$H$7+Title_RESULTS!$C$17),0,(SUM(H21:K21)))</f>
        <v>184.60142986917901</v>
      </c>
      <c r="M21" s="23">
        <f>IF(A21&gt;=(Title_RESULTS!$H$7+Title_RESULTS!$C$17),0,(+L21-G21))</f>
        <v>87.6629001866234</v>
      </c>
      <c r="N21" s="24">
        <f>(IF(A20&gt;=(Title_RESULTS!$H$7+Title_RESULTS!$C$17),0,(+$M21/((1+Title_RESULTS!$C$37)^('Sheet9(F_25)'!$A21-Title_RESULTS!$H$7))+N20)))</f>
        <v>-477.8476550928275</v>
      </c>
    </row>
    <row r="22" spans="1:14" ht="12.75">
      <c r="A22">
        <f t="shared" si="0"/>
        <v>2026</v>
      </c>
      <c r="B22" s="5">
        <f>IF(A22&gt;=(Title_RESULTS!$H$7+Title_RESULTS!$C$17),0,(+'Sheet7(F_23)'!$B22))</f>
        <v>0</v>
      </c>
      <c r="C22" s="5">
        <f>IF(A22&gt;=(Title_RESULTS!$H$7+Title_RESULTS!$C$17),0,(+'Sheet6(p_6)'!$D22))</f>
        <v>0</v>
      </c>
      <c r="D22" s="5">
        <f>IF(A22&gt;=(Title_RESULTS!$H$7+Title_RESULTS!$C$17),0,(+'Sheet6(p_6)'!$G22))</f>
        <v>0</v>
      </c>
      <c r="E22" s="5">
        <f>+'Sheet6(p_6)'!M22</f>
        <v>97.90791497938119</v>
      </c>
      <c r="F22">
        <f>IF(A22&gt;=(Title_RESULTS!$H$7+Title_RESULTS!$C$17),0,(+'f-11B'!$R21))</f>
        <v>0</v>
      </c>
      <c r="G22" s="5">
        <f>IF(A22&gt;=(Title_RESULTS!$H$7+Title_RESULTS!$C$17),0,(SUM(B22:F22)))</f>
        <v>97.90791497938119</v>
      </c>
      <c r="H22" s="5">
        <f>IF(A22&gt;=(Title_RESULTS!$H$7+Title_RESULTS!$C$17),0,(+'Sheet3(F_21)'!$J22+'Sheet4(F_22)'!$H22))</f>
        <v>190.52245142862645</v>
      </c>
      <c r="I22" s="5">
        <f>IF(A22&gt;=(Title_RESULTS!$H$7+Title_RESULTS!$C$17),0,(+'Sheet4(F_22)'!$D22+'Sheet4(F_22)'!$G22))</f>
        <v>0</v>
      </c>
      <c r="J22" s="5">
        <f>IF(A22&gt;=(Title_RESULTS!$H$7+Title_RESULTS!$C$17),0,(+'Sheet6(p_6)'!$R22))</f>
        <v>0</v>
      </c>
      <c r="K22" s="9">
        <f>IF(A22&gt;=(Title_RESULTS!$H$7+Title_RESULTS!$C$17),0,(+'f-11B'!$S21))</f>
        <v>0</v>
      </c>
      <c r="L22" s="5">
        <f>IF(A22&gt;=(Title_RESULTS!$H$7+Title_RESULTS!$C$17),0,(SUM(H22:K22)))</f>
        <v>190.52245142862645</v>
      </c>
      <c r="M22" s="23">
        <f>IF(A22&gt;=(Title_RESULTS!$H$7+Title_RESULTS!$C$17),0,(+L22-G22))</f>
        <v>92.61453644924526</v>
      </c>
      <c r="N22" s="24">
        <f>(IF(A21&gt;=(Title_RESULTS!$H$7+Title_RESULTS!$C$17),0,(+$M22/((1+Title_RESULTS!$C$37)^('Sheet9(F_25)'!$A22-Title_RESULTS!$H$7))+N21)))</f>
        <v>-416.4107991674242</v>
      </c>
    </row>
    <row r="23" spans="1:14" ht="12.75">
      <c r="A23">
        <f t="shared" si="0"/>
        <v>2027</v>
      </c>
      <c r="B23" s="5">
        <f>IF(A23&gt;=(Title_RESULTS!$H$7+Title_RESULTS!$C$17),0,(+'Sheet7(F_23)'!$B23))</f>
        <v>0</v>
      </c>
      <c r="C23" s="5">
        <f>IF(A23&gt;=(Title_RESULTS!$H$7+Title_RESULTS!$C$17),0,(+'Sheet6(p_6)'!$D23))</f>
        <v>0</v>
      </c>
      <c r="D23" s="5">
        <f>IF(A23&gt;=(Title_RESULTS!$H$7+Title_RESULTS!$C$17),0,(+'Sheet6(p_6)'!$G23))</f>
        <v>0</v>
      </c>
      <c r="E23" s="5">
        <f>+'Sheet6(p_6)'!M23</f>
        <v>98.88699412917497</v>
      </c>
      <c r="F23">
        <f>IF(A23&gt;=(Title_RESULTS!$H$7+Title_RESULTS!$C$17),0,(+'f-11B'!$R22))</f>
        <v>0</v>
      </c>
      <c r="G23" s="5">
        <f>IF(A23&gt;=(Title_RESULTS!$H$7+Title_RESULTS!$C$17),0,(SUM(B23:F23)))</f>
        <v>98.88699412917497</v>
      </c>
      <c r="H23" s="5">
        <f>IF(A23&gt;=(Title_RESULTS!$H$7+Title_RESULTS!$C$17),0,(+'Sheet3(F_21)'!$J23+'Sheet4(F_22)'!$H23))</f>
        <v>202.42925190258748</v>
      </c>
      <c r="I23" s="5">
        <f>IF(A23&gt;=(Title_RESULTS!$H$7+Title_RESULTS!$C$17),0,(+'Sheet4(F_22)'!$D23+'Sheet4(F_22)'!$G23))</f>
        <v>0</v>
      </c>
      <c r="J23" s="5">
        <f>IF(A23&gt;=(Title_RESULTS!$H$7+Title_RESULTS!$C$17),0,(+'Sheet6(p_6)'!$R23))</f>
        <v>0</v>
      </c>
      <c r="K23" s="9">
        <f>IF(A23&gt;=(Title_RESULTS!$H$7+Title_RESULTS!$C$17),0,(+'f-11B'!$S22))</f>
        <v>0</v>
      </c>
      <c r="L23" s="5">
        <f>IF(A23&gt;=(Title_RESULTS!$H$7+Title_RESULTS!$C$17),0,(SUM(H23:K23)))</f>
        <v>202.42925190258748</v>
      </c>
      <c r="M23" s="23">
        <f>IF(A23&gt;=(Title_RESULTS!$H$7+Title_RESULTS!$C$17),0,(+L23-G23))</f>
        <v>103.54225777341252</v>
      </c>
      <c r="N23" s="24">
        <f>(IF(A22&gt;=(Title_RESULTS!$H$7+Title_RESULTS!$C$17),0,(+$M23/((1+Title_RESULTS!$C$37)^('Sheet9(F_25)'!$A23-Title_RESULTS!$H$7))+N22)))</f>
        <v>-352.2663480734183</v>
      </c>
    </row>
    <row r="24" spans="1:14" ht="12.75">
      <c r="A24">
        <f t="shared" si="0"/>
        <v>2028</v>
      </c>
      <c r="B24" s="5">
        <f>IF(A24&gt;=(Title_RESULTS!$H$7+Title_RESULTS!$C$17),0,(+'Sheet7(F_23)'!$B24))</f>
        <v>0</v>
      </c>
      <c r="C24" s="5">
        <f>IF(A24&gt;=(Title_RESULTS!$H$7+Title_RESULTS!$C$17),0,(+'Sheet6(p_6)'!$D24))</f>
        <v>0</v>
      </c>
      <c r="D24" s="5">
        <f>IF(A24&gt;=(Title_RESULTS!$H$7+Title_RESULTS!$C$17),0,(+'Sheet6(p_6)'!$G24))</f>
        <v>0</v>
      </c>
      <c r="E24" s="5">
        <f>+'Sheet6(p_6)'!M24</f>
        <v>99.87586407046675</v>
      </c>
      <c r="F24">
        <f>IF(A24&gt;=(Title_RESULTS!$H$7+Title_RESULTS!$C$17),0,(+'f-11B'!$R23))</f>
        <v>0</v>
      </c>
      <c r="G24" s="5">
        <f>IF(A24&gt;=(Title_RESULTS!$H$7+Title_RESULTS!$C$17),0,(SUM(B24:F24)))</f>
        <v>99.87586407046675</v>
      </c>
      <c r="H24" s="5">
        <f>IF(A24&gt;=(Title_RESULTS!$H$7+Title_RESULTS!$C$17),0,(+'Sheet3(F_21)'!$J24+'Sheet4(F_22)'!$H24))</f>
        <v>224.315020136343</v>
      </c>
      <c r="I24" s="5">
        <f>IF(A24&gt;=(Title_RESULTS!$H$7+Title_RESULTS!$C$17),0,(+'Sheet4(F_22)'!$D24+'Sheet4(F_22)'!$G24))</f>
        <v>0</v>
      </c>
      <c r="J24" s="5">
        <f>IF(A24&gt;=(Title_RESULTS!$H$7+Title_RESULTS!$C$17),0,(+'Sheet6(p_6)'!$R24))</f>
        <v>0</v>
      </c>
      <c r="K24" s="9">
        <f>IF(A24&gt;=(Title_RESULTS!$H$7+Title_RESULTS!$C$17),0,(+'f-11B'!$S23))</f>
        <v>0</v>
      </c>
      <c r="L24" s="5">
        <f>IF(A24&gt;=(Title_RESULTS!$H$7+Title_RESULTS!$C$17),0,(SUM(H24:K24)))</f>
        <v>224.315020136343</v>
      </c>
      <c r="M24" s="23">
        <f>IF(A24&gt;=(Title_RESULTS!$H$7+Title_RESULTS!$C$17),0,(+L24-G24))</f>
        <v>124.43915606587626</v>
      </c>
      <c r="N24" s="24">
        <f>(IF(A23&gt;=(Title_RESULTS!$H$7+Title_RESULTS!$C$17),0,(+$M24/((1+Title_RESULTS!$C$37)^('Sheet9(F_25)'!$A24-Title_RESULTS!$H$7))+N23)))</f>
        <v>-280.2733670240751</v>
      </c>
    </row>
    <row r="25" spans="1:14" ht="12.75">
      <c r="A25">
        <f t="shared" si="0"/>
        <v>2029</v>
      </c>
      <c r="B25" s="5">
        <f>IF(A25&gt;=(Title_RESULTS!$H$7+Title_RESULTS!$C$17),0,(+'Sheet7(F_23)'!$B25))</f>
        <v>0</v>
      </c>
      <c r="C25" s="5">
        <f>IF(A25&gt;=(Title_RESULTS!$H$7+Title_RESULTS!$C$17),0,(+'Sheet6(p_6)'!$D25))</f>
        <v>0</v>
      </c>
      <c r="D25" s="5">
        <f>IF(A25&gt;=(Title_RESULTS!$H$7+Title_RESULTS!$C$17),0,(+'Sheet6(p_6)'!$G25))</f>
        <v>0</v>
      </c>
      <c r="E25" s="5">
        <f>+'Sheet6(p_6)'!M25</f>
        <v>100.87462271117141</v>
      </c>
      <c r="F25">
        <f>IF(A25&gt;=(Title_RESULTS!$H$7+Title_RESULTS!$C$17),0,(+'f-11B'!$R24))</f>
        <v>0</v>
      </c>
      <c r="G25" s="5">
        <f>IF(A25&gt;=(Title_RESULTS!$H$7+Title_RESULTS!$C$17),0,(SUM(B25:F25)))</f>
        <v>100.87462271117141</v>
      </c>
      <c r="H25" s="5">
        <f>IF(A25&gt;=(Title_RESULTS!$H$7+Title_RESULTS!$C$17),0,(+'Sheet3(F_21)'!$J25+'Sheet4(F_22)'!$H25))</f>
        <v>240.32309750881447</v>
      </c>
      <c r="I25" s="5">
        <f>IF(A25&gt;=(Title_RESULTS!$H$7+Title_RESULTS!$C$17),0,(+'Sheet4(F_22)'!$D25+'Sheet4(F_22)'!$G25))</f>
        <v>0</v>
      </c>
      <c r="J25" s="5">
        <f>IF(A25&gt;=(Title_RESULTS!$H$7+Title_RESULTS!$C$17),0,(+'Sheet6(p_6)'!$R25))</f>
        <v>0</v>
      </c>
      <c r="K25" s="9">
        <f>IF(A25&gt;=(Title_RESULTS!$H$7+Title_RESULTS!$C$17),0,(+'f-11B'!$S24))</f>
        <v>0</v>
      </c>
      <c r="L25" s="5">
        <f>IF(A25&gt;=(Title_RESULTS!$H$7+Title_RESULTS!$C$17),0,(SUM(H25:K25)))</f>
        <v>240.32309750881447</v>
      </c>
      <c r="M25" s="23">
        <f>IF(A25&gt;=(Title_RESULTS!$H$7+Title_RESULTS!$C$17),0,(+L25-G25))</f>
        <v>139.44847479764306</v>
      </c>
      <c r="N25" s="24">
        <f>(IF(A24&gt;=(Title_RESULTS!$H$7+Title_RESULTS!$C$17),0,(+$M25/((1+Title_RESULTS!$C$37)^('Sheet9(F_25)'!$A25-Title_RESULTS!$H$7))+N24)))</f>
        <v>-204.93113086180537</v>
      </c>
    </row>
    <row r="26" spans="1:14" ht="12.75">
      <c r="A26">
        <f t="shared" si="0"/>
        <v>2030</v>
      </c>
      <c r="B26" s="5">
        <f>IF(A26&gt;=(Title_RESULTS!$H$7+Title_RESULTS!$C$17),0,(+'Sheet7(F_23)'!$B26))</f>
        <v>0</v>
      </c>
      <c r="C26" s="5">
        <f>IF(A26&gt;=(Title_RESULTS!$H$7+Title_RESULTS!$C$17),0,(+'Sheet6(p_6)'!$D26))</f>
        <v>0</v>
      </c>
      <c r="D26" s="5">
        <f>IF(A26&gt;=(Title_RESULTS!$H$7+Title_RESULTS!$C$17),0,(+'Sheet6(p_6)'!$G26))</f>
        <v>0</v>
      </c>
      <c r="E26" s="5">
        <f>+'Sheet6(p_6)'!M26</f>
        <v>101.88336893828314</v>
      </c>
      <c r="F26">
        <f>IF(A26&gt;=(Title_RESULTS!$H$7+Title_RESULTS!$C$17),0,(+'f-11B'!$R25))</f>
        <v>0</v>
      </c>
      <c r="G26" s="5">
        <f>IF(A26&gt;=(Title_RESULTS!$H$7+Title_RESULTS!$C$17),0,(SUM(B26:F26)))</f>
        <v>101.88336893828314</v>
      </c>
      <c r="H26" s="5">
        <f>IF(A26&gt;=(Title_RESULTS!$H$7+Title_RESULTS!$C$17),0,(+'Sheet3(F_21)'!$J26+'Sheet4(F_22)'!$H26))</f>
        <v>268.4275859680559</v>
      </c>
      <c r="I26" s="5">
        <f>IF(A26&gt;=(Title_RESULTS!$H$7+Title_RESULTS!$C$17),0,(+'Sheet4(F_22)'!$D26+'Sheet4(F_22)'!$G26))</f>
        <v>0</v>
      </c>
      <c r="J26" s="5">
        <f>IF(A26&gt;=(Title_RESULTS!$H$7+Title_RESULTS!$C$17),0,(+'Sheet6(p_6)'!$R26))</f>
        <v>0</v>
      </c>
      <c r="K26" s="9">
        <f>IF(A26&gt;=(Title_RESULTS!$H$7+Title_RESULTS!$C$17),0,(+'f-11B'!$S25))</f>
        <v>0</v>
      </c>
      <c r="L26" s="5">
        <f>IF(A26&gt;=(Title_RESULTS!$H$7+Title_RESULTS!$C$17),0,(SUM(H26:K26)))</f>
        <v>268.4275859680559</v>
      </c>
      <c r="M26" s="23">
        <f>IF(A26&gt;=(Title_RESULTS!$H$7+Title_RESULTS!$C$17),0,(+L26-G26))</f>
        <v>166.54421702977277</v>
      </c>
      <c r="N26" s="24">
        <f>(IF(A25&gt;=(Title_RESULTS!$H$7+Title_RESULTS!$C$17),0,(+$M26/((1+Title_RESULTS!$C$37)^('Sheet9(F_25)'!$A26-Title_RESULTS!$H$7))+N25)))</f>
        <v>-120.89889249721415</v>
      </c>
    </row>
    <row r="27" spans="1:14" ht="12.75">
      <c r="A27">
        <f t="shared" si="0"/>
        <v>2031</v>
      </c>
      <c r="B27" s="5">
        <f>IF(A27&gt;=(Title_RESULTS!$H$7+Title_RESULTS!$C$17),0,(+'Sheet7(F_23)'!$B27))</f>
        <v>0</v>
      </c>
      <c r="C27" s="5">
        <f>IF(A27&gt;=(Title_RESULTS!$H$7+Title_RESULTS!$C$17),0,(+'Sheet6(p_6)'!$D27))</f>
        <v>0</v>
      </c>
      <c r="D27" s="5">
        <f>IF(A27&gt;=(Title_RESULTS!$H$7+Title_RESULTS!$C$17),0,(+'Sheet6(p_6)'!$G27))</f>
        <v>0</v>
      </c>
      <c r="E27" s="5">
        <f>+'Sheet6(p_6)'!M27</f>
        <v>102.90220262766594</v>
      </c>
      <c r="F27">
        <f>IF(A27&gt;=(Title_RESULTS!$H$7+Title_RESULTS!$C$17),0,(+'f-11B'!$R26))</f>
        <v>0</v>
      </c>
      <c r="G27" s="5">
        <f>IF(A27&gt;=(Title_RESULTS!$H$7+Title_RESULTS!$C$17),0,(SUM(B27:F27)))</f>
        <v>102.90220262766594</v>
      </c>
      <c r="H27" s="5">
        <f>IF(A27&gt;=(Title_RESULTS!$H$7+Title_RESULTS!$C$17),0,(+'Sheet3(F_21)'!$J27+'Sheet4(F_22)'!$H27))</f>
        <v>267.4293452305262</v>
      </c>
      <c r="I27" s="5">
        <f>IF(A27&gt;=(Title_RESULTS!$H$7+Title_RESULTS!$C$17),0,(+'Sheet4(F_22)'!$D27+'Sheet4(F_22)'!$G27))</f>
        <v>0</v>
      </c>
      <c r="J27" s="5">
        <f>IF(A27&gt;=(Title_RESULTS!$H$7+Title_RESULTS!$C$17),0,(+'Sheet6(p_6)'!$R27))</f>
        <v>0</v>
      </c>
      <c r="K27" s="9">
        <f>IF(A27&gt;=(Title_RESULTS!$H$7+Title_RESULTS!$C$17),0,(+'f-11B'!$S26))</f>
        <v>0</v>
      </c>
      <c r="L27" s="5">
        <f>IF(A27&gt;=(Title_RESULTS!$H$7+Title_RESULTS!$C$17),0,(SUM(H27:K27)))</f>
        <v>267.4293452305262</v>
      </c>
      <c r="M27" s="23">
        <f>IF(A27&gt;=(Title_RESULTS!$H$7+Title_RESULTS!$C$17),0,(+L27-G27))</f>
        <v>164.5271426028603</v>
      </c>
      <c r="N27" s="24">
        <f>(IF(A26&gt;=(Title_RESULTS!$H$7+Title_RESULTS!$C$17),0,(+$M27/((1+Title_RESULTS!$C$37)^('Sheet9(F_25)'!$A27-Title_RESULTS!$H$7))+N26)))</f>
        <v>-43.37321547398105</v>
      </c>
    </row>
    <row r="28" spans="1:14" ht="12.75">
      <c r="A28">
        <f t="shared" si="0"/>
        <v>2032</v>
      </c>
      <c r="B28" s="5">
        <f>IF(A28&gt;=(Title_RESULTS!$H$7+Title_RESULTS!$C$17),0,(+'Sheet7(F_23)'!$B28))</f>
        <v>0</v>
      </c>
      <c r="C28" s="5">
        <f>IF(A28&gt;=(Title_RESULTS!$H$7+Title_RESULTS!$C$17),0,(+'Sheet6(p_6)'!$D28))</f>
        <v>0</v>
      </c>
      <c r="D28" s="5">
        <f>IF(A28&gt;=(Title_RESULTS!$H$7+Title_RESULTS!$C$17),0,(+'Sheet6(p_6)'!$G28))</f>
        <v>0</v>
      </c>
      <c r="E28" s="5">
        <f>+'Sheet6(p_6)'!M28</f>
        <v>103.9312246539426</v>
      </c>
      <c r="F28">
        <f>IF(A28&gt;=(Title_RESULTS!$H$7+Title_RESULTS!$C$17),0,(+'f-11B'!$R27))</f>
        <v>0</v>
      </c>
      <c r="G28" s="5">
        <f>IF(A28&gt;=(Title_RESULTS!$H$7+Title_RESULTS!$C$17),0,(SUM(B28:F28)))</f>
        <v>103.9312246539426</v>
      </c>
      <c r="H28" s="5">
        <f>IF(A28&gt;=(Title_RESULTS!$H$7+Title_RESULTS!$C$17),0,(+'Sheet3(F_21)'!$J28+'Sheet4(F_22)'!$H28))</f>
        <v>292.27555747696215</v>
      </c>
      <c r="I28" s="5">
        <f>IF(A28&gt;=(Title_RESULTS!$H$7+Title_RESULTS!$C$17),0,(+'Sheet4(F_22)'!$D28+'Sheet4(F_22)'!$G28))</f>
        <v>0</v>
      </c>
      <c r="J28" s="5">
        <f>IF(A28&gt;=(Title_RESULTS!$H$7+Title_RESULTS!$C$17),0,(+'Sheet6(p_6)'!$R28))</f>
        <v>0</v>
      </c>
      <c r="K28" s="9">
        <f>IF(A28&gt;=(Title_RESULTS!$H$7+Title_RESULTS!$C$17),0,(+'f-11B'!$S27))</f>
        <v>0</v>
      </c>
      <c r="L28" s="5">
        <f>IF(A28&gt;=(Title_RESULTS!$H$7+Title_RESULTS!$C$17),0,(SUM(H28:K28)))</f>
        <v>292.27555747696215</v>
      </c>
      <c r="M28" s="23">
        <f>IF(A28&gt;=(Title_RESULTS!$H$7+Title_RESULTS!$C$17),0,(+L28-G28))</f>
        <v>188.34433282301956</v>
      </c>
      <c r="N28" s="24">
        <f>(IF(A27&gt;=(Title_RESULTS!$H$7+Title_RESULTS!$C$17),0,(+$M28/((1+Title_RESULTS!$C$37)^('Sheet9(F_25)'!$A28-Title_RESULTS!$H$7))+N27)))</f>
        <v>39.50725484342124</v>
      </c>
    </row>
    <row r="29" spans="1:14" ht="12.75">
      <c r="A29">
        <f t="shared" si="0"/>
        <v>2033</v>
      </c>
      <c r="B29" s="5">
        <f>IF(A29&gt;=(Title_RESULTS!$H$7+Title_RESULTS!$C$17),0,(+'Sheet7(F_23)'!$B29))</f>
        <v>0</v>
      </c>
      <c r="C29" s="5">
        <f>IF(A29&gt;=(Title_RESULTS!$H$7+Title_RESULTS!$C$17),0,(+'Sheet6(p_6)'!$D29))</f>
        <v>0</v>
      </c>
      <c r="D29" s="5">
        <f>IF(A29&gt;=(Title_RESULTS!$H$7+Title_RESULTS!$C$17),0,(+'Sheet6(p_6)'!$G29))</f>
        <v>0</v>
      </c>
      <c r="E29" s="5">
        <f>+'Sheet6(p_6)'!M29</f>
        <v>104.97053690048203</v>
      </c>
      <c r="F29">
        <f>IF(A29&gt;=(Title_RESULTS!$H$7+Title_RESULTS!$C$17),0,(+'f-11B'!$R28))</f>
        <v>0</v>
      </c>
      <c r="G29" s="5">
        <f>IF(A29&gt;=(Title_RESULTS!$H$7+Title_RESULTS!$C$17),0,(SUM(B29:F29)))</f>
        <v>104.97053690048203</v>
      </c>
      <c r="H29" s="5">
        <f>IF(A29&gt;=(Title_RESULTS!$H$7+Title_RESULTS!$C$17),0,(+'Sheet3(F_21)'!$J29+'Sheet4(F_22)'!$H29))</f>
        <v>311.68529551278345</v>
      </c>
      <c r="I29" s="5">
        <f>IF(A29&gt;=(Title_RESULTS!$H$7+Title_RESULTS!$C$17),0,(+'Sheet4(F_22)'!$D29+'Sheet4(F_22)'!$G29))</f>
        <v>0</v>
      </c>
      <c r="J29" s="5">
        <f>IF(A29&gt;=(Title_RESULTS!$H$7+Title_RESULTS!$C$17),0,(+'Sheet6(p_6)'!$R29))</f>
        <v>0</v>
      </c>
      <c r="K29" s="9">
        <f>IF(A29&gt;=(Title_RESULTS!$H$7+Title_RESULTS!$C$17),0,(+'f-11B'!$S28))</f>
        <v>0</v>
      </c>
      <c r="L29" s="5">
        <f>IF(A29&gt;=(Title_RESULTS!$H$7+Title_RESULTS!$C$17),0,(SUM(H29:K29)))</f>
        <v>311.68529551278345</v>
      </c>
      <c r="M29" s="23">
        <f>IF(A29&gt;=(Title_RESULTS!$H$7+Title_RESULTS!$C$17),0,(+L29-G29))</f>
        <v>206.7147586123014</v>
      </c>
      <c r="N29" s="24">
        <f>(IF(A28&gt;=(Title_RESULTS!$H$7+Title_RESULTS!$C$17),0,(+$M29/((1+Title_RESULTS!$C$37)^('Sheet9(F_25)'!$A29-Title_RESULTS!$H$7))+N28)))</f>
        <v>124.45713527739265</v>
      </c>
    </row>
    <row r="30" spans="1:14" ht="12.75">
      <c r="A30">
        <f t="shared" si="0"/>
        <v>2034</v>
      </c>
      <c r="B30" s="5">
        <f>IF(A30&gt;=(Title_RESULTS!$H$7+Title_RESULTS!$C$17),0,(+'Sheet7(F_23)'!$B30))</f>
        <v>0</v>
      </c>
      <c r="C30" s="5">
        <f>IF(A30&gt;=(Title_RESULTS!$H$7+Title_RESULTS!$C$17),0,(+'Sheet6(p_6)'!$D30))</f>
        <v>0</v>
      </c>
      <c r="D30" s="5">
        <f>IF(A30&gt;=(Title_RESULTS!$H$7+Title_RESULTS!$C$17),0,(+'Sheet6(p_6)'!$G30))</f>
        <v>0</v>
      </c>
      <c r="E30" s="5">
        <f>+'Sheet6(p_6)'!M30</f>
        <v>106.02024226948687</v>
      </c>
      <c r="F30">
        <f>IF(A30&gt;=(Title_RESULTS!$H$7+Title_RESULTS!$C$17),0,(+'f-11B'!$R29))</f>
        <v>0</v>
      </c>
      <c r="G30" s="5">
        <f>IF(A30&gt;=(Title_RESULTS!$H$7+Title_RESULTS!$C$17),0,(SUM(B30:F30)))</f>
        <v>106.02024226948687</v>
      </c>
      <c r="H30" s="5">
        <f>IF(A30&gt;=(Title_RESULTS!$H$7+Title_RESULTS!$C$17),0,(+'Sheet3(F_21)'!$J30+'Sheet4(F_22)'!$H30))</f>
        <v>326.1980704294549</v>
      </c>
      <c r="I30" s="5">
        <f>IF(A30&gt;=(Title_RESULTS!$H$7+Title_RESULTS!$C$17),0,(+'Sheet4(F_22)'!$D30+'Sheet4(F_22)'!$G30))</f>
        <v>0</v>
      </c>
      <c r="J30" s="5">
        <f>IF(A30&gt;=(Title_RESULTS!$H$7+Title_RESULTS!$C$17),0,(+'Sheet6(p_6)'!$R30))</f>
        <v>0</v>
      </c>
      <c r="K30" s="9">
        <f>IF(A30&gt;=(Title_RESULTS!$H$7+Title_RESULTS!$C$17),0,(+'f-11B'!$S29))</f>
        <v>0</v>
      </c>
      <c r="L30" s="5">
        <f>IF(A30&gt;=(Title_RESULTS!$H$7+Title_RESULTS!$C$17),0,(SUM(H30:K30)))</f>
        <v>326.1980704294549</v>
      </c>
      <c r="M30" s="23">
        <f>IF(A30&gt;=(Title_RESULTS!$H$7+Title_RESULTS!$C$17),0,(+L30-G30))</f>
        <v>220.17782815996804</v>
      </c>
      <c r="N30" s="24">
        <f>(IF(A29&gt;=(Title_RESULTS!$H$7+Title_RESULTS!$C$17),0,(+$M30/((1+Title_RESULTS!$C$37)^('Sheet9(F_25)'!$A30-Title_RESULTS!$H$7))+N29)))</f>
        <v>208.9570962387378</v>
      </c>
    </row>
    <row r="31" spans="1:14" ht="12.75">
      <c r="A31">
        <f t="shared" si="0"/>
        <v>2035</v>
      </c>
      <c r="B31" s="5">
        <f>IF(A31&gt;=(Title_RESULTS!$H$7+Title_RESULTS!$C$17),0,(+'Sheet7(F_23)'!$B31))</f>
        <v>0</v>
      </c>
      <c r="C31" s="5">
        <f>IF(A31&gt;=(Title_RESULTS!$H$7+Title_RESULTS!$C$17),0,(+'Sheet6(p_6)'!$D31))</f>
        <v>0</v>
      </c>
      <c r="D31" s="5">
        <f>IF(A31&gt;=(Title_RESULTS!$H$7+Title_RESULTS!$C$17),0,(+'Sheet6(p_6)'!$G31))</f>
        <v>0</v>
      </c>
      <c r="E31" s="5">
        <f>+'Sheet6(p_6)'!M31</f>
        <v>107.08044469218171</v>
      </c>
      <c r="F31">
        <f>IF(A31&gt;=(Title_RESULTS!$H$7+Title_RESULTS!$C$17),0,(+'f-11B'!$R30))</f>
        <v>0</v>
      </c>
      <c r="G31" s="5">
        <f>IF(A31&gt;=(Title_RESULTS!$H$7+Title_RESULTS!$C$17),0,(SUM(B31:F31)))</f>
        <v>107.08044469218171</v>
      </c>
      <c r="H31" s="5">
        <f>IF(A31&gt;=(Title_RESULTS!$H$7+Title_RESULTS!$C$17),0,(+'Sheet3(F_21)'!$J31+'Sheet4(F_22)'!$H31))</f>
        <v>359.25731110918406</v>
      </c>
      <c r="I31" s="5">
        <f>IF(A31&gt;=(Title_RESULTS!$H$7+Title_RESULTS!$C$17),0,(+'Sheet4(F_22)'!$D31+'Sheet4(F_22)'!$G31))</f>
        <v>0</v>
      </c>
      <c r="J31" s="5">
        <f>IF(A31&gt;=(Title_RESULTS!$H$7+Title_RESULTS!$C$17),0,(+'Sheet6(p_6)'!$R31))</f>
        <v>0</v>
      </c>
      <c r="K31" s="9">
        <f>IF(A31&gt;=(Title_RESULTS!$H$7+Title_RESULTS!$C$17),0,(+'f-11B'!$S30))</f>
        <v>0</v>
      </c>
      <c r="L31" s="5">
        <f>IF(A31&gt;=(Title_RESULTS!$H$7+Title_RESULTS!$C$17),0,(SUM(H31:K31)))</f>
        <v>359.25731110918406</v>
      </c>
      <c r="M31" s="23">
        <f>IF(A31&gt;=(Title_RESULTS!$H$7+Title_RESULTS!$C$17),0,(+L31-G31))</f>
        <v>252.17686641700234</v>
      </c>
      <c r="N31" s="24">
        <f>(IF(A30&gt;=(Title_RESULTS!$H$7+Title_RESULTS!$C$17),0,(+$M31/((1+Title_RESULTS!$C$37)^('Sheet9(F_25)'!$A31-Title_RESULTS!$H$7))+N30)))</f>
        <v>299.3386506296112</v>
      </c>
    </row>
    <row r="32" spans="1:14" ht="12.75">
      <c r="A32">
        <f t="shared" si="0"/>
        <v>2036</v>
      </c>
      <c r="B32" s="5">
        <f>IF(A32&gt;=(Title_RESULTS!$H$7+Title_RESULTS!$C$17),0,(+'Sheet7(F_23)'!$B32))</f>
        <v>0</v>
      </c>
      <c r="C32" s="5">
        <f>IF(A32&gt;=(Title_RESULTS!$H$7+Title_RESULTS!$C$17),0,(+'Sheet6(p_6)'!$D32))</f>
        <v>0</v>
      </c>
      <c r="D32" s="5">
        <f>IF(A32&gt;=(Title_RESULTS!$H$7+Title_RESULTS!$C$17),0,(+'Sheet6(p_6)'!$G32))</f>
        <v>0</v>
      </c>
      <c r="E32" s="5">
        <f>+'Sheet6(p_6)'!M32</f>
        <v>108.15124913910356</v>
      </c>
      <c r="F32">
        <f>IF(A32&gt;=(Title_RESULTS!$H$7+Title_RESULTS!$C$17),0,(+'f-11B'!$R31))</f>
        <v>0</v>
      </c>
      <c r="G32" s="5">
        <f>IF(A32&gt;=(Title_RESULTS!$H$7+Title_RESULTS!$C$17),0,(SUM(B32:F32)))</f>
        <v>108.15124913910356</v>
      </c>
      <c r="H32" s="5">
        <f>IF(A32&gt;=(Title_RESULTS!$H$7+Title_RESULTS!$C$17),0,(+'Sheet3(F_21)'!$J32+'Sheet4(F_22)'!$H32))</f>
        <v>354.8393648021341</v>
      </c>
      <c r="I32" s="5">
        <f>IF(A32&gt;=(Title_RESULTS!$H$7+Title_RESULTS!$C$17),0,(+'Sheet4(F_22)'!$D32+'Sheet4(F_22)'!$G32))</f>
        <v>0</v>
      </c>
      <c r="J32" s="5">
        <f>IF(A32&gt;=(Title_RESULTS!$H$7+Title_RESULTS!$C$17),0,(+'Sheet6(p_6)'!$R32))</f>
        <v>0</v>
      </c>
      <c r="K32" s="9">
        <f>IF(A32&gt;=(Title_RESULTS!$H$7+Title_RESULTS!$C$17),0,(+'f-11B'!$S31))</f>
        <v>0</v>
      </c>
      <c r="L32" s="5">
        <f>IF(A32&gt;=(Title_RESULTS!$H$7+Title_RESULTS!$C$17),0,(SUM(H32:K32)))</f>
        <v>354.8393648021341</v>
      </c>
      <c r="M32" s="23">
        <f>IF(A32&gt;=(Title_RESULTS!$H$7+Title_RESULTS!$C$17),0,(+L32-G32))</f>
        <v>246.68811566303057</v>
      </c>
      <c r="N32" s="24">
        <f>(IF(A31&gt;=(Title_RESULTS!$H$7+Title_RESULTS!$C$17),0,(+$M32/((1+Title_RESULTS!$C$37)^('Sheet9(F_25)'!$A32-Title_RESULTS!$H$7))+N31)))</f>
        <v>381.90715679379093</v>
      </c>
    </row>
    <row r="33" spans="1:14" ht="12.75">
      <c r="A33">
        <f t="shared" si="0"/>
        <v>2037</v>
      </c>
      <c r="B33" s="5">
        <f>IF(A33&gt;=(Title_RESULTS!$H$7+Title_RESULTS!$C$17),0,(+'Sheet7(F_23)'!$B33))</f>
        <v>0</v>
      </c>
      <c r="C33" s="5">
        <f>IF(A33&gt;=(Title_RESULTS!$H$7+Title_RESULTS!$C$17),0,(+'Sheet6(p_6)'!$D33))</f>
        <v>0</v>
      </c>
      <c r="D33" s="5">
        <f>IF(A33&gt;=(Title_RESULTS!$H$7+Title_RESULTS!$C$17),0,(+'Sheet6(p_6)'!$G33))</f>
        <v>0</v>
      </c>
      <c r="E33" s="5">
        <f>+'Sheet6(p_6)'!M33</f>
        <v>109.23276163049461</v>
      </c>
      <c r="F33">
        <f>IF(A33&gt;=(Title_RESULTS!$H$7+Title_RESULTS!$C$17),0,(+'f-11B'!$R32))</f>
        <v>0</v>
      </c>
      <c r="G33" s="5">
        <f>IF(A33&gt;=(Title_RESULTS!$H$7+Title_RESULTS!$C$17),0,(SUM(B33:F33)))</f>
        <v>109.23276163049461</v>
      </c>
      <c r="H33" s="5">
        <f>IF(A33&gt;=(Title_RESULTS!$H$7+Title_RESULTS!$C$17),0,(+'Sheet3(F_21)'!$J33+'Sheet4(F_22)'!$H33))</f>
        <v>378.7252455253067</v>
      </c>
      <c r="I33" s="5">
        <f>IF(A33&gt;=(Title_RESULTS!$H$7+Title_RESULTS!$C$17),0,(+'Sheet4(F_22)'!$D33+'Sheet4(F_22)'!$G33))</f>
        <v>0</v>
      </c>
      <c r="J33" s="5">
        <f>IF(A33&gt;=(Title_RESULTS!$H$7+Title_RESULTS!$C$17),0,(+'Sheet6(p_6)'!$R33))</f>
        <v>0</v>
      </c>
      <c r="K33" s="9">
        <f>IF(A33&gt;=(Title_RESULTS!$H$7+Title_RESULTS!$C$17),0,(+'f-11B'!$S32))</f>
        <v>0</v>
      </c>
      <c r="L33" s="5">
        <f>IF(A33&gt;=(Title_RESULTS!$H$7+Title_RESULTS!$C$17),0,(SUM(H33:K33)))</f>
        <v>378.7252455253067</v>
      </c>
      <c r="M33" s="23">
        <f>IF(A33&gt;=(Title_RESULTS!$H$7+Title_RESULTS!$C$17),0,(+L33-G33))</f>
        <v>269.4924838948121</v>
      </c>
      <c r="N33" s="24">
        <f>(IF(A32&gt;=(Title_RESULTS!$H$7+Title_RESULTS!$C$17),0,(+$M33/((1+Title_RESULTS!$C$37)^('Sheet9(F_25)'!$A33-Title_RESULTS!$H$7))+N32)))</f>
        <v>466.1444677082543</v>
      </c>
    </row>
    <row r="34" ht="12.75">
      <c r="E34" s="5"/>
    </row>
    <row r="35" spans="1:13" ht="12.75">
      <c r="A35" t="s">
        <v>87</v>
      </c>
      <c r="B35" s="5">
        <f aca="true" t="shared" si="1" ref="B35:M35">SUM(B16:B34)</f>
        <v>0</v>
      </c>
      <c r="C35" s="5">
        <f t="shared" si="1"/>
        <v>537.7008000000001</v>
      </c>
      <c r="D35" s="5">
        <f t="shared" si="1"/>
        <v>255.36</v>
      </c>
      <c r="E35" s="5">
        <f t="shared" si="1"/>
        <v>1670.0197662118715</v>
      </c>
      <c r="F35" s="5">
        <f t="shared" si="1"/>
        <v>0</v>
      </c>
      <c r="G35" s="5">
        <f t="shared" si="1"/>
        <v>2463.0805662118714</v>
      </c>
      <c r="H35" s="5">
        <f t="shared" si="1"/>
        <v>4173.673490956645</v>
      </c>
      <c r="I35" s="5">
        <f t="shared" si="1"/>
        <v>0</v>
      </c>
      <c r="J35" s="5">
        <f t="shared" si="1"/>
        <v>0</v>
      </c>
      <c r="K35" s="9">
        <f t="shared" si="1"/>
        <v>0</v>
      </c>
      <c r="L35" s="5">
        <f t="shared" si="1"/>
        <v>4173.673490956645</v>
      </c>
      <c r="M35" s="5">
        <f t="shared" si="1"/>
        <v>1710.5929247447732</v>
      </c>
    </row>
    <row r="37" spans="1:13" ht="12.75">
      <c r="A37" t="s">
        <v>118</v>
      </c>
      <c r="B37" s="5">
        <f>NPV(Title_RESULTS!$C$37,'Sheet9(F_25)'!B17:B34)+'Sheet9(F_25)'!B16</f>
        <v>0</v>
      </c>
      <c r="C37" s="5">
        <f>NPV(Title_RESULTS!$C$37,'Sheet9(F_25)'!C17:C34)+'Sheet9(F_25)'!C16</f>
        <v>502.3888206918773</v>
      </c>
      <c r="D37" s="5">
        <f>NPV(Title_RESULTS!$C$37,'Sheet9(F_25)'!D17:D34)+'Sheet9(F_25)'!D16</f>
        <v>238.8480244878515</v>
      </c>
      <c r="E37" s="5">
        <f>NPV(Title_RESULTS!$C$37,'Sheet9(F_25)'!E17:E34)+'Sheet9(F_25)'!E16</f>
        <v>923.1792213360773</v>
      </c>
      <c r="F37" s="5">
        <f>NPV(Title_RESULTS!$C$37,'Sheet9(F_25)'!F17:F34)+'Sheet9(F_25)'!F16</f>
        <v>0</v>
      </c>
      <c r="G37" s="5">
        <f>NPV(Title_RESULTS!$C$37,'Sheet9(F_25)'!G17:G34)+'Sheet9(F_25)'!G16</f>
        <v>1664.416066515806</v>
      </c>
      <c r="H37" s="5">
        <f>NPV(Title_RESULTS!$C$37,'Sheet9(F_25)'!H17:H34)+'Sheet9(F_25)'!H16</f>
        <v>2130.5605342240606</v>
      </c>
      <c r="I37" s="5">
        <f>NPV(Title_RESULTS!$C$37,'Sheet9(F_25)'!I17:I34)+'Sheet9(F_25)'!I16</f>
        <v>0</v>
      </c>
      <c r="J37" s="5">
        <f>NPV(Title_RESULTS!$C$37,'Sheet9(F_25)'!J17:J34)+'Sheet9(F_25)'!J16</f>
        <v>0</v>
      </c>
      <c r="K37" s="9">
        <f>NPV(Title_RESULTS!$C$37,'Sheet9(F_25)'!K17:K34)+'Sheet9(F_25)'!K16</f>
        <v>0</v>
      </c>
      <c r="L37" s="5">
        <f>NPV(Title_RESULTS!$C$37,'Sheet9(F_25)'!L17:L34)+'Sheet9(F_25)'!L16</f>
        <v>2130.5605342240606</v>
      </c>
      <c r="M37" s="5">
        <f>NPV(Title_RESULTS!$C$37,'Sheet9(F_25)'!M17:M34)+'Sheet9(F_25)'!M16</f>
        <v>466.1444677082543</v>
      </c>
    </row>
    <row r="39" spans="1:10" ht="12.75">
      <c r="A39" t="s">
        <v>175</v>
      </c>
      <c r="D39">
        <f>+Title_RESULTS!C37</f>
        <v>0.0708</v>
      </c>
      <c r="F39" t="s">
        <v>183</v>
      </c>
      <c r="J39" s="10">
        <f>+L37/G37</f>
        <v>1.2800648690468692</v>
      </c>
    </row>
    <row r="151" ht="12.75">
      <c r="DL151" s="1"/>
    </row>
  </sheetData>
  <sheetProtection/>
  <printOptions/>
  <pageMargins left="0.75" right="0.75" top="1" bottom="1" header="0.5" footer="0.5"/>
  <pageSetup fitToHeight="1" fitToWidth="1" horizontalDpi="300" verticalDpi="300" orientation="landscape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2:O44"/>
  <sheetViews>
    <sheetView zoomScale="60" zoomScaleNormal="60" zoomScalePageLayoutView="0" workbookViewId="0" topLeftCell="C3">
      <selection activeCell="I16" sqref="I16"/>
    </sheetView>
  </sheetViews>
  <sheetFormatPr defaultColWidth="9.140625" defaultRowHeight="12.75"/>
  <cols>
    <col min="7" max="7" width="16.00390625" style="0" customWidth="1"/>
    <col min="8" max="8" width="21.140625" style="0" customWidth="1"/>
    <col min="10" max="10" width="12.140625" style="0" customWidth="1"/>
    <col min="11" max="11" width="12.00390625" style="0" bestFit="1" customWidth="1"/>
    <col min="12" max="12" width="12.8515625" style="0" bestFit="1" customWidth="1"/>
    <col min="13" max="14" width="10.57421875" style="0" bestFit="1" customWidth="1"/>
  </cols>
  <sheetData>
    <row r="2" spans="11:12" ht="12.75">
      <c r="K2" t="s">
        <v>400</v>
      </c>
      <c r="L2" t="s">
        <v>401</v>
      </c>
    </row>
    <row r="3" spans="6:12" ht="12.75">
      <c r="F3" t="s">
        <v>402</v>
      </c>
      <c r="H3" t="s">
        <v>403</v>
      </c>
      <c r="J3" t="s">
        <v>400</v>
      </c>
      <c r="K3" t="s">
        <v>403</v>
      </c>
      <c r="L3" t="s">
        <v>404</v>
      </c>
    </row>
    <row r="4" spans="7:12" ht="12.75">
      <c r="G4" t="s">
        <v>35</v>
      </c>
      <c r="H4" t="s">
        <v>405</v>
      </c>
      <c r="I4" t="s">
        <v>272</v>
      </c>
      <c r="J4" t="s">
        <v>272</v>
      </c>
      <c r="K4" t="s">
        <v>405</v>
      </c>
      <c r="L4" t="s">
        <v>406</v>
      </c>
    </row>
    <row r="6" spans="6:13" ht="12.75">
      <c r="F6" s="109">
        <f>+H6/K11</f>
        <v>0.19510218303564666</v>
      </c>
      <c r="G6" s="117">
        <v>2020</v>
      </c>
      <c r="H6" s="86">
        <f>+F34</f>
        <v>25757</v>
      </c>
      <c r="I6" s="86">
        <f>+F23</f>
        <v>832</v>
      </c>
      <c r="J6" s="86">
        <f>+I6</f>
        <v>832</v>
      </c>
      <c r="K6" s="86">
        <f>+H6</f>
        <v>25757</v>
      </c>
      <c r="L6" s="86">
        <f>+J6+H6</f>
        <v>26589</v>
      </c>
      <c r="M6" s="86"/>
    </row>
    <row r="7" spans="6:13" ht="12.75">
      <c r="F7" s="109">
        <f>H7/K11</f>
        <v>0.5594009907739854</v>
      </c>
      <c r="G7" s="117">
        <v>2021</v>
      </c>
      <c r="H7" s="86">
        <f>G35</f>
        <v>73851</v>
      </c>
      <c r="I7" s="86">
        <f>G24</f>
        <v>4049</v>
      </c>
      <c r="J7" s="86">
        <f>J6+I7</f>
        <v>4881</v>
      </c>
      <c r="K7" s="86">
        <f>K6+H7</f>
        <v>99608</v>
      </c>
      <c r="L7" s="86">
        <f>+I7+H7</f>
        <v>77900</v>
      </c>
      <c r="M7" s="86"/>
    </row>
    <row r="8" spans="6:13" ht="12.75">
      <c r="F8" s="109">
        <f>H8/K11</f>
        <v>0.24549682619036797</v>
      </c>
      <c r="G8" s="117">
        <v>2022</v>
      </c>
      <c r="H8" s="86">
        <f>H36</f>
        <v>32410</v>
      </c>
      <c r="I8" s="86">
        <f>H25</f>
        <v>7482</v>
      </c>
      <c r="J8" s="86">
        <f>J7+I8</f>
        <v>12363</v>
      </c>
      <c r="K8" s="86">
        <f>K7+H8</f>
        <v>132018</v>
      </c>
      <c r="L8" s="86">
        <f>+I8+H8</f>
        <v>39892</v>
      </c>
      <c r="M8" s="86"/>
    </row>
    <row r="9" spans="6:13" ht="12.75">
      <c r="F9" s="109"/>
      <c r="G9" s="117">
        <v>2023</v>
      </c>
      <c r="H9" s="86">
        <v>0</v>
      </c>
      <c r="I9" s="86">
        <v>0</v>
      </c>
      <c r="J9" s="86">
        <v>0</v>
      </c>
      <c r="K9" s="86">
        <v>0</v>
      </c>
      <c r="L9" s="86">
        <v>0</v>
      </c>
      <c r="M9" s="86"/>
    </row>
    <row r="10" ht="13.5" thickBot="1"/>
    <row r="11" spans="5:12" ht="13.5" thickBot="1">
      <c r="E11" s="132" t="s">
        <v>437</v>
      </c>
      <c r="F11" s="130">
        <f>SUM(F6:F10)</f>
        <v>1</v>
      </c>
      <c r="G11" s="28"/>
      <c r="J11">
        <f>+I31</f>
        <v>12363</v>
      </c>
      <c r="K11">
        <f>+I42</f>
        <v>132018</v>
      </c>
      <c r="L11" s="86">
        <f>SUM(L6:L8)</f>
        <v>144381</v>
      </c>
    </row>
    <row r="13" spans="6:12" ht="12.75">
      <c r="F13" s="28" t="s">
        <v>462</v>
      </c>
      <c r="G13" s="8">
        <f>+H13/H17</f>
        <v>0.19510218303564666</v>
      </c>
      <c r="H13" s="8">
        <f>+H6*1000/M24</f>
        <v>109.29420084865629</v>
      </c>
      <c r="I13" s="8">
        <f>+I6*1000/M23</f>
        <v>3.6331877729257642</v>
      </c>
      <c r="J13" s="8"/>
      <c r="K13" s="8"/>
      <c r="L13" s="8">
        <f>+L6*1000/M24</f>
        <v>112.82461103253182</v>
      </c>
    </row>
    <row r="14" spans="6:12" ht="12.75">
      <c r="F14" s="28" t="s">
        <v>463</v>
      </c>
      <c r="G14" s="8">
        <f>H14/H17</f>
        <v>0.5594009907739853</v>
      </c>
      <c r="H14" s="8">
        <f>H7*1000/M24</f>
        <v>313.37057991513433</v>
      </c>
      <c r="I14" s="8">
        <f>I7*1000/M23</f>
        <v>17.68122270742358</v>
      </c>
      <c r="J14" s="8"/>
      <c r="K14" s="8"/>
      <c r="L14" s="8">
        <f>L7*1000/M24</f>
        <v>330.5516265912305</v>
      </c>
    </row>
    <row r="15" spans="6:12" ht="12.75">
      <c r="F15" s="28" t="s">
        <v>464</v>
      </c>
      <c r="G15" s="8">
        <f>H15/H17</f>
        <v>0.24549682619036797</v>
      </c>
      <c r="H15" s="8">
        <f>H8*1000/M24</f>
        <v>137.5247524752475</v>
      </c>
      <c r="I15" s="8">
        <f>I8*1000/M23</f>
        <v>32.672489082969435</v>
      </c>
      <c r="J15" s="8"/>
      <c r="K15" s="8"/>
      <c r="L15" s="8">
        <f>L8*1000/M24</f>
        <v>169.27298444130125</v>
      </c>
    </row>
    <row r="16" spans="6:12" ht="12.75">
      <c r="F16" s="28" t="s">
        <v>465</v>
      </c>
      <c r="G16" s="8"/>
      <c r="H16" s="8">
        <v>0</v>
      </c>
      <c r="I16" s="8">
        <f>I9*1000/M24</f>
        <v>0</v>
      </c>
      <c r="J16" s="8"/>
      <c r="K16" s="8"/>
      <c r="L16" s="8">
        <v>0</v>
      </c>
    </row>
    <row r="17" spans="7:12" ht="12.75">
      <c r="G17" s="8"/>
      <c r="H17" s="8">
        <f>SUM(H13:H15)</f>
        <v>560.1895332390382</v>
      </c>
      <c r="I17" s="8"/>
      <c r="J17" s="8"/>
      <c r="K17" s="8"/>
      <c r="L17" s="8">
        <f>SUM(L13:L15)</f>
        <v>612.6492220650636</v>
      </c>
    </row>
    <row r="18" spans="2:7" ht="15.75">
      <c r="B18" s="98" t="s">
        <v>445</v>
      </c>
      <c r="C18" s="7"/>
      <c r="D18" s="7"/>
      <c r="E18" s="7"/>
      <c r="F18" s="7"/>
      <c r="G18" s="7"/>
    </row>
    <row r="20" ht="12.75">
      <c r="E20" s="117" t="s">
        <v>456</v>
      </c>
    </row>
    <row r="21" ht="12.75">
      <c r="F21" s="28" t="s">
        <v>461</v>
      </c>
    </row>
    <row r="22" spans="5:15" ht="12.75">
      <c r="E22" t="str">
        <f>E20</f>
        <v>7FA.05 CT</v>
      </c>
      <c r="F22" s="117">
        <v>2020</v>
      </c>
      <c r="G22">
        <f>F22+1</f>
        <v>2021</v>
      </c>
      <c r="H22">
        <f>G22+1</f>
        <v>2022</v>
      </c>
      <c r="K22" t="s">
        <v>434</v>
      </c>
      <c r="M22" s="63">
        <v>245000</v>
      </c>
      <c r="O22" s="28"/>
    </row>
    <row r="23" spans="5:15" ht="12.75">
      <c r="E23" t="s">
        <v>421</v>
      </c>
      <c r="F23" s="63">
        <v>832</v>
      </c>
      <c r="G23" s="117">
        <v>0</v>
      </c>
      <c r="H23" s="117">
        <v>0</v>
      </c>
      <c r="J23" s="110" t="s">
        <v>437</v>
      </c>
      <c r="K23" t="s">
        <v>435</v>
      </c>
      <c r="M23" s="63">
        <v>229000</v>
      </c>
      <c r="O23" s="28"/>
    </row>
    <row r="24" spans="5:15" ht="12.75">
      <c r="E24" t="s">
        <v>422</v>
      </c>
      <c r="F24" s="63">
        <v>0</v>
      </c>
      <c r="G24" s="117">
        <v>4049</v>
      </c>
      <c r="H24" s="117">
        <v>0</v>
      </c>
      <c r="K24" t="s">
        <v>436</v>
      </c>
      <c r="M24" s="8">
        <f>+M22*(5/12)+M23*(7/12)</f>
        <v>235666.6666666667</v>
      </c>
      <c r="O24" s="28" t="s">
        <v>455</v>
      </c>
    </row>
    <row r="25" spans="5:15" ht="12.75">
      <c r="E25" t="s">
        <v>423</v>
      </c>
      <c r="F25" s="63">
        <v>0</v>
      </c>
      <c r="G25" s="117">
        <v>0</v>
      </c>
      <c r="H25" s="117">
        <v>7482</v>
      </c>
      <c r="O25" t="s">
        <v>457</v>
      </c>
    </row>
    <row r="26" spans="5:8" ht="12.75">
      <c r="E26" t="s">
        <v>424</v>
      </c>
      <c r="F26" s="63">
        <v>0</v>
      </c>
      <c r="G26" s="117">
        <v>0</v>
      </c>
      <c r="H26" s="117">
        <v>0</v>
      </c>
    </row>
    <row r="27" spans="5:8" ht="12.75">
      <c r="E27" t="s">
        <v>425</v>
      </c>
      <c r="F27" s="63">
        <v>0</v>
      </c>
      <c r="G27" s="117">
        <v>0</v>
      </c>
      <c r="H27" s="117">
        <v>0</v>
      </c>
    </row>
    <row r="28" spans="5:8" ht="12.75">
      <c r="E28" t="s">
        <v>426</v>
      </c>
      <c r="F28" s="63">
        <v>0</v>
      </c>
      <c r="G28" s="117">
        <v>0</v>
      </c>
      <c r="H28" s="117">
        <v>0</v>
      </c>
    </row>
    <row r="29" spans="5:15" ht="12.75">
      <c r="E29" t="s">
        <v>427</v>
      </c>
      <c r="F29" s="63">
        <v>0</v>
      </c>
      <c r="G29" s="117">
        <v>0</v>
      </c>
      <c r="H29" s="117">
        <v>0</v>
      </c>
      <c r="O29" s="116" t="s">
        <v>446</v>
      </c>
    </row>
    <row r="30" spans="5:9" ht="12.75">
      <c r="E30" t="s">
        <v>428</v>
      </c>
      <c r="F30" s="63">
        <v>0</v>
      </c>
      <c r="G30" s="117">
        <v>0</v>
      </c>
      <c r="H30" s="117">
        <v>0</v>
      </c>
      <c r="I30" s="7" t="s">
        <v>429</v>
      </c>
    </row>
    <row r="31" spans="5:12" ht="12.75">
      <c r="E31" t="s">
        <v>430</v>
      </c>
      <c r="F31">
        <f>SUM(F23:F30)</f>
        <v>832</v>
      </c>
      <c r="G31">
        <f>SUM(G23:G30)</f>
        <v>4049</v>
      </c>
      <c r="H31">
        <f>SUM(H23:H30)</f>
        <v>7482</v>
      </c>
      <c r="I31">
        <f>SUM(F31:H31)</f>
        <v>12363</v>
      </c>
      <c r="L31" s="110" t="s">
        <v>437</v>
      </c>
    </row>
    <row r="33" spans="5:8" ht="12.75">
      <c r="E33" t="str">
        <f>E20</f>
        <v>7FA.05 CT</v>
      </c>
      <c r="F33">
        <f>F22</f>
        <v>2020</v>
      </c>
      <c r="G33">
        <f>G22</f>
        <v>2021</v>
      </c>
      <c r="H33">
        <f>H22</f>
        <v>2022</v>
      </c>
    </row>
    <row r="34" spans="5:8" ht="12.75">
      <c r="E34" t="s">
        <v>421</v>
      </c>
      <c r="F34" s="63">
        <v>25757</v>
      </c>
      <c r="G34" s="117">
        <v>0</v>
      </c>
      <c r="H34" s="117">
        <v>0</v>
      </c>
    </row>
    <row r="35" spans="5:8" ht="12.75">
      <c r="E35" t="s">
        <v>422</v>
      </c>
      <c r="F35" s="63">
        <v>0</v>
      </c>
      <c r="G35" s="117">
        <v>73851</v>
      </c>
      <c r="H35" s="117">
        <v>0</v>
      </c>
    </row>
    <row r="36" spans="5:8" ht="12.75">
      <c r="E36" t="s">
        <v>423</v>
      </c>
      <c r="F36" s="63">
        <v>0</v>
      </c>
      <c r="G36" s="117">
        <v>0</v>
      </c>
      <c r="H36" s="117">
        <v>32410</v>
      </c>
    </row>
    <row r="37" spans="5:9" ht="12.75">
      <c r="E37" t="s">
        <v>424</v>
      </c>
      <c r="F37" s="63">
        <v>0</v>
      </c>
      <c r="G37" s="117">
        <v>0</v>
      </c>
      <c r="H37" s="117">
        <v>0</v>
      </c>
      <c r="I37" s="110" t="s">
        <v>437</v>
      </c>
    </row>
    <row r="38" spans="5:8" ht="12.75">
      <c r="E38" t="s">
        <v>425</v>
      </c>
      <c r="F38" s="63">
        <v>0</v>
      </c>
      <c r="G38" s="117">
        <v>0</v>
      </c>
      <c r="H38" s="117">
        <v>0</v>
      </c>
    </row>
    <row r="39" spans="5:8" ht="12.75">
      <c r="E39" t="s">
        <v>426</v>
      </c>
      <c r="F39" s="63">
        <v>0</v>
      </c>
      <c r="G39" s="117">
        <v>0</v>
      </c>
      <c r="H39" s="117">
        <v>0</v>
      </c>
    </row>
    <row r="40" spans="5:8" ht="12.75">
      <c r="E40" t="s">
        <v>427</v>
      </c>
      <c r="F40" s="63">
        <v>0</v>
      </c>
      <c r="G40" s="117">
        <v>0</v>
      </c>
      <c r="H40" s="117">
        <v>0</v>
      </c>
    </row>
    <row r="41" spans="5:9" ht="12.75">
      <c r="E41" t="s">
        <v>428</v>
      </c>
      <c r="F41" s="63">
        <v>0</v>
      </c>
      <c r="G41" s="117">
        <v>0</v>
      </c>
      <c r="H41" s="117">
        <v>0</v>
      </c>
      <c r="I41" s="7" t="s">
        <v>431</v>
      </c>
    </row>
    <row r="42" spans="5:9" ht="12.75">
      <c r="E42" t="s">
        <v>432</v>
      </c>
      <c r="F42">
        <f>SUM(F34:F41)</f>
        <v>25757</v>
      </c>
      <c r="G42">
        <f>SUM(G34:G41)</f>
        <v>73851</v>
      </c>
      <c r="H42">
        <f>SUM(H34:H41)</f>
        <v>32410</v>
      </c>
      <c r="I42">
        <f>SUM(F42:H42)</f>
        <v>132018</v>
      </c>
    </row>
    <row r="43" ht="12.75">
      <c r="I43">
        <f>I31+I42</f>
        <v>144381</v>
      </c>
    </row>
    <row r="44" ht="12.75">
      <c r="H44" t="s">
        <v>433</v>
      </c>
    </row>
  </sheetData>
  <sheetProtection/>
  <printOptions/>
  <pageMargins left="0.7" right="0.7" top="0.75" bottom="0.75" header="0.3" footer="0.3"/>
  <pageSetup fitToHeight="1" fitToWidth="1" horizontalDpi="600" verticalDpi="600" orientation="portrait" scale="46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13">
    <tabColor rgb="FFFFFF00"/>
    <pageSetUpPr fitToPage="1"/>
  </sheetPr>
  <dimension ref="A1:P64"/>
  <sheetViews>
    <sheetView zoomScale="75" zoomScaleNormal="75" zoomScalePageLayoutView="0" workbookViewId="0" topLeftCell="A1">
      <selection activeCell="E3" sqref="E3"/>
    </sheetView>
  </sheetViews>
  <sheetFormatPr defaultColWidth="9.140625" defaultRowHeight="12.75"/>
  <cols>
    <col min="2" max="2" width="12.00390625" style="0" customWidth="1"/>
    <col min="3" max="3" width="10.421875" style="0" customWidth="1"/>
    <col min="4" max="4" width="20.421875" style="0" customWidth="1"/>
    <col min="5" max="5" width="10.140625" style="0" customWidth="1"/>
    <col min="6" max="6" width="10.57421875" style="0" customWidth="1"/>
    <col min="10" max="10" width="10.140625" style="0" customWidth="1"/>
    <col min="11" max="11" width="11.421875" style="0" customWidth="1"/>
    <col min="12" max="12" width="11.57421875" style="0" customWidth="1"/>
  </cols>
  <sheetData>
    <row r="1" spans="1:16" ht="12.75">
      <c r="A1" t="s">
        <v>205</v>
      </c>
      <c r="I1" t="s">
        <v>206</v>
      </c>
      <c r="O1" s="3" t="s">
        <v>349</v>
      </c>
      <c r="P1" s="3"/>
    </row>
    <row r="2" spans="1:9" ht="12.75">
      <c r="A2" t="s">
        <v>207</v>
      </c>
      <c r="I2" t="s">
        <v>208</v>
      </c>
    </row>
    <row r="3" spans="1:9" ht="12.75">
      <c r="A3" t="s">
        <v>209</v>
      </c>
      <c r="E3" s="10">
        <f>'f-11B'!J29*'Sheet3(F_21)'!G5/1000</f>
        <v>0</v>
      </c>
      <c r="I3" t="s">
        <v>210</v>
      </c>
    </row>
    <row r="4" spans="1:12" ht="12.75">
      <c r="A4" t="s">
        <v>166</v>
      </c>
      <c r="F4" t="s">
        <v>6</v>
      </c>
      <c r="I4" t="s">
        <v>211</v>
      </c>
      <c r="J4" t="s">
        <v>212</v>
      </c>
      <c r="L4" s="12">
        <f>(+Title_RESULTS!H11*'Sheet3(F_21)'!G5)/1000*(1+Title_RESULTS!H13/100)^(Title_RESULTS!H9-Title_RESULTS!H7)</f>
        <v>0</v>
      </c>
    </row>
    <row r="5" spans="5:15" ht="12.75">
      <c r="E5" t="s">
        <v>213</v>
      </c>
      <c r="J5" t="s">
        <v>214</v>
      </c>
      <c r="L5" s="12">
        <f>(Title_RESULTS!$H$12*Title_RESULTS!$C$7*Partcipation!$C$26)/1000*(1+Title_RESULTS!H13/100)^(Title_RESULTS!H9-Title_RESULTS!H7)</f>
        <v>0</v>
      </c>
      <c r="O5" t="s">
        <v>215</v>
      </c>
    </row>
    <row r="6" ht="12.75">
      <c r="N6" t="s">
        <v>216</v>
      </c>
    </row>
    <row r="7" spans="5:16" ht="12.75">
      <c r="E7" t="s">
        <v>217</v>
      </c>
      <c r="F7">
        <f>+Title_RESULTS!$H$13/100</f>
        <v>0.024</v>
      </c>
      <c r="G7" t="s">
        <v>218</v>
      </c>
      <c r="N7" t="s">
        <v>217</v>
      </c>
      <c r="O7">
        <f>+Title_RESULTS!$H$13/100</f>
        <v>0.024</v>
      </c>
      <c r="P7" t="s">
        <v>218</v>
      </c>
    </row>
    <row r="8" spans="2:16" ht="12.75">
      <c r="B8" t="s">
        <v>219</v>
      </c>
      <c r="E8" t="s">
        <v>220</v>
      </c>
      <c r="F8">
        <f>+Title_RESULTS!$C$37</f>
        <v>0.0708</v>
      </c>
      <c r="G8" t="s">
        <v>221</v>
      </c>
      <c r="I8" t="s">
        <v>222</v>
      </c>
      <c r="N8" t="s">
        <v>220</v>
      </c>
      <c r="O8">
        <f>+Title_RESULTS!$C$37</f>
        <v>0.0708</v>
      </c>
      <c r="P8" t="s">
        <v>221</v>
      </c>
    </row>
    <row r="9" spans="2:16" ht="12.75">
      <c r="B9" t="s">
        <v>223</v>
      </c>
      <c r="C9">
        <f>IF(Title_RESULTS!$C$22=1,5,3)</f>
        <v>5</v>
      </c>
      <c r="E9" t="s">
        <v>224</v>
      </c>
      <c r="F9">
        <f>+Title_RESULTS!C18</f>
        <v>25</v>
      </c>
      <c r="G9" t="s">
        <v>225</v>
      </c>
      <c r="I9" t="s">
        <v>223</v>
      </c>
      <c r="K9">
        <f>IF(Title_RESULTS!$C$22=1,7,3)</f>
        <v>7</v>
      </c>
      <c r="N9" t="s">
        <v>224</v>
      </c>
      <c r="O9">
        <f>Title_RESULTS!C19</f>
        <v>25</v>
      </c>
      <c r="P9" t="s">
        <v>225</v>
      </c>
    </row>
    <row r="10" spans="2:16" ht="12.75">
      <c r="B10" t="s">
        <v>226</v>
      </c>
      <c r="C10">
        <f>IF(Title_RESULTS!$C$22=1,4,2)</f>
        <v>4</v>
      </c>
      <c r="E10" t="s">
        <v>227</v>
      </c>
      <c r="F10">
        <v>1</v>
      </c>
      <c r="G10" t="s">
        <v>228</v>
      </c>
      <c r="I10" t="s">
        <v>226</v>
      </c>
      <c r="K10">
        <f>IF(Title_RESULTS!$C$22=1,5,1)</f>
        <v>5</v>
      </c>
      <c r="N10" t="s">
        <v>227</v>
      </c>
      <c r="O10">
        <v>1</v>
      </c>
      <c r="P10" t="s">
        <v>228</v>
      </c>
    </row>
    <row r="12" spans="5:16" ht="12.75">
      <c r="E12" t="s">
        <v>229</v>
      </c>
      <c r="F12">
        <f>+Title_RESULTS!C20</f>
        <v>1.5213</v>
      </c>
      <c r="G12" t="s">
        <v>230</v>
      </c>
      <c r="I12" t="s">
        <v>231</v>
      </c>
      <c r="N12" t="s">
        <v>229</v>
      </c>
      <c r="O12">
        <f>Title_RESULTS!C21</f>
        <v>1.5213</v>
      </c>
      <c r="P12" t="s">
        <v>230</v>
      </c>
    </row>
    <row r="13" spans="5:16" ht="12.75">
      <c r="E13" t="s">
        <v>232</v>
      </c>
      <c r="F13">
        <f>+(1+F7)/(1+F8)</f>
        <v>0.9562943593574897</v>
      </c>
      <c r="G13" t="s">
        <v>233</v>
      </c>
      <c r="I13" t="s">
        <v>223</v>
      </c>
      <c r="K13">
        <f>IF(Title_RESULTS!$C$22=1,8,4)</f>
        <v>8</v>
      </c>
      <c r="N13" t="s">
        <v>234</v>
      </c>
      <c r="O13">
        <f>+(1+O7)/(1+O8)</f>
        <v>0.9562943593574897</v>
      </c>
      <c r="P13" t="s">
        <v>233</v>
      </c>
    </row>
    <row r="14" spans="9:11" ht="12.75">
      <c r="I14" t="s">
        <v>226</v>
      </c>
      <c r="K14">
        <f>IF(Title_RESULTS!$C$22=1,5,1)</f>
        <v>5</v>
      </c>
    </row>
    <row r="15" spans="5:14" ht="12.75">
      <c r="E15" t="s">
        <v>235</v>
      </c>
      <c r="N15" t="s">
        <v>236</v>
      </c>
    </row>
    <row r="16" spans="5:15" ht="12.75">
      <c r="E16" t="s">
        <v>237</v>
      </c>
      <c r="F16" s="11">
        <f>+F12*F10*((1-F13)/(1-F13^F9))</f>
        <v>0.09882230355451863</v>
      </c>
      <c r="N16" t="s">
        <v>238</v>
      </c>
      <c r="O16" s="11">
        <f>+O12*O10*((1-O13)/(1-O13^O9))</f>
        <v>0.09882230355451863</v>
      </c>
    </row>
    <row r="18" spans="6:16" ht="12.75">
      <c r="F18" t="s">
        <v>46</v>
      </c>
      <c r="K18" t="s">
        <v>239</v>
      </c>
      <c r="L18" t="s">
        <v>240</v>
      </c>
      <c r="O18" t="s">
        <v>46</v>
      </c>
      <c r="P18" t="s">
        <v>46</v>
      </c>
    </row>
    <row r="19" spans="3:16" ht="12.75">
      <c r="C19" t="s">
        <v>241</v>
      </c>
      <c r="D19" t="s">
        <v>68</v>
      </c>
      <c r="E19" t="s">
        <v>242</v>
      </c>
      <c r="F19" t="s">
        <v>243</v>
      </c>
      <c r="J19" t="s">
        <v>241</v>
      </c>
      <c r="K19" t="s">
        <v>68</v>
      </c>
      <c r="L19" t="s">
        <v>68</v>
      </c>
      <c r="O19" t="s">
        <v>244</v>
      </c>
      <c r="P19" t="s">
        <v>240</v>
      </c>
    </row>
    <row r="20" spans="3:16" ht="12.75">
      <c r="C20" t="s">
        <v>245</v>
      </c>
      <c r="D20" t="s">
        <v>246</v>
      </c>
      <c r="E20" t="s">
        <v>247</v>
      </c>
      <c r="F20" t="s">
        <v>248</v>
      </c>
      <c r="J20" t="s">
        <v>245</v>
      </c>
      <c r="K20" t="s">
        <v>246</v>
      </c>
      <c r="L20" t="s">
        <v>246</v>
      </c>
      <c r="O20" t="s">
        <v>248</v>
      </c>
      <c r="P20" t="s">
        <v>248</v>
      </c>
    </row>
    <row r="21" spans="1:16" ht="12.75">
      <c r="A21" t="s">
        <v>249</v>
      </c>
      <c r="B21" t="s">
        <v>250</v>
      </c>
      <c r="C21" t="s">
        <v>2</v>
      </c>
      <c r="D21" t="s">
        <v>251</v>
      </c>
      <c r="E21" t="s">
        <v>252</v>
      </c>
      <c r="F21" t="s">
        <v>39</v>
      </c>
      <c r="H21" t="s">
        <v>249</v>
      </c>
      <c r="I21" t="s">
        <v>250</v>
      </c>
      <c r="J21" t="s">
        <v>2</v>
      </c>
      <c r="K21" t="s">
        <v>251</v>
      </c>
      <c r="L21" t="s">
        <v>251</v>
      </c>
      <c r="N21" t="s">
        <v>252</v>
      </c>
      <c r="O21" t="s">
        <v>39</v>
      </c>
      <c r="P21" t="s">
        <v>83</v>
      </c>
    </row>
    <row r="22" spans="1:12" ht="12.75">
      <c r="A22" t="s">
        <v>253</v>
      </c>
      <c r="B22" t="s">
        <v>51</v>
      </c>
      <c r="C22" t="s">
        <v>85</v>
      </c>
      <c r="D22" t="s">
        <v>85</v>
      </c>
      <c r="E22" t="s">
        <v>85</v>
      </c>
      <c r="F22" t="s">
        <v>86</v>
      </c>
      <c r="J22" t="s">
        <v>85</v>
      </c>
      <c r="K22" t="s">
        <v>85</v>
      </c>
      <c r="L22" t="s">
        <v>85</v>
      </c>
    </row>
    <row r="23" spans="1:16" ht="12.75">
      <c r="A23">
        <v>1</v>
      </c>
      <c r="B23">
        <f>+Title_RESULTS!H7</f>
        <v>2020</v>
      </c>
      <c r="C23">
        <f>IF(B23&gt;=Title_RESULTS!$H$8,VLOOKUP(B23,'Revenue Requirements'!$B$9:$C$39,2),0)</f>
        <v>0</v>
      </c>
      <c r="D23" s="9">
        <f>$E$3*C23</f>
        <v>0</v>
      </c>
      <c r="E23" s="11">
        <v>0</v>
      </c>
      <c r="F23" s="9">
        <f>$E$3*E23</f>
        <v>0</v>
      </c>
      <c r="H23">
        <v>1</v>
      </c>
      <c r="I23">
        <f>Title_RESULTS!H7</f>
        <v>2020</v>
      </c>
      <c r="J23">
        <f>IF(I23&gt;=Title_RESULTS!$H$8,VLOOKUP(I23,'Revenue Requirements'!$B$9:$D$39,2),0)</f>
        <v>0</v>
      </c>
      <c r="K23" s="5">
        <f>$L$4*J23</f>
        <v>0</v>
      </c>
      <c r="L23" s="5">
        <f>$L$5*J23</f>
        <v>0</v>
      </c>
      <c r="N23">
        <v>0</v>
      </c>
      <c r="O23" s="5">
        <f>$L$4*N23</f>
        <v>0</v>
      </c>
      <c r="P23" s="49">
        <f>N23*$L$5</f>
        <v>0</v>
      </c>
    </row>
    <row r="24" spans="1:16" ht="12.75">
      <c r="A24">
        <v>2</v>
      </c>
      <c r="B24">
        <f>+B23+1</f>
        <v>2021</v>
      </c>
      <c r="C24">
        <f>IF(B24&gt;=Title_RESULTS!$H$8,VLOOKUP(B24,'Revenue Requirements'!$B$9:$C$39,2),0)</f>
        <v>0</v>
      </c>
      <c r="D24" s="9">
        <f aca="true" t="shared" si="0" ref="D24:D61">$E$3*C24</f>
        <v>0</v>
      </c>
      <c r="E24" s="11">
        <f>IF(B24=Title_RESULTS!$H$8,$F$16,+E23*(1+$F$7))</f>
        <v>0</v>
      </c>
      <c r="F24" s="9">
        <f aca="true" t="shared" si="1" ref="F24:F61">$E$3*E24</f>
        <v>0</v>
      </c>
      <c r="H24">
        <v>2</v>
      </c>
      <c r="I24">
        <f>I23+1</f>
        <v>2021</v>
      </c>
      <c r="J24">
        <f>IF(I24&gt;=Title_RESULTS!$H$8,VLOOKUP(I24,'Revenue Requirements'!$B$9:$D$39,2),0)</f>
        <v>0</v>
      </c>
      <c r="K24" s="5">
        <f aca="true" t="shared" si="2" ref="K24:K61">$L$4*J24</f>
        <v>0</v>
      </c>
      <c r="L24" s="5">
        <f aca="true" t="shared" si="3" ref="L24:L61">$L$5*J24</f>
        <v>0</v>
      </c>
      <c r="N24" s="11">
        <f>IF(+B24=Title_RESULTS!$H$9,'Value of Defferal'!$O$16,+'Value of Defferal'!N23*(1+'Value of Defferal'!$F$7))</f>
        <v>0.09882230355451863</v>
      </c>
      <c r="O24" s="5">
        <f>$L$4*N24</f>
        <v>0</v>
      </c>
      <c r="P24" s="48">
        <f aca="true" t="shared" si="4" ref="P24:P61">N24*$L$5</f>
        <v>0</v>
      </c>
    </row>
    <row r="25" spans="1:16" ht="12.75">
      <c r="A25">
        <v>3</v>
      </c>
      <c r="B25">
        <f aca="true" t="shared" si="5" ref="B25:B61">+B24+1</f>
        <v>2022</v>
      </c>
      <c r="C25">
        <f>IF(B25&gt;=Title_RESULTS!$H$8,VLOOKUP(B25,'Revenue Requirements'!$B$9:$C$39,2),0)</f>
        <v>0</v>
      </c>
      <c r="D25" s="9">
        <f t="shared" si="0"/>
        <v>0</v>
      </c>
      <c r="E25" s="11">
        <f>IF(B25=Title_RESULTS!$H$8,$F$16,+E24*(1+$F$7))</f>
        <v>0</v>
      </c>
      <c r="F25" s="9">
        <f t="shared" si="1"/>
        <v>0</v>
      </c>
      <c r="H25">
        <v>3</v>
      </c>
      <c r="I25">
        <f aca="true" t="shared" si="6" ref="I25:I61">I24+1</f>
        <v>2022</v>
      </c>
      <c r="J25">
        <f>IF(I25&gt;=Title_RESULTS!$H$8,VLOOKUP(I25,'Revenue Requirements'!$B$9:$D$39,2),0)</f>
        <v>0</v>
      </c>
      <c r="K25" s="5">
        <f t="shared" si="2"/>
        <v>0</v>
      </c>
      <c r="L25" s="5">
        <f t="shared" si="3"/>
        <v>0</v>
      </c>
      <c r="N25" s="11">
        <f>IF(+B25=Title_RESULTS!$H$9,'Value of Defferal'!$O$16,+'Value of Defferal'!N24*(1+'Value of Defferal'!$F$7))</f>
        <v>0.10119403883982707</v>
      </c>
      <c r="O25" s="5">
        <f aca="true" t="shared" si="7" ref="O25:O61">$L$4*N25</f>
        <v>0</v>
      </c>
      <c r="P25" s="48">
        <f t="shared" si="4"/>
        <v>0</v>
      </c>
    </row>
    <row r="26" spans="1:16" ht="12.75">
      <c r="A26">
        <v>4</v>
      </c>
      <c r="B26">
        <f t="shared" si="5"/>
        <v>2023</v>
      </c>
      <c r="C26">
        <f>IF(B26&gt;=Title_RESULTS!$H$8,VLOOKUP(B26,'Revenue Requirements'!$B$9:$C$39,2),0)</f>
        <v>0.13759066226231162</v>
      </c>
      <c r="D26" s="9">
        <f t="shared" si="0"/>
        <v>0</v>
      </c>
      <c r="E26" s="11">
        <f>IF(B26=Title_RESULTS!$H$8,$F$16,+E25*(1+$F$7))</f>
        <v>0.09882230355451863</v>
      </c>
      <c r="F26" s="9">
        <f t="shared" si="1"/>
        <v>0</v>
      </c>
      <c r="H26">
        <v>4</v>
      </c>
      <c r="I26">
        <f t="shared" si="6"/>
        <v>2023</v>
      </c>
      <c r="J26">
        <f>IF(I26&gt;=Title_RESULTS!$H$8,VLOOKUP(I26,'Revenue Requirements'!$B$9:$D$39,2),0)</f>
        <v>0.13759066226231162</v>
      </c>
      <c r="K26" s="5">
        <f t="shared" si="2"/>
        <v>0</v>
      </c>
      <c r="L26" s="5">
        <f t="shared" si="3"/>
        <v>0</v>
      </c>
      <c r="N26" s="11">
        <f>IF(+B26=Title_RESULTS!$H$9,'Value of Defferal'!$O$16,+'Value of Defferal'!N25*(1+'Value of Defferal'!$F$7))</f>
        <v>0.10362269577198292</v>
      </c>
      <c r="O26" s="5">
        <f t="shared" si="7"/>
        <v>0</v>
      </c>
      <c r="P26" s="48">
        <f t="shared" si="4"/>
        <v>0</v>
      </c>
    </row>
    <row r="27" spans="1:16" ht="12.75">
      <c r="A27">
        <v>5</v>
      </c>
      <c r="B27">
        <f t="shared" si="5"/>
        <v>2024</v>
      </c>
      <c r="C27">
        <f>IF(B27&gt;=Title_RESULTS!$H$8,VLOOKUP(B27,'Revenue Requirements'!$B$9:$C$39,2),0)</f>
        <v>0.13352762595002862</v>
      </c>
      <c r="D27" s="9">
        <f t="shared" si="0"/>
        <v>0</v>
      </c>
      <c r="E27" s="11">
        <f>IF(B27=Title_RESULTS!$H$8,$F$16,+E26*(1+$F$7))</f>
        <v>0.10119403883982707</v>
      </c>
      <c r="F27" s="9">
        <f t="shared" si="1"/>
        <v>0</v>
      </c>
      <c r="H27">
        <v>5</v>
      </c>
      <c r="I27">
        <f t="shared" si="6"/>
        <v>2024</v>
      </c>
      <c r="J27">
        <f>IF(I27&gt;=Title_RESULTS!$H$8,VLOOKUP(I27,'Revenue Requirements'!$B$9:$D$39,2),0)</f>
        <v>0.13352762595002862</v>
      </c>
      <c r="K27" s="5">
        <f t="shared" si="2"/>
        <v>0</v>
      </c>
      <c r="L27" s="5">
        <f t="shared" si="3"/>
        <v>0</v>
      </c>
      <c r="N27" s="11">
        <f>IF(+B27=Title_RESULTS!$H$9,'Value of Defferal'!$O$16,+'Value of Defferal'!N26*(1+'Value of Defferal'!$F$7))</f>
        <v>0.10610964047051051</v>
      </c>
      <c r="O27" s="5">
        <f t="shared" si="7"/>
        <v>0</v>
      </c>
      <c r="P27" s="48">
        <f t="shared" si="4"/>
        <v>0</v>
      </c>
    </row>
    <row r="28" spans="1:16" ht="12.75">
      <c r="A28">
        <v>6</v>
      </c>
      <c r="B28">
        <f t="shared" si="5"/>
        <v>2025</v>
      </c>
      <c r="C28">
        <f>IF(B28&gt;=Title_RESULTS!$H$8,VLOOKUP(B28,'Revenue Requirements'!$B$9:$C$39,2),0)</f>
        <v>0.1290420634933591</v>
      </c>
      <c r="D28" s="9">
        <f t="shared" si="0"/>
        <v>0</v>
      </c>
      <c r="E28" s="11">
        <f>IF(B28=Title_RESULTS!$H$8,$F$16,+E27*(1+$F$7))</f>
        <v>0.10362269577198292</v>
      </c>
      <c r="F28" s="9">
        <f t="shared" si="1"/>
        <v>0</v>
      </c>
      <c r="H28">
        <v>6</v>
      </c>
      <c r="I28">
        <f t="shared" si="6"/>
        <v>2025</v>
      </c>
      <c r="J28">
        <f>IF(I28&gt;=Title_RESULTS!$H$8,VLOOKUP(I28,'Revenue Requirements'!$B$9:$D$39,2),0)</f>
        <v>0.1290420634933591</v>
      </c>
      <c r="K28" s="5">
        <f t="shared" si="2"/>
        <v>0</v>
      </c>
      <c r="L28" s="5">
        <f t="shared" si="3"/>
        <v>0</v>
      </c>
      <c r="N28" s="11">
        <f>IF(+B28=Title_RESULTS!$H$9,'Value of Defferal'!$O$16,+'Value of Defferal'!N27*(1+'Value of Defferal'!$F$7))</f>
        <v>0.10865627184180277</v>
      </c>
      <c r="O28" s="5">
        <f t="shared" si="7"/>
        <v>0</v>
      </c>
      <c r="P28" s="48">
        <f t="shared" si="4"/>
        <v>0</v>
      </c>
    </row>
    <row r="29" spans="1:16" ht="12.75">
      <c r="A29">
        <v>7</v>
      </c>
      <c r="B29">
        <f t="shared" si="5"/>
        <v>2026</v>
      </c>
      <c r="C29">
        <f>IF(B29&gt;=Title_RESULTS!$H$8,VLOOKUP(B29,'Revenue Requirements'!$B$9:$C$39,2),0)</f>
        <v>0.12477133475235652</v>
      </c>
      <c r="D29" s="9">
        <f t="shared" si="0"/>
        <v>0</v>
      </c>
      <c r="E29" s="11">
        <f>IF(B29=Title_RESULTS!$H$8,$F$16,+E28*(1+$F$7))</f>
        <v>0.10610964047051051</v>
      </c>
      <c r="F29" s="9">
        <f t="shared" si="1"/>
        <v>0</v>
      </c>
      <c r="H29">
        <v>7</v>
      </c>
      <c r="I29">
        <f t="shared" si="6"/>
        <v>2026</v>
      </c>
      <c r="J29">
        <f>IF(I29&gt;=Title_RESULTS!$H$8,VLOOKUP(I29,'Revenue Requirements'!$B$9:$D$39,2),0)</f>
        <v>0.12477133475235652</v>
      </c>
      <c r="K29" s="5">
        <f t="shared" si="2"/>
        <v>0</v>
      </c>
      <c r="L29" s="5">
        <f t="shared" si="3"/>
        <v>0</v>
      </c>
      <c r="N29" s="11">
        <f>IF(+B29=Title_RESULTS!$H$9,'Value of Defferal'!$O$16,+'Value of Defferal'!N28*(1+'Value of Defferal'!$F$7))</f>
        <v>0.11126402236600604</v>
      </c>
      <c r="O29" s="5">
        <f t="shared" si="7"/>
        <v>0</v>
      </c>
      <c r="P29" s="48">
        <f t="shared" si="4"/>
        <v>0</v>
      </c>
    </row>
    <row r="30" spans="1:16" ht="12.75">
      <c r="A30">
        <v>8</v>
      </c>
      <c r="B30">
        <f t="shared" si="5"/>
        <v>2027</v>
      </c>
      <c r="C30">
        <f>IF(B30&gt;=Title_RESULTS!$H$8,VLOOKUP(B30,'Revenue Requirements'!$B$9:$C$39,2),0)</f>
        <v>0.12069389684472964</v>
      </c>
      <c r="D30" s="9">
        <f t="shared" si="0"/>
        <v>0</v>
      </c>
      <c r="E30" s="11">
        <f>IF(B30=Title_RESULTS!$H$8,$F$16,+E29*(1+$F$7))</f>
        <v>0.10865627184180277</v>
      </c>
      <c r="F30" s="9">
        <f t="shared" si="1"/>
        <v>0</v>
      </c>
      <c r="H30">
        <v>8</v>
      </c>
      <c r="I30">
        <f t="shared" si="6"/>
        <v>2027</v>
      </c>
      <c r="J30">
        <f>IF(I30&gt;=Title_RESULTS!$H$8,VLOOKUP(I30,'Revenue Requirements'!$B$9:$D$39,2),0)</f>
        <v>0.12069389684472964</v>
      </c>
      <c r="K30" s="5">
        <f t="shared" si="2"/>
        <v>0</v>
      </c>
      <c r="L30" s="5">
        <f t="shared" si="3"/>
        <v>0</v>
      </c>
      <c r="N30" s="11">
        <f>IF(+B30=Title_RESULTS!$H$9,'Value of Defferal'!$O$16,+'Value of Defferal'!N29*(1+'Value of Defferal'!$F$7))</f>
        <v>0.11393435890279018</v>
      </c>
      <c r="O30" s="5">
        <f t="shared" si="7"/>
        <v>0</v>
      </c>
      <c r="P30" s="48">
        <f t="shared" si="4"/>
        <v>0</v>
      </c>
    </row>
    <row r="31" spans="1:16" ht="12.75">
      <c r="A31">
        <v>9</v>
      </c>
      <c r="B31">
        <f t="shared" si="5"/>
        <v>2028</v>
      </c>
      <c r="C31">
        <f>IF(B31&gt;=Title_RESULTS!$H$8,VLOOKUP(B31,'Revenue Requirements'!$B$9:$C$39,2),0)</f>
        <v>0.11679058731716964</v>
      </c>
      <c r="D31" s="9">
        <f t="shared" si="0"/>
        <v>0</v>
      </c>
      <c r="E31" s="11">
        <f>IF(B31=Title_RESULTS!$H$8,$F$16,+E30*(1+$F$7))</f>
        <v>0.11126402236600604</v>
      </c>
      <c r="F31" s="9">
        <f t="shared" si="1"/>
        <v>0</v>
      </c>
      <c r="H31">
        <v>9</v>
      </c>
      <c r="I31">
        <f t="shared" si="6"/>
        <v>2028</v>
      </c>
      <c r="J31">
        <f>IF(I31&gt;=Title_RESULTS!$H$8,VLOOKUP(I31,'Revenue Requirements'!$B$9:$D$39,2),0)</f>
        <v>0.11679058731716964</v>
      </c>
      <c r="K31" s="5">
        <f t="shared" si="2"/>
        <v>0</v>
      </c>
      <c r="L31" s="5">
        <f t="shared" si="3"/>
        <v>0</v>
      </c>
      <c r="N31" s="11">
        <f>IF(+B31=Title_RESULTS!$H$9,'Value of Defferal'!$O$16,+'Value of Defferal'!N30*(1+'Value of Defferal'!$F$7))</f>
        <v>0.11666878351645714</v>
      </c>
      <c r="O31" s="5">
        <f t="shared" si="7"/>
        <v>0</v>
      </c>
      <c r="P31" s="48">
        <f t="shared" si="4"/>
        <v>0</v>
      </c>
    </row>
    <row r="32" spans="1:16" ht="12.75">
      <c r="A32">
        <v>10</v>
      </c>
      <c r="B32">
        <f t="shared" si="5"/>
        <v>2029</v>
      </c>
      <c r="C32">
        <f>IF(B32&gt;=Title_RESULTS!$H$8,VLOOKUP(B32,'Revenue Requirements'!$B$9:$C$39,2),0)</f>
        <v>0.1130087986891642</v>
      </c>
      <c r="D32" s="9">
        <f t="shared" si="0"/>
        <v>0</v>
      </c>
      <c r="E32" s="11">
        <f>IF(B32=Title_RESULTS!$H$8,$F$16,+E31*(1+$F$7))</f>
        <v>0.11393435890279018</v>
      </c>
      <c r="F32" s="9">
        <f t="shared" si="1"/>
        <v>0</v>
      </c>
      <c r="H32">
        <v>10</v>
      </c>
      <c r="I32">
        <f t="shared" si="6"/>
        <v>2029</v>
      </c>
      <c r="J32">
        <f>IF(I32&gt;=Title_RESULTS!$H$8,VLOOKUP(I32,'Revenue Requirements'!$B$9:$D$39,2),0)</f>
        <v>0.1130087986891642</v>
      </c>
      <c r="K32" s="5">
        <f t="shared" si="2"/>
        <v>0</v>
      </c>
      <c r="L32" s="5">
        <f t="shared" si="3"/>
        <v>0</v>
      </c>
      <c r="N32" s="11">
        <f>IF(+B32=Title_RESULTS!$H$9,'Value of Defferal'!$O$16,+'Value of Defferal'!N31*(1+'Value of Defferal'!$F$7))</f>
        <v>0.11946883432085212</v>
      </c>
      <c r="O32" s="5">
        <f t="shared" si="7"/>
        <v>0</v>
      </c>
      <c r="P32" s="48">
        <f t="shared" si="4"/>
        <v>0</v>
      </c>
    </row>
    <row r="33" spans="1:16" ht="12.75">
      <c r="A33">
        <v>11</v>
      </c>
      <c r="B33">
        <f t="shared" si="5"/>
        <v>2030</v>
      </c>
      <c r="C33">
        <f>IF(B33&gt;=Title_RESULTS!$H$8,VLOOKUP(B33,'Revenue Requirements'!$B$9:$C$39,2),0)</f>
        <v>0.109265930075022</v>
      </c>
      <c r="D33" s="9">
        <f t="shared" si="0"/>
        <v>0</v>
      </c>
      <c r="E33" s="11">
        <f>IF(B33=Title_RESULTS!$H$8,$F$16,+E32*(1+$F$7))</f>
        <v>0.11666878351645714</v>
      </c>
      <c r="F33" s="9">
        <f t="shared" si="1"/>
        <v>0</v>
      </c>
      <c r="H33">
        <v>11</v>
      </c>
      <c r="I33">
        <f t="shared" si="6"/>
        <v>2030</v>
      </c>
      <c r="J33">
        <f>IF(I33&gt;=Title_RESULTS!$H$8,VLOOKUP(I33,'Revenue Requirements'!$B$9:$D$39,2),0)</f>
        <v>0.109265930075022</v>
      </c>
      <c r="K33" s="5">
        <f t="shared" si="2"/>
        <v>0</v>
      </c>
      <c r="L33" s="5">
        <f t="shared" si="3"/>
        <v>0</v>
      </c>
      <c r="N33" s="11">
        <f>IF(+B33=Title_RESULTS!$H$9,'Value of Defferal'!$O$16,+'Value of Defferal'!N32*(1+'Value of Defferal'!$F$7))</f>
        <v>0.12233608634455258</v>
      </c>
      <c r="O33" s="5">
        <f t="shared" si="7"/>
        <v>0</v>
      </c>
      <c r="P33" s="48">
        <f t="shared" si="4"/>
        <v>0</v>
      </c>
    </row>
    <row r="34" spans="1:16" ht="12.75">
      <c r="A34">
        <v>12</v>
      </c>
      <c r="B34">
        <f t="shared" si="5"/>
        <v>2031</v>
      </c>
      <c r="C34">
        <f>IF(B34&gt;=Title_RESULTS!$H$8,VLOOKUP(B34,'Revenue Requirements'!$B$9:$C$39,2),0)</f>
        <v>0.10552306146087977</v>
      </c>
      <c r="D34" s="9">
        <f t="shared" si="0"/>
        <v>0</v>
      </c>
      <c r="E34" s="11">
        <f>IF(B34=Title_RESULTS!$H$8,$F$16,+E33*(1+$F$7))</f>
        <v>0.11946883432085212</v>
      </c>
      <c r="F34" s="9">
        <f t="shared" si="1"/>
        <v>0</v>
      </c>
      <c r="H34">
        <v>12</v>
      </c>
      <c r="I34">
        <f t="shared" si="6"/>
        <v>2031</v>
      </c>
      <c r="J34">
        <f>IF(I34&gt;=Title_RESULTS!$H$8,VLOOKUP(I34,'Revenue Requirements'!$B$9:$D$39,2),0)</f>
        <v>0.10552306146087977</v>
      </c>
      <c r="K34" s="5">
        <f t="shared" si="2"/>
        <v>0</v>
      </c>
      <c r="L34" s="5">
        <f t="shared" si="3"/>
        <v>0</v>
      </c>
      <c r="N34" s="11">
        <f>IF(+B34=Title_RESULTS!$H$9,'Value of Defferal'!$O$16,+'Value of Defferal'!N33*(1+'Value of Defferal'!$F$7))</f>
        <v>0.12527215241682185</v>
      </c>
      <c r="O34" s="5">
        <f t="shared" si="7"/>
        <v>0</v>
      </c>
      <c r="P34" s="48">
        <f t="shared" si="4"/>
        <v>0</v>
      </c>
    </row>
    <row r="35" spans="1:16" ht="12.75">
      <c r="A35">
        <v>13</v>
      </c>
      <c r="B35">
        <f t="shared" si="5"/>
        <v>2032</v>
      </c>
      <c r="C35">
        <f>IF(B35&gt;=Title_RESULTS!$H$8,VLOOKUP(B35,'Revenue Requirements'!$B$9:$C$39,2),0)</f>
        <v>0.10178019284673755</v>
      </c>
      <c r="D35" s="9">
        <f t="shared" si="0"/>
        <v>0</v>
      </c>
      <c r="E35" s="11">
        <f>IF(B35=Title_RESULTS!$H$8,$F$16,+E34*(1+$F$7))</f>
        <v>0.12233608634455258</v>
      </c>
      <c r="F35" s="9">
        <f t="shared" si="1"/>
        <v>0</v>
      </c>
      <c r="H35">
        <v>13</v>
      </c>
      <c r="I35">
        <f t="shared" si="6"/>
        <v>2032</v>
      </c>
      <c r="J35">
        <f>IF(I35&gt;=Title_RESULTS!$H$8,VLOOKUP(I35,'Revenue Requirements'!$B$9:$D$39,2),0)</f>
        <v>0.10178019284673755</v>
      </c>
      <c r="K35" s="5">
        <f t="shared" si="2"/>
        <v>0</v>
      </c>
      <c r="L35" s="5">
        <f t="shared" si="3"/>
        <v>0</v>
      </c>
      <c r="N35" s="11">
        <f>IF(+B35=Title_RESULTS!$H$9,'Value of Defferal'!$O$16,+'Value of Defferal'!N34*(1+'Value of Defferal'!$F$7))</f>
        <v>0.12827868407482557</v>
      </c>
      <c r="O35" s="5">
        <f t="shared" si="7"/>
        <v>0</v>
      </c>
      <c r="P35" s="48">
        <f t="shared" si="4"/>
        <v>0</v>
      </c>
    </row>
    <row r="36" spans="1:16" ht="12.75">
      <c r="A36">
        <v>14</v>
      </c>
      <c r="B36">
        <f t="shared" si="5"/>
        <v>2033</v>
      </c>
      <c r="C36">
        <f>IF(B36&gt;=Title_RESULTS!$H$8,VLOOKUP(B36,'Revenue Requirements'!$B$9:$C$39,2),0)</f>
        <v>0.09803732423259534</v>
      </c>
      <c r="D36" s="9">
        <f t="shared" si="0"/>
        <v>0</v>
      </c>
      <c r="E36" s="11">
        <f>IF(B36=Title_RESULTS!$H$8,$F$16,+E35*(1+$F$7))</f>
        <v>0.12527215241682185</v>
      </c>
      <c r="F36" s="9">
        <f t="shared" si="1"/>
        <v>0</v>
      </c>
      <c r="H36">
        <v>14</v>
      </c>
      <c r="I36">
        <f t="shared" si="6"/>
        <v>2033</v>
      </c>
      <c r="J36">
        <f>IF(I36&gt;=Title_RESULTS!$H$8,VLOOKUP(I36,'Revenue Requirements'!$B$9:$D$39,2),0)</f>
        <v>0.09803732423259534</v>
      </c>
      <c r="K36" s="5">
        <f t="shared" si="2"/>
        <v>0</v>
      </c>
      <c r="L36" s="5">
        <f t="shared" si="3"/>
        <v>0</v>
      </c>
      <c r="N36" s="11">
        <f>IF(+B36=Title_RESULTS!$H$9,'Value of Defferal'!$O$16,+'Value of Defferal'!N35*(1+'Value of Defferal'!$F$7))</f>
        <v>0.1313573724926214</v>
      </c>
      <c r="O36" s="5">
        <f t="shared" si="7"/>
        <v>0</v>
      </c>
      <c r="P36" s="48">
        <f t="shared" si="4"/>
        <v>0</v>
      </c>
    </row>
    <row r="37" spans="1:16" ht="12.75">
      <c r="A37">
        <v>15</v>
      </c>
      <c r="B37">
        <f t="shared" si="5"/>
        <v>2034</v>
      </c>
      <c r="C37">
        <f>IF(B37&gt;=Title_RESULTS!$H$8,VLOOKUP(B37,'Revenue Requirements'!$B$9:$C$39,2),0)</f>
        <v>0.09429445561845311</v>
      </c>
      <c r="D37" s="9">
        <f t="shared" si="0"/>
        <v>0</v>
      </c>
      <c r="E37" s="11">
        <f>IF(B37&gt;Title_RESULTS!$H$8-1+Title_RESULTS!$C$18,0,+E36*(1+$F$7))</f>
        <v>0.12827868407482557</v>
      </c>
      <c r="F37" s="9">
        <f t="shared" si="1"/>
        <v>0</v>
      </c>
      <c r="H37">
        <v>15</v>
      </c>
      <c r="I37">
        <f t="shared" si="6"/>
        <v>2034</v>
      </c>
      <c r="J37">
        <f>IF(I37&gt;=Title_RESULTS!$H$8,VLOOKUP(I37,'Revenue Requirements'!$B$9:$D$39,2),0)</f>
        <v>0.09429445561845311</v>
      </c>
      <c r="K37" s="5">
        <f t="shared" si="2"/>
        <v>0</v>
      </c>
      <c r="L37" s="5">
        <f t="shared" si="3"/>
        <v>0</v>
      </c>
      <c r="N37" s="11">
        <f>IF(+B37=Title_RESULTS!$H$9,'Value of Defferal'!$O$16,+'Value of Defferal'!N36*(1+'Value of Defferal'!$F$7))</f>
        <v>0.1345099494324443</v>
      </c>
      <c r="O37" s="5">
        <f t="shared" si="7"/>
        <v>0</v>
      </c>
      <c r="P37" s="48">
        <f t="shared" si="4"/>
        <v>0</v>
      </c>
    </row>
    <row r="38" spans="1:16" ht="12.75">
      <c r="A38">
        <v>16</v>
      </c>
      <c r="B38">
        <f t="shared" si="5"/>
        <v>2035</v>
      </c>
      <c r="C38">
        <f>IF(B38&gt;=Title_RESULTS!$H$8,VLOOKUP(B38,'Revenue Requirements'!$B$9:$C$39,2),0)</f>
        <v>0.09055158700431087</v>
      </c>
      <c r="D38" s="9">
        <f t="shared" si="0"/>
        <v>0</v>
      </c>
      <c r="E38" s="11">
        <f>IF(B38&gt;Title_RESULTS!$H$8-1+Title_RESULTS!$C$18,0,+E37*(1+$F$7))</f>
        <v>0.1313573724926214</v>
      </c>
      <c r="F38" s="9">
        <f t="shared" si="1"/>
        <v>0</v>
      </c>
      <c r="H38">
        <v>16</v>
      </c>
      <c r="I38">
        <f t="shared" si="6"/>
        <v>2035</v>
      </c>
      <c r="J38">
        <f>IF(I38&gt;=Title_RESULTS!$H$8,VLOOKUP(I38,'Revenue Requirements'!$B$9:$D$39,2),0)</f>
        <v>0.09055158700431087</v>
      </c>
      <c r="K38" s="5">
        <f t="shared" si="2"/>
        <v>0</v>
      </c>
      <c r="L38" s="5">
        <f t="shared" si="3"/>
        <v>0</v>
      </c>
      <c r="N38" s="11">
        <f>IF(+B38=Title_RESULTS!$H$9,'Value of Defferal'!$O$16,+'Value of Defferal'!N37*(1+'Value of Defferal'!$F$7))</f>
        <v>0.13773818821882297</v>
      </c>
      <c r="O38" s="5">
        <f t="shared" si="7"/>
        <v>0</v>
      </c>
      <c r="P38" s="48">
        <f t="shared" si="4"/>
        <v>0</v>
      </c>
    </row>
    <row r="39" spans="1:16" ht="12.75">
      <c r="A39">
        <v>17</v>
      </c>
      <c r="B39">
        <f t="shared" si="5"/>
        <v>2036</v>
      </c>
      <c r="C39">
        <f>IF(B39&gt;=Title_RESULTS!$H$8,VLOOKUP(B39,'Revenue Requirements'!$B$9:$C$39,2),0)</f>
        <v>0.08680871839016864</v>
      </c>
      <c r="D39" s="9">
        <f t="shared" si="0"/>
        <v>0</v>
      </c>
      <c r="E39" s="11">
        <f>IF(B39&gt;Title_RESULTS!$H$8-1+Title_RESULTS!$C$18,0,+E38*(1+$F$7))</f>
        <v>0.1345099494324443</v>
      </c>
      <c r="F39" s="9">
        <f t="shared" si="1"/>
        <v>0</v>
      </c>
      <c r="H39">
        <v>17</v>
      </c>
      <c r="I39">
        <f t="shared" si="6"/>
        <v>2036</v>
      </c>
      <c r="J39">
        <f>IF(I39&gt;=Title_RESULTS!$H$8,VLOOKUP(I39,'Revenue Requirements'!$B$9:$D$39,2),0)</f>
        <v>0.08680871839016864</v>
      </c>
      <c r="K39" s="5">
        <f t="shared" si="2"/>
        <v>0</v>
      </c>
      <c r="L39" s="5">
        <f t="shared" si="3"/>
        <v>0</v>
      </c>
      <c r="N39" s="11">
        <f>IF(+B39&gt;Title_RESULTS!$H$9+Title_RESULTS!$C$19-1,0,+'Value of Defferal'!N38*(1+'Value of Defferal'!$F$7))</f>
        <v>0.14104390473607473</v>
      </c>
      <c r="O39" s="5">
        <f t="shared" si="7"/>
        <v>0</v>
      </c>
      <c r="P39" s="48">
        <f t="shared" si="4"/>
        <v>0</v>
      </c>
    </row>
    <row r="40" spans="1:16" ht="12.75">
      <c r="A40">
        <v>18</v>
      </c>
      <c r="B40">
        <f t="shared" si="5"/>
        <v>2037</v>
      </c>
      <c r="C40">
        <f>IF(B40&gt;=Title_RESULTS!$H$8,VLOOKUP(B40,'Revenue Requirements'!$B$9:$C$39,2),0)</f>
        <v>0.08306584977602645</v>
      </c>
      <c r="D40" s="9">
        <f t="shared" si="0"/>
        <v>0</v>
      </c>
      <c r="E40" s="11">
        <f>IF(B40&gt;Title_RESULTS!$H$8-1+Title_RESULTS!$C$18,0,+E39*(1+$F$7))</f>
        <v>0.13773818821882297</v>
      </c>
      <c r="F40" s="9">
        <f t="shared" si="1"/>
        <v>0</v>
      </c>
      <c r="H40">
        <v>18</v>
      </c>
      <c r="I40">
        <f t="shared" si="6"/>
        <v>2037</v>
      </c>
      <c r="J40">
        <f>IF(I40&gt;=Title_RESULTS!$H$8,VLOOKUP(I40,'Revenue Requirements'!$B$9:$D$39,2),0)</f>
        <v>0.08306584977602645</v>
      </c>
      <c r="K40" s="5">
        <f t="shared" si="2"/>
        <v>0</v>
      </c>
      <c r="L40" s="5">
        <f t="shared" si="3"/>
        <v>0</v>
      </c>
      <c r="N40" s="11">
        <f>IF(+B40&gt;Title_RESULTS!$H$9+Title_RESULTS!$C$19-1,0,+'Value of Defferal'!N39*(1+'Value of Defferal'!$F$7))</f>
        <v>0.14442895844974052</v>
      </c>
      <c r="O40" s="5">
        <f t="shared" si="7"/>
        <v>0</v>
      </c>
      <c r="P40" s="48">
        <f t="shared" si="4"/>
        <v>0</v>
      </c>
    </row>
    <row r="41" spans="1:16" ht="12.75">
      <c r="A41">
        <v>19</v>
      </c>
      <c r="B41">
        <f t="shared" si="5"/>
        <v>2038</v>
      </c>
      <c r="C41">
        <f>IF(B41&gt;=Title_RESULTS!$H$8,VLOOKUP(B41,'Revenue Requirements'!$B$9:$C$39,2),0)</f>
        <v>0.07967445150114433</v>
      </c>
      <c r="D41" s="9">
        <f t="shared" si="0"/>
        <v>0</v>
      </c>
      <c r="E41" s="11">
        <f>IF(B41&gt;Title_RESULTS!$H$8-1+Title_RESULTS!$C$18,0,+E40*(1+$F$7))</f>
        <v>0.14104390473607473</v>
      </c>
      <c r="F41" s="9">
        <f t="shared" si="1"/>
        <v>0</v>
      </c>
      <c r="H41">
        <v>19</v>
      </c>
      <c r="I41">
        <f t="shared" si="6"/>
        <v>2038</v>
      </c>
      <c r="J41">
        <f>IF(I41&gt;=Title_RESULTS!$H$8,VLOOKUP(I41,'Revenue Requirements'!$B$9:$D$39,2),0)</f>
        <v>0.07967445150114433</v>
      </c>
      <c r="K41" s="5">
        <f t="shared" si="2"/>
        <v>0</v>
      </c>
      <c r="L41" s="5">
        <f t="shared" si="3"/>
        <v>0</v>
      </c>
      <c r="N41" s="11">
        <f>IF(+B41&gt;Title_RESULTS!$H$9+Title_RESULTS!$C$19-1,0,+'Value of Defferal'!N40*(1+'Value of Defferal'!$F$7))</f>
        <v>0.1478952534525343</v>
      </c>
      <c r="O41" s="5">
        <f t="shared" si="7"/>
        <v>0</v>
      </c>
      <c r="P41" s="48">
        <f t="shared" si="4"/>
        <v>0</v>
      </c>
    </row>
    <row r="42" spans="1:16" ht="12.75">
      <c r="A42">
        <v>20</v>
      </c>
      <c r="B42">
        <f t="shared" si="5"/>
        <v>2039</v>
      </c>
      <c r="C42">
        <f>IF(B42&gt;=Title_RESULTS!$H$8,VLOOKUP(B42,'Revenue Requirements'!$B$9:$C$39,2),0)</f>
        <v>0.07698587488333333</v>
      </c>
      <c r="D42" s="9">
        <f t="shared" si="0"/>
        <v>0</v>
      </c>
      <c r="E42" s="11">
        <f>IF(B42&gt;Title_RESULTS!$H$8-1+Title_RESULTS!$C$18,0,+E41*(1+$F$7))</f>
        <v>0.14442895844974052</v>
      </c>
      <c r="F42" s="9">
        <f t="shared" si="1"/>
        <v>0</v>
      </c>
      <c r="H42">
        <v>20</v>
      </c>
      <c r="I42">
        <f t="shared" si="6"/>
        <v>2039</v>
      </c>
      <c r="J42">
        <f>IF(I42&gt;=Title_RESULTS!$H$8,VLOOKUP(I42,'Revenue Requirements'!$B$9:$D$39,2),0)</f>
        <v>0.07698587488333333</v>
      </c>
      <c r="K42" s="5">
        <f t="shared" si="2"/>
        <v>0</v>
      </c>
      <c r="L42" s="5">
        <f t="shared" si="3"/>
        <v>0</v>
      </c>
      <c r="N42" s="11">
        <f>IF(+B42&gt;Title_RESULTS!$H$9+Title_RESULTS!$C$19-1,0,+'Value of Defferal'!N41*(1+'Value of Defferal'!$F$7))</f>
        <v>0.1514447395353951</v>
      </c>
      <c r="O42" s="5">
        <f t="shared" si="7"/>
        <v>0</v>
      </c>
      <c r="P42" s="48">
        <f t="shared" si="4"/>
        <v>0</v>
      </c>
    </row>
    <row r="43" spans="1:16" ht="12.75">
      <c r="A43">
        <v>21</v>
      </c>
      <c r="B43">
        <f t="shared" si="5"/>
        <v>2040</v>
      </c>
      <c r="C43">
        <f>IF(B43&gt;=Title_RESULTS!$H$8,VLOOKUP(B43,'Revenue Requirements'!$B$9:$C$39,2),0)</f>
        <v>0.07464864958333334</v>
      </c>
      <c r="D43" s="9">
        <f t="shared" si="0"/>
        <v>0</v>
      </c>
      <c r="E43" s="11">
        <f>IF(B43&gt;Title_RESULTS!$H$8-1+Title_RESULTS!$C$18,0,+E42*(1+$F$7))</f>
        <v>0.1478952534525343</v>
      </c>
      <c r="F43" s="9">
        <f t="shared" si="1"/>
        <v>0</v>
      </c>
      <c r="H43">
        <v>21</v>
      </c>
      <c r="I43">
        <f t="shared" si="6"/>
        <v>2040</v>
      </c>
      <c r="J43">
        <f>IF(I43&gt;=Title_RESULTS!$H$8,VLOOKUP(I43,'Revenue Requirements'!$B$9:$D$39,2),0)</f>
        <v>0.07464864958333334</v>
      </c>
      <c r="K43" s="5">
        <f t="shared" si="2"/>
        <v>0</v>
      </c>
      <c r="L43" s="5">
        <f t="shared" si="3"/>
        <v>0</v>
      </c>
      <c r="N43" s="11">
        <f>IF(+B43&gt;Title_RESULTS!$H$9+Title_RESULTS!$C$19-1,0,+'Value of Defferal'!N42*(1+'Value of Defferal'!$F$7))</f>
        <v>0.1550794132842446</v>
      </c>
      <c r="O43" s="5">
        <f t="shared" si="7"/>
        <v>0</v>
      </c>
      <c r="P43" s="48">
        <f t="shared" si="4"/>
        <v>0</v>
      </c>
    </row>
    <row r="44" spans="1:16" ht="12.75">
      <c r="A44">
        <v>22</v>
      </c>
      <c r="B44">
        <f t="shared" si="5"/>
        <v>2041</v>
      </c>
      <c r="C44">
        <f>IF(B44&gt;=Title_RESULTS!$H$8,VLOOKUP(B44,'Revenue Requirements'!$B$9:$C$39,2),0)</f>
        <v>0.07231142428333336</v>
      </c>
      <c r="D44" s="9">
        <f t="shared" si="0"/>
        <v>0</v>
      </c>
      <c r="E44" s="11">
        <f>IF(B44&gt;Title_RESULTS!$H$8-1+Title_RESULTS!$C$18,0,+E43*(1+$F$7))</f>
        <v>0.1514447395353951</v>
      </c>
      <c r="F44" s="9">
        <f t="shared" si="1"/>
        <v>0</v>
      </c>
      <c r="H44">
        <v>22</v>
      </c>
      <c r="I44">
        <f t="shared" si="6"/>
        <v>2041</v>
      </c>
      <c r="J44">
        <f>IF(I44&gt;=Title_RESULTS!$H$8,VLOOKUP(I44,'Revenue Requirements'!$B$9:$D$39,2),0)</f>
        <v>0.07231142428333336</v>
      </c>
      <c r="K44" s="5">
        <f t="shared" si="2"/>
        <v>0</v>
      </c>
      <c r="L44" s="5">
        <f t="shared" si="3"/>
        <v>0</v>
      </c>
      <c r="N44" s="11">
        <f>IF(+B44&gt;Title_RESULTS!$H$9+Title_RESULTS!$C$19-1,0,+'Value of Defferal'!N43*(1+'Value of Defferal'!$F$7))</f>
        <v>0.15880131920306648</v>
      </c>
      <c r="O44" s="5">
        <f t="shared" si="7"/>
        <v>0</v>
      </c>
      <c r="P44" s="48">
        <f t="shared" si="4"/>
        <v>0</v>
      </c>
    </row>
    <row r="45" spans="1:16" ht="12.75">
      <c r="A45">
        <v>23</v>
      </c>
      <c r="B45">
        <f t="shared" si="5"/>
        <v>2042</v>
      </c>
      <c r="C45">
        <f>IF(B45&gt;=Title_RESULTS!$H$8,VLOOKUP(B45,'Revenue Requirements'!$B$9:$C$39,2),0)</f>
        <v>0.06997419898333333</v>
      </c>
      <c r="D45" s="9">
        <f t="shared" si="0"/>
        <v>0</v>
      </c>
      <c r="E45" s="11">
        <f>IF(B45&gt;Title_RESULTS!$H$8-1+Title_RESULTS!$C$18,0,+E44*(1+$F$7))</f>
        <v>0.1550794132842446</v>
      </c>
      <c r="F45" s="9">
        <f t="shared" si="1"/>
        <v>0</v>
      </c>
      <c r="H45">
        <v>23</v>
      </c>
      <c r="I45">
        <f t="shared" si="6"/>
        <v>2042</v>
      </c>
      <c r="J45">
        <f>IF(I45&gt;=Title_RESULTS!$H$8,VLOOKUP(I45,'Revenue Requirements'!$B$9:$D$39,2),0)</f>
        <v>0.06997419898333333</v>
      </c>
      <c r="K45" s="5">
        <f t="shared" si="2"/>
        <v>0</v>
      </c>
      <c r="L45" s="5">
        <f t="shared" si="3"/>
        <v>0</v>
      </c>
      <c r="N45" s="11">
        <f>IF(+B45&gt;Title_RESULTS!$H$9+Title_RESULTS!$C$19-1,0,+'Value of Defferal'!N44*(1+'Value of Defferal'!$F$7))</f>
        <v>0.16261255086394008</v>
      </c>
      <c r="O45" s="5">
        <f t="shared" si="7"/>
        <v>0</v>
      </c>
      <c r="P45" s="48">
        <f t="shared" si="4"/>
        <v>0</v>
      </c>
    </row>
    <row r="46" spans="1:16" ht="12.75">
      <c r="A46">
        <v>24</v>
      </c>
      <c r="B46">
        <f t="shared" si="5"/>
        <v>2043</v>
      </c>
      <c r="C46">
        <f>IF(B46&gt;=Title_RESULTS!$H$8,VLOOKUP(B46,'Revenue Requirements'!$B$9:$C$39,2),0)</f>
        <v>0.06763697368333334</v>
      </c>
      <c r="D46" s="9">
        <f t="shared" si="0"/>
        <v>0</v>
      </c>
      <c r="E46" s="11">
        <f>IF(B46&gt;Title_RESULTS!$H$8-1+Title_RESULTS!$C$18,0,+E45*(1+$F$7))</f>
        <v>0.15880131920306648</v>
      </c>
      <c r="F46" s="9">
        <f t="shared" si="1"/>
        <v>0</v>
      </c>
      <c r="H46">
        <v>24</v>
      </c>
      <c r="I46">
        <f t="shared" si="6"/>
        <v>2043</v>
      </c>
      <c r="J46">
        <f>IF(I46&gt;=Title_RESULTS!$H$8,VLOOKUP(I46,'Revenue Requirements'!$B$9:$D$39,2),0)</f>
        <v>0.06763697368333334</v>
      </c>
      <c r="K46" s="5">
        <f t="shared" si="2"/>
        <v>0</v>
      </c>
      <c r="L46" s="5">
        <f t="shared" si="3"/>
        <v>0</v>
      </c>
      <c r="N46" s="11">
        <f>IF(+B46&gt;Title_RESULTS!$H$9+Title_RESULTS!$C$19-1,0,+'Value of Defferal'!N45*(1+'Value of Defferal'!$F$7))</f>
        <v>0.16651525208467466</v>
      </c>
      <c r="O46" s="5">
        <f t="shared" si="7"/>
        <v>0</v>
      </c>
      <c r="P46" s="48">
        <f t="shared" si="4"/>
        <v>0</v>
      </c>
    </row>
    <row r="47" spans="1:16" ht="12.75">
      <c r="A47">
        <v>25</v>
      </c>
      <c r="B47">
        <f t="shared" si="5"/>
        <v>2044</v>
      </c>
      <c r="C47">
        <f>IF(B47&gt;=Title_RESULTS!$H$8,VLOOKUP(B47,'Revenue Requirements'!$B$9:$C$39,2),0)</f>
        <v>0.06529974838333336</v>
      </c>
      <c r="D47" s="9">
        <f t="shared" si="0"/>
        <v>0</v>
      </c>
      <c r="E47" s="11">
        <f>IF(B47&gt;Title_RESULTS!$H$8-1+Title_RESULTS!$C$18,0,+E46*(1+$F$7))</f>
        <v>0.16261255086394008</v>
      </c>
      <c r="F47" s="9">
        <f t="shared" si="1"/>
        <v>0</v>
      </c>
      <c r="H47">
        <v>25</v>
      </c>
      <c r="I47">
        <f t="shared" si="6"/>
        <v>2044</v>
      </c>
      <c r="J47">
        <f>IF(I47&gt;=Title_RESULTS!$H$8,VLOOKUP(I47,'Revenue Requirements'!$B$9:$D$39,2),0)</f>
        <v>0.06529974838333336</v>
      </c>
      <c r="K47" s="5">
        <f t="shared" si="2"/>
        <v>0</v>
      </c>
      <c r="L47" s="5">
        <f t="shared" si="3"/>
        <v>0</v>
      </c>
      <c r="N47" s="11">
        <f>IF(+B47&gt;Title_RESULTS!$H$9+Title_RESULTS!$C$19-1,0,+'Value of Defferal'!N46*(1+'Value of Defferal'!$F$7))</f>
        <v>0.17051161813470686</v>
      </c>
      <c r="O47" s="5">
        <f t="shared" si="7"/>
        <v>0</v>
      </c>
      <c r="P47" s="48">
        <f t="shared" si="4"/>
        <v>0</v>
      </c>
    </row>
    <row r="48" spans="1:16" ht="12.75">
      <c r="A48">
        <v>26</v>
      </c>
      <c r="B48">
        <f t="shared" si="5"/>
        <v>2045</v>
      </c>
      <c r="C48">
        <f>IF(B48&gt;=Title_RESULTS!$H$8,VLOOKUP(B48,'Revenue Requirements'!$B$9:$C$39,2),0)</f>
        <v>0.06296252308333336</v>
      </c>
      <c r="D48" s="9">
        <f t="shared" si="0"/>
        <v>0</v>
      </c>
      <c r="E48" s="11">
        <f>IF(B48&gt;Title_RESULTS!$H$8-1+Title_RESULTS!$C$18,0,+E47*(1+$F$7))</f>
        <v>0.16651525208467466</v>
      </c>
      <c r="F48" s="9">
        <f t="shared" si="1"/>
        <v>0</v>
      </c>
      <c r="H48">
        <v>26</v>
      </c>
      <c r="I48">
        <f t="shared" si="6"/>
        <v>2045</v>
      </c>
      <c r="J48">
        <f>IF(I48&gt;=Title_RESULTS!$H$8,VLOOKUP(I48,'Revenue Requirements'!$B$9:$D$39,2),0)</f>
        <v>0.06296252308333336</v>
      </c>
      <c r="K48" s="5">
        <f t="shared" si="2"/>
        <v>0</v>
      </c>
      <c r="L48" s="5">
        <f t="shared" si="3"/>
        <v>0</v>
      </c>
      <c r="N48" s="11">
        <f>IF(+B48&gt;Title_RESULTS!$H$9+Title_RESULTS!$C$19-1,0,+'Value of Defferal'!N47*(1+'Value of Defferal'!$F$7))</f>
        <v>0.17460389696993983</v>
      </c>
      <c r="O48" s="5">
        <f t="shared" si="7"/>
        <v>0</v>
      </c>
      <c r="P48" s="48">
        <f t="shared" si="4"/>
        <v>0</v>
      </c>
    </row>
    <row r="49" spans="1:16" ht="12.75">
      <c r="A49">
        <v>27</v>
      </c>
      <c r="B49">
        <f t="shared" si="5"/>
        <v>2046</v>
      </c>
      <c r="C49">
        <f>IF(B49&gt;=Title_RESULTS!$H$8,VLOOKUP(B49,'Revenue Requirements'!$B$9:$C$39,2),0)</f>
        <v>0.060625297783333344</v>
      </c>
      <c r="D49" s="9">
        <f t="shared" si="0"/>
        <v>0</v>
      </c>
      <c r="E49" s="11">
        <f>IF(B49&gt;Title_RESULTS!$H$8-1+Title_RESULTS!$C$18,0,+E48*(1+$F$7))</f>
        <v>0.17051161813470686</v>
      </c>
      <c r="F49" s="9">
        <f t="shared" si="1"/>
        <v>0</v>
      </c>
      <c r="H49">
        <v>27</v>
      </c>
      <c r="I49">
        <f t="shared" si="6"/>
        <v>2046</v>
      </c>
      <c r="J49">
        <f>IF(I49&gt;=Title_RESULTS!$H$8,VLOOKUP(I49,'Revenue Requirements'!$B$9:$D$39,2),0)</f>
        <v>0.060625297783333344</v>
      </c>
      <c r="K49" s="5">
        <f t="shared" si="2"/>
        <v>0</v>
      </c>
      <c r="L49" s="5">
        <f t="shared" si="3"/>
        <v>0</v>
      </c>
      <c r="N49" s="11">
        <f>IF(+B49&gt;Title_RESULTS!$H$9+Title_RESULTS!$C$19-1,0,+'Value of Defferal'!N48*(1+'Value of Defferal'!$F$7))</f>
        <v>0</v>
      </c>
      <c r="O49" s="5">
        <f t="shared" si="7"/>
        <v>0</v>
      </c>
      <c r="P49" s="48">
        <f t="shared" si="4"/>
        <v>0</v>
      </c>
    </row>
    <row r="50" spans="1:16" ht="12.75">
      <c r="A50">
        <v>28</v>
      </c>
      <c r="B50">
        <f t="shared" si="5"/>
        <v>2047</v>
      </c>
      <c r="C50">
        <f>IF(B50&gt;=Title_RESULTS!$H$8,VLOOKUP(B50,'Revenue Requirements'!$B$9:$C$39,2),0)</f>
        <v>0.05828807248333335</v>
      </c>
      <c r="D50" s="9">
        <f t="shared" si="0"/>
        <v>0</v>
      </c>
      <c r="E50" s="11">
        <f>IF(B50&gt;Title_RESULTS!$H$8-1+Title_RESULTS!$C$18,0,+E49*(1+$F$7))</f>
        <v>0.17460389696993983</v>
      </c>
      <c r="F50" s="9">
        <f t="shared" si="1"/>
        <v>0</v>
      </c>
      <c r="H50">
        <v>28</v>
      </c>
      <c r="I50">
        <f t="shared" si="6"/>
        <v>2047</v>
      </c>
      <c r="J50">
        <f>IF(I50&gt;=Title_RESULTS!$H$8,VLOOKUP(I50,'Revenue Requirements'!$B$9:$D$39,2),0)</f>
        <v>0.05828807248333335</v>
      </c>
      <c r="K50" s="5">
        <f t="shared" si="2"/>
        <v>0</v>
      </c>
      <c r="L50" s="5">
        <f t="shared" si="3"/>
        <v>0</v>
      </c>
      <c r="N50" s="11">
        <f>IF(+B50&gt;Title_RESULTS!$H$9+Title_RESULTS!$C$19-1,0,+'Value of Defferal'!N49*(1+'Value of Defferal'!$F$7))</f>
        <v>0</v>
      </c>
      <c r="O50" s="5">
        <f t="shared" si="7"/>
        <v>0</v>
      </c>
      <c r="P50" s="48">
        <f t="shared" si="4"/>
        <v>0</v>
      </c>
    </row>
    <row r="51" spans="1:16" ht="12.75">
      <c r="A51">
        <v>29</v>
      </c>
      <c r="B51">
        <f t="shared" si="5"/>
        <v>2048</v>
      </c>
      <c r="C51">
        <f>IF(B51&gt;=Title_RESULTS!$H$8,VLOOKUP(B51,'Revenue Requirements'!$B$9:$C$39,2),0)</f>
        <v>0.05595084718333336</v>
      </c>
      <c r="D51" s="9">
        <f t="shared" si="0"/>
        <v>0</v>
      </c>
      <c r="E51" s="11">
        <f>IF(B51&gt;Title_RESULTS!$H$8-1+Title_RESULTS!$C$18,0,+E50*(1+$F$7))</f>
        <v>0</v>
      </c>
      <c r="F51" s="9">
        <f t="shared" si="1"/>
        <v>0</v>
      </c>
      <c r="H51">
        <v>29</v>
      </c>
      <c r="I51">
        <f t="shared" si="6"/>
        <v>2048</v>
      </c>
      <c r="J51">
        <f>IF(I51&gt;=Title_RESULTS!$H$8,VLOOKUP(I51,'Revenue Requirements'!$B$9:$D$39,2),0)</f>
        <v>0.05595084718333336</v>
      </c>
      <c r="K51" s="5">
        <f t="shared" si="2"/>
        <v>0</v>
      </c>
      <c r="L51" s="5">
        <f t="shared" si="3"/>
        <v>0</v>
      </c>
      <c r="N51" s="11">
        <f>IF(+B51&gt;Title_RESULTS!$H$9+Title_RESULTS!$C$19-1,0,+'Value of Defferal'!N50*(1+'Value of Defferal'!$F$7))</f>
        <v>0</v>
      </c>
      <c r="O51" s="5">
        <f t="shared" si="7"/>
        <v>0</v>
      </c>
      <c r="P51" s="48">
        <f t="shared" si="4"/>
        <v>0</v>
      </c>
    </row>
    <row r="52" spans="1:16" ht="12.75">
      <c r="A52">
        <v>30</v>
      </c>
      <c r="B52">
        <f t="shared" si="5"/>
        <v>2049</v>
      </c>
      <c r="C52">
        <f>IF(B52&gt;=Title_RESULTS!$H$8,VLOOKUP(B52,'Revenue Requirements'!$B$9:$C$39,2),0)</f>
        <v>0</v>
      </c>
      <c r="D52" s="9">
        <f t="shared" si="0"/>
        <v>0</v>
      </c>
      <c r="E52" s="11">
        <f>IF(B52&gt;Title_RESULTS!$H$8-1+Title_RESULTS!$C$18,0,+E51*(1+$F$7))</f>
        <v>0</v>
      </c>
      <c r="F52" s="9">
        <f t="shared" si="1"/>
        <v>0</v>
      </c>
      <c r="H52">
        <v>30</v>
      </c>
      <c r="I52">
        <f t="shared" si="6"/>
        <v>2049</v>
      </c>
      <c r="J52">
        <f>IF(I52&gt;=Title_RESULTS!$H$8,VLOOKUP(I52,'Revenue Requirements'!$B$9:$D$39,2),0)</f>
        <v>0</v>
      </c>
      <c r="K52" s="5">
        <f t="shared" si="2"/>
        <v>0</v>
      </c>
      <c r="L52" s="5">
        <f t="shared" si="3"/>
        <v>0</v>
      </c>
      <c r="N52" s="11">
        <f>IF(+B52&gt;Title_RESULTS!$H$9+Title_RESULTS!$C$19-1,0,+'Value of Defferal'!N51*(1+'Value of Defferal'!$F$7))</f>
        <v>0</v>
      </c>
      <c r="O52" s="5">
        <f t="shared" si="7"/>
        <v>0</v>
      </c>
      <c r="P52" s="48">
        <f t="shared" si="4"/>
        <v>0</v>
      </c>
    </row>
    <row r="53" spans="1:16" ht="12.75">
      <c r="A53">
        <v>31</v>
      </c>
      <c r="B53">
        <f t="shared" si="5"/>
        <v>2050</v>
      </c>
      <c r="C53">
        <f>IF(B53&gt;=Title_RESULTS!$H$8,VLOOKUP(B53,'Revenue Requirements'!$B$9:$C$39,2),0)</f>
        <v>0</v>
      </c>
      <c r="D53" s="9">
        <f t="shared" si="0"/>
        <v>0</v>
      </c>
      <c r="E53" s="11">
        <f>IF(B53&gt;Title_RESULTS!$H$8-1+Title_RESULTS!$C$18,0,+E52*(1+$F$7))</f>
        <v>0</v>
      </c>
      <c r="F53" s="9">
        <f t="shared" si="1"/>
        <v>0</v>
      </c>
      <c r="H53">
        <v>31</v>
      </c>
      <c r="I53">
        <f t="shared" si="6"/>
        <v>2050</v>
      </c>
      <c r="J53">
        <f>IF(I53&gt;=Title_RESULTS!$H$8,VLOOKUP(I53,'Revenue Requirements'!$B$9:$D$39,2),0)</f>
        <v>0</v>
      </c>
      <c r="K53" s="5">
        <f t="shared" si="2"/>
        <v>0</v>
      </c>
      <c r="L53" s="5">
        <f t="shared" si="3"/>
        <v>0</v>
      </c>
      <c r="N53" s="11">
        <f>IF(+B53&gt;Title_RESULTS!$H$9+Title_RESULTS!$C$19-1,0,+'Value of Defferal'!N52*(1+'Value of Defferal'!$F$7))</f>
        <v>0</v>
      </c>
      <c r="O53" s="5">
        <f t="shared" si="7"/>
        <v>0</v>
      </c>
      <c r="P53" s="48">
        <f t="shared" si="4"/>
        <v>0</v>
      </c>
    </row>
    <row r="54" spans="1:16" ht="12.75">
      <c r="A54">
        <v>32</v>
      </c>
      <c r="B54">
        <f t="shared" si="5"/>
        <v>2051</v>
      </c>
      <c r="C54">
        <f>IF(B54&gt;=Title_RESULTS!$H$8,VLOOKUP(B54,'Revenue Requirements'!$B$9:$C$39,2),0)</f>
        <v>0</v>
      </c>
      <c r="D54" s="9">
        <f t="shared" si="0"/>
        <v>0</v>
      </c>
      <c r="E54" s="11">
        <f>IF(B54&gt;Title_RESULTS!$H$8-1+Title_RESULTS!$C$18,0,+E53*(1+$F$7))</f>
        <v>0</v>
      </c>
      <c r="F54" s="9">
        <f t="shared" si="1"/>
        <v>0</v>
      </c>
      <c r="H54">
        <v>32</v>
      </c>
      <c r="I54">
        <f t="shared" si="6"/>
        <v>2051</v>
      </c>
      <c r="J54">
        <f>IF(I54&gt;=Title_RESULTS!$H$8,VLOOKUP(I54,'Revenue Requirements'!$B$9:$D$39,2),0)</f>
        <v>0</v>
      </c>
      <c r="K54" s="5">
        <f t="shared" si="2"/>
        <v>0</v>
      </c>
      <c r="L54" s="5">
        <f t="shared" si="3"/>
        <v>0</v>
      </c>
      <c r="N54" s="11">
        <f>IF(+B54&gt;Title_RESULTS!$H$9+Title_RESULTS!$C$19-1,0,+'Value of Defferal'!N53*(1+'Value of Defferal'!$F$7))</f>
        <v>0</v>
      </c>
      <c r="O54" s="5">
        <f t="shared" si="7"/>
        <v>0</v>
      </c>
      <c r="P54" s="48">
        <f t="shared" si="4"/>
        <v>0</v>
      </c>
    </row>
    <row r="55" spans="1:16" ht="12.75">
      <c r="A55">
        <v>33</v>
      </c>
      <c r="B55">
        <f t="shared" si="5"/>
        <v>2052</v>
      </c>
      <c r="C55">
        <f>IF(B55&gt;=Title_RESULTS!$H$8,VLOOKUP(B55,'Revenue Requirements'!$B$9:$C$39,2),0)</f>
        <v>0</v>
      </c>
      <c r="D55" s="9">
        <f t="shared" si="0"/>
        <v>0</v>
      </c>
      <c r="E55" s="11">
        <f>IF(B55&gt;Title_RESULTS!$H$8-1+Title_RESULTS!$C$18,0,+E54*(1+$F$7))</f>
        <v>0</v>
      </c>
      <c r="F55" s="9">
        <f t="shared" si="1"/>
        <v>0</v>
      </c>
      <c r="H55">
        <v>33</v>
      </c>
      <c r="I55">
        <f t="shared" si="6"/>
        <v>2052</v>
      </c>
      <c r="J55">
        <f>IF(I55&gt;=Title_RESULTS!$H$8,VLOOKUP(I55,'Revenue Requirements'!$B$9:$D$39,2),0)</f>
        <v>0</v>
      </c>
      <c r="K55" s="5">
        <f t="shared" si="2"/>
        <v>0</v>
      </c>
      <c r="L55" s="5">
        <f t="shared" si="3"/>
        <v>0</v>
      </c>
      <c r="N55" s="11">
        <f>IF(+B55&gt;Title_RESULTS!$H$9+Title_RESULTS!$C$19-1,0,+'Value of Defferal'!N54*(1+'Value of Defferal'!$F$7))</f>
        <v>0</v>
      </c>
      <c r="O55" s="5">
        <f t="shared" si="7"/>
        <v>0</v>
      </c>
      <c r="P55" s="48">
        <f t="shared" si="4"/>
        <v>0</v>
      </c>
    </row>
    <row r="56" spans="1:16" ht="12.75">
      <c r="A56">
        <v>34</v>
      </c>
      <c r="B56">
        <f t="shared" si="5"/>
        <v>2053</v>
      </c>
      <c r="C56">
        <f>IF(B56&gt;=Title_RESULTS!$H$8,VLOOKUP(B56,'Revenue Requirements'!$B$9:$C$39,2),0)</f>
        <v>0</v>
      </c>
      <c r="D56" s="9">
        <f t="shared" si="0"/>
        <v>0</v>
      </c>
      <c r="E56" s="11">
        <f>IF(B56&gt;Title_RESULTS!$H$8-1+Title_RESULTS!$C$18,0,+E55*(1+$F$7))</f>
        <v>0</v>
      </c>
      <c r="F56" s="9">
        <f t="shared" si="1"/>
        <v>0</v>
      </c>
      <c r="H56">
        <v>34</v>
      </c>
      <c r="I56">
        <f t="shared" si="6"/>
        <v>2053</v>
      </c>
      <c r="J56">
        <f>IF(I56&gt;=Title_RESULTS!$H$8,VLOOKUP(I56,'Revenue Requirements'!$B$9:$D$39,2),0)</f>
        <v>0</v>
      </c>
      <c r="K56" s="5">
        <f t="shared" si="2"/>
        <v>0</v>
      </c>
      <c r="L56" s="5">
        <f t="shared" si="3"/>
        <v>0</v>
      </c>
      <c r="N56" s="11">
        <f>IF(+B56&gt;Title_RESULTS!$H$9+Title_RESULTS!$C$19-1,0,+'Value of Defferal'!N55*(1+'Value of Defferal'!$F$7))</f>
        <v>0</v>
      </c>
      <c r="O56" s="5">
        <f t="shared" si="7"/>
        <v>0</v>
      </c>
      <c r="P56" s="48">
        <f t="shared" si="4"/>
        <v>0</v>
      </c>
    </row>
    <row r="57" spans="1:16" ht="12.75">
      <c r="A57">
        <v>35</v>
      </c>
      <c r="B57">
        <f t="shared" si="5"/>
        <v>2054</v>
      </c>
      <c r="C57">
        <f>IF(B57&gt;=Title_RESULTS!$H$8,VLOOKUP(B57,'Revenue Requirements'!$B$9:$C$39,2),0)</f>
        <v>0</v>
      </c>
      <c r="D57" s="9">
        <f t="shared" si="0"/>
        <v>0</v>
      </c>
      <c r="E57" s="11">
        <f>IF(B57&gt;Title_RESULTS!$H$8-1+Title_RESULTS!$C$18,0,+E56*(1+$F$7))</f>
        <v>0</v>
      </c>
      <c r="F57" s="9">
        <f t="shared" si="1"/>
        <v>0</v>
      </c>
      <c r="H57">
        <v>35</v>
      </c>
      <c r="I57">
        <f t="shared" si="6"/>
        <v>2054</v>
      </c>
      <c r="J57">
        <f>IF(I57&gt;=Title_RESULTS!$H$8,VLOOKUP(I57,'Revenue Requirements'!$B$9:$D$39,2),0)</f>
        <v>0</v>
      </c>
      <c r="K57" s="5">
        <f t="shared" si="2"/>
        <v>0</v>
      </c>
      <c r="L57" s="5">
        <f t="shared" si="3"/>
        <v>0</v>
      </c>
      <c r="N57" s="11">
        <f>IF(+B57&gt;Title_RESULTS!$H$9+Title_RESULTS!$C$19-1,0,+'Value of Defferal'!N56*(1+'Value of Defferal'!$F$7))</f>
        <v>0</v>
      </c>
      <c r="O57" s="5">
        <f t="shared" si="7"/>
        <v>0</v>
      </c>
      <c r="P57" s="48">
        <f t="shared" si="4"/>
        <v>0</v>
      </c>
    </row>
    <row r="58" spans="1:16" ht="12.75">
      <c r="A58">
        <v>36</v>
      </c>
      <c r="B58">
        <f t="shared" si="5"/>
        <v>2055</v>
      </c>
      <c r="C58">
        <f>IF(B58&gt;=Title_RESULTS!$H$8,VLOOKUP(B58,'Revenue Requirements'!$B$9:$C$39,2),0)</f>
        <v>0</v>
      </c>
      <c r="D58" s="9">
        <f t="shared" si="0"/>
        <v>0</v>
      </c>
      <c r="E58" s="11">
        <f>IF(B58&gt;Title_RESULTS!$H$8-1+Title_RESULTS!$C$18,0,+E57*(1+$F$7))</f>
        <v>0</v>
      </c>
      <c r="F58" s="9">
        <f t="shared" si="1"/>
        <v>0</v>
      </c>
      <c r="H58">
        <v>36</v>
      </c>
      <c r="I58">
        <f t="shared" si="6"/>
        <v>2055</v>
      </c>
      <c r="J58">
        <f>IF(I58&gt;=Title_RESULTS!$H$8,VLOOKUP(I58,'Revenue Requirements'!$B$9:$D$39,2),0)</f>
        <v>0</v>
      </c>
      <c r="K58" s="5">
        <f t="shared" si="2"/>
        <v>0</v>
      </c>
      <c r="L58" s="5">
        <f t="shared" si="3"/>
        <v>0</v>
      </c>
      <c r="N58" s="11">
        <f>IF(+B58&gt;Title_RESULTS!$H$9+Title_RESULTS!$C$19-1,0,+'Value of Defferal'!N57*(1+'Value of Defferal'!$F$7))</f>
        <v>0</v>
      </c>
      <c r="O58" s="5">
        <f t="shared" si="7"/>
        <v>0</v>
      </c>
      <c r="P58" s="48">
        <f t="shared" si="4"/>
        <v>0</v>
      </c>
    </row>
    <row r="59" spans="1:16" ht="12.75">
      <c r="A59">
        <v>37</v>
      </c>
      <c r="B59">
        <f t="shared" si="5"/>
        <v>2056</v>
      </c>
      <c r="C59">
        <f>IF(B59&gt;=Title_RESULTS!$H$8,VLOOKUP(B59,'Revenue Requirements'!$B$9:$C$39,2),0)</f>
        <v>0</v>
      </c>
      <c r="D59" s="9">
        <f t="shared" si="0"/>
        <v>0</v>
      </c>
      <c r="E59" s="11">
        <f>IF(B59&gt;Title_RESULTS!$H$8-1+Title_RESULTS!$C$18,0,+E58*(1+$F$7))</f>
        <v>0</v>
      </c>
      <c r="F59" s="9">
        <f t="shared" si="1"/>
        <v>0</v>
      </c>
      <c r="H59">
        <v>37</v>
      </c>
      <c r="I59">
        <f t="shared" si="6"/>
        <v>2056</v>
      </c>
      <c r="J59">
        <f>IF(I59&gt;=Title_RESULTS!$H$8,VLOOKUP(I59,'Revenue Requirements'!$B$9:$D$39,2),0)</f>
        <v>0</v>
      </c>
      <c r="K59" s="5">
        <f t="shared" si="2"/>
        <v>0</v>
      </c>
      <c r="L59" s="5">
        <f t="shared" si="3"/>
        <v>0</v>
      </c>
      <c r="N59" s="11">
        <f>IF(+B59&gt;Title_RESULTS!$H$9+Title_RESULTS!$C$19-1,0,+'Value of Defferal'!N58*(1+'Value of Defferal'!$F$7))</f>
        <v>0</v>
      </c>
      <c r="O59" s="5">
        <f t="shared" si="7"/>
        <v>0</v>
      </c>
      <c r="P59" s="48">
        <f t="shared" si="4"/>
        <v>0</v>
      </c>
    </row>
    <row r="60" spans="1:16" ht="12.75">
      <c r="A60">
        <v>38</v>
      </c>
      <c r="B60">
        <f t="shared" si="5"/>
        <v>2057</v>
      </c>
      <c r="C60">
        <f>IF(B60&gt;=Title_RESULTS!$H$8,VLOOKUP(B60,'Revenue Requirements'!$B$9:$C$39,2),0)</f>
        <v>0</v>
      </c>
      <c r="D60" s="9">
        <f t="shared" si="0"/>
        <v>0</v>
      </c>
      <c r="E60" s="11">
        <f>IF(B60&gt;Title_RESULTS!$H$8-1+Title_RESULTS!$C$18,0,+E59*(1+$F$7))</f>
        <v>0</v>
      </c>
      <c r="F60" s="9">
        <f t="shared" si="1"/>
        <v>0</v>
      </c>
      <c r="H60">
        <v>38</v>
      </c>
      <c r="I60">
        <f t="shared" si="6"/>
        <v>2057</v>
      </c>
      <c r="J60">
        <f>IF(I60&gt;=Title_RESULTS!$H$8,VLOOKUP(I60,'Revenue Requirements'!$B$9:$D$39,2),0)</f>
        <v>0</v>
      </c>
      <c r="K60" s="5">
        <f t="shared" si="2"/>
        <v>0</v>
      </c>
      <c r="L60" s="5">
        <f t="shared" si="3"/>
        <v>0</v>
      </c>
      <c r="N60" s="11">
        <f>IF(+B60&gt;Title_RESULTS!$H$9+Title_RESULTS!$C$19-1,0,+'Value of Defferal'!N59*(1+'Value of Defferal'!$F$7))</f>
        <v>0</v>
      </c>
      <c r="O60" s="5">
        <f t="shared" si="7"/>
        <v>0</v>
      </c>
      <c r="P60" s="48">
        <f t="shared" si="4"/>
        <v>0</v>
      </c>
    </row>
    <row r="61" spans="1:16" ht="12.75">
      <c r="A61">
        <v>39</v>
      </c>
      <c r="B61">
        <f t="shared" si="5"/>
        <v>2058</v>
      </c>
      <c r="C61">
        <f>IF(B61&gt;=Title_RESULTS!$H$8,VLOOKUP(B61,'Revenue Requirements'!$B$9:$C$39,2),0)</f>
        <v>0</v>
      </c>
      <c r="D61" s="9">
        <f t="shared" si="0"/>
        <v>0</v>
      </c>
      <c r="E61" s="11">
        <f>IF(B61&gt;Title_RESULTS!$H$8-1+Title_RESULTS!$C$18,0,+E60*(1+$F$7))</f>
        <v>0</v>
      </c>
      <c r="F61" s="9">
        <f t="shared" si="1"/>
        <v>0</v>
      </c>
      <c r="H61">
        <v>39</v>
      </c>
      <c r="I61">
        <f t="shared" si="6"/>
        <v>2058</v>
      </c>
      <c r="J61">
        <f>IF(I61&gt;=Title_RESULTS!$H$8,VLOOKUP(I61,'Revenue Requirements'!$B$9:$D$39,2),0)</f>
        <v>0</v>
      </c>
      <c r="K61" s="5">
        <f t="shared" si="2"/>
        <v>0</v>
      </c>
      <c r="L61" s="5">
        <f t="shared" si="3"/>
        <v>0</v>
      </c>
      <c r="N61" s="11">
        <f>IF(+B61&gt;Title_RESULTS!$H$9+Title_RESULTS!$C$19-1,0,+'Value of Defferal'!N60*(1+'Value of Defferal'!$F$7))</f>
        <v>0</v>
      </c>
      <c r="O61" s="5">
        <f t="shared" si="7"/>
        <v>0</v>
      </c>
      <c r="P61" s="48">
        <f t="shared" si="4"/>
        <v>0</v>
      </c>
    </row>
    <row r="62" spans="4:15" ht="12.75">
      <c r="D62" s="9" t="s">
        <v>86</v>
      </c>
      <c r="F62" t="s">
        <v>86</v>
      </c>
      <c r="K62" t="s">
        <v>86</v>
      </c>
      <c r="O62" t="s">
        <v>51</v>
      </c>
    </row>
    <row r="63" spans="3:15" ht="12.75">
      <c r="C63" t="s">
        <v>87</v>
      </c>
      <c r="D63" s="9">
        <f>SUM(D23:D61)</f>
        <v>0</v>
      </c>
      <c r="F63" s="9">
        <f>SUM(F23:F61)</f>
        <v>0</v>
      </c>
      <c r="J63" t="s">
        <v>87</v>
      </c>
      <c r="K63" s="9">
        <f>SUM(K23:K61)</f>
        <v>0</v>
      </c>
      <c r="O63" s="9">
        <f>SUM(O23:O61)</f>
        <v>0</v>
      </c>
    </row>
    <row r="64" spans="3:15" ht="12.75">
      <c r="C64" t="s">
        <v>89</v>
      </c>
      <c r="D64" s="9">
        <f>NPV(+Title_RESULTS!$C$37,'Value of Defferal'!D24:D61)+'Value of Defferal'!D23</f>
        <v>0</v>
      </c>
      <c r="F64" s="9">
        <f>NPV(+Title_RESULTS!$C$37,'Value of Defferal'!F24:F61)+'Value of Defferal'!F23</f>
        <v>0</v>
      </c>
      <c r="J64" t="s">
        <v>89</v>
      </c>
      <c r="K64" s="9">
        <f>NPV(+Title_RESULTS!$C$37,'Value of Defferal'!K24:K61)+'Value of Defferal'!K23</f>
        <v>0</v>
      </c>
      <c r="O64" s="9">
        <f>NPV(+Title_RESULTS!$C$37,'Value of Defferal'!O24:O61)+'Value of Defferal'!O23</f>
        <v>0</v>
      </c>
    </row>
  </sheetData>
  <sheetProtection/>
  <printOptions/>
  <pageMargins left="0.75" right="0.75" top="1" bottom="1" header="0.5" footer="0.5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B2:J17"/>
  <sheetViews>
    <sheetView zoomScalePageLayoutView="0" workbookViewId="0" topLeftCell="A1">
      <selection activeCell="D11" sqref="D11"/>
    </sheetView>
  </sheetViews>
  <sheetFormatPr defaultColWidth="9.140625" defaultRowHeight="12.75"/>
  <cols>
    <col min="2" max="2" width="36.57421875" style="0" customWidth="1"/>
    <col min="3" max="3" width="13.00390625" style="0" customWidth="1"/>
    <col min="4" max="4" width="11.8515625" style="0" customWidth="1"/>
    <col min="5" max="5" width="9.8515625" style="0" customWidth="1"/>
  </cols>
  <sheetData>
    <row r="2" spans="2:9" ht="13.5" thickBot="1">
      <c r="B2" s="28" t="s">
        <v>440</v>
      </c>
      <c r="C2" s="122">
        <v>0.028</v>
      </c>
      <c r="F2" s="28"/>
      <c r="I2" s="28"/>
    </row>
    <row r="3" spans="3:4" ht="12.75">
      <c r="C3" t="s">
        <v>448</v>
      </c>
      <c r="D3" s="114" t="s">
        <v>454</v>
      </c>
    </row>
    <row r="4" spans="3:5" ht="12.75">
      <c r="C4" s="90">
        <v>2020</v>
      </c>
      <c r="D4" s="111">
        <v>2020</v>
      </c>
      <c r="E4" s="7"/>
    </row>
    <row r="5" spans="3:5" ht="12.75">
      <c r="C5" s="10"/>
      <c r="D5" s="112"/>
      <c r="E5" s="10"/>
    </row>
    <row r="6" spans="2:7" ht="12.75">
      <c r="B6" s="28" t="s">
        <v>438</v>
      </c>
      <c r="C6" s="10">
        <v>11.24</v>
      </c>
      <c r="D6" s="118">
        <v>34.9</v>
      </c>
      <c r="E6" s="10"/>
      <c r="G6" s="28"/>
    </row>
    <row r="7" spans="2:7" ht="12.75">
      <c r="B7" s="28" t="s">
        <v>439</v>
      </c>
      <c r="C7" s="10">
        <v>54.63</v>
      </c>
      <c r="D7" s="118">
        <v>82.37</v>
      </c>
      <c r="E7" s="10"/>
      <c r="G7" s="28"/>
    </row>
    <row r="8" ht="12.75">
      <c r="D8" s="113"/>
    </row>
    <row r="9" spans="3:4" ht="12.75">
      <c r="C9" s="10"/>
      <c r="D9" s="112"/>
    </row>
    <row r="10" spans="2:6" ht="12.75">
      <c r="B10" t="s">
        <v>449</v>
      </c>
      <c r="C10" s="121">
        <v>0.024</v>
      </c>
      <c r="D10" s="111">
        <v>2020</v>
      </c>
      <c r="E10" s="7"/>
      <c r="F10" s="28"/>
    </row>
    <row r="11" spans="2:10" ht="12.75">
      <c r="B11" s="28" t="s">
        <v>441</v>
      </c>
      <c r="D11" s="119">
        <v>2.78</v>
      </c>
      <c r="J11" s="28"/>
    </row>
    <row r="12" spans="2:10" ht="13.5" thickBot="1">
      <c r="B12" s="28" t="s">
        <v>442</v>
      </c>
      <c r="D12" s="120">
        <v>11.34</v>
      </c>
      <c r="J12" s="28"/>
    </row>
    <row r="15" ht="12.75">
      <c r="C15" s="28"/>
    </row>
    <row r="16" ht="12.75">
      <c r="C16" s="28"/>
    </row>
    <row r="17" ht="12.75">
      <c r="C17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B2:P27"/>
  <sheetViews>
    <sheetView zoomScalePageLayoutView="0" workbookViewId="0" topLeftCell="A13">
      <selection activeCell="B25" sqref="B25"/>
    </sheetView>
  </sheetViews>
  <sheetFormatPr defaultColWidth="9.140625" defaultRowHeight="12.75"/>
  <cols>
    <col min="2" max="2" width="18.00390625" style="0" bestFit="1" customWidth="1"/>
    <col min="3" max="3" width="13.421875" style="0" bestFit="1" customWidth="1"/>
    <col min="4" max="4" width="10.8515625" style="0" bestFit="1" customWidth="1"/>
    <col min="12" max="12" width="16.421875" style="0" customWidth="1"/>
    <col min="13" max="13" width="18.00390625" style="0" bestFit="1" customWidth="1"/>
  </cols>
  <sheetData>
    <row r="2" spans="2:3" ht="12.75">
      <c r="B2" s="155" t="s">
        <v>410</v>
      </c>
      <c r="C2" s="155"/>
    </row>
    <row r="3" spans="2:16" ht="15" customHeight="1">
      <c r="B3" s="28" t="s">
        <v>408</v>
      </c>
      <c r="C3" s="105">
        <v>0.7959</v>
      </c>
      <c r="D3" s="2"/>
      <c r="G3" s="2"/>
      <c r="H3" s="2"/>
      <c r="I3" s="2"/>
      <c r="J3" s="2"/>
      <c r="K3" s="2"/>
      <c r="P3" s="2"/>
    </row>
    <row r="4" spans="2:4" ht="12.75">
      <c r="B4" s="28" t="s">
        <v>409</v>
      </c>
      <c r="C4" s="105">
        <v>0.2041</v>
      </c>
      <c r="D4" s="6"/>
    </row>
    <row r="5" ht="12.75">
      <c r="D5" s="6"/>
    </row>
    <row r="6" ht="12.75">
      <c r="D6" s="6"/>
    </row>
    <row r="7" spans="2:4" ht="12.75">
      <c r="B7" s="155" t="s">
        <v>407</v>
      </c>
      <c r="C7" s="155"/>
      <c r="D7" s="155"/>
    </row>
    <row r="8" ht="12.75">
      <c r="D8" s="6" t="s">
        <v>291</v>
      </c>
    </row>
    <row r="9" spans="3:4" ht="12.75">
      <c r="C9" t="s">
        <v>204</v>
      </c>
      <c r="D9" t="s">
        <v>290</v>
      </c>
    </row>
    <row r="10" spans="2:6" ht="12.75">
      <c r="B10" t="s">
        <v>390</v>
      </c>
      <c r="C10" s="125">
        <v>7.3</v>
      </c>
      <c r="D10" s="126">
        <v>7</v>
      </c>
      <c r="F10" s="138"/>
    </row>
    <row r="11" spans="2:6" ht="12.75">
      <c r="B11" t="s">
        <v>365</v>
      </c>
      <c r="C11" s="125">
        <v>5.6</v>
      </c>
      <c r="D11" s="127">
        <v>5.2</v>
      </c>
      <c r="F11" s="139"/>
    </row>
    <row r="14" spans="2:5" ht="12.75" customHeight="1">
      <c r="B14" s="7" t="s">
        <v>204</v>
      </c>
      <c r="C14" s="7"/>
      <c r="D14" s="7"/>
      <c r="E14" s="7"/>
    </row>
    <row r="15" spans="2:6" ht="12.75">
      <c r="B15" t="s">
        <v>202</v>
      </c>
      <c r="C15">
        <v>0.034</v>
      </c>
      <c r="D15">
        <f>1-C15</f>
        <v>0.966</v>
      </c>
      <c r="F15" s="28"/>
    </row>
    <row r="16" spans="2:4" ht="12.75">
      <c r="B16" t="s">
        <v>203</v>
      </c>
      <c r="C16" s="91">
        <f>+C10/100</f>
        <v>0.073</v>
      </c>
      <c r="D16">
        <f>1-C16</f>
        <v>0.927</v>
      </c>
    </row>
    <row r="17" spans="2:3" ht="12.75">
      <c r="B17" s="28" t="s">
        <v>411</v>
      </c>
      <c r="C17">
        <f>+D15*D16</f>
        <v>0.895482</v>
      </c>
    </row>
    <row r="19" ht="12.75">
      <c r="B19" s="7" t="s">
        <v>290</v>
      </c>
    </row>
    <row r="20" spans="2:4" ht="12.75">
      <c r="B20" t="s">
        <v>202</v>
      </c>
      <c r="C20">
        <v>0.034</v>
      </c>
      <c r="D20">
        <f>1-C20</f>
        <v>0.966</v>
      </c>
    </row>
    <row r="21" spans="2:4" ht="12.75">
      <c r="B21" t="s">
        <v>203</v>
      </c>
      <c r="C21" s="91">
        <f>+D10/100</f>
        <v>0.07</v>
      </c>
      <c r="D21">
        <f>1-C21</f>
        <v>0.9299999999999999</v>
      </c>
    </row>
    <row r="22" spans="2:3" ht="12.75">
      <c r="B22" s="28" t="s">
        <v>411</v>
      </c>
      <c r="C22">
        <f>+D20*D21</f>
        <v>0.89838</v>
      </c>
    </row>
    <row r="25" spans="2:3" ht="18">
      <c r="B25" s="15">
        <f>+((Input!$C$6*'EUE_Line Losses'!C4)+(Input!$C$7*'EUE_Line Losses'!C3))/'EUE_Line Losses'!C17</f>
        <v>0</v>
      </c>
      <c r="C25" t="s">
        <v>372</v>
      </c>
    </row>
    <row r="26" spans="2:3" ht="18">
      <c r="B26" s="15">
        <f>+((Input!$C$6*'EUE_Line Losses'!C4)+(Input!$C$7*'EUE_Line Losses'!C3))/'EUE_Line Losses'!C22</f>
        <v>0</v>
      </c>
      <c r="C26" t="s">
        <v>290</v>
      </c>
    </row>
    <row r="27" ht="18">
      <c r="B27" s="2"/>
    </row>
  </sheetData>
  <sheetProtection/>
  <mergeCells count="2">
    <mergeCell ref="B7:D7"/>
    <mergeCell ref="B2:C2"/>
  </mergeCells>
  <printOptions/>
  <pageMargins left="0.7" right="0.7" top="0.75" bottom="0.75" header="0.3" footer="0.3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50"/>
  </sheetPr>
  <dimension ref="B1:G39"/>
  <sheetViews>
    <sheetView zoomScalePageLayoutView="0" workbookViewId="0" topLeftCell="A1">
      <selection activeCell="C9" sqref="C9:C39"/>
    </sheetView>
  </sheetViews>
  <sheetFormatPr defaultColWidth="9.140625" defaultRowHeight="12.75"/>
  <cols>
    <col min="2" max="2" width="9.140625" style="6" customWidth="1"/>
    <col min="3" max="4" width="12.00390625" style="0" bestFit="1" customWidth="1"/>
  </cols>
  <sheetData>
    <row r="1" ht="12.75">
      <c r="C1" s="133"/>
    </row>
    <row r="2" ht="12.75">
      <c r="C2" t="s">
        <v>255</v>
      </c>
    </row>
    <row r="3" spans="3:4" ht="12.75">
      <c r="C3" t="s">
        <v>256</v>
      </c>
      <c r="D3" t="s">
        <v>257</v>
      </c>
    </row>
    <row r="4" spans="3:7" ht="12.75">
      <c r="C4" t="s">
        <v>258</v>
      </c>
      <c r="D4" t="s">
        <v>258</v>
      </c>
      <c r="E4" s="90" t="s">
        <v>414</v>
      </c>
      <c r="F4" s="63"/>
      <c r="G4" s="63"/>
    </row>
    <row r="5" spans="3:4" ht="12.75">
      <c r="C5" t="s">
        <v>415</v>
      </c>
      <c r="D5" t="s">
        <v>415</v>
      </c>
    </row>
    <row r="9" spans="2:4" ht="15">
      <c r="B9" s="60">
        <v>2023</v>
      </c>
      <c r="C9" s="141">
        <v>0.13759066226231162</v>
      </c>
      <c r="D9">
        <f aca="true" t="shared" si="0" ref="D9:D34">+C9</f>
        <v>0.13759066226231162</v>
      </c>
    </row>
    <row r="10" spans="2:4" ht="15">
      <c r="B10" s="6">
        <f aca="true" t="shared" si="1" ref="B10:B39">+B9+1</f>
        <v>2024</v>
      </c>
      <c r="C10" s="141">
        <v>0.13352762595002862</v>
      </c>
      <c r="D10">
        <f t="shared" si="0"/>
        <v>0.13352762595002862</v>
      </c>
    </row>
    <row r="11" spans="2:4" ht="15">
      <c r="B11" s="6">
        <f t="shared" si="1"/>
        <v>2025</v>
      </c>
      <c r="C11" s="141">
        <v>0.1290420634933591</v>
      </c>
      <c r="D11">
        <f t="shared" si="0"/>
        <v>0.1290420634933591</v>
      </c>
    </row>
    <row r="12" spans="2:4" ht="15">
      <c r="B12" s="6">
        <f t="shared" si="1"/>
        <v>2026</v>
      </c>
      <c r="C12" s="141">
        <v>0.12477133475235652</v>
      </c>
      <c r="D12">
        <f t="shared" si="0"/>
        <v>0.12477133475235652</v>
      </c>
    </row>
    <row r="13" spans="2:4" ht="15">
      <c r="B13" s="6">
        <f t="shared" si="1"/>
        <v>2027</v>
      </c>
      <c r="C13" s="141">
        <v>0.12069389684472964</v>
      </c>
      <c r="D13">
        <f t="shared" si="0"/>
        <v>0.12069389684472964</v>
      </c>
    </row>
    <row r="14" spans="2:4" ht="15">
      <c r="B14" s="6">
        <f t="shared" si="1"/>
        <v>2028</v>
      </c>
      <c r="C14" s="141">
        <v>0.11679058731716964</v>
      </c>
      <c r="D14">
        <f t="shared" si="0"/>
        <v>0.11679058731716964</v>
      </c>
    </row>
    <row r="15" spans="2:4" ht="15">
      <c r="B15" s="6">
        <f t="shared" si="1"/>
        <v>2029</v>
      </c>
      <c r="C15" s="141">
        <v>0.1130087986891642</v>
      </c>
      <c r="D15">
        <f t="shared" si="0"/>
        <v>0.1130087986891642</v>
      </c>
    </row>
    <row r="16" spans="2:4" ht="15">
      <c r="B16" s="6">
        <f t="shared" si="1"/>
        <v>2030</v>
      </c>
      <c r="C16" s="141">
        <v>0.109265930075022</v>
      </c>
      <c r="D16">
        <f t="shared" si="0"/>
        <v>0.109265930075022</v>
      </c>
    </row>
    <row r="17" spans="2:4" ht="15">
      <c r="B17" s="6">
        <f t="shared" si="1"/>
        <v>2031</v>
      </c>
      <c r="C17" s="141">
        <v>0.10552306146087977</v>
      </c>
      <c r="D17">
        <f t="shared" si="0"/>
        <v>0.10552306146087977</v>
      </c>
    </row>
    <row r="18" spans="2:4" ht="15">
      <c r="B18" s="6">
        <f t="shared" si="1"/>
        <v>2032</v>
      </c>
      <c r="C18" s="141">
        <v>0.10178019284673755</v>
      </c>
      <c r="D18">
        <f t="shared" si="0"/>
        <v>0.10178019284673755</v>
      </c>
    </row>
    <row r="19" spans="2:4" ht="15">
      <c r="B19" s="6">
        <f t="shared" si="1"/>
        <v>2033</v>
      </c>
      <c r="C19" s="141">
        <v>0.09803732423259534</v>
      </c>
      <c r="D19">
        <f t="shared" si="0"/>
        <v>0.09803732423259534</v>
      </c>
    </row>
    <row r="20" spans="2:4" ht="15">
      <c r="B20" s="6">
        <f t="shared" si="1"/>
        <v>2034</v>
      </c>
      <c r="C20" s="141">
        <v>0.09429445561845311</v>
      </c>
      <c r="D20">
        <f t="shared" si="0"/>
        <v>0.09429445561845311</v>
      </c>
    </row>
    <row r="21" spans="2:4" ht="15">
      <c r="B21" s="6">
        <f t="shared" si="1"/>
        <v>2035</v>
      </c>
      <c r="C21" s="141">
        <v>0.09055158700431087</v>
      </c>
      <c r="D21">
        <f t="shared" si="0"/>
        <v>0.09055158700431087</v>
      </c>
    </row>
    <row r="22" spans="2:4" ht="15">
      <c r="B22" s="6">
        <f t="shared" si="1"/>
        <v>2036</v>
      </c>
      <c r="C22" s="141">
        <v>0.08680871839016864</v>
      </c>
      <c r="D22">
        <f t="shared" si="0"/>
        <v>0.08680871839016864</v>
      </c>
    </row>
    <row r="23" spans="2:4" ht="15">
      <c r="B23" s="6">
        <f t="shared" si="1"/>
        <v>2037</v>
      </c>
      <c r="C23" s="141">
        <v>0.08306584977602645</v>
      </c>
      <c r="D23">
        <f t="shared" si="0"/>
        <v>0.08306584977602645</v>
      </c>
    </row>
    <row r="24" spans="2:4" ht="15">
      <c r="B24" s="6">
        <f t="shared" si="1"/>
        <v>2038</v>
      </c>
      <c r="C24" s="141">
        <v>0.07967445150114433</v>
      </c>
      <c r="D24">
        <f t="shared" si="0"/>
        <v>0.07967445150114433</v>
      </c>
    </row>
    <row r="25" spans="2:4" ht="15">
      <c r="B25" s="6">
        <f t="shared" si="1"/>
        <v>2039</v>
      </c>
      <c r="C25" s="141">
        <v>0.07698587488333333</v>
      </c>
      <c r="D25">
        <f t="shared" si="0"/>
        <v>0.07698587488333333</v>
      </c>
    </row>
    <row r="26" spans="2:4" ht="15">
      <c r="B26" s="6">
        <f t="shared" si="1"/>
        <v>2040</v>
      </c>
      <c r="C26" s="141">
        <v>0.07464864958333334</v>
      </c>
      <c r="D26">
        <f t="shared" si="0"/>
        <v>0.07464864958333334</v>
      </c>
    </row>
    <row r="27" spans="2:4" ht="15">
      <c r="B27" s="6">
        <f t="shared" si="1"/>
        <v>2041</v>
      </c>
      <c r="C27" s="141">
        <v>0.07231142428333336</v>
      </c>
      <c r="D27">
        <f t="shared" si="0"/>
        <v>0.07231142428333336</v>
      </c>
    </row>
    <row r="28" spans="2:4" ht="15">
      <c r="B28" s="6">
        <f t="shared" si="1"/>
        <v>2042</v>
      </c>
      <c r="C28" s="141">
        <v>0.06997419898333333</v>
      </c>
      <c r="D28">
        <f t="shared" si="0"/>
        <v>0.06997419898333333</v>
      </c>
    </row>
    <row r="29" spans="2:4" ht="15">
      <c r="B29" s="6">
        <f t="shared" si="1"/>
        <v>2043</v>
      </c>
      <c r="C29" s="141">
        <v>0.06763697368333334</v>
      </c>
      <c r="D29">
        <f t="shared" si="0"/>
        <v>0.06763697368333334</v>
      </c>
    </row>
    <row r="30" spans="2:4" ht="15">
      <c r="B30" s="6">
        <f t="shared" si="1"/>
        <v>2044</v>
      </c>
      <c r="C30" s="141">
        <v>0.06529974838333336</v>
      </c>
      <c r="D30">
        <f t="shared" si="0"/>
        <v>0.06529974838333336</v>
      </c>
    </row>
    <row r="31" spans="2:4" ht="15">
      <c r="B31" s="6">
        <f t="shared" si="1"/>
        <v>2045</v>
      </c>
      <c r="C31" s="141">
        <v>0.06296252308333336</v>
      </c>
      <c r="D31">
        <f t="shared" si="0"/>
        <v>0.06296252308333336</v>
      </c>
    </row>
    <row r="32" spans="2:4" ht="15">
      <c r="B32" s="6">
        <f t="shared" si="1"/>
        <v>2046</v>
      </c>
      <c r="C32" s="141">
        <v>0.060625297783333344</v>
      </c>
      <c r="D32">
        <f t="shared" si="0"/>
        <v>0.060625297783333344</v>
      </c>
    </row>
    <row r="33" spans="2:4" ht="15">
      <c r="B33" s="6">
        <f t="shared" si="1"/>
        <v>2047</v>
      </c>
      <c r="C33" s="141">
        <v>0.05828807248333335</v>
      </c>
      <c r="D33">
        <f t="shared" si="0"/>
        <v>0.05828807248333335</v>
      </c>
    </row>
    <row r="34" spans="2:4" ht="15">
      <c r="B34" s="6">
        <f t="shared" si="1"/>
        <v>2048</v>
      </c>
      <c r="C34" s="141">
        <v>0.05595084718333336</v>
      </c>
      <c r="D34">
        <f t="shared" si="0"/>
        <v>0.05595084718333336</v>
      </c>
    </row>
    <row r="35" spans="2:4" ht="15">
      <c r="B35" s="6">
        <f t="shared" si="1"/>
        <v>2049</v>
      </c>
      <c r="C35" s="142">
        <v>0</v>
      </c>
      <c r="D35">
        <v>0</v>
      </c>
    </row>
    <row r="36" spans="2:4" ht="15">
      <c r="B36" s="6">
        <f t="shared" si="1"/>
        <v>2050</v>
      </c>
      <c r="C36" s="142">
        <v>0</v>
      </c>
      <c r="D36">
        <v>0</v>
      </c>
    </row>
    <row r="37" spans="2:4" ht="15">
      <c r="B37" s="6">
        <f t="shared" si="1"/>
        <v>2051</v>
      </c>
      <c r="C37" s="142">
        <v>0</v>
      </c>
      <c r="D37">
        <v>0</v>
      </c>
    </row>
    <row r="38" spans="2:4" ht="15">
      <c r="B38" s="6">
        <f t="shared" si="1"/>
        <v>2052</v>
      </c>
      <c r="C38" s="142">
        <v>0</v>
      </c>
      <c r="D38">
        <v>0</v>
      </c>
    </row>
    <row r="39" spans="2:4" ht="12.75">
      <c r="B39" s="6">
        <f t="shared" si="1"/>
        <v>2053</v>
      </c>
      <c r="C39" s="3">
        <v>0</v>
      </c>
      <c r="D39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50"/>
  </sheetPr>
  <dimension ref="A1:N36"/>
  <sheetViews>
    <sheetView zoomScalePageLayoutView="0" workbookViewId="0" topLeftCell="A1">
      <selection activeCell="C34" sqref="C34"/>
    </sheetView>
  </sheetViews>
  <sheetFormatPr defaultColWidth="9.140625" defaultRowHeight="12.75"/>
  <cols>
    <col min="2" max="2" width="53.140625" style="0" bestFit="1" customWidth="1"/>
    <col min="6" max="6" width="11.421875" style="0" bestFit="1" customWidth="1"/>
    <col min="7" max="7" width="55.57421875" style="0" bestFit="1" customWidth="1"/>
  </cols>
  <sheetData>
    <row r="1" spans="1:2" ht="15" customHeight="1">
      <c r="A1" s="2"/>
      <c r="B1" s="2"/>
    </row>
    <row r="3" ht="12.75">
      <c r="B3" s="7" t="s">
        <v>3</v>
      </c>
    </row>
    <row r="4" spans="1:4" ht="12.75">
      <c r="A4" t="s">
        <v>4</v>
      </c>
      <c r="B4" t="s">
        <v>303</v>
      </c>
      <c r="C4" s="63">
        <v>25</v>
      </c>
      <c r="D4" t="s">
        <v>5</v>
      </c>
    </row>
    <row r="5" spans="1:4" ht="12.75">
      <c r="A5" t="s">
        <v>4</v>
      </c>
      <c r="B5" t="s">
        <v>304</v>
      </c>
      <c r="C5" s="63">
        <v>25</v>
      </c>
      <c r="D5" t="s">
        <v>5</v>
      </c>
    </row>
    <row r="6" spans="1:3" ht="12.75">
      <c r="A6" t="s">
        <v>4</v>
      </c>
      <c r="B6" t="s">
        <v>305</v>
      </c>
      <c r="C6" s="108">
        <v>1.5213</v>
      </c>
    </row>
    <row r="7" spans="1:3" ht="12.75">
      <c r="A7" t="s">
        <v>4</v>
      </c>
      <c r="B7" t="s">
        <v>306</v>
      </c>
      <c r="C7" s="108">
        <v>1.5213</v>
      </c>
    </row>
    <row r="9" ht="12.75">
      <c r="B9" s="7" t="s">
        <v>188</v>
      </c>
    </row>
    <row r="10" spans="1:4" ht="12.75">
      <c r="A10" t="s">
        <v>7</v>
      </c>
      <c r="B10" t="s">
        <v>310</v>
      </c>
      <c r="C10" s="104">
        <v>2.4</v>
      </c>
      <c r="D10" t="s">
        <v>2</v>
      </c>
    </row>
    <row r="11" spans="1:4" ht="12.75">
      <c r="A11" t="s">
        <v>7</v>
      </c>
      <c r="B11" t="s">
        <v>312</v>
      </c>
      <c r="C11" s="106">
        <v>2.3</v>
      </c>
      <c r="D11" t="s">
        <v>2</v>
      </c>
    </row>
    <row r="12" spans="1:4" ht="12.75">
      <c r="A12" t="s">
        <v>7</v>
      </c>
      <c r="B12" t="s">
        <v>314</v>
      </c>
      <c r="C12" s="106">
        <v>2.3</v>
      </c>
      <c r="D12" t="s">
        <v>2</v>
      </c>
    </row>
    <row r="13" spans="1:3" ht="12.75">
      <c r="A13" t="s">
        <v>7</v>
      </c>
      <c r="B13" t="s">
        <v>319</v>
      </c>
      <c r="C13" s="63">
        <v>0.0708</v>
      </c>
    </row>
    <row r="14" spans="1:3" ht="12.75">
      <c r="A14" t="s">
        <v>7</v>
      </c>
      <c r="B14" t="s">
        <v>320</v>
      </c>
      <c r="C14" s="63">
        <v>0.0646</v>
      </c>
    </row>
    <row r="15" spans="1:4" ht="12.75">
      <c r="A15" t="s">
        <v>7</v>
      </c>
      <c r="B15" t="s">
        <v>323</v>
      </c>
      <c r="C15" s="63">
        <v>0</v>
      </c>
      <c r="D15" t="s">
        <v>2</v>
      </c>
    </row>
    <row r="17" ht="12.75">
      <c r="B17" s="7" t="s">
        <v>191</v>
      </c>
    </row>
    <row r="18" spans="1:3" ht="12.75">
      <c r="A18" t="s">
        <v>8</v>
      </c>
      <c r="B18" t="s">
        <v>324</v>
      </c>
      <c r="C18" s="63">
        <v>2020</v>
      </c>
    </row>
    <row r="19" spans="1:3" ht="12.75">
      <c r="A19" t="s">
        <v>8</v>
      </c>
      <c r="B19" t="s">
        <v>192</v>
      </c>
      <c r="C19" s="63">
        <v>2023</v>
      </c>
    </row>
    <row r="20" spans="1:3" ht="12.75">
      <c r="A20" t="s">
        <v>8</v>
      </c>
      <c r="B20" t="s">
        <v>325</v>
      </c>
      <c r="C20" s="63">
        <v>2021</v>
      </c>
    </row>
    <row r="21" spans="1:4" ht="12.75">
      <c r="A21" t="s">
        <v>8</v>
      </c>
      <c r="B21" t="s">
        <v>326</v>
      </c>
      <c r="C21" s="107">
        <v>526.3</v>
      </c>
      <c r="D21" t="s">
        <v>193</v>
      </c>
    </row>
    <row r="22" spans="1:4" ht="12.75">
      <c r="A22" t="s">
        <v>8</v>
      </c>
      <c r="B22" t="s">
        <v>327</v>
      </c>
      <c r="C22" s="10">
        <f>'T&amp;D Costs'!D6</f>
        <v>34.9</v>
      </c>
      <c r="D22" t="s">
        <v>193</v>
      </c>
    </row>
    <row r="23" spans="1:7" ht="12.75">
      <c r="A23" t="s">
        <v>8</v>
      </c>
      <c r="B23" t="s">
        <v>453</v>
      </c>
      <c r="C23" s="10">
        <f>'T&amp;D Costs'!D7</f>
        <v>82.37</v>
      </c>
      <c r="D23" t="s">
        <v>193</v>
      </c>
      <c r="F23" s="28"/>
      <c r="G23" s="28"/>
    </row>
    <row r="24" spans="1:4" ht="12.75">
      <c r="A24" t="s">
        <v>8</v>
      </c>
      <c r="B24" t="s">
        <v>329</v>
      </c>
      <c r="C24" s="106">
        <v>2.4</v>
      </c>
      <c r="D24" t="s">
        <v>2</v>
      </c>
    </row>
    <row r="25" spans="1:4" ht="12.75">
      <c r="A25" t="s">
        <v>8</v>
      </c>
      <c r="B25" t="s">
        <v>330</v>
      </c>
      <c r="C25" s="107">
        <v>5.83</v>
      </c>
      <c r="D25" t="s">
        <v>194</v>
      </c>
    </row>
    <row r="26" spans="1:7" ht="12.75">
      <c r="A26" t="s">
        <v>8</v>
      </c>
      <c r="B26" t="s">
        <v>331</v>
      </c>
      <c r="C26" s="63">
        <v>2.4</v>
      </c>
      <c r="D26" t="s">
        <v>2</v>
      </c>
      <c r="G26" s="28"/>
    </row>
    <row r="27" spans="1:7" ht="12.75">
      <c r="A27" t="s">
        <v>8</v>
      </c>
      <c r="B27" t="s">
        <v>332</v>
      </c>
      <c r="C27" s="10">
        <f>'T&amp;D Costs'!D11</f>
        <v>2.78</v>
      </c>
      <c r="D27" t="s">
        <v>194</v>
      </c>
      <c r="G27" s="28"/>
    </row>
    <row r="28" spans="1:7" ht="12.75">
      <c r="A28" t="s">
        <v>8</v>
      </c>
      <c r="B28" t="s">
        <v>333</v>
      </c>
      <c r="C28" s="10">
        <f>'T&amp;D Costs'!D12</f>
        <v>11.34</v>
      </c>
      <c r="D28" t="s">
        <v>194</v>
      </c>
      <c r="G28" s="28"/>
    </row>
    <row r="29" spans="1:7" ht="12.75">
      <c r="A29" t="s">
        <v>8</v>
      </c>
      <c r="B29" t="s">
        <v>334</v>
      </c>
      <c r="C29" s="63">
        <v>2.4</v>
      </c>
      <c r="D29" t="s">
        <v>2</v>
      </c>
      <c r="G29" s="28"/>
    </row>
    <row r="30" spans="1:12" ht="12.75">
      <c r="A30" t="s">
        <v>8</v>
      </c>
      <c r="B30" t="s">
        <v>335</v>
      </c>
      <c r="C30" s="62">
        <v>0.21</v>
      </c>
      <c r="D30" t="s">
        <v>195</v>
      </c>
      <c r="F30" s="8">
        <f>2/1000*100</f>
        <v>0.2</v>
      </c>
      <c r="G30" s="28"/>
      <c r="H30" s="156"/>
      <c r="I30" s="156"/>
      <c r="J30" s="156"/>
      <c r="K30" s="156"/>
      <c r="L30" s="156"/>
    </row>
    <row r="31" spans="1:7" ht="12.75">
      <c r="A31" t="s">
        <v>8</v>
      </c>
      <c r="B31" t="s">
        <v>9</v>
      </c>
      <c r="C31" s="63">
        <v>2.4</v>
      </c>
      <c r="D31" t="s">
        <v>2</v>
      </c>
      <c r="G31" s="28"/>
    </row>
    <row r="32" spans="1:7" ht="12.75">
      <c r="A32" t="s">
        <v>8</v>
      </c>
      <c r="B32" t="s">
        <v>336</v>
      </c>
      <c r="C32" s="63">
        <v>9.1</v>
      </c>
      <c r="D32" t="s">
        <v>2</v>
      </c>
      <c r="F32" s="7" t="s">
        <v>452</v>
      </c>
      <c r="G32" s="137"/>
    </row>
    <row r="33" spans="1:7" ht="12.75">
      <c r="A33" t="s">
        <v>8</v>
      </c>
      <c r="B33" t="s">
        <v>337</v>
      </c>
      <c r="C33" s="107">
        <v>3.75</v>
      </c>
      <c r="D33" t="s">
        <v>195</v>
      </c>
      <c r="G33" s="28"/>
    </row>
    <row r="34" spans="1:6" ht="12.75">
      <c r="A34" t="s">
        <v>8</v>
      </c>
      <c r="B34" t="s">
        <v>338</v>
      </c>
      <c r="C34" s="63">
        <v>4.54</v>
      </c>
      <c r="D34" t="s">
        <v>2</v>
      </c>
      <c r="F34" s="7" t="s">
        <v>417</v>
      </c>
    </row>
    <row r="35" spans="1:7" ht="12.75">
      <c r="A35" t="s">
        <v>8</v>
      </c>
      <c r="B35" t="s">
        <v>339</v>
      </c>
      <c r="C35">
        <v>0</v>
      </c>
      <c r="D35" t="s">
        <v>194</v>
      </c>
      <c r="G35" s="28"/>
    </row>
    <row r="36" spans="1:14" ht="12.75">
      <c r="A36" t="s">
        <v>8</v>
      </c>
      <c r="B36" t="s">
        <v>340</v>
      </c>
      <c r="C36">
        <v>0</v>
      </c>
      <c r="D36" t="s">
        <v>2</v>
      </c>
      <c r="G36" s="28"/>
      <c r="H36" s="155"/>
      <c r="I36" s="155"/>
      <c r="J36" s="155"/>
      <c r="K36" s="155"/>
      <c r="L36" s="155"/>
      <c r="M36" s="155"/>
      <c r="N36" s="155"/>
    </row>
  </sheetData>
  <sheetProtection/>
  <mergeCells count="2">
    <mergeCell ref="H36:N36"/>
    <mergeCell ref="H30:L30"/>
  </mergeCells>
  <printOptions/>
  <pageMargins left="0.7" right="0.7" top="0.75" bottom="0.75" header="0.3" footer="0.3"/>
  <pageSetup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50"/>
  </sheetPr>
  <dimension ref="A1:E13"/>
  <sheetViews>
    <sheetView zoomScalePageLayoutView="0" workbookViewId="0" topLeftCell="A1">
      <selection activeCell="E11" sqref="E11"/>
    </sheetView>
  </sheetViews>
  <sheetFormatPr defaultColWidth="9.140625" defaultRowHeight="12.75"/>
  <cols>
    <col min="2" max="2" width="14.57421875" style="0" customWidth="1"/>
    <col min="3" max="3" width="12.140625" style="0" customWidth="1"/>
    <col min="4" max="4" width="16.421875" style="0" customWidth="1"/>
    <col min="5" max="6" width="15.57421875" style="0" customWidth="1"/>
    <col min="7" max="7" width="15.8515625" style="0" customWidth="1"/>
    <col min="8" max="8" width="18.8515625" style="0" customWidth="1"/>
    <col min="9" max="9" width="19.57421875" style="0" customWidth="1"/>
    <col min="10" max="10" width="12.421875" style="0" customWidth="1"/>
    <col min="11" max="11" width="11.421875" style="0" customWidth="1"/>
    <col min="12" max="12" width="18.57421875" style="0" customWidth="1"/>
    <col min="13" max="13" width="19.00390625" style="0" customWidth="1"/>
  </cols>
  <sheetData>
    <row r="1" spans="3:5" ht="12.75">
      <c r="C1" s="133"/>
      <c r="D1" s="133"/>
      <c r="E1" s="133"/>
    </row>
    <row r="2" spans="4:5" ht="12.75">
      <c r="D2" s="115" t="s">
        <v>443</v>
      </c>
      <c r="E2" s="115" t="s">
        <v>444</v>
      </c>
    </row>
    <row r="3" spans="3:5" ht="32.25" customHeight="1">
      <c r="C3" s="96" t="s">
        <v>204</v>
      </c>
      <c r="D3" s="96" t="s">
        <v>450</v>
      </c>
      <c r="E3" s="96" t="s">
        <v>451</v>
      </c>
    </row>
    <row r="4" spans="2:5" ht="12.75">
      <c r="B4" t="s">
        <v>392</v>
      </c>
      <c r="C4" s="143">
        <v>5.3583</v>
      </c>
      <c r="D4" s="143">
        <v>1.596</v>
      </c>
      <c r="E4" s="144">
        <v>0</v>
      </c>
    </row>
    <row r="5" spans="2:5" ht="12.75">
      <c r="B5" t="s">
        <v>420</v>
      </c>
      <c r="C5" s="143">
        <v>0</v>
      </c>
      <c r="D5" s="143">
        <v>0</v>
      </c>
      <c r="E5" s="144">
        <v>10.59</v>
      </c>
    </row>
    <row r="6" spans="2:5" ht="12.75">
      <c r="B6" t="s">
        <v>393</v>
      </c>
      <c r="C6" s="143">
        <v>0</v>
      </c>
      <c r="D6" s="143">
        <v>0</v>
      </c>
      <c r="E6" s="144">
        <v>0</v>
      </c>
    </row>
    <row r="7" spans="2:5" ht="12.75">
      <c r="B7" t="s">
        <v>394</v>
      </c>
      <c r="C7" s="143">
        <v>0.271</v>
      </c>
      <c r="D7" s="143">
        <v>0</v>
      </c>
      <c r="E7" s="144">
        <v>0.96</v>
      </c>
    </row>
    <row r="8" spans="2:5" ht="12.75">
      <c r="B8" t="s">
        <v>395</v>
      </c>
      <c r="C8" s="143">
        <v>0.085</v>
      </c>
      <c r="D8" s="143">
        <v>0</v>
      </c>
      <c r="E8" s="144">
        <v>0.32</v>
      </c>
    </row>
    <row r="9" spans="2:5" ht="13.5" thickBot="1">
      <c r="B9" t="s">
        <v>396</v>
      </c>
      <c r="C9" s="145">
        <v>0.222</v>
      </c>
      <c r="D9" s="146">
        <v>0.222</v>
      </c>
      <c r="E9" s="147">
        <v>0</v>
      </c>
    </row>
    <row r="10" spans="1:5" ht="18.75" thickBot="1">
      <c r="A10" s="92" t="s">
        <v>397</v>
      </c>
      <c r="B10" s="93">
        <v>1.818</v>
      </c>
      <c r="C10" s="134">
        <f>SUM(C4:C9)</f>
        <v>5.9363</v>
      </c>
      <c r="D10" s="135">
        <f>SUM(D4:D9)</f>
        <v>1.818</v>
      </c>
      <c r="E10" s="136">
        <v>10.0895</v>
      </c>
    </row>
    <row r="11" spans="1:2" ht="13.5" thickBot="1">
      <c r="A11" s="94" t="s">
        <v>398</v>
      </c>
      <c r="B11" s="95">
        <v>10.0895</v>
      </c>
    </row>
    <row r="13" ht="12.75">
      <c r="B13" s="28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">
    <tabColor rgb="FF0070C0"/>
    <pageSetUpPr fitToPage="1"/>
  </sheetPr>
  <dimension ref="A1:AD73"/>
  <sheetViews>
    <sheetView zoomScale="75" zoomScaleNormal="75" zoomScalePageLayoutView="0" workbookViewId="0" topLeftCell="A1">
      <selection activeCell="G20" sqref="G20"/>
    </sheetView>
  </sheetViews>
  <sheetFormatPr defaultColWidth="9.140625" defaultRowHeight="12.75"/>
  <cols>
    <col min="2" max="2" width="58.421875" style="0" customWidth="1"/>
    <col min="3" max="3" width="20.8515625" style="0" bestFit="1" customWidth="1"/>
    <col min="4" max="4" width="18.8515625" style="0" bestFit="1" customWidth="1"/>
    <col min="6" max="6" width="16.57421875" style="0" bestFit="1" customWidth="1"/>
    <col min="8" max="8" width="9.8515625" style="0" bestFit="1" customWidth="1"/>
    <col min="11" max="11" width="14.421875" style="0" bestFit="1" customWidth="1"/>
    <col min="12" max="12" width="18.421875" style="0" bestFit="1" customWidth="1"/>
    <col min="16" max="16" width="12.00390625" style="0" bestFit="1" customWidth="1"/>
    <col min="17" max="18" width="13.8515625" style="0" bestFit="1" customWidth="1"/>
    <col min="27" max="27" width="12.57421875" style="0" customWidth="1"/>
    <col min="28" max="28" width="10.421875" style="0" bestFit="1" customWidth="1"/>
  </cols>
  <sheetData>
    <row r="1" spans="1:6" ht="12.75">
      <c r="A1" s="7" t="s">
        <v>385</v>
      </c>
      <c r="E1" s="3" t="s">
        <v>386</v>
      </c>
      <c r="F1" s="3"/>
    </row>
    <row r="2" ht="12.75">
      <c r="E2" s="7"/>
    </row>
    <row r="3" spans="1:6" ht="12.75">
      <c r="A3" s="29">
        <v>1</v>
      </c>
      <c r="B3" s="7" t="s">
        <v>364</v>
      </c>
      <c r="C3" s="29" t="s">
        <v>467</v>
      </c>
      <c r="F3" s="7"/>
    </row>
    <row r="4" spans="1:8" s="28" customFormat="1" ht="12.75">
      <c r="A4" s="29"/>
      <c r="H4"/>
    </row>
    <row r="5" spans="1:9" s="28" customFormat="1" ht="12.75">
      <c r="A5" s="29">
        <v>2</v>
      </c>
      <c r="B5" s="7" t="s">
        <v>363</v>
      </c>
      <c r="G5" s="42"/>
      <c r="I5" s="42"/>
    </row>
    <row r="6" spans="1:29" s="28" customFormat="1" ht="15.75">
      <c r="A6" s="29"/>
      <c r="B6" s="30" t="s">
        <v>366</v>
      </c>
      <c r="C6" s="99">
        <v>0</v>
      </c>
      <c r="F6" s="68"/>
      <c r="G6" s="70"/>
      <c r="J6" s="42"/>
      <c r="AA6"/>
      <c r="AB6" s="80"/>
      <c r="AC6" s="81"/>
    </row>
    <row r="7" spans="1:29" s="28" customFormat="1" ht="15.75">
      <c r="A7" s="29"/>
      <c r="B7" s="30" t="s">
        <v>367</v>
      </c>
      <c r="C7" s="99">
        <v>0</v>
      </c>
      <c r="F7" s="68"/>
      <c r="G7" s="71"/>
      <c r="P7" s="23"/>
      <c r="Q7" s="80"/>
      <c r="R7" s="80"/>
      <c r="AA7"/>
      <c r="AB7" s="80"/>
      <c r="AC7" s="81"/>
    </row>
    <row r="8" spans="1:28" ht="15.75">
      <c r="A8" s="29"/>
      <c r="B8" s="30" t="s">
        <v>365</v>
      </c>
      <c r="C8" s="100">
        <v>1691.12</v>
      </c>
      <c r="F8" s="69"/>
      <c r="G8" s="71"/>
      <c r="P8" s="82"/>
      <c r="Q8" s="82"/>
      <c r="R8" s="82"/>
      <c r="AB8" s="23"/>
    </row>
    <row r="9" spans="1:18" ht="12.75">
      <c r="A9" s="29">
        <v>3</v>
      </c>
      <c r="B9" s="39" t="s">
        <v>384</v>
      </c>
      <c r="C9" s="101">
        <v>1</v>
      </c>
      <c r="F9" s="7"/>
      <c r="P9" s="82"/>
      <c r="Q9" s="82"/>
      <c r="R9" s="83"/>
    </row>
    <row r="10" spans="1:28" ht="12.75">
      <c r="A10" s="29">
        <v>4</v>
      </c>
      <c r="B10" s="7" t="s">
        <v>362</v>
      </c>
      <c r="C10" s="101">
        <v>0</v>
      </c>
      <c r="F10" s="7" t="s">
        <v>460</v>
      </c>
      <c r="P10" s="82"/>
      <c r="Q10" s="82"/>
      <c r="R10" s="84"/>
      <c r="Z10" s="28"/>
      <c r="AB10" s="85"/>
    </row>
    <row r="11" spans="1:28" ht="12.75">
      <c r="A11" s="29"/>
      <c r="L11" s="29" t="s">
        <v>23</v>
      </c>
      <c r="O11" s="28"/>
      <c r="P11" s="23"/>
      <c r="Q11" s="23"/>
      <c r="R11" s="23"/>
      <c r="Z11" s="28"/>
      <c r="AB11" s="85"/>
    </row>
    <row r="12" spans="1:28" ht="12.75">
      <c r="A12" s="29">
        <v>5</v>
      </c>
      <c r="B12" s="7" t="s">
        <v>361</v>
      </c>
      <c r="C12" s="29" t="s">
        <v>391</v>
      </c>
      <c r="D12" s="28"/>
      <c r="F12" s="29"/>
      <c r="K12" s="29" t="s">
        <v>358</v>
      </c>
      <c r="L12" s="29" t="s">
        <v>25</v>
      </c>
      <c r="P12" s="85"/>
      <c r="Q12" s="85"/>
      <c r="R12" s="85"/>
      <c r="Z12" s="28"/>
      <c r="AB12" s="23"/>
    </row>
    <row r="13" spans="1:18" ht="12.75">
      <c r="A13" s="29"/>
      <c r="C13" s="29" t="s">
        <v>360</v>
      </c>
      <c r="F13" s="29"/>
      <c r="K13" s="29" t="s">
        <v>360</v>
      </c>
      <c r="L13" s="29" t="s">
        <v>30</v>
      </c>
      <c r="P13" s="82"/>
      <c r="Q13" s="85"/>
      <c r="R13" s="85"/>
    </row>
    <row r="14" spans="1:17" ht="12.75">
      <c r="A14" s="29"/>
      <c r="B14" s="30" t="s">
        <v>35</v>
      </c>
      <c r="C14" s="29" t="s">
        <v>359</v>
      </c>
      <c r="F14" s="29"/>
      <c r="J14" s="30" t="s">
        <v>35</v>
      </c>
      <c r="K14" s="29" t="s">
        <v>359</v>
      </c>
      <c r="L14" s="29" t="s">
        <v>36</v>
      </c>
      <c r="Q14" s="86"/>
    </row>
    <row r="15" spans="1:17" ht="12.75">
      <c r="A15" s="29"/>
      <c r="B15">
        <f>'Title Results Update'!C18</f>
        <v>2020</v>
      </c>
      <c r="C15" s="101">
        <v>1000</v>
      </c>
      <c r="F15" s="7"/>
      <c r="J15">
        <f>+Title_RESULTS!H7</f>
        <v>2020</v>
      </c>
      <c r="K15">
        <f>+C15</f>
        <v>1000</v>
      </c>
      <c r="L15">
        <f aca="true" t="shared" si="0" ref="L15:L40">ROUND(+K15*(1-$C$32),0)</f>
        <v>1000</v>
      </c>
      <c r="P15" s="28"/>
      <c r="Q15" s="86"/>
    </row>
    <row r="16" spans="1:18" ht="12.75">
      <c r="A16" s="29"/>
      <c r="B16">
        <f>+B15+1</f>
        <v>2021</v>
      </c>
      <c r="C16" s="101">
        <v>1000</v>
      </c>
      <c r="F16" s="7"/>
      <c r="J16">
        <f aca="true" t="shared" si="1" ref="J16:J40">+J15+1</f>
        <v>2021</v>
      </c>
      <c r="K16">
        <f aca="true" t="shared" si="2" ref="K16:K29">+K15+C16</f>
        <v>2000</v>
      </c>
      <c r="L16">
        <f t="shared" si="0"/>
        <v>2000</v>
      </c>
      <c r="O16" s="28"/>
      <c r="R16" s="23"/>
    </row>
    <row r="17" spans="1:18" ht="12.75">
      <c r="A17" s="29"/>
      <c r="B17">
        <f aca="true" t="shared" si="3" ref="B17:B29">+B16+1</f>
        <v>2022</v>
      </c>
      <c r="C17" s="101">
        <v>1000</v>
      </c>
      <c r="F17" s="7"/>
      <c r="J17">
        <f t="shared" si="1"/>
        <v>2022</v>
      </c>
      <c r="K17">
        <f t="shared" si="2"/>
        <v>3000</v>
      </c>
      <c r="L17">
        <f t="shared" si="0"/>
        <v>3000</v>
      </c>
      <c r="R17" s="86"/>
    </row>
    <row r="18" spans="1:18" ht="12.75">
      <c r="A18" s="29"/>
      <c r="B18">
        <f t="shared" si="3"/>
        <v>2023</v>
      </c>
      <c r="C18" s="101">
        <v>0</v>
      </c>
      <c r="F18" s="7"/>
      <c r="J18">
        <f t="shared" si="1"/>
        <v>2023</v>
      </c>
      <c r="K18">
        <f t="shared" si="2"/>
        <v>3000</v>
      </c>
      <c r="L18">
        <f t="shared" si="0"/>
        <v>3000</v>
      </c>
      <c r="R18" s="86"/>
    </row>
    <row r="19" spans="1:27" ht="12.75">
      <c r="A19" s="29"/>
      <c r="B19">
        <f t="shared" si="3"/>
        <v>2024</v>
      </c>
      <c r="C19" s="101">
        <v>0</v>
      </c>
      <c r="F19" s="7"/>
      <c r="J19">
        <f t="shared" si="1"/>
        <v>2024</v>
      </c>
      <c r="K19">
        <f t="shared" si="2"/>
        <v>3000</v>
      </c>
      <c r="L19">
        <f t="shared" si="0"/>
        <v>3000</v>
      </c>
      <c r="AA19" s="5"/>
    </row>
    <row r="20" spans="1:26" ht="12.75">
      <c r="A20" s="29"/>
      <c r="B20">
        <f t="shared" si="3"/>
        <v>2025</v>
      </c>
      <c r="C20" s="101">
        <v>0</v>
      </c>
      <c r="F20" s="7"/>
      <c r="J20">
        <f t="shared" si="1"/>
        <v>2025</v>
      </c>
      <c r="K20">
        <f t="shared" si="2"/>
        <v>3000</v>
      </c>
      <c r="L20">
        <f t="shared" si="0"/>
        <v>3000</v>
      </c>
      <c r="Z20" s="28"/>
    </row>
    <row r="21" spans="1:12" ht="12.75">
      <c r="A21" s="29"/>
      <c r="B21">
        <f t="shared" si="3"/>
        <v>2026</v>
      </c>
      <c r="C21" s="101">
        <v>0</v>
      </c>
      <c r="F21" s="7"/>
      <c r="J21">
        <f t="shared" si="1"/>
        <v>2026</v>
      </c>
      <c r="K21">
        <f t="shared" si="2"/>
        <v>3000</v>
      </c>
      <c r="L21">
        <f t="shared" si="0"/>
        <v>3000</v>
      </c>
    </row>
    <row r="22" spans="1:12" ht="12.75">
      <c r="A22" s="29"/>
      <c r="B22">
        <f t="shared" si="3"/>
        <v>2027</v>
      </c>
      <c r="C22" s="101">
        <v>0</v>
      </c>
      <c r="F22" s="7"/>
      <c r="J22">
        <f t="shared" si="1"/>
        <v>2027</v>
      </c>
      <c r="K22">
        <f t="shared" si="2"/>
        <v>3000</v>
      </c>
      <c r="L22">
        <f t="shared" si="0"/>
        <v>3000</v>
      </c>
    </row>
    <row r="23" spans="1:12" ht="12.75">
      <c r="A23" s="29"/>
      <c r="B23">
        <f t="shared" si="3"/>
        <v>2028</v>
      </c>
      <c r="C23" s="101">
        <v>0</v>
      </c>
      <c r="F23" s="7"/>
      <c r="J23">
        <f t="shared" si="1"/>
        <v>2028</v>
      </c>
      <c r="K23">
        <f t="shared" si="2"/>
        <v>3000</v>
      </c>
      <c r="L23">
        <f t="shared" si="0"/>
        <v>3000</v>
      </c>
    </row>
    <row r="24" spans="1:28" ht="12.75">
      <c r="A24" s="29"/>
      <c r="B24">
        <f t="shared" si="3"/>
        <v>2029</v>
      </c>
      <c r="C24" s="101">
        <v>0</v>
      </c>
      <c r="F24" s="7"/>
      <c r="J24">
        <f t="shared" si="1"/>
        <v>2029</v>
      </c>
      <c r="K24">
        <f t="shared" si="2"/>
        <v>3000</v>
      </c>
      <c r="L24">
        <f t="shared" si="0"/>
        <v>3000</v>
      </c>
      <c r="AB24" s="10"/>
    </row>
    <row r="25" spans="1:12" ht="12.75">
      <c r="A25" s="29"/>
      <c r="B25">
        <f t="shared" si="3"/>
        <v>2030</v>
      </c>
      <c r="C25" s="101">
        <v>0</v>
      </c>
      <c r="F25" s="7"/>
      <c r="J25">
        <f t="shared" si="1"/>
        <v>2030</v>
      </c>
      <c r="K25">
        <f t="shared" si="2"/>
        <v>3000</v>
      </c>
      <c r="L25">
        <f t="shared" si="0"/>
        <v>3000</v>
      </c>
    </row>
    <row r="26" spans="1:12" ht="12.75">
      <c r="A26" s="29"/>
      <c r="B26">
        <f t="shared" si="3"/>
        <v>2031</v>
      </c>
      <c r="C26" s="101">
        <v>0</v>
      </c>
      <c r="F26" s="7"/>
      <c r="J26">
        <f t="shared" si="1"/>
        <v>2031</v>
      </c>
      <c r="K26">
        <f t="shared" si="2"/>
        <v>3000</v>
      </c>
      <c r="L26">
        <f t="shared" si="0"/>
        <v>3000</v>
      </c>
    </row>
    <row r="27" spans="1:12" ht="12.75">
      <c r="A27" s="29"/>
      <c r="B27">
        <f t="shared" si="3"/>
        <v>2032</v>
      </c>
      <c r="C27" s="101">
        <v>0</v>
      </c>
      <c r="F27" s="7"/>
      <c r="J27">
        <f t="shared" si="1"/>
        <v>2032</v>
      </c>
      <c r="K27">
        <f t="shared" si="2"/>
        <v>3000</v>
      </c>
      <c r="L27">
        <f t="shared" si="0"/>
        <v>3000</v>
      </c>
    </row>
    <row r="28" spans="1:12" ht="12.75">
      <c r="A28" s="29"/>
      <c r="B28">
        <f t="shared" si="3"/>
        <v>2033</v>
      </c>
      <c r="C28" s="101">
        <v>0</v>
      </c>
      <c r="F28" s="7"/>
      <c r="J28">
        <f t="shared" si="1"/>
        <v>2033</v>
      </c>
      <c r="K28">
        <f t="shared" si="2"/>
        <v>3000</v>
      </c>
      <c r="L28">
        <f t="shared" si="0"/>
        <v>3000</v>
      </c>
    </row>
    <row r="29" spans="1:12" ht="12.75">
      <c r="A29" s="29"/>
      <c r="B29">
        <f t="shared" si="3"/>
        <v>2034</v>
      </c>
      <c r="C29" s="101">
        <v>0</v>
      </c>
      <c r="F29" s="7"/>
      <c r="J29">
        <f t="shared" si="1"/>
        <v>2034</v>
      </c>
      <c r="K29">
        <f t="shared" si="2"/>
        <v>3000</v>
      </c>
      <c r="L29">
        <f t="shared" si="0"/>
        <v>3000</v>
      </c>
    </row>
    <row r="30" spans="1:12" ht="12.75">
      <c r="A30" s="29"/>
      <c r="C30" s="7"/>
      <c r="F30" s="7"/>
      <c r="J30">
        <f t="shared" si="1"/>
        <v>2035</v>
      </c>
      <c r="K30">
        <f>+K29</f>
        <v>3000</v>
      </c>
      <c r="L30">
        <f t="shared" si="0"/>
        <v>3000</v>
      </c>
    </row>
    <row r="31" spans="1:19" ht="12.75">
      <c r="A31" s="29"/>
      <c r="C31" s="7"/>
      <c r="F31" s="72"/>
      <c r="J31">
        <f t="shared" si="1"/>
        <v>2036</v>
      </c>
      <c r="K31">
        <f>+K30</f>
        <v>3000</v>
      </c>
      <c r="L31">
        <f t="shared" si="0"/>
        <v>3000</v>
      </c>
      <c r="S31" s="7"/>
    </row>
    <row r="32" spans="1:12" ht="12.75">
      <c r="A32" s="29">
        <v>6</v>
      </c>
      <c r="B32" s="7" t="s">
        <v>350</v>
      </c>
      <c r="C32" s="102">
        <v>0</v>
      </c>
      <c r="F32" s="72"/>
      <c r="G32" s="28"/>
      <c r="H32" s="5"/>
      <c r="J32">
        <f t="shared" si="1"/>
        <v>2037</v>
      </c>
      <c r="K32">
        <f aca="true" t="shared" si="4" ref="K32:K40">+K31</f>
        <v>3000</v>
      </c>
      <c r="L32">
        <f t="shared" si="0"/>
        <v>3000</v>
      </c>
    </row>
    <row r="33" spans="1:26" ht="12.75">
      <c r="A33" s="29">
        <v>7</v>
      </c>
      <c r="B33" s="7" t="s">
        <v>369</v>
      </c>
      <c r="C33" s="101">
        <v>18</v>
      </c>
      <c r="D33" s="28" t="s">
        <v>293</v>
      </c>
      <c r="F33" s="76"/>
      <c r="H33" s="5"/>
      <c r="J33">
        <f t="shared" si="1"/>
        <v>2038</v>
      </c>
      <c r="K33">
        <f t="shared" si="4"/>
        <v>3000</v>
      </c>
      <c r="L33">
        <f t="shared" si="0"/>
        <v>3000</v>
      </c>
      <c r="Z33" s="28"/>
    </row>
    <row r="34" spans="1:30" ht="12.75">
      <c r="A34" s="29">
        <v>8</v>
      </c>
      <c r="B34" s="7" t="s">
        <v>351</v>
      </c>
      <c r="C34" s="103">
        <v>175</v>
      </c>
      <c r="D34" s="28" t="s">
        <v>189</v>
      </c>
      <c r="E34" s="28"/>
      <c r="F34" s="85"/>
      <c r="H34" s="5"/>
      <c r="J34">
        <f t="shared" si="1"/>
        <v>2039</v>
      </c>
      <c r="K34">
        <f t="shared" si="4"/>
        <v>3000</v>
      </c>
      <c r="L34">
        <f t="shared" si="0"/>
        <v>3000</v>
      </c>
      <c r="Z34" s="28"/>
      <c r="AA34" s="28"/>
      <c r="AB34" s="28"/>
      <c r="AC34" s="28"/>
      <c r="AD34" s="28"/>
    </row>
    <row r="35" spans="1:30" ht="12.75">
      <c r="A35" s="29">
        <v>9</v>
      </c>
      <c r="B35" s="7" t="s">
        <v>370</v>
      </c>
      <c r="C35" s="103">
        <v>0</v>
      </c>
      <c r="D35" s="28" t="s">
        <v>190</v>
      </c>
      <c r="H35" s="5"/>
      <c r="J35">
        <f t="shared" si="1"/>
        <v>2040</v>
      </c>
      <c r="K35">
        <f t="shared" si="4"/>
        <v>3000</v>
      </c>
      <c r="L35">
        <f t="shared" si="0"/>
        <v>3000</v>
      </c>
      <c r="Z35" s="28"/>
      <c r="AA35" s="28"/>
      <c r="AB35" s="28"/>
      <c r="AC35" s="28"/>
      <c r="AD35" s="28"/>
    </row>
    <row r="36" spans="1:30" ht="12.75">
      <c r="A36" s="29">
        <v>10</v>
      </c>
      <c r="B36" s="7" t="s">
        <v>352</v>
      </c>
      <c r="C36" s="103">
        <v>238.57</v>
      </c>
      <c r="D36" s="28" t="s">
        <v>189</v>
      </c>
      <c r="F36" s="59"/>
      <c r="G36" s="28"/>
      <c r="J36">
        <f t="shared" si="1"/>
        <v>2041</v>
      </c>
      <c r="K36">
        <f t="shared" si="4"/>
        <v>3000</v>
      </c>
      <c r="L36">
        <f t="shared" si="0"/>
        <v>3000</v>
      </c>
      <c r="Z36" s="28"/>
      <c r="AA36" s="28"/>
      <c r="AB36" s="28"/>
      <c r="AC36" s="28"/>
      <c r="AD36" s="28"/>
    </row>
    <row r="37" spans="1:30" ht="12.75">
      <c r="A37" s="29">
        <v>11</v>
      </c>
      <c r="B37" s="7" t="s">
        <v>353</v>
      </c>
      <c r="C37" s="103">
        <v>0</v>
      </c>
      <c r="D37" s="28" t="s">
        <v>190</v>
      </c>
      <c r="F37" s="59"/>
      <c r="J37">
        <f t="shared" si="1"/>
        <v>2042</v>
      </c>
      <c r="K37">
        <f t="shared" si="4"/>
        <v>3000</v>
      </c>
      <c r="L37">
        <f t="shared" si="0"/>
        <v>3000</v>
      </c>
      <c r="AA37" s="28"/>
      <c r="AB37" s="28"/>
      <c r="AC37" s="28"/>
      <c r="AD37" s="28"/>
    </row>
    <row r="38" spans="1:27" ht="12.75">
      <c r="A38" s="29">
        <v>12</v>
      </c>
      <c r="B38" s="7" t="s">
        <v>354</v>
      </c>
      <c r="C38" s="103">
        <v>0</v>
      </c>
      <c r="D38" s="28" t="s">
        <v>189</v>
      </c>
      <c r="F38" s="59"/>
      <c r="J38">
        <f t="shared" si="1"/>
        <v>2043</v>
      </c>
      <c r="K38">
        <f t="shared" si="4"/>
        <v>3000</v>
      </c>
      <c r="L38">
        <f t="shared" si="0"/>
        <v>3000</v>
      </c>
      <c r="AA38" s="23"/>
    </row>
    <row r="39" spans="1:28" ht="12.75">
      <c r="A39" s="29">
        <v>13</v>
      </c>
      <c r="B39" s="7" t="s">
        <v>355</v>
      </c>
      <c r="C39" s="103">
        <v>0</v>
      </c>
      <c r="D39" s="28" t="s">
        <v>190</v>
      </c>
      <c r="F39" s="59"/>
      <c r="J39">
        <f t="shared" si="1"/>
        <v>2044</v>
      </c>
      <c r="K39">
        <f t="shared" si="4"/>
        <v>3000</v>
      </c>
      <c r="L39">
        <f t="shared" si="0"/>
        <v>3000</v>
      </c>
      <c r="AA39" s="23"/>
      <c r="AB39" s="87"/>
    </row>
    <row r="40" spans="1:28" ht="12.75">
      <c r="A40" s="29">
        <v>14</v>
      </c>
      <c r="B40" s="7" t="s">
        <v>356</v>
      </c>
      <c r="C40" s="103">
        <v>85.12</v>
      </c>
      <c r="D40" s="28" t="s">
        <v>189</v>
      </c>
      <c r="E40" s="59"/>
      <c r="F40" s="59"/>
      <c r="G40" s="28"/>
      <c r="J40">
        <f t="shared" si="1"/>
        <v>2045</v>
      </c>
      <c r="K40">
        <f t="shared" si="4"/>
        <v>3000</v>
      </c>
      <c r="L40">
        <f t="shared" si="0"/>
        <v>3000</v>
      </c>
      <c r="P40" s="28"/>
      <c r="AA40" s="23"/>
      <c r="AB40" s="87"/>
    </row>
    <row r="41" spans="1:27" ht="12.75">
      <c r="A41" s="29">
        <v>15</v>
      </c>
      <c r="B41" s="7" t="s">
        <v>371</v>
      </c>
      <c r="C41" s="103">
        <v>0</v>
      </c>
      <c r="D41" s="28" t="s">
        <v>190</v>
      </c>
      <c r="F41" s="72"/>
      <c r="P41" s="28"/>
      <c r="Q41" s="28"/>
      <c r="R41" s="28"/>
      <c r="AA41" s="23"/>
    </row>
    <row r="42" spans="1:18" ht="12.75">
      <c r="A42" s="89">
        <v>16</v>
      </c>
      <c r="B42" s="90" t="s">
        <v>357</v>
      </c>
      <c r="C42" s="88">
        <v>1</v>
      </c>
      <c r="F42" s="30"/>
      <c r="P42" s="28"/>
      <c r="Q42" s="28"/>
      <c r="R42" s="28"/>
    </row>
    <row r="43" spans="1:27" ht="12.75">
      <c r="A43" s="63"/>
      <c r="B43" s="90" t="s">
        <v>368</v>
      </c>
      <c r="C43" s="63"/>
      <c r="D43" s="28"/>
      <c r="F43" s="7"/>
      <c r="P43" s="28"/>
      <c r="Q43" s="28"/>
      <c r="R43" s="28"/>
      <c r="S43" s="28"/>
      <c r="Z43" s="28"/>
      <c r="AA43" s="86"/>
    </row>
    <row r="44" spans="1:27" ht="12.75">
      <c r="A44" s="29"/>
      <c r="Q44" s="28"/>
      <c r="R44" s="28"/>
      <c r="AA44" s="86"/>
    </row>
    <row r="45" spans="1:27" ht="12.75">
      <c r="A45" s="29"/>
      <c r="Q45" s="23"/>
      <c r="Z45" s="28"/>
      <c r="AA45" s="23"/>
    </row>
    <row r="46" spans="1:18" ht="12.75">
      <c r="A46" s="29"/>
      <c r="B46" s="7" t="s">
        <v>387</v>
      </c>
      <c r="D46" s="53"/>
      <c r="Q46" s="23"/>
      <c r="R46" s="87"/>
    </row>
    <row r="47" spans="1:18" ht="12.75">
      <c r="A47" s="29"/>
      <c r="B47" s="7" t="s">
        <v>388</v>
      </c>
      <c r="Q47" s="23"/>
      <c r="R47" s="87"/>
    </row>
    <row r="48" spans="1:17" ht="12.75">
      <c r="A48" s="29"/>
      <c r="C48" s="28"/>
      <c r="Q48" s="23"/>
    </row>
    <row r="49" spans="1:3" ht="12.75">
      <c r="A49" s="29"/>
      <c r="C49" s="28"/>
    </row>
    <row r="50" spans="1:17" ht="12.75">
      <c r="A50" s="29"/>
      <c r="P50" s="28"/>
      <c r="Q50" s="86"/>
    </row>
    <row r="51" spans="1:17" ht="12.75">
      <c r="A51" s="29"/>
      <c r="B51" s="50"/>
      <c r="F51" s="28"/>
      <c r="G51" s="42"/>
      <c r="Q51" s="86"/>
    </row>
    <row r="52" spans="1:17" ht="12.75">
      <c r="A52" s="29"/>
      <c r="P52" s="28"/>
      <c r="Q52" s="23"/>
    </row>
    <row r="53" ht="12.75">
      <c r="A53" s="29"/>
    </row>
    <row r="54" ht="12.75">
      <c r="A54" s="29"/>
    </row>
    <row r="55" ht="12.75">
      <c r="A55" s="29"/>
    </row>
    <row r="56" spans="1:3" s="28" customFormat="1" ht="12.75">
      <c r="A56" s="29"/>
      <c r="B56"/>
      <c r="C56"/>
    </row>
    <row r="57" ht="12.75">
      <c r="A57" s="29"/>
    </row>
    <row r="58" ht="12.75">
      <c r="A58" s="29"/>
    </row>
    <row r="62" ht="12.75">
      <c r="E62" s="28"/>
    </row>
    <row r="72" ht="12.75">
      <c r="D72" s="28"/>
    </row>
    <row r="73" spans="2:4" ht="12.75">
      <c r="B73" s="7"/>
      <c r="C73" s="28"/>
      <c r="D73" s="28"/>
    </row>
  </sheetData>
  <sheetProtection/>
  <printOptions/>
  <pageMargins left="0.75" right="0.75" top="1" bottom="1" header="0.5" footer="0.5"/>
  <pageSetup fitToHeight="1" fitToWidth="1" horizontalDpi="300" verticalDpi="300" orientation="portrait" scale="91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110"/>
  <sheetViews>
    <sheetView tabSelected="1" zoomScale="60" zoomScaleNormal="60" zoomScalePageLayoutView="0" workbookViewId="0" topLeftCell="A1">
      <selection activeCell="A10" sqref="A10"/>
    </sheetView>
  </sheetViews>
  <sheetFormatPr defaultColWidth="9.140625" defaultRowHeight="12.75"/>
  <cols>
    <col min="1" max="1" width="4.8515625" style="0" customWidth="1"/>
    <col min="2" max="2" width="71.57421875" style="0" customWidth="1"/>
    <col min="3" max="3" width="26.140625" style="0" customWidth="1"/>
    <col min="4" max="4" width="17.00390625" style="0" bestFit="1" customWidth="1"/>
    <col min="5" max="5" width="7.8515625" style="0" customWidth="1"/>
    <col min="6" max="6" width="4.421875" style="0" customWidth="1"/>
    <col min="7" max="7" width="79.57421875" style="0" customWidth="1"/>
    <col min="8" max="8" width="16.57421875" style="0" customWidth="1"/>
    <col min="9" max="17" width="26.8515625" style="0" customWidth="1"/>
    <col min="18" max="18" width="14.8515625" style="0" customWidth="1"/>
    <col min="19" max="19" width="14.57421875" style="0" bestFit="1" customWidth="1"/>
    <col min="20" max="20" width="15.421875" style="0" customWidth="1"/>
    <col min="21" max="21" width="19.57421875" style="0" bestFit="1" customWidth="1"/>
    <col min="22" max="22" width="17.421875" style="0" customWidth="1"/>
    <col min="23" max="23" width="18.421875" style="0" customWidth="1"/>
    <col min="24" max="25" width="14.421875" style="0" bestFit="1" customWidth="1"/>
    <col min="30" max="30" width="18.57421875" style="0" bestFit="1" customWidth="1"/>
    <col min="31" max="31" width="13.140625" style="0" bestFit="1" customWidth="1"/>
    <col min="36" max="36" width="12.421875" style="0" bestFit="1" customWidth="1"/>
    <col min="40" max="40" width="17.421875" style="0" customWidth="1"/>
  </cols>
  <sheetData>
    <row r="1" spans="1:18" s="2" customFormat="1" ht="18">
      <c r="A1" s="157"/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  <c r="M1" s="157"/>
      <c r="N1" s="157"/>
      <c r="O1" s="157"/>
      <c r="P1" s="157"/>
      <c r="Q1" s="157"/>
      <c r="R1" s="157"/>
    </row>
    <row r="2" spans="3:8" ht="23.25">
      <c r="C2" s="158" t="s">
        <v>373</v>
      </c>
      <c r="D2" s="158"/>
      <c r="E2" s="158"/>
      <c r="F2" s="158"/>
      <c r="H2" s="13" t="s">
        <v>375</v>
      </c>
    </row>
    <row r="3" spans="1:17" ht="23.25">
      <c r="A3" s="2"/>
      <c r="B3" s="25"/>
      <c r="C3" s="32" t="s">
        <v>374</v>
      </c>
      <c r="D3" s="25" t="str">
        <f>+Input!C3</f>
        <v>LED Street Lights</v>
      </c>
      <c r="E3" s="2"/>
      <c r="F3" s="13"/>
      <c r="H3" s="13" t="s">
        <v>42</v>
      </c>
      <c r="I3" s="2"/>
      <c r="J3" s="2"/>
      <c r="K3" s="2"/>
      <c r="L3" s="2"/>
      <c r="M3" s="2"/>
      <c r="N3" s="2"/>
      <c r="O3" s="2"/>
      <c r="P3" s="2"/>
      <c r="Q3" s="2"/>
    </row>
    <row r="4" spans="1:17" ht="18">
      <c r="A4" s="14"/>
      <c r="B4" s="2"/>
      <c r="D4" s="13"/>
      <c r="F4" s="13"/>
      <c r="H4" s="33" t="s">
        <v>376</v>
      </c>
      <c r="I4" s="31">
        <f ca="1">NOW()</f>
        <v>43599.31995208334</v>
      </c>
      <c r="J4" s="31"/>
      <c r="K4" s="31"/>
      <c r="L4" s="31"/>
      <c r="M4" s="31"/>
      <c r="N4" s="31"/>
      <c r="O4" s="31"/>
      <c r="P4" s="31"/>
      <c r="Q4" s="31"/>
    </row>
    <row r="5" spans="1:6" ht="18">
      <c r="A5" s="14"/>
      <c r="B5" s="13"/>
      <c r="D5" s="13"/>
      <c r="F5" s="13"/>
    </row>
    <row r="6" spans="1:17" ht="18">
      <c r="A6" s="14"/>
      <c r="B6" s="2" t="s">
        <v>184</v>
      </c>
      <c r="C6" s="13"/>
      <c r="D6" s="13"/>
      <c r="F6" s="14"/>
      <c r="G6" s="2" t="s">
        <v>191</v>
      </c>
      <c r="H6" s="13"/>
      <c r="I6" s="13"/>
      <c r="J6" s="13"/>
      <c r="K6" s="13"/>
      <c r="L6" s="13"/>
      <c r="M6" s="13"/>
      <c r="N6" s="13"/>
      <c r="O6" s="13"/>
      <c r="P6" s="13"/>
      <c r="Q6" s="13"/>
    </row>
    <row r="7" spans="1:15" ht="18">
      <c r="A7" s="14" t="s">
        <v>1</v>
      </c>
      <c r="B7" s="13" t="s">
        <v>294</v>
      </c>
      <c r="C7" s="75">
        <f>IF(Input!$C$7&gt;Input!$C$6,+Input!$C$7,+Input!$C$6)</f>
        <v>0</v>
      </c>
      <c r="D7" s="13" t="s">
        <v>185</v>
      </c>
      <c r="F7" s="14" t="s">
        <v>8</v>
      </c>
      <c r="G7" s="13" t="s">
        <v>324</v>
      </c>
      <c r="H7" s="13">
        <f>+'Title Results Update'!C18</f>
        <v>2020</v>
      </c>
      <c r="I7" s="13"/>
      <c r="J7" s="13"/>
      <c r="K7" s="13"/>
      <c r="L7" s="13"/>
      <c r="M7" s="13"/>
      <c r="N7" s="13"/>
      <c r="O7" s="13"/>
    </row>
    <row r="8" spans="1:15" ht="18">
      <c r="A8" s="14" t="s">
        <v>1</v>
      </c>
      <c r="B8" s="13" t="s">
        <v>295</v>
      </c>
      <c r="C8" s="75">
        <f>IF(Input!$C$10&gt;0,+'EUE_Line Losses'!B25,+'EUE_Line Losses'!B26)</f>
        <v>0</v>
      </c>
      <c r="D8" s="13" t="s">
        <v>186</v>
      </c>
      <c r="F8" s="14" t="s">
        <v>8</v>
      </c>
      <c r="G8" s="13" t="s">
        <v>192</v>
      </c>
      <c r="H8" s="13">
        <f>+'Title Results Update'!C19</f>
        <v>2023</v>
      </c>
      <c r="I8" s="13"/>
      <c r="J8" s="13"/>
      <c r="K8" s="13"/>
      <c r="L8" s="13"/>
      <c r="M8" s="13"/>
      <c r="N8" s="13"/>
      <c r="O8" s="13"/>
    </row>
    <row r="9" spans="1:15" ht="18">
      <c r="A9" s="14" t="s">
        <v>1</v>
      </c>
      <c r="B9" s="13" t="s">
        <v>296</v>
      </c>
      <c r="C9" s="128">
        <f>IF(Input!$C$10&gt;0,'EUE_Line Losses'!C10,'EUE_Line Losses'!D10)</f>
        <v>7</v>
      </c>
      <c r="D9" s="13" t="s">
        <v>2</v>
      </c>
      <c r="F9" s="14" t="s">
        <v>8</v>
      </c>
      <c r="G9" s="13" t="s">
        <v>325</v>
      </c>
      <c r="H9" s="13">
        <f>+'Title Results Update'!C20</f>
        <v>2021</v>
      </c>
      <c r="I9" s="13"/>
      <c r="J9" s="13"/>
      <c r="K9" s="13"/>
      <c r="L9" s="13"/>
      <c r="M9" s="13"/>
      <c r="N9" s="13"/>
      <c r="O9" s="13"/>
    </row>
    <row r="10" spans="1:15" ht="18">
      <c r="A10" s="14" t="s">
        <v>1</v>
      </c>
      <c r="B10" s="13" t="s">
        <v>297</v>
      </c>
      <c r="C10" s="73">
        <f>+($C$14/(1-C11/100))</f>
        <v>1783.8818565400843</v>
      </c>
      <c r="D10" s="13" t="s">
        <v>187</v>
      </c>
      <c r="F10" s="14" t="s">
        <v>8</v>
      </c>
      <c r="G10" s="13" t="s">
        <v>326</v>
      </c>
      <c r="H10" s="17">
        <f>+'Title Results Update'!C21</f>
        <v>526.3</v>
      </c>
      <c r="I10" s="13" t="s">
        <v>193</v>
      </c>
      <c r="J10" s="13"/>
      <c r="K10" s="13"/>
      <c r="L10" s="13"/>
      <c r="M10" s="13"/>
      <c r="N10" s="13"/>
      <c r="O10" s="13"/>
    </row>
    <row r="11" spans="1:15" ht="18">
      <c r="A11" s="14" t="s">
        <v>1</v>
      </c>
      <c r="B11" s="13" t="s">
        <v>298</v>
      </c>
      <c r="C11" s="128">
        <f>IF(Input!$C$10&gt;0,'EUE_Line Losses'!C11,'EUE_Line Losses'!D11)</f>
        <v>5.2</v>
      </c>
      <c r="D11" s="13" t="s">
        <v>2</v>
      </c>
      <c r="F11" s="14" t="s">
        <v>8</v>
      </c>
      <c r="G11" s="13" t="s">
        <v>327</v>
      </c>
      <c r="H11" s="77">
        <f>+'T&amp;D Costs'!D6</f>
        <v>34.9</v>
      </c>
      <c r="I11" s="13" t="s">
        <v>193</v>
      </c>
      <c r="J11" s="13"/>
      <c r="K11" s="13"/>
      <c r="L11" s="13"/>
      <c r="M11" s="13"/>
      <c r="N11" s="13"/>
      <c r="O11" s="13"/>
    </row>
    <row r="12" spans="1:16" ht="18">
      <c r="A12" s="14" t="s">
        <v>1</v>
      </c>
      <c r="B12" s="13" t="s">
        <v>299</v>
      </c>
      <c r="C12" s="13">
        <v>1</v>
      </c>
      <c r="D12" s="13"/>
      <c r="F12" s="14" t="s">
        <v>8</v>
      </c>
      <c r="G12" s="13" t="s">
        <v>328</v>
      </c>
      <c r="H12" s="77">
        <f>+'T&amp;D Costs'!D7</f>
        <v>82.37</v>
      </c>
      <c r="I12" s="13" t="s">
        <v>193</v>
      </c>
      <c r="J12" s="13"/>
      <c r="K12" s="13"/>
      <c r="L12" s="13"/>
      <c r="M12" s="13"/>
      <c r="N12" s="13"/>
      <c r="O12" s="13"/>
      <c r="P12" s="2"/>
    </row>
    <row r="13" spans="1:15" ht="18">
      <c r="A13" s="14" t="s">
        <v>1</v>
      </c>
      <c r="B13" s="13" t="s">
        <v>300</v>
      </c>
      <c r="C13" s="58">
        <v>0</v>
      </c>
      <c r="D13" s="13" t="s">
        <v>187</v>
      </c>
      <c r="F13" s="14" t="s">
        <v>8</v>
      </c>
      <c r="G13" s="13" t="s">
        <v>329</v>
      </c>
      <c r="H13" s="17">
        <f>+'Title Results Update'!C24</f>
        <v>2.4</v>
      </c>
      <c r="I13" s="13" t="s">
        <v>2</v>
      </c>
      <c r="J13" s="13"/>
      <c r="K13" s="13"/>
      <c r="L13" s="13"/>
      <c r="M13" s="13"/>
      <c r="N13" s="13"/>
      <c r="O13" s="13"/>
    </row>
    <row r="14" spans="1:15" ht="18">
      <c r="A14" s="14" t="s">
        <v>1</v>
      </c>
      <c r="B14" s="13" t="s">
        <v>301</v>
      </c>
      <c r="C14" s="73">
        <f>+Input!C8</f>
        <v>1691.12</v>
      </c>
      <c r="D14" s="13" t="s">
        <v>187</v>
      </c>
      <c r="F14" s="14" t="s">
        <v>8</v>
      </c>
      <c r="G14" s="13" t="s">
        <v>330</v>
      </c>
      <c r="H14" s="17">
        <f>+'Title Results Update'!C25</f>
        <v>5.83</v>
      </c>
      <c r="I14" s="13" t="s">
        <v>194</v>
      </c>
      <c r="J14" s="13"/>
      <c r="K14" s="13"/>
      <c r="L14" s="13"/>
      <c r="M14" s="13"/>
      <c r="N14" s="13"/>
      <c r="O14" s="13"/>
    </row>
    <row r="15" spans="1:15" ht="18">
      <c r="A15" s="14"/>
      <c r="B15" s="13"/>
      <c r="C15" s="13"/>
      <c r="D15" s="13"/>
      <c r="F15" s="14" t="s">
        <v>8</v>
      </c>
      <c r="G15" s="13" t="s">
        <v>331</v>
      </c>
      <c r="H15" s="17">
        <f>+'Title Results Update'!C26</f>
        <v>2.4</v>
      </c>
      <c r="I15" s="13" t="s">
        <v>2</v>
      </c>
      <c r="J15" s="13"/>
      <c r="K15" s="13"/>
      <c r="L15" s="13"/>
      <c r="M15" s="13"/>
      <c r="N15" s="13"/>
      <c r="O15" s="13"/>
    </row>
    <row r="16" spans="1:16" ht="18">
      <c r="A16" s="14"/>
      <c r="B16" s="2" t="s">
        <v>3</v>
      </c>
      <c r="C16" s="13"/>
      <c r="D16" s="13"/>
      <c r="F16" s="14" t="s">
        <v>8</v>
      </c>
      <c r="G16" s="13" t="s">
        <v>332</v>
      </c>
      <c r="H16" s="77">
        <f>+'T&amp;D Costs'!D11</f>
        <v>2.78</v>
      </c>
      <c r="I16" s="13" t="s">
        <v>194</v>
      </c>
      <c r="J16" s="13"/>
      <c r="K16" s="13"/>
      <c r="L16" s="13"/>
      <c r="M16" s="13"/>
      <c r="N16" s="13"/>
      <c r="O16" s="13"/>
      <c r="P16" s="2"/>
    </row>
    <row r="17" spans="1:16" ht="18">
      <c r="A17" s="14" t="s">
        <v>4</v>
      </c>
      <c r="B17" s="13" t="s">
        <v>302</v>
      </c>
      <c r="C17" s="13">
        <f>+Input!C33</f>
        <v>18</v>
      </c>
      <c r="D17" s="13" t="s">
        <v>5</v>
      </c>
      <c r="F17" s="14" t="s">
        <v>8</v>
      </c>
      <c r="G17" s="13" t="s">
        <v>333</v>
      </c>
      <c r="H17" s="77">
        <f>+'T&amp;D Costs'!D12</f>
        <v>11.34</v>
      </c>
      <c r="I17" s="13" t="s">
        <v>194</v>
      </c>
      <c r="J17" s="13"/>
      <c r="K17" s="13"/>
      <c r="L17" s="13"/>
      <c r="M17" s="13"/>
      <c r="N17" s="13"/>
      <c r="O17" s="13"/>
      <c r="P17" s="2"/>
    </row>
    <row r="18" spans="1:15" ht="18">
      <c r="A18" s="14" t="s">
        <v>4</v>
      </c>
      <c r="B18" s="13" t="s">
        <v>303</v>
      </c>
      <c r="C18" s="13">
        <f>+'Title Results Update'!C4</f>
        <v>25</v>
      </c>
      <c r="D18" s="13" t="s">
        <v>5</v>
      </c>
      <c r="F18" s="14" t="s">
        <v>8</v>
      </c>
      <c r="G18" s="13" t="s">
        <v>334</v>
      </c>
      <c r="H18" s="17">
        <f>+'Title Results Update'!C31</f>
        <v>2.4</v>
      </c>
      <c r="I18" s="13" t="s">
        <v>2</v>
      </c>
      <c r="J18" s="13"/>
      <c r="K18" s="13"/>
      <c r="L18" s="13"/>
      <c r="M18" s="13"/>
      <c r="N18" s="13"/>
      <c r="O18" s="13"/>
    </row>
    <row r="19" spans="1:16" ht="18">
      <c r="A19" s="14" t="s">
        <v>4</v>
      </c>
      <c r="B19" s="13" t="s">
        <v>304</v>
      </c>
      <c r="C19" s="13">
        <f>+'Title Results Update'!C5</f>
        <v>25</v>
      </c>
      <c r="D19" s="13" t="s">
        <v>5</v>
      </c>
      <c r="F19" s="14" t="s">
        <v>8</v>
      </c>
      <c r="G19" s="13" t="s">
        <v>335</v>
      </c>
      <c r="H19" s="16">
        <f>+'Title Results Update'!C30</f>
        <v>0.21</v>
      </c>
      <c r="I19" s="13" t="s">
        <v>195</v>
      </c>
      <c r="J19" s="13"/>
      <c r="K19" s="13"/>
      <c r="L19" s="13"/>
      <c r="M19" s="13"/>
      <c r="N19" s="13"/>
      <c r="O19" s="13"/>
      <c r="P19" s="28"/>
    </row>
    <row r="20" spans="1:15" ht="18">
      <c r="A20" s="14" t="s">
        <v>4</v>
      </c>
      <c r="B20" s="13" t="s">
        <v>305</v>
      </c>
      <c r="C20" s="97">
        <f>+'Title Results Update'!C6</f>
        <v>1.5213</v>
      </c>
      <c r="D20" s="13"/>
      <c r="F20" s="14" t="s">
        <v>8</v>
      </c>
      <c r="G20" s="13" t="s">
        <v>9</v>
      </c>
      <c r="H20" s="17">
        <f>+'Title Results Update'!C31</f>
        <v>2.4</v>
      </c>
      <c r="I20" s="13" t="s">
        <v>2</v>
      </c>
      <c r="J20" s="13"/>
      <c r="K20" s="13"/>
      <c r="L20" s="13"/>
      <c r="M20" s="13"/>
      <c r="N20" s="13"/>
      <c r="O20" s="13"/>
    </row>
    <row r="21" spans="1:15" ht="18">
      <c r="A21" s="14" t="s">
        <v>4</v>
      </c>
      <c r="B21" s="13" t="s">
        <v>306</v>
      </c>
      <c r="C21" s="97">
        <f>+'Title Results Update'!C7</f>
        <v>1.5213</v>
      </c>
      <c r="D21" s="13"/>
      <c r="F21" s="14" t="s">
        <v>8</v>
      </c>
      <c r="G21" s="13" t="s">
        <v>336</v>
      </c>
      <c r="H21" s="17">
        <f>+'Title Results Update'!C32</f>
        <v>9.1</v>
      </c>
      <c r="I21" s="13" t="s">
        <v>2</v>
      </c>
      <c r="J21" s="13"/>
      <c r="K21" s="13"/>
      <c r="L21" s="13"/>
      <c r="M21" s="13"/>
      <c r="N21" s="13"/>
      <c r="O21" s="13"/>
    </row>
    <row r="22" spans="1:25" ht="18">
      <c r="A22" s="14"/>
      <c r="B22" s="13" t="s">
        <v>307</v>
      </c>
      <c r="C22" s="13">
        <f>IF($C$17&lt;25,1,0)</f>
        <v>1</v>
      </c>
      <c r="D22" s="13"/>
      <c r="F22" s="14" t="s">
        <v>8</v>
      </c>
      <c r="G22" s="13" t="s">
        <v>337</v>
      </c>
      <c r="H22" s="17">
        <f>+'Title Results Update'!C33</f>
        <v>3.75</v>
      </c>
      <c r="I22" s="13" t="s">
        <v>195</v>
      </c>
      <c r="J22" s="13"/>
      <c r="K22" s="13"/>
      <c r="L22" s="13"/>
      <c r="M22" s="13"/>
      <c r="N22" s="13"/>
      <c r="O22" s="13"/>
      <c r="Q22" s="8"/>
      <c r="V22" s="10"/>
      <c r="W22" s="10"/>
      <c r="X22" s="10"/>
      <c r="Y22" s="10"/>
    </row>
    <row r="23" spans="1:15" ht="18">
      <c r="A23" s="14"/>
      <c r="B23" s="13"/>
      <c r="C23" s="13"/>
      <c r="D23" s="13"/>
      <c r="F23" s="14" t="s">
        <v>8</v>
      </c>
      <c r="G23" s="13" t="s">
        <v>338</v>
      </c>
      <c r="H23" s="17">
        <f>+'Title Results Update'!C34</f>
        <v>4.54</v>
      </c>
      <c r="I23" s="13" t="s">
        <v>2</v>
      </c>
      <c r="J23" s="13"/>
      <c r="K23" s="13"/>
      <c r="L23" s="13"/>
      <c r="M23" s="13"/>
      <c r="N23" s="13"/>
      <c r="O23" s="13"/>
    </row>
    <row r="24" spans="1:15" ht="18">
      <c r="A24" s="14"/>
      <c r="B24" s="13"/>
      <c r="C24" s="13"/>
      <c r="D24" s="13"/>
      <c r="F24" s="14" t="s">
        <v>8</v>
      </c>
      <c r="G24" s="13" t="s">
        <v>339</v>
      </c>
      <c r="H24" s="17">
        <v>0</v>
      </c>
      <c r="I24" s="13" t="s">
        <v>194</v>
      </c>
      <c r="J24" s="13"/>
      <c r="K24" s="13"/>
      <c r="L24" s="13"/>
      <c r="M24" s="13"/>
      <c r="N24" s="13"/>
      <c r="O24" s="13"/>
    </row>
    <row r="25" spans="1:15" ht="18">
      <c r="A25" s="14"/>
      <c r="B25" s="2" t="s">
        <v>188</v>
      </c>
      <c r="C25" s="13"/>
      <c r="D25" s="13"/>
      <c r="F25" s="14" t="s">
        <v>8</v>
      </c>
      <c r="G25" s="13" t="s">
        <v>340</v>
      </c>
      <c r="H25" s="17">
        <v>0</v>
      </c>
      <c r="I25" s="13" t="s">
        <v>2</v>
      </c>
      <c r="J25" s="13"/>
      <c r="K25" s="13"/>
      <c r="L25" s="13"/>
      <c r="M25" s="13"/>
      <c r="N25" s="13"/>
      <c r="O25" s="13"/>
    </row>
    <row r="26" spans="1:15" ht="18">
      <c r="A26" s="14" t="s">
        <v>7</v>
      </c>
      <c r="B26" s="13" t="s">
        <v>308</v>
      </c>
      <c r="C26" s="74">
        <f>+Input!C34</f>
        <v>175</v>
      </c>
      <c r="D26" s="13" t="s">
        <v>189</v>
      </c>
      <c r="F26" s="14"/>
      <c r="G26" s="13"/>
      <c r="H26" s="13"/>
      <c r="I26" s="13"/>
      <c r="J26" s="13"/>
      <c r="K26" s="13"/>
      <c r="L26" s="13"/>
      <c r="M26" s="13"/>
      <c r="N26" s="13"/>
      <c r="O26" s="13"/>
    </row>
    <row r="27" spans="1:15" ht="18">
      <c r="A27" s="14" t="s">
        <v>7</v>
      </c>
      <c r="B27" s="13" t="s">
        <v>309</v>
      </c>
      <c r="C27" s="74">
        <f>+Input!C35</f>
        <v>0</v>
      </c>
      <c r="D27" s="13" t="s">
        <v>190</v>
      </c>
      <c r="F27" s="14"/>
      <c r="G27" s="13"/>
      <c r="H27" s="13"/>
      <c r="I27" s="13"/>
      <c r="J27" s="13"/>
      <c r="K27" s="13"/>
      <c r="L27" s="13"/>
      <c r="M27" s="13"/>
      <c r="N27" s="13"/>
      <c r="O27" s="13"/>
    </row>
    <row r="28" spans="1:15" ht="18">
      <c r="A28" s="14" t="s">
        <v>7</v>
      </c>
      <c r="B28" s="13" t="s">
        <v>310</v>
      </c>
      <c r="C28" s="17">
        <f>+'Title Results Update'!C10</f>
        <v>2.4</v>
      </c>
      <c r="D28" s="13" t="s">
        <v>2</v>
      </c>
      <c r="F28" s="14"/>
      <c r="G28" s="13"/>
      <c r="H28" s="13"/>
      <c r="I28" s="13"/>
      <c r="J28" s="13"/>
      <c r="K28" s="13"/>
      <c r="L28" s="13"/>
      <c r="M28" s="13"/>
      <c r="N28" s="13"/>
      <c r="O28" s="13"/>
    </row>
    <row r="29" spans="1:17" ht="19.5" customHeight="1">
      <c r="A29" s="14" t="s">
        <v>7</v>
      </c>
      <c r="B29" s="13" t="s">
        <v>311</v>
      </c>
      <c r="C29" s="129">
        <f>+Input!C36</f>
        <v>238.57</v>
      </c>
      <c r="D29" s="13" t="s">
        <v>189</v>
      </c>
      <c r="F29" s="14"/>
      <c r="G29" s="2" t="s">
        <v>196</v>
      </c>
      <c r="H29" s="13"/>
      <c r="I29" s="13"/>
      <c r="J29" s="13"/>
      <c r="K29" s="13"/>
      <c r="L29" s="13"/>
      <c r="M29" s="13"/>
      <c r="N29" s="13"/>
      <c r="O29" s="13"/>
      <c r="P29" s="13"/>
      <c r="Q29" s="13"/>
    </row>
    <row r="30" spans="1:17" ht="18">
      <c r="A30" s="14" t="s">
        <v>7</v>
      </c>
      <c r="B30" s="13" t="s">
        <v>312</v>
      </c>
      <c r="C30" s="17">
        <f>+'Title Results Update'!C11</f>
        <v>2.3</v>
      </c>
      <c r="D30" s="13" t="s">
        <v>2</v>
      </c>
      <c r="F30" s="14" t="s">
        <v>10</v>
      </c>
      <c r="G30" s="13" t="s">
        <v>341</v>
      </c>
      <c r="H30" s="16">
        <f>IF(Input!$C$10=1,Rates!C10,Rates!D10)</f>
        <v>1.818</v>
      </c>
      <c r="I30" s="13" t="s">
        <v>195</v>
      </c>
      <c r="J30" s="13"/>
      <c r="K30" s="13"/>
      <c r="L30" s="13"/>
      <c r="M30" s="13"/>
      <c r="N30" s="13"/>
      <c r="O30" s="13"/>
      <c r="P30" s="13"/>
      <c r="Q30" s="13"/>
    </row>
    <row r="31" spans="1:17" ht="18">
      <c r="A31" s="14" t="s">
        <v>7</v>
      </c>
      <c r="B31" s="13" t="s">
        <v>313</v>
      </c>
      <c r="C31" s="17">
        <f>+Input!C37</f>
        <v>0</v>
      </c>
      <c r="D31" s="13" t="s">
        <v>190</v>
      </c>
      <c r="F31" s="14" t="s">
        <v>10</v>
      </c>
      <c r="G31" s="13" t="s">
        <v>342</v>
      </c>
      <c r="H31" s="17">
        <v>1</v>
      </c>
      <c r="I31" s="13" t="s">
        <v>2</v>
      </c>
      <c r="J31" s="13"/>
      <c r="K31" s="13"/>
      <c r="L31" s="13"/>
      <c r="M31" s="13"/>
      <c r="N31" s="13"/>
      <c r="O31" s="13"/>
      <c r="P31" s="13"/>
      <c r="Q31" s="13"/>
    </row>
    <row r="32" spans="1:17" ht="18">
      <c r="A32" s="14" t="s">
        <v>7</v>
      </c>
      <c r="B32" s="13" t="s">
        <v>314</v>
      </c>
      <c r="C32" s="17">
        <f>+'Title Results Update'!C12</f>
        <v>2.3</v>
      </c>
      <c r="D32" s="13" t="s">
        <v>2</v>
      </c>
      <c r="F32" s="14" t="s">
        <v>10</v>
      </c>
      <c r="G32" s="13" t="s">
        <v>343</v>
      </c>
      <c r="H32" s="16">
        <f>IF(Input!$C$10=1,0,Rates!E10)</f>
        <v>10.0895</v>
      </c>
      <c r="I32" s="13" t="s">
        <v>197</v>
      </c>
      <c r="J32" s="13"/>
      <c r="K32" s="13"/>
      <c r="L32" s="13"/>
      <c r="M32" s="13"/>
      <c r="N32" s="13"/>
      <c r="O32" s="13"/>
      <c r="P32" s="13"/>
      <c r="Q32" s="13"/>
    </row>
    <row r="33" spans="1:17" ht="18">
      <c r="A33" s="14" t="s">
        <v>7</v>
      </c>
      <c r="B33" s="13" t="s">
        <v>315</v>
      </c>
      <c r="C33" s="17">
        <f>+Input!C38</f>
        <v>0</v>
      </c>
      <c r="D33" s="13" t="s">
        <v>189</v>
      </c>
      <c r="F33" s="14" t="s">
        <v>10</v>
      </c>
      <c r="G33" s="13" t="s">
        <v>344</v>
      </c>
      <c r="H33" s="17">
        <v>1</v>
      </c>
      <c r="I33" s="13" t="s">
        <v>2</v>
      </c>
      <c r="J33" s="13"/>
      <c r="K33" s="13"/>
      <c r="L33" s="13"/>
      <c r="M33" s="13"/>
      <c r="N33" s="13"/>
      <c r="O33" s="13"/>
      <c r="P33" s="13"/>
      <c r="Q33" s="13"/>
    </row>
    <row r="34" spans="1:17" ht="18">
      <c r="A34" s="14" t="s">
        <v>7</v>
      </c>
      <c r="B34" s="13" t="s">
        <v>316</v>
      </c>
      <c r="C34" s="17">
        <v>0</v>
      </c>
      <c r="D34" s="13" t="s">
        <v>2</v>
      </c>
      <c r="F34" s="14" t="s">
        <v>10</v>
      </c>
      <c r="G34" s="13" t="s">
        <v>198</v>
      </c>
      <c r="H34" s="13"/>
      <c r="I34" s="13"/>
      <c r="J34" s="13"/>
      <c r="K34" s="13"/>
      <c r="L34" s="13"/>
      <c r="M34" s="13"/>
      <c r="N34" s="13"/>
      <c r="O34" s="13"/>
      <c r="P34" s="13"/>
      <c r="Q34" s="13"/>
    </row>
    <row r="35" spans="1:17" ht="18">
      <c r="A35" s="14" t="s">
        <v>7</v>
      </c>
      <c r="B35" s="13" t="s">
        <v>317</v>
      </c>
      <c r="C35" s="17">
        <v>0</v>
      </c>
      <c r="D35" s="13" t="s">
        <v>190</v>
      </c>
      <c r="F35" s="14"/>
      <c r="G35" s="13" t="s">
        <v>345</v>
      </c>
      <c r="H35" s="77">
        <f>IF(Input!$C$9=0,0,Input!C42)</f>
        <v>1</v>
      </c>
      <c r="I35" s="13"/>
      <c r="J35" s="13"/>
      <c r="K35" s="13"/>
      <c r="L35" s="13"/>
      <c r="M35" s="13"/>
      <c r="N35" s="13"/>
      <c r="O35" s="13"/>
      <c r="P35" s="13"/>
      <c r="Q35" s="13"/>
    </row>
    <row r="36" spans="1:4" ht="18">
      <c r="A36" s="14" t="s">
        <v>7</v>
      </c>
      <c r="B36" s="13" t="s">
        <v>318</v>
      </c>
      <c r="C36" s="17">
        <v>0</v>
      </c>
      <c r="D36" s="13" t="s">
        <v>2</v>
      </c>
    </row>
    <row r="37" spans="1:4" ht="18.75" thickBot="1">
      <c r="A37" s="14" t="s">
        <v>7</v>
      </c>
      <c r="B37" s="13" t="s">
        <v>319</v>
      </c>
      <c r="C37" s="13">
        <f>+'Title Results Update'!C13</f>
        <v>0.0708</v>
      </c>
      <c r="D37" s="13"/>
    </row>
    <row r="38" spans="1:8" ht="18.75" thickBot="1">
      <c r="A38" s="14" t="s">
        <v>7</v>
      </c>
      <c r="B38" s="13" t="s">
        <v>320</v>
      </c>
      <c r="C38" s="13">
        <f>+'Title Results Update'!C14</f>
        <v>0.0646</v>
      </c>
      <c r="D38" s="13"/>
      <c r="G38" s="21" t="s">
        <v>292</v>
      </c>
      <c r="H38" s="22"/>
    </row>
    <row r="39" spans="1:9" ht="18">
      <c r="A39" s="14" t="s">
        <v>7</v>
      </c>
      <c r="B39" s="13" t="s">
        <v>321</v>
      </c>
      <c r="C39" s="17">
        <f>+Input!C40</f>
        <v>85.12</v>
      </c>
      <c r="D39" s="13" t="s">
        <v>189</v>
      </c>
      <c r="G39" s="20" t="s">
        <v>346</v>
      </c>
      <c r="H39" s="79">
        <f>+'Sheet7(F_23)'!H39</f>
        <v>1.7954788248481446</v>
      </c>
      <c r="I39" s="10"/>
    </row>
    <row r="40" spans="1:17" ht="18">
      <c r="A40" s="14" t="s">
        <v>7</v>
      </c>
      <c r="B40" s="13" t="s">
        <v>322</v>
      </c>
      <c r="C40" s="74">
        <f>+Input!C41</f>
        <v>0</v>
      </c>
      <c r="D40" s="13" t="s">
        <v>190</v>
      </c>
      <c r="G40" s="18" t="s">
        <v>347</v>
      </c>
      <c r="H40" s="41">
        <f>+'Sheet8(F_24)'!K37</f>
        <v>2156.5904520340164</v>
      </c>
      <c r="I40" s="9"/>
      <c r="J40" s="8"/>
      <c r="K40" s="8"/>
      <c r="L40" s="8"/>
      <c r="M40" s="8"/>
      <c r="N40" s="8"/>
      <c r="O40" s="8"/>
      <c r="P40" s="8"/>
      <c r="Q40" s="8"/>
    </row>
    <row r="41" spans="1:20" ht="18.75" thickBot="1">
      <c r="A41" s="14" t="s">
        <v>7</v>
      </c>
      <c r="B41" s="13" t="s">
        <v>323</v>
      </c>
      <c r="C41" s="17">
        <f>+'Title Results Update'!C15</f>
        <v>0</v>
      </c>
      <c r="D41" s="13" t="s">
        <v>2</v>
      </c>
      <c r="G41" s="19" t="s">
        <v>348</v>
      </c>
      <c r="H41" s="78">
        <f>+'Sheet9(F_25)'!J39</f>
        <v>1.2800648690468692</v>
      </c>
      <c r="I41" s="10"/>
      <c r="T41" s="52"/>
    </row>
    <row r="42" spans="1:20" ht="18">
      <c r="A42" s="14"/>
      <c r="B42" s="13"/>
      <c r="C42" s="13"/>
      <c r="D42" s="13"/>
      <c r="T42" s="3"/>
    </row>
    <row r="43" spans="3:20" ht="18">
      <c r="C43" s="13"/>
      <c r="T43" s="3"/>
    </row>
    <row r="44" ht="12.75">
      <c r="T44" s="52"/>
    </row>
    <row r="45" ht="12.75">
      <c r="T45" s="3"/>
    </row>
    <row r="46" ht="12.75">
      <c r="T46" s="3"/>
    </row>
    <row r="49" spans="1:4" ht="18">
      <c r="A49" s="14"/>
      <c r="B49" s="13"/>
      <c r="C49" s="13"/>
      <c r="D49" s="13"/>
    </row>
    <row r="50" spans="1:4" ht="18">
      <c r="A50" s="14"/>
      <c r="B50" s="13"/>
      <c r="C50" s="13"/>
      <c r="D50" s="13"/>
    </row>
    <row r="51" spans="1:4" ht="18">
      <c r="A51" s="14"/>
      <c r="B51" s="13"/>
      <c r="C51" s="13"/>
      <c r="D51" s="13"/>
    </row>
    <row r="74" spans="19:20" ht="12.75">
      <c r="S74" s="8"/>
      <c r="T74" s="8"/>
    </row>
    <row r="82" ht="12.75">
      <c r="B82" t="s">
        <v>11</v>
      </c>
    </row>
    <row r="91" ht="12.75">
      <c r="B91" t="s">
        <v>199</v>
      </c>
    </row>
    <row r="92" ht="12.75">
      <c r="B92" t="s">
        <v>200</v>
      </c>
    </row>
    <row r="93" ht="12.75">
      <c r="B93" t="s">
        <v>201</v>
      </c>
    </row>
    <row r="105" spans="1:5" ht="12.75">
      <c r="A105" s="3"/>
      <c r="B105" s="3"/>
      <c r="C105" s="3"/>
      <c r="D105" s="3"/>
      <c r="E105" s="3"/>
    </row>
    <row r="106" spans="1:5" ht="12.75">
      <c r="A106" s="3"/>
      <c r="B106" s="3"/>
      <c r="C106" s="3"/>
      <c r="D106" s="3"/>
      <c r="E106" s="3"/>
    </row>
    <row r="107" spans="1:5" ht="12.75">
      <c r="A107" s="3"/>
      <c r="B107" s="3"/>
      <c r="C107" s="3"/>
      <c r="D107" s="3"/>
      <c r="E107" s="3"/>
    </row>
    <row r="108" spans="1:5" ht="12.75">
      <c r="A108" s="3"/>
      <c r="B108" s="3"/>
      <c r="C108" s="3"/>
      <c r="D108" s="3"/>
      <c r="E108" s="3"/>
    </row>
    <row r="109" spans="1:5" ht="12.75">
      <c r="A109" s="3"/>
      <c r="B109" s="3"/>
      <c r="C109" s="3"/>
      <c r="D109" s="3"/>
      <c r="E109" s="3"/>
    </row>
    <row r="110" spans="1:5" ht="12.75">
      <c r="A110" s="3"/>
      <c r="B110" s="3"/>
      <c r="C110" s="3"/>
      <c r="D110" s="3"/>
      <c r="E110" s="3"/>
    </row>
  </sheetData>
  <sheetProtection/>
  <mergeCells count="2">
    <mergeCell ref="A1:R1"/>
    <mergeCell ref="C2:F2"/>
  </mergeCells>
  <printOptions horizontalCentered="1" verticalCentered="1"/>
  <pageMargins left="0.25" right="0.25" top="1" bottom="1" header="0.5" footer="0.5"/>
  <pageSetup fitToHeight="1" fitToWidth="1" horizontalDpi="300" verticalDpi="3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2019-05-14T11:40:45Z</dcterms:created>
  <dcterms:modified xsi:type="dcterms:W3CDTF">2019-05-14T11:40:47Z</dcterms:modified>
  <cp:category/>
  <cp:version/>
  <cp:contentType/>
  <cp:contentStatus/>
</cp:coreProperties>
</file>