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7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'Sheet2(F_12)'!$A$1:$K$43</definedName>
    <definedName name="_xlnm.Print_Area" localSheetId="11">'Sheet3(F_21)'!$A$1:$J$32</definedName>
    <definedName name="_xlnm.Print_Area" localSheetId="14">'Sheet4(F_22)'!$A$1:$J$32</definedName>
    <definedName name="_xlnm.Print_Area" localSheetId="12">'Sheet5(p_5)'!$A$1:$H$32</definedName>
    <definedName name="_xlnm.Print_Area" localSheetId="15">'Sheet6(p_6)'!$A$1:$R$32</definedName>
    <definedName name="_xlnm.Print_Area" localSheetId="16">'Sheet7(F_23)'!$A$1:$M$32</definedName>
    <definedName name="_xlnm.Print_Area" localSheetId="17">'Sheet8(F_24)'!$A$1:$M$32</definedName>
    <definedName name="_xlnm.Print_Area" localSheetId="18">'Sheet9(F_25)'!$A$1:$N$32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<sst xmlns="http://schemas.openxmlformats.org/spreadsheetml/2006/main" count="1258" uniqueCount="468">
  <si>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</si>
  <si>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</si>
  <si>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</si>
  <si>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</si>
  <si>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</si>
  <si>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</si>
  <si>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</si>
  <si>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</si>
  <si>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</si>
  <si>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</si>
  <si>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</si>
  <si>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</si>
  <si>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</si>
  <si>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</si>
  <si>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</si>
  <si>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</si>
  <si>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</si>
  <si>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</si>
  <si>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</si>
  <si>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</si>
  <si>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</si>
  <si>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</si>
  <si>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</si>
  <si>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</si>
  <si>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</si>
  <si>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</si>
  <si>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</si>
  <si>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</si>
  <si>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</si>
  <si>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</si>
  <si>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</si>
  <si>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</si>
  <si>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</si>
  <si>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</si>
  <si>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</si>
  <si>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</si>
  <si>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</si>
  <si>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</si>
  <si>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</si>
  <si>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</si>
  <si>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</si>
  <si>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</si>
  <si>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</si>
  <si>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</si>
  <si>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</si>
  <si>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</si>
  <si>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</si>
  <si>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</si>
  <si>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</si>
  <si>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</si>
  <si>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</si>
  <si>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</si>
  <si>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</si>
  <si>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</si>
  <si>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</si>
  <si>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</si>
  <si>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</si>
  <si>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</si>
  <si>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</si>
  <si>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</si>
  <si>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</si>
  <si>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</si>
  <si>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</si>
  <si>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</si>
  <si>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</si>
  <si>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</si>
  <si>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</si>
  <si>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</si>
  <si>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</si>
  <si>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</si>
  <si>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</si>
  <si>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</si>
  <si>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</si>
  <si>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</si>
  <si>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</si>
  <si>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</si>
  <si>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</si>
  <si>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</si>
  <si>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</si>
  <si>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</si>
  <si>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</si>
  <si>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</si>
  <si>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</si>
  <si>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</si>
  <si>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</si>
  <si>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</si>
  <si>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</si>
  <si>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</si>
  <si>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</si>
  <si>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</si>
  <si>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</si>
  <si>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</si>
  <si>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</si>
  <si>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</si>
  <si>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</si>
  <si>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</si>
  <si>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</si>
  <si>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</si>
  <si>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</si>
  <si>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</si>
  <si>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</si>
  <si>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</si>
  <si>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</si>
  <si>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</si>
  <si>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</si>
  <si>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</si>
  <si>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</si>
  <si>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</si>
  <si>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</si>
  <si>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</si>
  <si>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</si>
  <si>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</si>
  <si>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</si>
  <si>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</si>
  <si>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</si>
  <si>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</si>
  <si>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</si>
  <si>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</si>
  <si>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</si>
  <si>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</si>
  <si>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</si>
  <si>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</si>
  <si>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</si>
  <si>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</si>
  <si>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</si>
  <si>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</si>
  <si>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</si>
  <si>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</si>
  <si>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</si>
  <si>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</si>
  <si>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</si>
  <si>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</si>
  <si>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</si>
  <si>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</si>
  <si>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</si>
  <si>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</si>
  <si>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</si>
  <si>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</si>
  <si>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</si>
  <si>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</si>
  <si>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</si>
  <si>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</si>
  <si>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</si>
  <si>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</si>
  <si>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</si>
  <si>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</si>
  <si>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</si>
  <si>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</si>
  <si>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</si>
  <si>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</si>
  <si>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</si>
  <si>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</si>
  <si>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</si>
  <si>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</si>
  <si>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</si>
  <si>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</si>
  <si>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</si>
  <si>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</si>
  <si>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</si>
  <si>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</si>
  <si>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</si>
  <si>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</si>
  <si>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</si>
  <si>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</si>
  <si>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</si>
  <si>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</si>
  <si>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</si>
  <si>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</si>
  <si>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</si>
  <si>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</si>
  <si>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</si>
  <si>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</si>
  <si>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</si>
  <si>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</si>
  <si>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</si>
  <si>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</si>
  <si>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</si>
  <si>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</si>
  <si>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</si>
  <si>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</si>
  <si>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</si>
  <si>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</si>
  <si>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</si>
  <si>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</si>
  <si>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</si>
  <si>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</si>
  <si>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</si>
  <si>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</si>
  <si>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</si>
  <si>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</si>
  <si>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</si>
  <si>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</si>
  <si>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</si>
  <si>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</si>
  <si>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</si>
  <si>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</si>
  <si>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</si>
  <si>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</si>
  <si>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</si>
  <si>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</si>
  <si>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</si>
  <si>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</si>
  <si>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</si>
  <si>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</si>
  <si>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</si>
  <si>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</si>
  <si>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</si>
  <si>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</si>
  <si>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</si>
  <si>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</si>
  <si>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</si>
  <si>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</si>
  <si>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</si>
  <si>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</si>
  <si>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</si>
  <si>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</si>
  <si>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</si>
  <si>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</si>
  <si>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</si>
  <si>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</si>
  <si>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</si>
  <si>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</si>
  <si>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</si>
  <si>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</si>
  <si>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</si>
  <si>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</si>
  <si>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</si>
  <si>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</si>
  <si>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</si>
  <si>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</si>
  <si>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</si>
  <si>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</si>
  <si>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</si>
  <si>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</si>
  <si>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</si>
  <si>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</si>
  <si>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</si>
  <si>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</si>
  <si>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</si>
  <si>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</si>
  <si>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</si>
  <si>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</si>
  <si>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</si>
  <si>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</si>
  <si>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</si>
  <si>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</si>
  <si>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</si>
  <si>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</si>
  <si>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</si>
  <si>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</si>
  <si>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</si>
  <si>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</si>
  <si>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</si>
  <si>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</si>
  <si>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</si>
  <si>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</si>
  <si>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</si>
  <si>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</si>
  <si>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</si>
  <si>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</si>
  <si>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</si>
  <si>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</si>
  <si>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</si>
  <si>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</si>
  <si>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</si>
  <si>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</si>
  <si>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</si>
  <si>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</si>
  <si>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</si>
  <si>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</si>
  <si>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</si>
  <si>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</si>
  <si>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</si>
  <si>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</si>
  <si>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</si>
  <si>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</si>
  <si>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</si>
  <si>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</si>
  <si>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</si>
  <si>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</si>
  <si>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</si>
  <si>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</si>
  <si>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</si>
  <si>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</si>
  <si>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</si>
  <si>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</si>
  <si>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</si>
  <si>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</si>
  <si>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</si>
  <si>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</si>
  <si>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</si>
  <si>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</si>
  <si>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</si>
  <si>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</si>
  <si>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</si>
  <si>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</si>
  <si>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</si>
  <si>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</si>
  <si>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</si>
  <si>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</si>
  <si>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</si>
  <si>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</si>
  <si>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</si>
  <si>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</si>
  <si>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</si>
  <si>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</si>
  <si>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</si>
  <si>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</si>
  <si>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</si>
  <si>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</si>
  <si>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</si>
  <si>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</si>
  <si>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</si>
  <si>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</si>
  <si>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</si>
  <si>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</si>
  <si>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</si>
  <si>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</si>
  <si>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</si>
  <si>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</si>
  <si>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</si>
  <si>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</si>
  <si>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</si>
  <si>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</si>
  <si>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</si>
  <si>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</si>
  <si>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</si>
  <si>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</si>
  <si>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</si>
  <si>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</si>
  <si>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</si>
  <si>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</si>
  <si>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</si>
  <si>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</si>
  <si>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</si>
  <si>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</si>
  <si>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</si>
  <si>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</si>
  <si>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</si>
  <si>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</si>
  <si>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</si>
  <si>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</si>
  <si>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</si>
  <si>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</si>
  <si>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</si>
  <si>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</si>
  <si>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</si>
  <si>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</si>
  <si>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</si>
  <si>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</si>
  <si>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</si>
  <si>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</si>
  <si>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</si>
  <si>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</si>
  <si>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</si>
  <si>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</si>
  <si>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</si>
  <si>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</si>
  <si>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</si>
  <si>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</si>
  <si>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</si>
  <si>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</si>
  <si>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</si>
  <si>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</si>
  <si>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</si>
  <si>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</si>
  <si>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</si>
  <si>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</si>
  <si>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</si>
  <si>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</si>
  <si>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</si>
  <si>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</si>
  <si>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</si>
  <si>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</si>
  <si>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</si>
  <si>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</si>
  <si>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</si>
  <si>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</si>
  <si>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</si>
  <si>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</si>
  <si>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</si>
  <si>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</si>
  <si>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</si>
  <si>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</si>
  <si>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</si>
  <si>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</si>
  <si>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</si>
  <si>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</si>
  <si>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</si>
  <si>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</si>
  <si>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</si>
  <si>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</si>
  <si>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</si>
  <si>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</si>
  <si>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</si>
  <si>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</si>
  <si>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</si>
  <si>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</si>
  <si>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</si>
  <si>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</si>
  <si>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</si>
  <si>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</si>
  <si>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</si>
  <si>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</si>
  <si>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</si>
  <si>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</si>
  <si>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</si>
  <si>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</si>
  <si>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</si>
  <si>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</si>
  <si>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</si>
  <si>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</si>
  <si>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</si>
  <si>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</si>
  <si>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</si>
  <si>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</si>
  <si>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</si>
  <si>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</si>
  <si>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</si>
  <si>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</si>
  <si>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</si>
  <si>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</si>
  <si>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</si>
  <si>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</si>
  <si>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</si>
  <si>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</si>
  <si>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</si>
  <si>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</si>
  <si>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</si>
  <si>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</si>
  <si>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</si>
  <si>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</si>
  <si>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</si>
  <si>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</si>
  <si>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</si>
  <si>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</si>
  <si>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</si>
  <si>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</si>
  <si>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</si>
  <si>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</si>
  <si>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</si>
  <si>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</si>
  <si>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</si>
  <si>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</si>
  <si>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</si>
  <si>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</si>
  <si>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</si>
  <si>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</si>
  <si>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</si>
  <si>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</si>
  <si>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</si>
  <si>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</si>
  <si>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</si>
  <si>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</si>
  <si>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</si>
  <si>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</si>
  <si>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</si>
  <si>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</si>
  <si>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</si>
  <si>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</si>
  <si>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</si>
  <si>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</si>
  <si>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</si>
  <si>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</si>
  <si>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</si>
  <si>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</si>
  <si>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</si>
  <si>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Smart Thermostat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</si>
</sst>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43599.320127314815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5464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43599.320127314815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Smart Thermostat</v>
      </c>
      <c r="J2" t="s">
        <v>55</v>
      </c>
    </row>
    <row r="3" ht="12.75">
      <c r="J3" s="35">
        <f>+Title_RESULTS!I4</f>
        <v>43599.320127314815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5464</v>
      </c>
      <c r="H5" t="s">
        <v>59</v>
      </c>
    </row>
    <row r="6" spans="3:7" ht="12.75">
      <c r="C6" t="s">
        <v>61</v>
      </c>
      <c r="G6" s="36">
        <f>+'Value of Defferal'!E3</f>
        <v>3347.515349363507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6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330.80917800821095</v>
      </c>
      <c r="D19" s="5">
        <f>IF((Title_RESULTS!$H$8-Title_RESULTS!$H$7)&lt;=('Sheet3(F_21)'!A19-Title_RESULTS!$H$7),((Title_RESULTS!$C$8*Partcipation!$C$26*8760*Title_RESULTS!$H$21/100000)),0)</f>
        <v>4355.364291725107</v>
      </c>
      <c r="E19" s="5">
        <f>IF($G19=0,0,((Title_RESULTS!$H$14*((1+Title_RESULTS!$H$15/100)^($A19-Title_RESULTS!$H$7))*'EUE_Line Losses'!$B$25*Partcipation!$C$26))/1000)</f>
        <v>34.3123629192598</v>
      </c>
      <c r="F19" s="5">
        <f>IF($G19=0,0,(Title_RESULTS!$H$19/100*((1+Title_RESULTS!$H$20/100)^($A19-Title_RESULTS!$H$7))*$D19*1000)/1000)</f>
        <v>9.820727277440907</v>
      </c>
      <c r="G19" s="5">
        <f>(+Title_RESULTS!$H$22/100*((1+Title_RESULTS!$H$23/100)^(+'Sheet4(F_22)'!A19-Title_RESULTS!$H$7)))*'Sheet3(F_21)'!D19</f>
        <v>186.59639162660957</v>
      </c>
      <c r="H19" s="5">
        <f>IF($G19=0,0,(($D19))*(Partcipation!$G19/100))</f>
        <v>138.17948863831944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423.35917119320186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338.74859828040803</v>
      </c>
      <c r="D20" s="5">
        <f>IF((Title_RESULTS!$H$8-Title_RESULTS!$H$7)&lt;=('Sheet3(F_21)'!A20-Title_RESULTS!$H$7),((Title_RESULTS!$C$8*Partcipation!$C$26*8760*Title_RESULTS!$H$21/100000)),0)</f>
        <v>4355.364291725107</v>
      </c>
      <c r="E20" s="5">
        <f>IF($G20=0,0,((Title_RESULTS!$H$14*((1+Title_RESULTS!$H$15/100)^($A20-Title_RESULTS!$H$7))*'EUE_Line Losses'!$B$25*Partcipation!$C$26))/1000)</f>
        <v>35.13585962932203</v>
      </c>
      <c r="F20" s="5">
        <f>IF($G20=0,0,(Title_RESULTS!$H$19/100*((1+Title_RESULTS!$H$20/100)^($A20-Title_RESULTS!$H$7))*$D20*1000)/1000)</f>
        <v>10.056424732099488</v>
      </c>
      <c r="G20" s="5">
        <f>(+Title_RESULTS!$H$22/100*((1+Title_RESULTS!$H$23/100)^(+'Sheet4(F_22)'!A20-Title_RESULTS!$H$7)))*'Sheet3(F_21)'!D20</f>
        <v>195.06786780645768</v>
      </c>
      <c r="H20" s="5">
        <f>IF($G20=0,0,(($D20))*(Partcipation!$G20/100))</f>
        <v>144.36086553161402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434.64788491667315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346.87856463913784</v>
      </c>
      <c r="D21" s="5">
        <f>IF((Title_RESULTS!$H$8-Title_RESULTS!$H$7)&lt;=('Sheet3(F_21)'!A21-Title_RESULTS!$H$7),((Title_RESULTS!$C$8*Partcipation!$C$26*8760*Title_RESULTS!$H$21/100000)),0)</f>
        <v>4355.364291725107</v>
      </c>
      <c r="E21" s="5">
        <f>IF($G21=0,0,((Title_RESULTS!$H$14*((1+Title_RESULTS!$H$15/100)^($A21-Title_RESULTS!$H$7))*'EUE_Line Losses'!$B$25*Partcipation!$C$26))/1000)</f>
        <v>35.97912026042576</v>
      </c>
      <c r="F21" s="5">
        <f>IF($G21=0,0,(Title_RESULTS!$H$19/100*((1+Title_RESULTS!$H$20/100)^($A21-Title_RESULTS!$H$7))*$D21*1000)/1000)</f>
        <v>10.297778925669878</v>
      </c>
      <c r="G21" s="5">
        <f>(+Title_RESULTS!$H$22/100*((1+Title_RESULTS!$H$23/100)^(+'Sheet4(F_22)'!A21-Title_RESULTS!$H$7)))*'Sheet3(F_21)'!D21</f>
        <v>203.92394900487088</v>
      </c>
      <c r="H21" s="5">
        <f>IF($G21=0,0,(($D21))*(Partcipation!$G21/100))</f>
        <v>150.08164314186894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446.99776968823545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355.2036501904771</v>
      </c>
      <c r="D22" s="5">
        <f>IF((Title_RESULTS!$H$8-Title_RESULTS!$H$7)&lt;=('Sheet3(F_21)'!A22-Title_RESULTS!$H$7),((Title_RESULTS!$C$8*Partcipation!$C$26*8760*Title_RESULTS!$H$21/100000)),0)</f>
        <v>4355.364291725107</v>
      </c>
      <c r="E22" s="5">
        <f>IF($G22=0,0,((Title_RESULTS!$H$14*((1+Title_RESULTS!$H$15/100)^($A22-Title_RESULTS!$H$7))*'EUE_Line Losses'!$B$25*Partcipation!$C$26))/1000)</f>
        <v>36.84261914667597</v>
      </c>
      <c r="F22" s="5">
        <f>IF($G22=0,0,(Title_RESULTS!$H$19/100*((1+Title_RESULTS!$H$20/100)^($A22-Title_RESULTS!$H$7))*$D22*1000)/1000)</f>
        <v>10.544925619885953</v>
      </c>
      <c r="G22" s="5">
        <f>(+Title_RESULTS!$H$22/100*((1+Title_RESULTS!$H$23/100)^(+'Sheet4(F_22)'!A22-Title_RESULTS!$H$7)))*'Sheet3(F_21)'!D22</f>
        <v>213.18209628969203</v>
      </c>
      <c r="H22" s="5">
        <f>IF($G22=0,0,(($D22))*(Partcipation!$G22/100))</f>
        <v>154.9443420239389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460.82894922279206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363.72853779504857</v>
      </c>
      <c r="D23" s="5">
        <f>IF((Title_RESULTS!$H$8-Title_RESULTS!$H$7)&lt;=('Sheet3(F_21)'!A23-Title_RESULTS!$H$7),((Title_RESULTS!$C$8*Partcipation!$C$26*8760*Title_RESULTS!$H$21/100000)),0)</f>
        <v>4355.364291725107</v>
      </c>
      <c r="E23" s="5">
        <f>IF($G23=0,0,((Title_RESULTS!$H$14*((1+Title_RESULTS!$H$15/100)^($A23-Title_RESULTS!$H$7))*'EUE_Line Losses'!$B$25*Partcipation!$C$26))/1000)</f>
        <v>37.7268420061962</v>
      </c>
      <c r="F23" s="5">
        <f>IF($G23=0,0,(Title_RESULTS!$H$19/100*((1+Title_RESULTS!$H$20/100)^($A23-Title_RESULTS!$H$7))*$D23*1000)/1000)</f>
        <v>10.798003834763216</v>
      </c>
      <c r="G23" s="5">
        <f>(+Title_RESULTS!$H$22/100*((1+Title_RESULTS!$H$23/100)^(+'Sheet4(F_22)'!A23-Title_RESULTS!$H$7)))*'Sheet3(F_21)'!D23</f>
        <v>222.86056346124408</v>
      </c>
      <c r="H23" s="5">
        <f>IF($G23=0,0,(($D23))*(Partcipation!$G23/100))</f>
        <v>161.87959947165754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473.2343476255945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372.45802270212977</v>
      </c>
      <c r="D24" s="5">
        <f>IF((Title_RESULTS!$H$8-Title_RESULTS!$H$7)&lt;=('Sheet3(F_21)'!A24-Title_RESULTS!$H$7),((Title_RESULTS!$C$8*Partcipation!$C$26*8760*Title_RESULTS!$H$21/100000)),0)</f>
        <v>4355.364291725107</v>
      </c>
      <c r="E24" s="5">
        <f>IF($G24=0,0,((Title_RESULTS!$H$14*((1+Title_RESULTS!$H$15/100)^($A24-Title_RESULTS!$H$7))*'EUE_Line Losses'!$B$25*Partcipation!$C$26))/1000)</f>
        <v>38.6322862143449</v>
      </c>
      <c r="F24" s="5">
        <f>IF($G24=0,0,(Title_RESULTS!$H$19/100*((1+Title_RESULTS!$H$20/100)^($A24-Title_RESULTS!$H$7))*$D24*1000)/1000)</f>
        <v>11.057155926797533</v>
      </c>
      <c r="G24" s="5">
        <f>(+Title_RESULTS!$H$22/100*((1+Title_RESULTS!$H$23/100)^(+'Sheet4(F_22)'!A24-Title_RESULTS!$H$7)))*'Sheet3(F_21)'!D24</f>
        <v>232.97843304238458</v>
      </c>
      <c r="H24" s="5">
        <f>IF($G24=0,0,(($D24))*(Partcipation!$G24/100))</f>
        <v>174.2252483950464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480.90064949061036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381.39701524698086</v>
      </c>
      <c r="D25" s="5">
        <f>IF((Title_RESULTS!$H$8-Title_RESULTS!$H$7)&lt;=('Sheet3(F_21)'!A25-Title_RESULTS!$H$7),((Title_RESULTS!$C$8*Partcipation!$C$26*8760*Title_RESULTS!$H$21/100000)),0)</f>
        <v>4355.364291725107</v>
      </c>
      <c r="E25" s="5">
        <f>IF($G25=0,0,((Title_RESULTS!$H$14*((1+Title_RESULTS!$H$15/100)^($A25-Title_RESULTS!$H$7))*'EUE_Line Losses'!$B$25*Partcipation!$C$26))/1000)</f>
        <v>39.55946108348918</v>
      </c>
      <c r="F25" s="5">
        <f>IF($G25=0,0,(Title_RESULTS!$H$19/100*((1+Title_RESULTS!$H$20/100)^($A25-Title_RESULTS!$H$7))*$D25*1000)/1000)</f>
        <v>11.32252766904067</v>
      </c>
      <c r="G25" s="5">
        <f>(+Title_RESULTS!$H$22/100*((1+Title_RESULTS!$H$23/100)^(+'Sheet4(F_22)'!A25-Title_RESULTS!$H$7)))*'Sheet3(F_21)'!D25</f>
        <v>243.55565390250888</v>
      </c>
      <c r="H25" s="5">
        <f>IF($G25=0,0,(($D25))*(Partcipation!$G25/100))</f>
        <v>181.8712372854231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493.9634206165966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390.55054361290837</v>
      </c>
      <c r="D26" s="5">
        <f>IF((Title_RESULTS!$H$8-Title_RESULTS!$H$7)&lt;=('Sheet3(F_21)'!A26-Title_RESULTS!$H$7),((Title_RESULTS!$C$8*Partcipation!$C$26*8760*Title_RESULTS!$H$21/100000)),0)</f>
        <v>4355.364291725107</v>
      </c>
      <c r="E26" s="5">
        <f>IF($G26=0,0,((Title_RESULTS!$H$14*((1+Title_RESULTS!$H$15/100)^($A26-Title_RESULTS!$H$7))*'EUE_Line Losses'!$B$25*Partcipation!$C$26))/1000)</f>
        <v>40.50888814949292</v>
      </c>
      <c r="F26" s="5">
        <f>IF($G26=0,0,(Title_RESULTS!$H$19/100*((1+Title_RESULTS!$H$20/100)^($A26-Title_RESULTS!$H$7))*$D26*1000)/1000)</f>
        <v>11.594268333097649</v>
      </c>
      <c r="G26" s="5">
        <f>(+Title_RESULTS!$H$22/100*((1+Title_RESULTS!$H$23/100)^(+'Sheet4(F_22)'!A26-Title_RESULTS!$H$7)))*'Sheet3(F_21)'!D26</f>
        <v>254.6130805896828</v>
      </c>
      <c r="H26" s="5">
        <f>IF($G26=0,0,(($D26))*(Partcipation!$G26/100))</f>
        <v>195.39389242085818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501.8728882643235</v>
      </c>
    </row>
    <row r="27" spans="3:10" ht="12.75">
      <c r="C27" s="5"/>
      <c r="D27" s="5"/>
      <c r="E27" s="5"/>
      <c r="F27" s="5"/>
      <c r="G27" s="5"/>
      <c r="H27" s="5"/>
      <c r="I27" s="5"/>
      <c r="J27" s="5"/>
    </row>
    <row r="28" spans="1:10" ht="12.75">
      <c r="A28" t="s">
        <v>87</v>
      </c>
      <c r="B28" s="9"/>
      <c r="C28" s="9">
        <f aca="true" t="shared" si="1" ref="C28:J28">SUM(C16:C27)</f>
        <v>2879.7741104753018</v>
      </c>
      <c r="D28" s="9">
        <f t="shared" si="1"/>
        <v>34842.91433380085</v>
      </c>
      <c r="E28" s="9">
        <f t="shared" si="1"/>
        <v>298.69743940920677</v>
      </c>
      <c r="F28" s="9">
        <f t="shared" si="1"/>
        <v>85.4918123187953</v>
      </c>
      <c r="G28" s="9">
        <f t="shared" si="1"/>
        <v>1752.7780357234506</v>
      </c>
      <c r="H28" s="9">
        <f t="shared" si="1"/>
        <v>1300.9363169087267</v>
      </c>
      <c r="I28" s="9">
        <f t="shared" si="1"/>
        <v>0</v>
      </c>
      <c r="J28" s="9">
        <f t="shared" si="1"/>
        <v>3715.8050810180275</v>
      </c>
    </row>
    <row r="29" spans="3:10" ht="12.75">
      <c r="C29" s="5"/>
      <c r="D29" s="5"/>
      <c r="E29" s="5"/>
      <c r="F29" s="5"/>
      <c r="G29" s="5"/>
      <c r="H29" s="5"/>
      <c r="I29" s="5"/>
      <c r="J29" s="5"/>
    </row>
    <row r="30" spans="1:10" ht="12.75">
      <c r="A30" t="s">
        <v>89</v>
      </c>
      <c r="C30" s="5">
        <f>NPV(Title_RESULTS!$C$37,C17:C27)+'Sheet3(F_21)'!C16</f>
        <v>1853.0509914221009</v>
      </c>
      <c r="D30" s="5"/>
      <c r="E30" s="5">
        <f>NPV(Title_RESULTS!$C$37,E17:E27)+'Sheet3(F_21)'!E16</f>
        <v>192.20312600876844</v>
      </c>
      <c r="F30" s="5">
        <f>NPV(Title_RESULTS!$C$37,F17:F27)+'Sheet3(F_21)'!F16</f>
        <v>55.01149795032665</v>
      </c>
      <c r="G30" s="5">
        <f>NPV(Title_RESULTS!$C$37,G17:G27)+'Sheet3(F_21)'!G16</f>
        <v>1119.5265770910407</v>
      </c>
      <c r="H30" s="5">
        <f>NPV(Title_RESULTS!$C$37,H17:H27)+'Sheet3(F_21)'!H16</f>
        <v>829.6695987776401</v>
      </c>
      <c r="I30" s="5">
        <f>NPV(Title_RESULTS!$C$37,I17:I27)+'Sheet3(F_21)'!I16</f>
        <v>0</v>
      </c>
      <c r="J30" s="5">
        <f>NPV(Title_RESULTS!$C$37,J17:J27)+'Sheet3(F_21)'!J16</f>
        <v>2390.122593694596</v>
      </c>
    </row>
    <row r="32" ht="12.75">
      <c r="A32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Smart Thermostat</v>
      </c>
      <c r="F2" t="s">
        <v>55</v>
      </c>
    </row>
    <row r="3" spans="6:7" ht="12.75">
      <c r="F3" s="35">
        <f>+Title_RESULTS!I4</f>
        <v>43599.320127314815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43836.36075949368</v>
      </c>
      <c r="C16" s="5">
        <f>$B16*'Sheet2(F_12)'!$E16/100</f>
        <v>1271.565535168229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1271.565535168229</v>
      </c>
      <c r="G16" s="5">
        <f>+$F16*'Sheet2(F_12)'!$I16</f>
        <v>1271.565535168229</v>
      </c>
    </row>
    <row r="17" spans="1:7" ht="12.75">
      <c r="A17">
        <f>+A16+1</f>
        <v>2021</v>
      </c>
      <c r="B17" s="5">
        <f>(+Partcipation!$C16+(Partcipation!$C17-Partcipation!$C16)/2)*Title_RESULTS!$C$10/1000</f>
        <v>131509.08227848104</v>
      </c>
      <c r="C17" s="5">
        <f>$B17*'Sheet2(F_12)'!$E17/100</f>
        <v>3783.668423335357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3783.668423335357</v>
      </c>
      <c r="G17" s="5">
        <f>+$F17*'Sheet2(F_12)'!$I17</f>
        <v>3783.668423335357</v>
      </c>
    </row>
    <row r="18" spans="1:7" ht="12.75">
      <c r="A18">
        <f>+A17+1</f>
        <v>2022</v>
      </c>
      <c r="B18" s="5">
        <f>(+Partcipation!$C17+(Partcipation!$C18-Partcipation!$C17)/2)*Title_RESULTS!$C$10/1000</f>
        <v>219181.8037974684</v>
      </c>
      <c r="C18" s="5">
        <f>$B18*'Sheet2(F_12)'!$E18/100</f>
        <v>6508.3317715738995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6508.3317715738995</v>
      </c>
      <c r="G18" s="5">
        <f>+$F18*'Sheet2(F_12)'!$I18</f>
        <v>6508.3317715738995</v>
      </c>
    </row>
    <row r="19" spans="1:7" ht="12.75">
      <c r="A19">
        <f aca="true" t="shared" si="0" ref="A19:A26">+A18+1</f>
        <v>2023</v>
      </c>
      <c r="B19" s="5">
        <f>(+Partcipation!$C18+(Partcipation!$C19-Partcipation!$C18)/2)*Title_RESULTS!$C$10/1000</f>
        <v>263018.1645569621</v>
      </c>
      <c r="C19" s="5">
        <f>$B19*'Sheet2(F_12)'!$E19/100</f>
        <v>8130.393883193171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6">+C19-E19</f>
        <v>8130.393883193171</v>
      </c>
      <c r="G19" s="5">
        <f>+$F19*'Sheet2(F_12)'!$I19</f>
        <v>8130.393883193171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263018.1645569621</v>
      </c>
      <c r="C20" s="5">
        <f>$B20*'Sheet2(F_12)'!$E20/100</f>
        <v>8449.887717520063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8449.887717520063</v>
      </c>
      <c r="G20" s="5">
        <f>+$F20*'Sheet2(F_12)'!$I20</f>
        <v>8449.887717520063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263018.1645569621</v>
      </c>
      <c r="C21" s="5">
        <f>$B21*'Sheet2(F_12)'!$E21/100</f>
        <v>9072.635440285245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9072.635440285245</v>
      </c>
      <c r="G21" s="5">
        <f>+$F21*'Sheet2(F_12)'!$I21</f>
        <v>9072.635440285245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263018.1645569621</v>
      </c>
      <c r="C22" s="5">
        <f>$B22*'Sheet2(F_12)'!$E22/100</f>
        <v>9363.636815957172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9363.636815957172</v>
      </c>
      <c r="G22" s="5">
        <f>+$F22*'Sheet2(F_12)'!$I22</f>
        <v>9363.636815957172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263018.1645569621</v>
      </c>
      <c r="C23" s="5">
        <f>$B23*'Sheet2(F_12)'!$E23/100</f>
        <v>9948.822207191783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9948.822207191783</v>
      </c>
      <c r="G23" s="5">
        <f>+$F23*'Sheet2(F_12)'!$I23</f>
        <v>9948.822207191783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263018.1645569621</v>
      </c>
      <c r="C24" s="5">
        <f>$B24*'Sheet2(F_12)'!$E24/100</f>
        <v>11024.445492754376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11024.445492754376</v>
      </c>
      <c r="G24" s="5">
        <f>+$F24*'Sheet2(F_12)'!$I24</f>
        <v>11024.445492754376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263018.1645569621</v>
      </c>
      <c r="C25" s="5">
        <f>$B25*'Sheet2(F_12)'!$E25/100</f>
        <v>11811.196983266864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11811.196983266864</v>
      </c>
      <c r="G25" s="5">
        <f>+$F25*'Sheet2(F_12)'!$I25</f>
        <v>11811.196983266864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263018.1645569621</v>
      </c>
      <c r="C26" s="5">
        <f>$B26*'Sheet2(F_12)'!$E26/100</f>
        <v>13192.452687554196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13192.452687554196</v>
      </c>
      <c r="G26" s="5">
        <f>+$F26*'Sheet2(F_12)'!$I26</f>
        <v>13192.452687554196</v>
      </c>
    </row>
    <row r="27" spans="2:7" ht="12.75">
      <c r="B27" s="5"/>
      <c r="C27" s="5"/>
      <c r="D27" s="5"/>
      <c r="E27" s="5"/>
      <c r="F27" s="5"/>
      <c r="G27" s="5"/>
    </row>
    <row r="28" spans="1:7" ht="12.75">
      <c r="A28" t="s">
        <v>87</v>
      </c>
      <c r="B28" s="5">
        <f aca="true" t="shared" si="2" ref="B28:G28">SUM(B16:B27)</f>
        <v>2498672.5632911394</v>
      </c>
      <c r="C28" s="5">
        <f t="shared" si="2"/>
        <v>92557.03695780036</v>
      </c>
      <c r="D28" s="5">
        <f t="shared" si="2"/>
        <v>0</v>
      </c>
      <c r="E28" s="5">
        <f t="shared" si="2"/>
        <v>0</v>
      </c>
      <c r="F28" s="5">
        <f t="shared" si="2"/>
        <v>92557.03695780036</v>
      </c>
      <c r="G28" s="5">
        <f t="shared" si="2"/>
        <v>92557.03695780036</v>
      </c>
    </row>
    <row r="29" spans="2:7" ht="12.75">
      <c r="B29" s="5"/>
      <c r="C29" s="5"/>
      <c r="D29" s="5"/>
      <c r="E29" s="5"/>
      <c r="F29" s="5"/>
      <c r="G29" s="5"/>
    </row>
    <row r="30" spans="1:7" ht="12.75">
      <c r="A30" t="s">
        <v>118</v>
      </c>
      <c r="B30" s="5"/>
      <c r="C30" s="5">
        <f>NPV(+Title_RESULTS!$C$37,C17:C27)+C16</f>
        <v>61765.55527910115</v>
      </c>
      <c r="D30" s="5"/>
      <c r="E30" s="5">
        <f>NPV(+Title_RESULTS!$C$37,E17:E27)+E16</f>
        <v>0</v>
      </c>
      <c r="F30" s="5">
        <f>NPV(+Title_RESULTS!$C$37,F17:F27)+F16</f>
        <v>61765.55527910115</v>
      </c>
      <c r="G30" s="5">
        <f>NPV(+Title_RESULTS!$C$37,G17:G27)+G16</f>
        <v>61765.55527910115</v>
      </c>
    </row>
    <row r="31" spans="6:7" ht="12.75">
      <c r="F31" s="9"/>
      <c r="G31" s="9"/>
    </row>
    <row r="32" ht="12.75">
      <c r="A32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Smart Thermostat</v>
      </c>
      <c r="J2" t="s">
        <v>42</v>
      </c>
    </row>
    <row r="3" spans="9:10" ht="12.75">
      <c r="I3" s="4"/>
      <c r="J3" s="35">
        <f>+Title_RESULTS!I4</f>
        <v>43599.320127314815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6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2:14" ht="15">
      <c r="B27" s="28"/>
      <c r="C27" s="28"/>
      <c r="D27" s="10"/>
      <c r="E27" s="10"/>
      <c r="N27" s="64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14" ht="15">
      <c r="B31" s="28"/>
      <c r="C31" s="28"/>
      <c r="D31" s="10"/>
      <c r="E31" s="10"/>
      <c r="N31" s="64"/>
    </row>
    <row r="32" spans="2:5" ht="12.75">
      <c r="B32" s="28"/>
      <c r="C32" s="28"/>
      <c r="D32" s="10"/>
      <c r="E32" s="10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Smart Thermostat</v>
      </c>
      <c r="H2" t="s">
        <v>108</v>
      </c>
    </row>
    <row r="3" ht="12.75">
      <c r="H3" s="35">
        <f>+Title_RESULTS!I4</f>
        <v>43599.320127314815</v>
      </c>
    </row>
    <row r="5" spans="3:6" ht="12.75">
      <c r="C5" t="s">
        <v>60</v>
      </c>
      <c r="F5" s="38">
        <f>+'Value of Defferal'!L4</f>
        <v>195.27024640000002</v>
      </c>
    </row>
    <row r="6" spans="3:6" ht="12.75">
      <c r="C6" t="s">
        <v>62</v>
      </c>
      <c r="F6" s="38">
        <f>+'Value of Defferal'!L5</f>
        <v>966.6152448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1271.565535168229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19.29705556490645</v>
      </c>
      <c r="C17" s="5">
        <f>IF(+Title_RESULTS!$H$9&lt;='Sheet4(F_22)'!$A17,(+Title_RESULTS!$H$16*((1+Title_RESULTS!$H$18/100)^('Sheet4(F_22)'!$A17-Title_RESULTS!$H$7))*Title_RESULTS!$C$8*Partcipation!$C$26/1000),0)</f>
        <v>15.553342662125162</v>
      </c>
      <c r="D17" s="5">
        <f>(+B17+C17)*+Partcipation!$H17</f>
        <v>34.85039822703161</v>
      </c>
      <c r="E17" s="5">
        <f>VLOOKUP(A17,'Value of Defferal'!$I24:$P$58,'Value of Defferal'!$K$13)</f>
        <v>95.52314514205094</v>
      </c>
      <c r="F17" s="5">
        <f>IF(+'Value of Defferal'!P24=0,0,Title_RESULTS!$H$17*Title_RESULTS!$C$7*Partcipation!$C$26*(1+Title_RESULTS!$H$18/100)^('Sheet4(F_22)'!A17-Title_RESULTS!$H$7))/1000</f>
        <v>133.0753536</v>
      </c>
      <c r="G17" s="5">
        <f>(+E17+F17)*Partcipation!$H17</f>
        <v>228.59849874205094</v>
      </c>
      <c r="H17" s="5">
        <f>+'Sheet5(p_5)'!$F17*'Sheet2(F_12)'!$I17</f>
        <v>3783.668423335357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19.760184898464203</v>
      </c>
      <c r="C18" s="5">
        <f>IF(+Title_RESULTS!$H$9&lt;='Sheet4(F_22)'!$A18,(+Title_RESULTS!$H$16*((1+Title_RESULTS!$H$18/100)^('Sheet4(F_22)'!$A18-Title_RESULTS!$H$7))*Title_RESULTS!$C$8*Partcipation!$C$26/1000),0)</f>
        <v>15.926622886016165</v>
      </c>
      <c r="D18" s="5">
        <f>(+B18+C18)*+Partcipation!$H18</f>
        <v>35.686807784480365</v>
      </c>
      <c r="E18" s="5">
        <f>VLOOKUP(A18,'Value of Defferal'!$I25:$P$58,'Value of Defferal'!$K$13)</f>
        <v>97.81570062546015</v>
      </c>
      <c r="F18" s="5">
        <f>IF(+'Value of Defferal'!P25=0,0,Title_RESULTS!$H$17*Title_RESULTS!$C$7*Partcipation!$C$26*(1+Title_RESULTS!$H$18/100)^('Sheet4(F_22)'!A18-Title_RESULTS!$H$7))/1000</f>
        <v>136.2691620864</v>
      </c>
      <c r="G18" s="5">
        <f>(+E18+F18)*Partcipation!$H18</f>
        <v>234.08486271186015</v>
      </c>
      <c r="H18" s="5">
        <f>+'Sheet5(p_5)'!$F18*'Sheet2(F_12)'!$I18</f>
        <v>6508.3317715738995</v>
      </c>
      <c r="I18" s="5"/>
      <c r="J18" s="5"/>
    </row>
    <row r="19" spans="1:10" ht="12.75">
      <c r="A19">
        <f aca="true" t="shared" si="0" ref="A19:A26">+A18+1</f>
        <v>2023</v>
      </c>
      <c r="B19" s="5">
        <f>VLOOKUP(A19,'Value of Defferal'!$I26:$P$58,'Value of Defferal'!$K$9)</f>
        <v>20.234429336027347</v>
      </c>
      <c r="C19" s="5">
        <f>IF(+Title_RESULTS!$H$9&lt;='Sheet4(F_22)'!$A19,(+Title_RESULTS!$H$16*((1+Title_RESULTS!$H$18/100)^('Sheet4(F_22)'!$A19-Title_RESULTS!$H$7))*Title_RESULTS!$C$8*Partcipation!$C$26/1000),0)</f>
        <v>16.308861835280556</v>
      </c>
      <c r="D19" s="5">
        <f>(+B19+C19)*+Partcipation!$H19</f>
        <v>36.5432911713079</v>
      </c>
      <c r="E19" s="5">
        <f>VLOOKUP(A19,'Value of Defferal'!$I26:$P$58,'Value of Defferal'!$K$13)</f>
        <v>100.1632774404712</v>
      </c>
      <c r="F19" s="5">
        <f>IF(+'Value of Defferal'!P26=0,0,Title_RESULTS!$H$17*Title_RESULTS!$C$7*Partcipation!$C$26*(1+Title_RESULTS!$H$18/100)^('Sheet4(F_22)'!A19-Title_RESULTS!$H$7))/1000</f>
        <v>139.5396219764736</v>
      </c>
      <c r="G19" s="5">
        <f>(+E19+F19)*Partcipation!$H19</f>
        <v>239.7028994169448</v>
      </c>
      <c r="H19" s="5">
        <f>+'Sheet5(p_5)'!$F19*'Sheet2(F_12)'!$I19</f>
        <v>8130.393883193171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20.720055640092003</v>
      </c>
      <c r="C20" s="5">
        <f>IF(+Title_RESULTS!$H$9&lt;='Sheet4(F_22)'!$A20,(+Title_RESULTS!$H$16*((1+Title_RESULTS!$H$18/100)^('Sheet4(F_22)'!$A20-Title_RESULTS!$H$7))*Title_RESULTS!$C$8*Partcipation!$C$26/1000),0)</f>
        <v>16.70027451932729</v>
      </c>
      <c r="D20" s="5">
        <f>(+B20+C20)*+Partcipation!$H20</f>
        <v>37.420330159419294</v>
      </c>
      <c r="E20" s="5">
        <f>VLOOKUP(A20,'Value of Defferal'!$I27:$P$58,'Value of Defferal'!$K$13)</f>
        <v>102.5671960990425</v>
      </c>
      <c r="F20" s="5">
        <f>IF(+'Value of Defferal'!P27=0,0,Title_RESULTS!$H$17*Title_RESULTS!$C$7*Partcipation!$C$26*(1+Title_RESULTS!$H$18/100)^('Sheet4(F_22)'!A20-Title_RESULTS!$H$7))/1000</f>
        <v>142.88857290390897</v>
      </c>
      <c r="G20" s="5">
        <f>(+E20+F20)*Partcipation!$H20</f>
        <v>245.45576900295146</v>
      </c>
      <c r="H20" s="5">
        <f>+'Sheet5(p_5)'!$F20*'Sheet2(F_12)'!$I20</f>
        <v>8449.887717520063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21.21733697545421</v>
      </c>
      <c r="C21" s="5">
        <f>IF(+Title_RESULTS!$H$9&lt;='Sheet4(F_22)'!$A21,(+Title_RESULTS!$H$16*((1+Title_RESULTS!$H$18/100)^('Sheet4(F_22)'!$A21-Title_RESULTS!$H$7))*Title_RESULTS!$C$8*Partcipation!$C$26/1000),0)</f>
        <v>17.101081107791142</v>
      </c>
      <c r="D21" s="5">
        <f>(+B21+C21)*+Partcipation!$H21</f>
        <v>38.31841808324535</v>
      </c>
      <c r="E21" s="5">
        <f>VLOOKUP(A21,'Value of Defferal'!$I28:$P$58,'Value of Defferal'!$K$13)</f>
        <v>105.02880880541953</v>
      </c>
      <c r="F21" s="5">
        <f>IF(+'Value of Defferal'!P28=0,0,Title_RESULTS!$H$17*Title_RESULTS!$C$7*Partcipation!$C$26*(1+Title_RESULTS!$H$18/100)^('Sheet4(F_22)'!A21-Title_RESULTS!$H$7))/1000</f>
        <v>146.31789865360278</v>
      </c>
      <c r="G21" s="5">
        <f>(+E21+F21)*Partcipation!$H21</f>
        <v>251.3467074590223</v>
      </c>
      <c r="H21" s="5">
        <f>+'Sheet5(p_5)'!$F21*'Sheet2(F_12)'!$I21</f>
        <v>9072.635440285245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21.72655306286511</v>
      </c>
      <c r="C22" s="5">
        <f>IF(+Title_RESULTS!$H$9&lt;='Sheet4(F_22)'!$A22,(+Title_RESULTS!$H$16*((1+Title_RESULTS!$H$18/100)^('Sheet4(F_22)'!$A22-Title_RESULTS!$H$7))*Title_RESULTS!$C$8*Partcipation!$C$26/1000),0)</f>
        <v>17.511507054378125</v>
      </c>
      <c r="D22" s="5">
        <f>(+B22+C22)*+Partcipation!$H22</f>
        <v>39.238060117243236</v>
      </c>
      <c r="E22" s="5">
        <f>VLOOKUP(A22,'Value of Defferal'!$I29:$P$58,'Value of Defferal'!$K$13)</f>
        <v>107.5495002167496</v>
      </c>
      <c r="F22" s="5">
        <f>IF(+'Value of Defferal'!P29=0,0,Title_RESULTS!$H$17*Title_RESULTS!$C$7*Partcipation!$C$26*(1+Title_RESULTS!$H$18/100)^('Sheet4(F_22)'!A22-Title_RESULTS!$H$7))/1000</f>
        <v>149.82952822128922</v>
      </c>
      <c r="G22" s="5">
        <f>(+E22+F22)*Partcipation!$H22</f>
        <v>257.37902843803886</v>
      </c>
      <c r="H22" s="5">
        <f>+'Sheet5(p_5)'!$F22*'Sheet2(F_12)'!$I22</f>
        <v>9363.636815957172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22.247990336373874</v>
      </c>
      <c r="C23" s="5">
        <f>IF(+Title_RESULTS!$H$9&lt;='Sheet4(F_22)'!$A23,(+Title_RESULTS!$H$16*((1+Title_RESULTS!$H$18/100)^('Sheet4(F_22)'!$A23-Title_RESULTS!$H$7))*Title_RESULTS!$C$8*Partcipation!$C$26/1000),0)</f>
        <v>17.931783223683205</v>
      </c>
      <c r="D23" s="5">
        <f>(+B23+C23)*+Partcipation!$H23</f>
        <v>40.17977356005708</v>
      </c>
      <c r="E23" s="5">
        <f>VLOOKUP(A23,'Value of Defferal'!$I30:$P$58,'Value of Defferal'!$K$13)</f>
        <v>110.13068822195159</v>
      </c>
      <c r="F23" s="5">
        <f>IF(+'Value of Defferal'!P30=0,0,Title_RESULTS!$H$17*Title_RESULTS!$C$7*Partcipation!$C$26*(1+Title_RESULTS!$H$18/100)^('Sheet4(F_22)'!A23-Title_RESULTS!$H$7))/1000</f>
        <v>153.4254368986002</v>
      </c>
      <c r="G23" s="5">
        <f>(+E23+F23)*Partcipation!$H23</f>
        <v>263.55612512055177</v>
      </c>
      <c r="H23" s="5">
        <f>+'Sheet5(p_5)'!$F23*'Sheet2(F_12)'!$I23</f>
        <v>9948.822207191783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22.781942104446845</v>
      </c>
      <c r="C24" s="5">
        <f>IF(+Title_RESULTS!$H$9&lt;='Sheet4(F_22)'!$A24,(+Title_RESULTS!$H$16*((1+Title_RESULTS!$H$18/100)^('Sheet4(F_22)'!$A24-Title_RESULTS!$H$7))*Title_RESULTS!$C$8*Partcipation!$C$26/1000),0)</f>
        <v>18.362146021051597</v>
      </c>
      <c r="D24" s="5">
        <f>(+B24+C24)*+Partcipation!$H24</f>
        <v>41.14408812549844</v>
      </c>
      <c r="E24" s="5">
        <f>VLOOKUP(A24,'Value of Defferal'!$I31:$P$58,'Value of Defferal'!$K$13)</f>
        <v>112.77382473927842</v>
      </c>
      <c r="F24" s="5">
        <f>IF(+'Value of Defferal'!P31=0,0,Title_RESULTS!$H$17*Title_RESULTS!$C$7*Partcipation!$C$26*(1+Title_RESULTS!$H$18/100)^('Sheet4(F_22)'!A24-Title_RESULTS!$H$7))/1000</f>
        <v>157.10764738416657</v>
      </c>
      <c r="G24" s="5">
        <f>(+E24+F24)*Partcipation!$H24</f>
        <v>269.881472123445</v>
      </c>
      <c r="H24" s="5">
        <f>+'Sheet5(p_5)'!$F24*'Sheet2(F_12)'!$I24</f>
        <v>11024.445492754376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23.32870871495357</v>
      </c>
      <c r="C25" s="5">
        <f>IF(+Title_RESULTS!$H$9&lt;='Sheet4(F_22)'!$A25,(+Title_RESULTS!$H$16*((1+Title_RESULTS!$H$18/100)^('Sheet4(F_22)'!$A25-Title_RESULTS!$H$7))*Title_RESULTS!$C$8*Partcipation!$C$26/1000),0)</f>
        <v>18.80283752555684</v>
      </c>
      <c r="D25" s="5">
        <f>(+B25+C25)*+Partcipation!$H25</f>
        <v>42.13154624051041</v>
      </c>
      <c r="E25" s="5">
        <f>VLOOKUP(A25,'Value of Defferal'!$I32:$P$58,'Value of Defferal'!$K$13)</f>
        <v>115.48039653302112</v>
      </c>
      <c r="F25" s="5">
        <f>IF(+'Value of Defferal'!P32=0,0,Title_RESULTS!$H$17*Title_RESULTS!$C$7*Partcipation!$C$26*(1+Title_RESULTS!$H$18/100)^('Sheet4(F_22)'!A25-Title_RESULTS!$H$7))/1000</f>
        <v>160.87823092138657</v>
      </c>
      <c r="G25" s="5">
        <f>(+E25+F25)*Partcipation!$H25</f>
        <v>276.3586274544077</v>
      </c>
      <c r="H25" s="5">
        <f>+'Sheet5(p_5)'!$F25*'Sheet2(F_12)'!$I25</f>
        <v>11811.196983266864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23.888597724112458</v>
      </c>
      <c r="C26" s="5">
        <f>IF(+Title_RESULTS!$H$9&lt;='Sheet4(F_22)'!$A26,(+Title_RESULTS!$H$16*((1+Title_RESULTS!$H$18/100)^('Sheet4(F_22)'!$A26-Title_RESULTS!$H$7))*Title_RESULTS!$C$8*Partcipation!$C$26/1000),0)</f>
        <v>19.254105626170205</v>
      </c>
      <c r="D26" s="5">
        <f>(+B26+C26)*+Partcipation!$H26</f>
        <v>43.14270335028266</v>
      </c>
      <c r="E26" s="5">
        <f>VLOOKUP(A26,'Value of Defferal'!$I33:$P$58,'Value of Defferal'!$K$13)</f>
        <v>118.25192604981363</v>
      </c>
      <c r="F26" s="5">
        <f>IF(+'Value of Defferal'!P33=0,0,Title_RESULTS!$H$17*Title_RESULTS!$C$7*Partcipation!$C$26*(1+Title_RESULTS!$H$18/100)^('Sheet4(F_22)'!A26-Title_RESULTS!$H$7))/1000</f>
        <v>164.73930846349984</v>
      </c>
      <c r="G26" s="5">
        <f>(+E26+F26)*Partcipation!$H26</f>
        <v>282.9912345133135</v>
      </c>
      <c r="H26" s="5">
        <f>+'Sheet5(p_5)'!$F26*'Sheet2(F_12)'!$I26</f>
        <v>13192.452687554196</v>
      </c>
      <c r="I26" s="5"/>
      <c r="J26" s="5"/>
    </row>
    <row r="27" spans="2:10" ht="12.75"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t="s">
        <v>88</v>
      </c>
      <c r="B28" s="5">
        <f aca="true" t="shared" si="1" ref="B28:H28">SUM(B16:B27)</f>
        <v>215.20285435769608</v>
      </c>
      <c r="C28" s="5">
        <f t="shared" si="1"/>
        <v>173.4525624613803</v>
      </c>
      <c r="D28" s="5">
        <f t="shared" si="1"/>
        <v>388.6554168190764</v>
      </c>
      <c r="E28" s="5">
        <f t="shared" si="1"/>
        <v>1065.2844638732588</v>
      </c>
      <c r="F28" s="5">
        <f t="shared" si="1"/>
        <v>1484.0707611093278</v>
      </c>
      <c r="G28" s="5">
        <f t="shared" si="1"/>
        <v>2549.355224982586</v>
      </c>
      <c r="H28" s="5">
        <f t="shared" si="1"/>
        <v>92557.03695780036</v>
      </c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t="s">
        <v>90</v>
      </c>
      <c r="B30" s="5">
        <f>NPV(Title_RESULTS!$C$37,'Sheet4(F_22)'!B17:B27)+'Sheet4(F_22)'!B16</f>
        <v>148.59927502173684</v>
      </c>
      <c r="C30" s="5">
        <f>NPV(Title_RESULTS!$C$37,'Sheet4(F_22)'!C17:C27)+'Sheet4(F_22)'!C16</f>
        <v>119.770367866879</v>
      </c>
      <c r="D30" s="5">
        <f>NPV(Title_RESULTS!$C$37,'Sheet4(F_22)'!D17:D27)+'Sheet4(F_22)'!D16</f>
        <v>268.3696428886158</v>
      </c>
      <c r="E30" s="5">
        <f>NPV(Title_RESULTS!$C$37,'Sheet4(F_22)'!E17:E27)+'Sheet4(F_22)'!E16</f>
        <v>735.5873577790429</v>
      </c>
      <c r="F30" s="5">
        <f>NPV(Title_RESULTS!$C$37,'Sheet4(F_22)'!F17:F27)+'Sheet4(F_22)'!F16</f>
        <v>1024.7626121875214</v>
      </c>
      <c r="G30" s="5">
        <f>NPV(Title_RESULTS!$C$37,'Sheet4(F_22)'!G17:G27)+'Sheet4(F_22)'!G16</f>
        <v>1760.3499699665642</v>
      </c>
      <c r="H30" s="5">
        <f>NPV(Title_RESULTS!$C$37,'Sheet4(F_22)'!H17:H27)+'Sheet4(F_22)'!H16</f>
        <v>61765.55527910115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ht="12.75">
      <c r="A32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Smart Thermostat</v>
      </c>
      <c r="P2" t="s">
        <v>121</v>
      </c>
    </row>
    <row r="3" ht="12.75">
      <c r="P3" s="35">
        <f>+Title_RESULTS!I4</f>
        <v>43599.320127314815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8665.741579452411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8665.741579452411</v>
      </c>
      <c r="H16" s="5">
        <f>IF(Partcipation!$B17&lt;Partcipation!$B16,0,IF(Partcipation!$B16=0,0,(Partcipation!$B16-Partcipation!$B15)*(+Title_RESULTS!$C$29*(1+Title_RESULTS!$C$30/100)^(+'Sheet8(F_24)'!$A16-Title_RESULTS!$H$7))/1000))</f>
        <v>20824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20824</v>
      </c>
      <c r="K16" s="5">
        <f>(+Partcipation!$B15+(Partcipation!$B16-Partcipation!$B15)/2)*(+Title_RESULTS!$C$14)/1000</f>
        <v>41556.87</v>
      </c>
      <c r="L16" s="5">
        <f>($K16)*Partcipation!$E73*Title_RESULTS!$C$12/100</f>
        <v>1011.7487689004836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986.7552366</v>
      </c>
      <c r="N16" s="5">
        <f>'Sheet2(F_12)'!$I16*('Sheet6(p_6)'!$L16+'Sheet6(p_6)'!$M16)</f>
        <v>1998.5040055004836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8665.741579452411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8665.741579452411</v>
      </c>
      <c r="H17" s="5">
        <f>IF(Partcipation!$B18&lt;Partcipation!$B17,0,IF(Partcipation!$B17=0,0,(Partcipation!$B17-Partcipation!$B16)*(+Title_RESULTS!$C$29*(1+Title_RESULTS!$C$30/100)^(+'Sheet8(F_24)'!$A17-Title_RESULTS!$H$7))/1000))</f>
        <v>21302.951999999997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21302.951999999997</v>
      </c>
      <c r="K17" s="5">
        <f>(+Partcipation!$B16+(Partcipation!$B17-Partcipation!$B16)/2)*(+Title_RESULTS!$C$14)/1000</f>
        <v>124670.61000000002</v>
      </c>
      <c r="L17" s="5">
        <f>($K17)*Partcipation!$E74*Title_RESULTS!$C$12/100</f>
        <v>3179.704252627489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2989.8683668980007</v>
      </c>
      <c r="N17" s="5">
        <f>'Sheet2(F_12)'!$I17*('Sheet6(p_6)'!$L17+'Sheet6(p_6)'!$M17)</f>
        <v>6169.57261952549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8665.741579452411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8665.741579452411</v>
      </c>
      <c r="H18" s="5">
        <f>IF(Partcipation!$B19&lt;Partcipation!$B18,0,IF(Partcipation!$B18=0,0,(Partcipation!$B18-Partcipation!$B17)*(+Title_RESULTS!$C$29*(1+Title_RESULTS!$C$30/100)^(+'Sheet8(F_24)'!$A18-Title_RESULTS!$H$7))/1000))</f>
        <v>21792.919895999996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21792.919895999996</v>
      </c>
      <c r="K18" s="5">
        <f>(+Partcipation!$B17+(Partcipation!$B18-Partcipation!$B17)/2)*(+Title_RESULTS!$C$14)/1000</f>
        <v>207784.35</v>
      </c>
      <c r="L18" s="5">
        <f>($K18)*Partcipation!$E75*Title_RESULTS!$C$12/100</f>
        <v>5494.716487920016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5032.945084278301</v>
      </c>
      <c r="N18" s="5">
        <f>'Sheet2(F_12)'!$I18*('Sheet6(p_6)'!$L18+'Sheet6(p_6)'!$M18)</f>
        <v>10527.661572198318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6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6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6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6">SUM(H19:I19)</f>
        <v>0</v>
      </c>
      <c r="K19" s="5">
        <f>(+Partcipation!$B18+(Partcipation!$B19-Partcipation!$B18)/2)*(+Title_RESULTS!$C$14)/1000</f>
        <v>249341.22000000003</v>
      </c>
      <c r="L19" s="5">
        <f>($K19)*Partcipation!$E76*Title_RESULTS!$C$12/100</f>
        <v>6539.608994750793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6099.9294421453</v>
      </c>
      <c r="N19" s="5">
        <f>'Sheet2(F_12)'!$I19*('Sheet6(p_6)'!$L19+'Sheet6(p_6)'!$M19)</f>
        <v>12639.538436896091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249341.22000000003</v>
      </c>
      <c r="L20" s="5">
        <f>($K20)*Partcipation!$E77*Title_RESULTS!$C$12/100</f>
        <v>6910.533874423063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6160.928736566754</v>
      </c>
      <c r="N20" s="5">
        <f>'Sheet2(F_12)'!$I20*('Sheet6(p_6)'!$L20+'Sheet6(p_6)'!$M20)</f>
        <v>13071.462610989816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249341.22000000003</v>
      </c>
      <c r="L21" s="5">
        <f>($K21)*Partcipation!$E78*Title_RESULTS!$C$12/100</f>
        <v>7307.189375728423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6222.53802393242</v>
      </c>
      <c r="N21" s="5">
        <f>'Sheet2(F_12)'!$I21*('Sheet6(p_6)'!$L21+'Sheet6(p_6)'!$M21)</f>
        <v>13529.727399660844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249341.22000000003</v>
      </c>
      <c r="L22" s="5">
        <f>($K22)*Partcipation!$E79*Title_RESULTS!$C$12/100</f>
        <v>7637.577852530059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6284.7634041717465</v>
      </c>
      <c r="N22" s="5">
        <f>'Sheet2(F_12)'!$I22*('Sheet6(p_6)'!$L22+'Sheet6(p_6)'!$M22)</f>
        <v>13922.341256701806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249341.22000000003</v>
      </c>
      <c r="L23" s="5">
        <f>($K23)*Partcipation!$E80*Title_RESULTS!$C$12/100</f>
        <v>8087.285829100539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6347.611038213462</v>
      </c>
      <c r="N23" s="5">
        <f>'Sheet2(F_12)'!$I23*('Sheet6(p_6)'!$L23+'Sheet6(p_6)'!$M23)</f>
        <v>14434.896867314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249341.22000000003</v>
      </c>
      <c r="L24" s="5">
        <f>($K24)*Partcipation!$E81*Title_RESULTS!$C$12/100</f>
        <v>8853.112261957727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6411.087148595599</v>
      </c>
      <c r="N24" s="5">
        <f>'Sheet2(F_12)'!$I24*('Sheet6(p_6)'!$L24+'Sheet6(p_6)'!$M24)</f>
        <v>15264.199410553327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249341.22000000003</v>
      </c>
      <c r="L25" s="5">
        <f>($K25)*Partcipation!$E82*Title_RESULTS!$C$12/100</f>
        <v>9304.158396818631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6475.198020081554</v>
      </c>
      <c r="N25" s="5">
        <f>'Sheet2(F_12)'!$I25*('Sheet6(p_6)'!$L25+'Sheet6(p_6)'!$M25)</f>
        <v>15779.356416900186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249341.22000000003</v>
      </c>
      <c r="L26" s="5">
        <f>($K26)*Partcipation!$E83*Title_RESULTS!$C$12/100</f>
        <v>10137.364270666327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6539.950000282371</v>
      </c>
      <c r="N26" s="5">
        <f>'Sheet2(F_12)'!$I26*('Sheet6(p_6)'!$L26+'Sheet6(p_6)'!$M26)</f>
        <v>16677.314270948697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2:18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t="s">
        <v>87</v>
      </c>
      <c r="B28" s="5">
        <f aca="true" t="shared" si="4" ref="B28:R28">SUM(B16:B27)</f>
        <v>384.072</v>
      </c>
      <c r="C28" s="5">
        <f t="shared" si="4"/>
        <v>0</v>
      </c>
      <c r="D28" s="5">
        <f t="shared" si="4"/>
        <v>384.072</v>
      </c>
      <c r="E28" s="5">
        <f t="shared" si="4"/>
        <v>25997.224738357232</v>
      </c>
      <c r="F28" s="5">
        <f t="shared" si="4"/>
        <v>0</v>
      </c>
      <c r="G28" s="5">
        <f t="shared" si="4"/>
        <v>25997.224738357232</v>
      </c>
      <c r="H28" s="5">
        <f t="shared" si="4"/>
        <v>63919.871896</v>
      </c>
      <c r="I28" s="5">
        <f t="shared" si="4"/>
        <v>0</v>
      </c>
      <c r="J28" s="5">
        <f t="shared" si="4"/>
        <v>63919.871896</v>
      </c>
      <c r="K28" s="5">
        <f t="shared" si="4"/>
        <v>2368741.5900000003</v>
      </c>
      <c r="L28" s="5">
        <f t="shared" si="4"/>
        <v>74463.00036542355</v>
      </c>
      <c r="M28" s="5">
        <f t="shared" si="4"/>
        <v>59551.57450176551</v>
      </c>
      <c r="N28" s="5">
        <f t="shared" si="4"/>
        <v>134014.57486718905</v>
      </c>
      <c r="O28" s="5">
        <f t="shared" si="4"/>
        <v>0</v>
      </c>
      <c r="P28" s="5">
        <f t="shared" si="4"/>
        <v>0</v>
      </c>
      <c r="Q28" s="5">
        <f t="shared" si="4"/>
        <v>0</v>
      </c>
      <c r="R28" s="5">
        <f t="shared" si="4"/>
        <v>0</v>
      </c>
    </row>
    <row r="29" spans="2:18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t="s">
        <v>89</v>
      </c>
      <c r="B30" s="5">
        <f>NPV(Title_RESULTS!$C$37,'Sheet6(p_6)'!B17:B27)+'Sheet6(p_6)'!B16</f>
        <v>358.8491576370552</v>
      </c>
      <c r="C30" s="5">
        <f>NPV(Title_RESULTS!$C$37,'Sheet6(p_6)'!C17:C27)+'Sheet6(p_6)'!C16</f>
        <v>0</v>
      </c>
      <c r="D30" s="5">
        <f>NPV(Title_RESULTS!$C$37,'Sheet6(p_6)'!D17:D27)+'Sheet6(p_6)'!D16</f>
        <v>358.8491576370552</v>
      </c>
      <c r="E30" s="5">
        <f>NPV(Title_RESULTS!$C$37,'Sheet6(p_6)'!E17:E27)+'Sheet6(p_6)'!E16</f>
        <v>24316.203676861398</v>
      </c>
      <c r="F30" s="5">
        <f>NPV(Title_RESULTS!$C$37,'Sheet6(p_6)'!F17:F27)+'Sheet6(p_6)'!F16</f>
        <v>0</v>
      </c>
      <c r="G30" s="5">
        <f>NPV(Title_RESULTS!$C$37,'Sheet6(p_6)'!G17:G27)+'Sheet6(p_6)'!G16</f>
        <v>24316.203676861398</v>
      </c>
      <c r="H30" s="5">
        <f>NPV(Title_RESULTS!$C$37,'Sheet6(p_6)'!H17:H27)+'Sheet6(p_6)'!H16</f>
        <v>59724.77550305044</v>
      </c>
      <c r="I30" s="5">
        <f>NPV(Title_RESULTS!$C$37,'Sheet6(p_6)'!I17:I27)+'Sheet6(p_6)'!I16</f>
        <v>0</v>
      </c>
      <c r="J30" s="5">
        <f>NPV(Title_RESULTS!$C$37,'Sheet6(p_6)'!J17:J27)+'Sheet6(p_6)'!J16</f>
        <v>59724.77550305044</v>
      </c>
      <c r="K30" s="5"/>
      <c r="L30" s="5">
        <f>NPV(Title_RESULTS!$C$37,'Sheet6(p_6)'!L17:L27)+'Sheet6(p_6)'!L16</f>
        <v>49886.71603604551</v>
      </c>
      <c r="M30" s="5">
        <f>NPV(Title_RESULTS!$C$37,'Sheet6(p_6)'!M17:M27)+'Sheet6(p_6)'!M16</f>
        <v>40851.46730297945</v>
      </c>
      <c r="N30" s="5">
        <f>NPV(Title_RESULTS!$C$37,'Sheet6(p_6)'!N17:N27)+'Sheet6(p_6)'!N16</f>
        <v>90738.18333902495</v>
      </c>
      <c r="O30" s="5"/>
      <c r="P30" s="5">
        <f>NPV(Title_RESULTS!$C$37,'Sheet6(p_6)'!P17:P27)+'Sheet6(p_6)'!P16</f>
        <v>0</v>
      </c>
      <c r="Q30" s="5">
        <f>NPV(Title_RESULTS!$C$37,'Sheet6(p_6)'!Q17:Q27)+'Sheet6(p_6)'!Q16</f>
        <v>0</v>
      </c>
      <c r="R30" s="5">
        <f>NPV(Title_RESULTS!$C$37,'Sheet6(p_6)'!R17:R27)+'Sheet6(p_6)'!R16</f>
        <v>0</v>
      </c>
    </row>
    <row r="32" ht="12.75">
      <c r="A32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Smart Thermostat</v>
      </c>
      <c r="M2" t="s">
        <v>55</v>
      </c>
    </row>
    <row r="3" ht="12.75">
      <c r="M3" s="35">
        <f>+Title_RESULTS!I4</f>
        <v>43599.320127314815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20824</v>
      </c>
      <c r="E16" s="5">
        <f>IF(A16&gt;=(Title_RESULTS!$H$7+Title_RESULTS!$C$17),0,(+'f-11B'!$N15))</f>
        <v>0</v>
      </c>
      <c r="F16" s="5">
        <f>IF(A16&gt;=(Title_RESULTS!$H$7+Title_RESULTS!$C$17),0,(SUM(B16:E16)))</f>
        <v>20949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1271.565535168229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1271.565535168229</v>
      </c>
      <c r="L16" s="23">
        <f>IF(A16&gt;=(Title_RESULTS!$H$7+Title_RESULTS!$C$17),0,(+$K16-$F16))</f>
        <v>-19677.43446483177</v>
      </c>
      <c r="M16" s="23">
        <f>IF(A16&gt;=(Title_RESULTS!$H$7+Title_RESULTS!$C$17),0,(+$L16/(1+Title_RESULTS!$C$37)^('Sheet7(F_23)'!$A16-Title_RESULTS!$H$7)))</f>
        <v>-19677.43446483177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21302.951999999997</v>
      </c>
      <c r="E17" s="5">
        <f>IF(A17&gt;=(Title_RESULTS!$H$7+Title_RESULTS!$C$17),0,(+'f-11B'!$N16))</f>
        <v>0</v>
      </c>
      <c r="F17" s="5">
        <f>IF(A17&gt;=(Title_RESULTS!$H$7+Title_RESULTS!$C$17),0,(SUM(B17:E17)))</f>
        <v>21430.951999999997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263.44889696908257</v>
      </c>
      <c r="I17" s="5">
        <f>IF(A17&gt;=(Title_RESULTS!$H$7+Title_RESULTS!$C$17),0,(+'Sheet4(F_22)'!$H17))</f>
        <v>3783.668423335357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4047.1173203044395</v>
      </c>
      <c r="L17" s="23">
        <f>IF(A17&gt;=(Title_RESULTS!$H$7+Title_RESULTS!$C$17),0,(+$K17-$F17))</f>
        <v>-17383.83467969556</v>
      </c>
      <c r="M17" s="23">
        <f>IF(A17&gt;=(Title_RESULTS!$H$7+Title_RESULTS!$C$17),0,(+M16+$L17/(1+Title_RESULTS!$C$37)^('Sheet7(F_23)'!$A17-Title_RESULTS!$H$7)))</f>
        <v>-35911.87103533566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21792.919895999996</v>
      </c>
      <c r="E18" s="5">
        <f>IF(A18&gt;=(Title_RESULTS!$H$7+Title_RESULTS!$C$17),0,(+'f-11B'!$N17))</f>
        <v>0</v>
      </c>
      <c r="F18" s="5">
        <f>IF(A18&gt;=(Title_RESULTS!$H$7+Title_RESULTS!$C$17),0,(SUM(B18:E18)))</f>
        <v>21923.991895999996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269.7716704963405</v>
      </c>
      <c r="I18" s="5">
        <f>IF(A18&gt;=(Title_RESULTS!$H$7+Title_RESULTS!$C$17),0,(+'Sheet4(F_22)'!$H18))</f>
        <v>6508.3317715738995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6778.10344207024</v>
      </c>
      <c r="L18" s="23">
        <f>IF(A18&gt;=(Title_RESULTS!$H$7+Title_RESULTS!$C$17),0,(+$K18-$F18))</f>
        <v>-15145.888453929756</v>
      </c>
      <c r="M18" s="23">
        <f>IF(A18&gt;=(Title_RESULTS!$H$7+Title_RESULTS!$C$17),0,(+M17+$L18/(1+Title_RESULTS!$C$37)^('Sheet7(F_23)'!$A18-Title_RESULTS!$H$7)))</f>
        <v>-49121.11705754047</v>
      </c>
    </row>
    <row r="19" spans="1:13" ht="12.75">
      <c r="A19">
        <f aca="true" t="shared" si="0" ref="A19:A26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423.35917119320186</v>
      </c>
      <c r="H19" s="5">
        <f>IF(A19&gt;=(Title_RESULTS!$H$7+Title_RESULTS!$C$17),0,(+'Sheet4(F_22)'!$D19+'Sheet4(F_22)'!$G19))</f>
        <v>276.2461905882527</v>
      </c>
      <c r="I19" s="5">
        <f>IF(A19&gt;=(Title_RESULTS!$H$7+Title_RESULTS!$C$17),0,(+'Sheet4(F_22)'!$H19))</f>
        <v>8130.393883193171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8829.999244974626</v>
      </c>
      <c r="L19" s="23">
        <f>IF(A19&gt;=(Title_RESULTS!$H$7+Title_RESULTS!$C$17),0,(+$K19-$F19))</f>
        <v>8829.999244974626</v>
      </c>
      <c r="M19" s="23">
        <f>IF(A19&gt;=(Title_RESULTS!$H$7+Title_RESULTS!$C$17),0,(+M18+$L19/(1+Title_RESULTS!$C$37)^('Sheet7(F_23)'!$A19-Title_RESULTS!$H$7)))</f>
        <v>-41929.35054959955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434.64788491667315</v>
      </c>
      <c r="H20" s="5">
        <f>IF(A20&gt;=(Title_RESULTS!$H$7+Title_RESULTS!$C$17),0,(+'Sheet4(F_22)'!$D20+'Sheet4(F_22)'!$G20))</f>
        <v>282.87609916237074</v>
      </c>
      <c r="I20" s="5">
        <f>IF(A20&gt;=(Title_RESULTS!$H$7+Title_RESULTS!$C$17),0,(+'Sheet4(F_22)'!$H20))</f>
        <v>8449.887717520063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9167.411701599107</v>
      </c>
      <c r="L20" s="23">
        <f>IF(A20&gt;=(Title_RESULTS!$H$7+Title_RESULTS!$C$17),0,(+$K20-$F20))</f>
        <v>9167.411701599107</v>
      </c>
      <c r="M20" s="23">
        <f>IF(A20&gt;=(Title_RESULTS!$H$7+Title_RESULTS!$C$17),0,(+M19+$L20/(1+Title_RESULTS!$C$37)^('Sheet7(F_23)'!$A20-Title_RESULTS!$H$7)))</f>
        <v>-34956.45297981414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446.99776968823545</v>
      </c>
      <c r="H21" s="5">
        <f>IF(A21&gt;=(Title_RESULTS!$H$7+Title_RESULTS!$C$17),0,(+'Sheet4(F_22)'!$D21+'Sheet4(F_22)'!$G21))</f>
        <v>289.6651255422677</v>
      </c>
      <c r="I21" s="5">
        <f>IF(A21&gt;=(Title_RESULTS!$H$7+Title_RESULTS!$C$17),0,(+'Sheet4(F_22)'!$H21))</f>
        <v>9072.635440285245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9809.298335515748</v>
      </c>
      <c r="L21" s="23">
        <f>IF(A21&gt;=(Title_RESULTS!$H$7+Title_RESULTS!$C$17),0,(+$K21-$F21))</f>
        <v>9809.298335515748</v>
      </c>
      <c r="M21" s="23">
        <f>IF(A21&gt;=(Title_RESULTS!$H$7+Title_RESULTS!$C$17),0,(+M20+$L21/(1+Title_RESULTS!$C$37)^('Sheet7(F_23)'!$A21-Title_RESULTS!$H$7)))</f>
        <v>-27988.645693096572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460.82894922279206</v>
      </c>
      <c r="H22" s="5">
        <f>IF(A22&gt;=(Title_RESULTS!$H$7+Title_RESULTS!$C$17),0,(+'Sheet4(F_22)'!$D22+'Sheet4(F_22)'!$G22))</f>
        <v>296.61708855528207</v>
      </c>
      <c r="I22" s="5">
        <f>IF(A22&gt;=(Title_RESULTS!$H$7+Title_RESULTS!$C$17),0,(+'Sheet4(F_22)'!$H22))</f>
        <v>9363.636815957172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10121.082853735246</v>
      </c>
      <c r="L22" s="23">
        <f>IF(A22&gt;=(Title_RESULTS!$H$7+Title_RESULTS!$C$17),0,(+$K22-$F22))</f>
        <v>10121.082853735246</v>
      </c>
      <c r="M22" s="23">
        <f>IF(A22&gt;=(Title_RESULTS!$H$7+Title_RESULTS!$C$17),0,(+M21+$L22/(1+Title_RESULTS!$C$37)^('Sheet7(F_23)'!$A22-Title_RESULTS!$H$7)))</f>
        <v>-21274.715753655957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473.2343476255945</v>
      </c>
      <c r="H23" s="5">
        <f>IF(A23&gt;=(Title_RESULTS!$H$7+Title_RESULTS!$C$17),0,(+'Sheet4(F_22)'!$D23+'Sheet4(F_22)'!$G23))</f>
        <v>303.73589868060884</v>
      </c>
      <c r="I23" s="5">
        <f>IF(A23&gt;=(Title_RESULTS!$H$7+Title_RESULTS!$C$17),0,(+'Sheet4(F_22)'!$H23))</f>
        <v>9948.822207191783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10725.792453497987</v>
      </c>
      <c r="L23" s="23">
        <f>IF(A23&gt;=(Title_RESULTS!$H$7+Title_RESULTS!$C$17),0,(+$K23-$F23))</f>
        <v>10725.792453497987</v>
      </c>
      <c r="M23" s="23">
        <f>IF(A23&gt;=(Title_RESULTS!$H$7+Title_RESULTS!$C$17),0,(+M22+$L23/(1+Title_RESULTS!$C$37)^('Sheet7(F_23)'!$A23-Title_RESULTS!$H$7)))</f>
        <v>-14630.085007980608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480.90064949061036</v>
      </c>
      <c r="H24" s="5">
        <f>IF(A24&gt;=(Title_RESULTS!$H$7+Title_RESULTS!$C$17),0,(+'Sheet4(F_22)'!$D24+'Sheet4(F_22)'!$G24))</f>
        <v>311.02556024894346</v>
      </c>
      <c r="I24" s="5">
        <f>IF(A24&gt;=(Title_RESULTS!$H$7+Title_RESULTS!$C$17),0,(+'Sheet4(F_22)'!$H24))</f>
        <v>11024.445492754376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11816.371702493929</v>
      </c>
      <c r="L24" s="23">
        <f>IF(A24&gt;=(Title_RESULTS!$H$7+Title_RESULTS!$C$17),0,(+$K24-$F24))</f>
        <v>11816.371702493929</v>
      </c>
      <c r="M24" s="23">
        <f>IF(A24&gt;=(Title_RESULTS!$H$7+Title_RESULTS!$C$17),0,(+M23+$L24/(1+Title_RESULTS!$C$37)^('Sheet7(F_23)'!$A24-Title_RESULTS!$H$7)))</f>
        <v>-7793.845909739741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493.9634206165966</v>
      </c>
      <c r="H25" s="5">
        <f>IF(A25&gt;=(Title_RESULTS!$H$7+Title_RESULTS!$C$17),0,(+'Sheet4(F_22)'!$D25+'Sheet4(F_22)'!$G25))</f>
        <v>318.49017369491816</v>
      </c>
      <c r="I25" s="5">
        <f>IF(A25&gt;=(Title_RESULTS!$H$7+Title_RESULTS!$C$17),0,(+'Sheet4(F_22)'!$H25))</f>
        <v>11811.196983266864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12623.650577578379</v>
      </c>
      <c r="L25" s="23">
        <f>IF(A25&gt;=(Title_RESULTS!$H$7+Title_RESULTS!$C$17),0,(+$K25-$F25))</f>
        <v>12623.650577578379</v>
      </c>
      <c r="M25" s="23">
        <f>IF(A25&gt;=(Title_RESULTS!$H$7+Title_RESULTS!$C$17),0,(+M24+$L25/(1+Title_RESULTS!$C$37)^('Sheet7(F_23)'!$A25-Title_RESULTS!$H$7)))</f>
        <v>-973.4481647946059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501.8728882643235</v>
      </c>
      <c r="H26" s="5">
        <f>IF(A26&gt;=(Title_RESULTS!$H$7+Title_RESULTS!$C$17),0,(+'Sheet4(F_22)'!$D26+'Sheet4(F_22)'!$G26))</f>
        <v>326.13393786359615</v>
      </c>
      <c r="I26" s="5">
        <f>IF(A26&gt;=(Title_RESULTS!$H$7+Title_RESULTS!$C$17),0,(+'Sheet4(F_22)'!$H26))</f>
        <v>13192.452687554196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14020.459513682115</v>
      </c>
      <c r="L26" s="23">
        <f>IF(A26&gt;=(Title_RESULTS!$H$7+Title_RESULTS!$C$17),0,(+$K26-$F26))</f>
        <v>14020.459513682115</v>
      </c>
      <c r="M26" s="23">
        <f>IF(A26&gt;=(Title_RESULTS!$H$7+Title_RESULTS!$C$17),0,(+M25+$L26/(1+Title_RESULTS!$C$37)^('Sheet7(F_23)'!$A26-Title_RESULTS!$H$7)))</f>
        <v>6100.77282496343</v>
      </c>
    </row>
    <row r="27" spans="2:13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t="s">
        <v>87</v>
      </c>
      <c r="B28" s="5">
        <f aca="true" t="shared" si="1" ref="B28:L28">SUM(B16:B27)</f>
        <v>0</v>
      </c>
      <c r="C28" s="5">
        <f t="shared" si="1"/>
        <v>384.072</v>
      </c>
      <c r="D28" s="5">
        <f t="shared" si="1"/>
        <v>63919.871896</v>
      </c>
      <c r="E28" s="5">
        <f t="shared" si="1"/>
        <v>0</v>
      </c>
      <c r="F28" s="5">
        <f t="shared" si="1"/>
        <v>64303.943896</v>
      </c>
      <c r="G28" s="5">
        <f t="shared" si="1"/>
        <v>3715.8050810180275</v>
      </c>
      <c r="H28" s="5">
        <f t="shared" si="1"/>
        <v>2938.0106418016626</v>
      </c>
      <c r="I28" s="5">
        <f t="shared" si="1"/>
        <v>92557.03695780036</v>
      </c>
      <c r="J28" s="5">
        <f t="shared" si="1"/>
        <v>0</v>
      </c>
      <c r="K28" s="5">
        <f t="shared" si="1"/>
        <v>99210.85268062004</v>
      </c>
      <c r="L28" s="5">
        <f t="shared" si="1"/>
        <v>34906.90878462005</v>
      </c>
      <c r="M28" s="5"/>
    </row>
    <row r="29" spans="2:13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t="s">
        <v>118</v>
      </c>
      <c r="B30" s="5">
        <f>NPV(Title_RESULTS!$C$37,'Sheet7(F_23)'!B17:B27)+'Sheet7(F_23)'!B16</f>
        <v>0</v>
      </c>
      <c r="C30" s="5">
        <f>NPV(Title_RESULTS!$C$37,'Sheet7(F_23)'!C17:C27)+'Sheet7(F_23)'!C16</f>
        <v>358.8491576370552</v>
      </c>
      <c r="D30" s="5">
        <f>NPV(Title_RESULTS!$C$37,'Sheet7(F_23)'!D17:D27)+'Sheet7(F_23)'!D16</f>
        <v>59724.77550305044</v>
      </c>
      <c r="E30" s="5">
        <f>NPV(Title_RESULTS!$C$37,'Sheet7(F_23)'!E17:E27)+'Sheet7(F_23)'!E16</f>
        <v>0</v>
      </c>
      <c r="F30" s="5">
        <f>NPV(Title_RESULTS!$C$37,'Sheet7(F_23)'!F17:F27)+'Sheet7(F_23)'!F16</f>
        <v>60083.6246606875</v>
      </c>
      <c r="G30" s="5">
        <f>NPV(Title_RESULTS!$C$37,'Sheet7(F_23)'!G17:G27)+'Sheet7(F_23)'!G16</f>
        <v>2390.122593694596</v>
      </c>
      <c r="H30" s="5">
        <f>NPV(Title_RESULTS!$C$37,'Sheet7(F_23)'!H17:H27)+'Sheet7(F_23)'!H16</f>
        <v>2028.7196128551802</v>
      </c>
      <c r="I30" s="5">
        <f>NPV(Title_RESULTS!$C$37,'Sheet7(F_23)'!I17:I27)+'Sheet7(F_23)'!I16</f>
        <v>61765.55527910115</v>
      </c>
      <c r="J30" s="5">
        <f>NPV(Title_RESULTS!$C$37,'Sheet7(F_23)'!J17:J27)+'Sheet7(F_23)'!J16</f>
        <v>0</v>
      </c>
      <c r="K30" s="5">
        <f>NPV(Title_RESULTS!$C$37,'Sheet7(F_23)'!K17:K27)+'Sheet7(F_23)'!K16</f>
        <v>66184.39748565093</v>
      </c>
      <c r="L30" s="5">
        <f>NPV(Title_RESULTS!$C$37,'Sheet7(F_23)'!L17:L27)+'Sheet7(F_23)'!L16</f>
        <v>6100.772824963431</v>
      </c>
      <c r="M30" s="5"/>
    </row>
    <row r="32" spans="1:8" ht="12.75">
      <c r="A32" t="s">
        <v>162</v>
      </c>
      <c r="C32">
        <f>+Title_RESULTS!C37</f>
        <v>0.0708</v>
      </c>
      <c r="D32" t="s">
        <v>163</v>
      </c>
      <c r="H32" s="10">
        <f>+K30/F30</f>
        <v>1.1015380290289833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Smart Thermostat</v>
      </c>
      <c r="L2" t="s">
        <v>55</v>
      </c>
    </row>
    <row r="3" ht="12.75">
      <c r="L3" s="35">
        <f>+Title_RESULTS!I4</f>
        <v>43599.320127314815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1998.5040055004836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8665.741579452411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10664.245584952894</v>
      </c>
      <c r="G16" s="5">
        <f>IF(A16&gt;=(Title_RESULTS!$H$7+Title_RESULTS!$C$17),0,(+'Sheet6(p_6)'!$H16))</f>
        <v>20824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20824</v>
      </c>
      <c r="K16" s="23">
        <f>IF(A16&gt;=(Title_RESULTS!$H$7+Title_RESULTS!$C$17),0,(+F16-J16))</f>
        <v>-10159.754415047106</v>
      </c>
      <c r="L16" s="23">
        <f>IF(A16&gt;=(Title_RESULTS!$H$7+Title_RESULTS!$C$17),0,(+$K16/((1+Title_RESULTS!$C$37)^('Sheet8(F_24)'!$A16-Title_RESULTS!$H$7))))</f>
        <v>-10159.754415047106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6169.57261952549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8665.741579452411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14835.314198977901</v>
      </c>
      <c r="G17" s="5">
        <f>IF(A17&gt;=(Title_RESULTS!$H$7+Title_RESULTS!$C$17),0,(+'Sheet6(p_6)'!$H17))</f>
        <v>21302.951999999997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21302.951999999997</v>
      </c>
      <c r="K17" s="23">
        <f>IF(A17&gt;=(Title_RESULTS!$H$7+Title_RESULTS!$C$17),0,(+F17-J17))</f>
        <v>-6467.637801022096</v>
      </c>
      <c r="L17" s="23">
        <f>IF(A16&gt;=(Title_RESULTS!$H$7+Title_RESULTS!$C$17),0,(+$K17/((1+Title_RESULTS!$C$37)^('Sheet8(F_24)'!$A17-Title_RESULTS!$H$7))+L16))</f>
        <v>-16199.759832512642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10527.661572198318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8665.741579452411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19193.40315165073</v>
      </c>
      <c r="G18" s="5">
        <f>IF(A18&gt;=(Title_RESULTS!$H$7+Title_RESULTS!$C$17),0,(+'Sheet6(p_6)'!$H18))</f>
        <v>21792.919895999996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21792.919895999996</v>
      </c>
      <c r="K18" s="23">
        <f>IF(A18&gt;=(Title_RESULTS!$H$7+Title_RESULTS!$C$17),0,(+F18-J18))</f>
        <v>-2599.5167443492646</v>
      </c>
      <c r="L18" s="23">
        <f>IF(A17&gt;=(Title_RESULTS!$H$7+Title_RESULTS!$C$17),0,(+$K18/((1+Title_RESULTS!$C$37)^('Sheet8(F_24)'!$A18-Title_RESULTS!$H$7))+L17))</f>
        <v>-18466.887067695803</v>
      </c>
      <c r="M18" s="5"/>
    </row>
    <row r="19" spans="1:13" ht="12.75">
      <c r="A19">
        <f aca="true" t="shared" si="0" ref="A19:A26">+A18+1</f>
        <v>2023</v>
      </c>
      <c r="B19" s="5">
        <f>IF(A19&gt;=(Title_RESULTS!$H$7+Title_RESULTS!$C$17),0,(+'Sheet6(p_6)'!N19-'Sheet6(p_6)'!R19))</f>
        <v>12639.538436896091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12639.538436896091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12639.538436896091</v>
      </c>
      <c r="L19" s="23">
        <f>IF(A18&gt;=(Title_RESULTS!$H$7+Title_RESULTS!$C$17),0,(+$K19/((1+Title_RESULTS!$C$37)^('Sheet8(F_24)'!$A19-Title_RESULTS!$H$7))+L18))</f>
        <v>-8172.366458530965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13071.462610989816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13071.462610989816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13071.462610989816</v>
      </c>
      <c r="L20" s="23">
        <f>IF(A19&gt;=(Title_RESULTS!$H$7+Title_RESULTS!$C$17),0,(+$K20/((1+Title_RESULTS!$C$37)^('Sheet8(F_24)'!$A20-Title_RESULTS!$H$7))+L19))</f>
        <v>1770.0221720366844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13529.727399660844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13529.727399660844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13529.727399660844</v>
      </c>
      <c r="L21" s="23">
        <f>IF(A20&gt;=(Title_RESULTS!$H$7+Title_RESULTS!$C$17),0,(+$K21/((1+Title_RESULTS!$C$37)^('Sheet8(F_24)'!$A21-Title_RESULTS!$H$7))+L20))</f>
        <v>11380.54985079369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13922.341256701806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13922.341256701806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13922.341256701806</v>
      </c>
      <c r="L22" s="23">
        <f>IF(A21&gt;=(Title_RESULTS!$H$7+Title_RESULTS!$C$17),0,(+$K22/((1+Title_RESULTS!$C$37)^('Sheet8(F_24)'!$A22-Title_RESULTS!$H$7))+L21))</f>
        <v>20616.085725888574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14434.896867314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14434.896867314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14434.896867314</v>
      </c>
      <c r="L23" s="23">
        <f>IF(A22&gt;=(Title_RESULTS!$H$7+Title_RESULTS!$C$17),0,(+$K23/((1+Title_RESULTS!$C$37)^('Sheet8(F_24)'!$A23-Title_RESULTS!$H$7))+L22))</f>
        <v>29558.507458459662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15264.199410553327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15264.199410553327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15264.199410553327</v>
      </c>
      <c r="L24" s="23">
        <f>IF(A23&gt;=(Title_RESULTS!$H$7+Title_RESULTS!$C$17),0,(+$K24/((1+Title_RESULTS!$C$37)^('Sheet8(F_24)'!$A24-Title_RESULTS!$H$7))+L23))</f>
        <v>38389.45146064826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15779.356416900186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15779.356416900186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15779.356416900186</v>
      </c>
      <c r="L25" s="23">
        <f>IF(A24&gt;=(Title_RESULTS!$H$7+Title_RESULTS!$C$17),0,(+$K25/((1+Title_RESULTS!$C$37)^('Sheet8(F_24)'!$A25-Title_RESULTS!$H$7))+L24))</f>
        <v>46914.836907680874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16677.314270948697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16677.314270948697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16677.314270948697</v>
      </c>
      <c r="L26" s="23">
        <f>IF(A25&gt;=(Title_RESULTS!$H$7+Title_RESULTS!$C$17),0,(+$K26/((1+Title_RESULTS!$C$37)^('Sheet8(F_24)'!$A26-Title_RESULTS!$H$7))+L25))</f>
        <v>55329.61151283591</v>
      </c>
      <c r="M26" s="5"/>
    </row>
    <row r="27" spans="2:13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t="s">
        <v>87</v>
      </c>
      <c r="B28" s="5">
        <f aca="true" t="shared" si="1" ref="B28:K28">SUM(B16:B27)</f>
        <v>134014.57486718905</v>
      </c>
      <c r="C28" s="5">
        <f t="shared" si="1"/>
        <v>0</v>
      </c>
      <c r="D28" s="5">
        <f t="shared" si="1"/>
        <v>25997.224738357232</v>
      </c>
      <c r="E28" s="5">
        <f t="shared" si="1"/>
        <v>0</v>
      </c>
      <c r="F28" s="5">
        <f t="shared" si="1"/>
        <v>160011.7996055463</v>
      </c>
      <c r="G28" s="5">
        <f t="shared" si="1"/>
        <v>63919.871896</v>
      </c>
      <c r="H28" s="5">
        <f t="shared" si="1"/>
        <v>0</v>
      </c>
      <c r="I28" s="5">
        <f t="shared" si="1"/>
        <v>0</v>
      </c>
      <c r="J28" s="5">
        <f t="shared" si="1"/>
        <v>63919.871896</v>
      </c>
      <c r="K28" s="5">
        <f t="shared" si="1"/>
        <v>96091.9277095463</v>
      </c>
      <c r="L28" s="5"/>
      <c r="M28" s="5"/>
    </row>
    <row r="29" ht="12.75">
      <c r="M29" s="5"/>
    </row>
    <row r="30" spans="1:13" ht="12.75">
      <c r="A30" t="s">
        <v>118</v>
      </c>
      <c r="B30" s="5">
        <f>NPV(Title_RESULTS!$C$37,'Sheet8(F_24)'!B17:B27)+'Sheet8(F_24)'!B16</f>
        <v>90738.18333902495</v>
      </c>
      <c r="C30" s="5">
        <f>NPV(Title_RESULTS!$C$37,'Sheet8(F_24)'!C17:C27)+'Sheet8(F_24)'!C16</f>
        <v>0</v>
      </c>
      <c r="D30" s="5">
        <f>NPV(Title_RESULTS!$C$37,'Sheet8(F_24)'!D17:D27)+'Sheet8(F_24)'!D16</f>
        <v>24316.203676861398</v>
      </c>
      <c r="E30" s="5">
        <f>NPV(Title_RESULTS!$C$37,'Sheet8(F_24)'!E17:E27)+'Sheet8(F_24)'!E16</f>
        <v>0</v>
      </c>
      <c r="F30" s="5">
        <f>NPV(Title_RESULTS!$C$37,'Sheet8(F_24)'!F17:F27)+'Sheet8(F_24)'!F16</f>
        <v>115054.38701588636</v>
      </c>
      <c r="G30" s="5">
        <f>NPV(Title_RESULTS!$C$37,'Sheet8(F_24)'!G17:G27)+'Sheet8(F_24)'!G16</f>
        <v>59724.77550305044</v>
      </c>
      <c r="H30" s="5">
        <f>NPV(Title_RESULTS!$C$37,'Sheet8(F_24)'!H17:H27)+'Sheet8(F_24)'!H16</f>
        <v>0</v>
      </c>
      <c r="I30" s="5">
        <f>NPV(Title_RESULTS!$C$37,'Sheet8(F_24)'!I17:I27)+'Sheet8(F_24)'!I16</f>
        <v>0</v>
      </c>
      <c r="J30" s="5">
        <f>NPV(Title_RESULTS!$C$37,'Sheet8(F_24)'!J17:J27)+'Sheet8(F_24)'!J16</f>
        <v>59724.77550305044</v>
      </c>
      <c r="K30" s="5">
        <f>NPV(Title_RESULTS!$C$37,'Sheet8(F_24)'!K17:K27)+'Sheet8(F_24)'!K16</f>
        <v>55329.6115128359</v>
      </c>
      <c r="L30" s="5"/>
      <c r="M30" s="5"/>
    </row>
    <row r="31" spans="2:12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1" ht="12.75">
      <c r="A32" t="s">
        <v>174</v>
      </c>
      <c r="D32">
        <f>+Title_RESULTS!H8</f>
        <v>2023</v>
      </c>
      <c r="F32">
        <f>+F30/J30</f>
        <v>1.9264097026201457</v>
      </c>
      <c r="K32" s="10"/>
    </row>
    <row r="33" spans="1:10" ht="12.75">
      <c r="A33" t="s">
        <v>175</v>
      </c>
      <c r="D33">
        <f>+Title_RESULTS!C37</f>
        <v>0.0708</v>
      </c>
      <c r="J33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Smart Thermostat</v>
      </c>
      <c r="N2" t="s">
        <v>55</v>
      </c>
    </row>
    <row r="3" ht="12.75">
      <c r="N3" s="35">
        <f>+Title_RESULTS!I4</f>
        <v>43599.320127314815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8665.741579452411</v>
      </c>
      <c r="E16" s="5">
        <f>+'Sheet6(p_6)'!M16</f>
        <v>986.7552366</v>
      </c>
      <c r="F16">
        <f>IF(A16&gt;=(Title_RESULTS!$H$7+Title_RESULTS!$C$17),0,(+'f-11B'!$R15))</f>
        <v>0</v>
      </c>
      <c r="G16" s="5">
        <f>IF(A16&gt;=(Title_RESULTS!$H$7+Title_RESULTS!$C$17),0,(SUM(B16:F16)))</f>
        <v>9777.496816052411</v>
      </c>
      <c r="H16" s="5">
        <f>IF(A16&gt;=(Title_RESULTS!$H$7+Title_RESULTS!$C$17),0,(+'Sheet3(F_21)'!$J16+'Sheet4(F_22)'!$H16))</f>
        <v>1271.565535168229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1271.565535168229</v>
      </c>
      <c r="M16" s="23">
        <f>IF(A16&gt;=(Title_RESULTS!$H$7+Title_RESULTS!$C$17),0,(+L16-G16))</f>
        <v>-8505.931280884182</v>
      </c>
      <c r="N16" s="24">
        <f>IF(A16&gt;=(Title_RESULTS!$H$7+Title_RESULTS!$C$17),0,(+$M16/((1+Title_RESULTS!$C$37)^('Sheet9(F_25)'!$A16-Title_RESULTS!$H$7))))</f>
        <v>-8505.931280884182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8665.741579452411</v>
      </c>
      <c r="E17" s="5">
        <f>+'Sheet6(p_6)'!M17</f>
        <v>2989.8683668980007</v>
      </c>
      <c r="F17">
        <f>IF(A17&gt;=(Title_RESULTS!$H$7+Title_RESULTS!$C$17),0,(+'f-11B'!$R16))</f>
        <v>0</v>
      </c>
      <c r="G17" s="5">
        <f>IF(A17&gt;=(Title_RESULTS!$H$7+Title_RESULTS!$C$17),0,(SUM(B17:F17)))</f>
        <v>11783.609946350412</v>
      </c>
      <c r="H17" s="5">
        <f>IF(A17&gt;=(Title_RESULTS!$H$7+Title_RESULTS!$C$17),0,(+'Sheet3(F_21)'!$J17+'Sheet4(F_22)'!$H17))</f>
        <v>3783.668423335357</v>
      </c>
      <c r="I17" s="5">
        <f>IF(A17&gt;=(Title_RESULTS!$H$7+Title_RESULTS!$C$17),0,(+'Sheet4(F_22)'!$D17+'Sheet4(F_22)'!$G17))</f>
        <v>263.44889696908257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4047.1173203044395</v>
      </c>
      <c r="M17" s="23">
        <f>IF(A17&gt;=(Title_RESULTS!$H$7+Title_RESULTS!$C$17),0,(+L17-G17))</f>
        <v>-7736.492626045972</v>
      </c>
      <c r="N17" s="24">
        <f>(IF(A16&gt;=(Title_RESULTS!$H$7+Title_RESULTS!$C$17),0,(+$M17/((1+Title_RESULTS!$C$37)^('Sheet9(F_25)'!$A17-Title_RESULTS!$H$7))+N16)))</f>
        <v>-15730.896378050762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8665.741579452411</v>
      </c>
      <c r="E18" s="5">
        <f>+'Sheet6(p_6)'!M18</f>
        <v>5032.945084278301</v>
      </c>
      <c r="F18">
        <f>IF(A18&gt;=(Title_RESULTS!$H$7+Title_RESULTS!$C$17),0,(+'f-11B'!$R17))</f>
        <v>0</v>
      </c>
      <c r="G18" s="5">
        <f>IF(A18&gt;=(Title_RESULTS!$H$7+Title_RESULTS!$C$17),0,(SUM(B18:F18)))</f>
        <v>13829.758663730712</v>
      </c>
      <c r="H18" s="5">
        <f>IF(A18&gt;=(Title_RESULTS!$H$7+Title_RESULTS!$C$17),0,(+'Sheet3(F_21)'!$J18+'Sheet4(F_22)'!$H18))</f>
        <v>6508.3317715738995</v>
      </c>
      <c r="I18" s="5">
        <f>IF(A18&gt;=(Title_RESULTS!$H$7+Title_RESULTS!$C$17),0,(+'Sheet4(F_22)'!$D18+'Sheet4(F_22)'!$G18))</f>
        <v>269.7716704963405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6778.10344207024</v>
      </c>
      <c r="M18" s="23">
        <f>IF(A18&gt;=(Title_RESULTS!$H$7+Title_RESULTS!$C$17),0,(+L18-G18))</f>
        <v>-7051.655221660472</v>
      </c>
      <c r="N18" s="24">
        <f>(IF(A17&gt;=(Title_RESULTS!$H$7+Title_RESULTS!$C$17),0,(+$M18/((1+Title_RESULTS!$C$37)^('Sheet9(F_25)'!$A18-Title_RESULTS!$H$7))+N17)))</f>
        <v>-21880.885463868333</v>
      </c>
    </row>
    <row r="19" spans="1:14" ht="12.75">
      <c r="A19">
        <f aca="true" t="shared" si="0" ref="A19:A26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6099.9294421453</v>
      </c>
      <c r="F19">
        <f>IF(A19&gt;=(Title_RESULTS!$H$7+Title_RESULTS!$C$17),0,(+'f-11B'!$R18))</f>
        <v>0</v>
      </c>
      <c r="G19" s="5">
        <f>IF(A19&gt;=(Title_RESULTS!$H$7+Title_RESULTS!$C$17),0,(SUM(B19:F19)))</f>
        <v>6099.9294421453</v>
      </c>
      <c r="H19" s="5">
        <f>IF(A19&gt;=(Title_RESULTS!$H$7+Title_RESULTS!$C$17),0,(+'Sheet3(F_21)'!$J19+'Sheet4(F_22)'!$H19))</f>
        <v>8553.753054386372</v>
      </c>
      <c r="I19" s="5">
        <f>IF(A19&gt;=(Title_RESULTS!$H$7+Title_RESULTS!$C$17),0,(+'Sheet4(F_22)'!$D19+'Sheet4(F_22)'!$G19))</f>
        <v>276.2461905882527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8829.999244974624</v>
      </c>
      <c r="M19" s="23">
        <f>IF(A19&gt;=(Title_RESULTS!$H$7+Title_RESULTS!$C$17),0,(+L19-G19))</f>
        <v>2730.0698028293245</v>
      </c>
      <c r="N19" s="24">
        <f>(IF(A18&gt;=(Title_RESULTS!$H$7+Title_RESULTS!$C$17),0,(+$M19/((1+Title_RESULTS!$C$37)^('Sheet9(F_25)'!$A19-Title_RESULTS!$H$7))+N18)))</f>
        <v>-19657.32643202549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6160.928736566754</v>
      </c>
      <c r="F20">
        <f>IF(A20&gt;=(Title_RESULTS!$H$7+Title_RESULTS!$C$17),0,(+'f-11B'!$R19))</f>
        <v>0</v>
      </c>
      <c r="G20" s="5">
        <f>IF(A20&gt;=(Title_RESULTS!$H$7+Title_RESULTS!$C$17),0,(SUM(B20:F20)))</f>
        <v>6160.928736566754</v>
      </c>
      <c r="H20" s="5">
        <f>IF(A20&gt;=(Title_RESULTS!$H$7+Title_RESULTS!$C$17),0,(+'Sheet3(F_21)'!$J20+'Sheet4(F_22)'!$H20))</f>
        <v>8884.535602436736</v>
      </c>
      <c r="I20" s="5">
        <f>IF(A20&gt;=(Title_RESULTS!$H$7+Title_RESULTS!$C$17),0,(+'Sheet4(F_22)'!$D20+'Sheet4(F_22)'!$G20))</f>
        <v>282.87609916237074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9167.411701599107</v>
      </c>
      <c r="M20" s="23">
        <f>IF(A20&gt;=(Title_RESULTS!$H$7+Title_RESULTS!$C$17),0,(+L20-G20))</f>
        <v>3006.4829650323527</v>
      </c>
      <c r="N20" s="24">
        <f>(IF(A19&gt;=(Title_RESULTS!$H$7+Title_RESULTS!$C$17),0,(+$M20/((1+Title_RESULTS!$C$37)^('Sheet9(F_25)'!$A20-Title_RESULTS!$H$7))+N19)))</f>
        <v>-17370.54162919848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6222.53802393242</v>
      </c>
      <c r="F21">
        <f>IF(A21&gt;=(Title_RESULTS!$H$7+Title_RESULTS!$C$17),0,(+'f-11B'!$R20))</f>
        <v>0</v>
      </c>
      <c r="G21" s="5">
        <f>IF(A21&gt;=(Title_RESULTS!$H$7+Title_RESULTS!$C$17),0,(SUM(B21:F21)))</f>
        <v>6222.53802393242</v>
      </c>
      <c r="H21" s="5">
        <f>IF(A21&gt;=(Title_RESULTS!$H$7+Title_RESULTS!$C$17),0,(+'Sheet3(F_21)'!$J21+'Sheet4(F_22)'!$H21))</f>
        <v>9519.633209973481</v>
      </c>
      <c r="I21" s="5">
        <f>IF(A21&gt;=(Title_RESULTS!$H$7+Title_RESULTS!$C$17),0,(+'Sheet4(F_22)'!$D21+'Sheet4(F_22)'!$G21))</f>
        <v>289.6651255422677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9809.298335515748</v>
      </c>
      <c r="M21" s="23">
        <f>IF(A21&gt;=(Title_RESULTS!$H$7+Title_RESULTS!$C$17),0,(+L21-G21))</f>
        <v>3586.760311583328</v>
      </c>
      <c r="N21" s="24">
        <f>(IF(A20&gt;=(Title_RESULTS!$H$7+Title_RESULTS!$C$17),0,(+$M21/((1+Title_RESULTS!$C$37)^('Sheet9(F_25)'!$A21-Title_RESULTS!$H$7))+N20)))</f>
        <v>-14822.769731561964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6284.7634041717465</v>
      </c>
      <c r="F22">
        <f>IF(A22&gt;=(Title_RESULTS!$H$7+Title_RESULTS!$C$17),0,(+'f-11B'!$R21))</f>
        <v>0</v>
      </c>
      <c r="G22" s="5">
        <f>IF(A22&gt;=(Title_RESULTS!$H$7+Title_RESULTS!$C$17),0,(SUM(B22:F22)))</f>
        <v>6284.7634041717465</v>
      </c>
      <c r="H22" s="5">
        <f>IF(A22&gt;=(Title_RESULTS!$H$7+Title_RESULTS!$C$17),0,(+'Sheet3(F_21)'!$J22+'Sheet4(F_22)'!$H22))</f>
        <v>9824.465765179964</v>
      </c>
      <c r="I22" s="5">
        <f>IF(A22&gt;=(Title_RESULTS!$H$7+Title_RESULTS!$C$17),0,(+'Sheet4(F_22)'!$D22+'Sheet4(F_22)'!$G22))</f>
        <v>296.61708855528207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10121.082853735246</v>
      </c>
      <c r="M22" s="23">
        <f>IF(A22&gt;=(Title_RESULTS!$H$7+Title_RESULTS!$C$17),0,(+L22-G22))</f>
        <v>3836.3194495635</v>
      </c>
      <c r="N22" s="24">
        <f>(IF(A21&gt;=(Title_RESULTS!$H$7+Title_RESULTS!$C$17),0,(+$M22/((1+Title_RESULTS!$C$37)^('Sheet9(F_25)'!$A22-Title_RESULTS!$H$7))+N21)))</f>
        <v>-12277.905670877288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6347.611038213462</v>
      </c>
      <c r="F23">
        <f>IF(A23&gt;=(Title_RESULTS!$H$7+Title_RESULTS!$C$17),0,(+'f-11B'!$R22))</f>
        <v>0</v>
      </c>
      <c r="G23" s="5">
        <f>IF(A23&gt;=(Title_RESULTS!$H$7+Title_RESULTS!$C$17),0,(SUM(B23:F23)))</f>
        <v>6347.611038213462</v>
      </c>
      <c r="H23" s="5">
        <f>IF(A23&gt;=(Title_RESULTS!$H$7+Title_RESULTS!$C$17),0,(+'Sheet3(F_21)'!$J23+'Sheet4(F_22)'!$H23))</f>
        <v>10422.056554817376</v>
      </c>
      <c r="I23" s="5">
        <f>IF(A23&gt;=(Title_RESULTS!$H$7+Title_RESULTS!$C$17),0,(+'Sheet4(F_22)'!$D23+'Sheet4(F_22)'!$G23))</f>
        <v>303.73589868060884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10725.792453497985</v>
      </c>
      <c r="M23" s="23">
        <f>IF(A23&gt;=(Title_RESULTS!$H$7+Title_RESULTS!$C$17),0,(+L23-G23))</f>
        <v>4378.181415284523</v>
      </c>
      <c r="N23" s="24">
        <f>(IF(A22&gt;=(Title_RESULTS!$H$7+Title_RESULTS!$C$17),0,(+$M23/((1+Title_RESULTS!$C$37)^('Sheet9(F_25)'!$A23-Title_RESULTS!$H$7))+N22)))</f>
        <v>-9565.621336804012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6411.087148595599</v>
      </c>
      <c r="F24">
        <f>IF(A24&gt;=(Title_RESULTS!$H$7+Title_RESULTS!$C$17),0,(+'f-11B'!$R23))</f>
        <v>0</v>
      </c>
      <c r="G24" s="5">
        <f>IF(A24&gt;=(Title_RESULTS!$H$7+Title_RESULTS!$C$17),0,(SUM(B24:F24)))</f>
        <v>6411.087148595599</v>
      </c>
      <c r="H24" s="5">
        <f>IF(A24&gt;=(Title_RESULTS!$H$7+Title_RESULTS!$C$17),0,(+'Sheet3(F_21)'!$J24+'Sheet4(F_22)'!$H24))</f>
        <v>11505.346142244985</v>
      </c>
      <c r="I24" s="5">
        <f>IF(A24&gt;=(Title_RESULTS!$H$7+Title_RESULTS!$C$17),0,(+'Sheet4(F_22)'!$D24+'Sheet4(F_22)'!$G24))</f>
        <v>311.02556024894346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11816.371702493929</v>
      </c>
      <c r="M24" s="23">
        <f>IF(A24&gt;=(Title_RESULTS!$H$7+Title_RESULTS!$C$17),0,(+L24-G24))</f>
        <v>5405.28455389833</v>
      </c>
      <c r="N24" s="24">
        <f>(IF(A23&gt;=(Title_RESULTS!$H$7+Title_RESULTS!$C$17),0,(+$M24/((1+Title_RESULTS!$C$37)^('Sheet9(F_25)'!$A24-Title_RESULTS!$H$7))+N23)))</f>
        <v>-6438.450109050718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6475.198020081554</v>
      </c>
      <c r="F25">
        <f>IF(A25&gt;=(Title_RESULTS!$H$7+Title_RESULTS!$C$17),0,(+'f-11B'!$R24))</f>
        <v>0</v>
      </c>
      <c r="G25" s="5">
        <f>IF(A25&gt;=(Title_RESULTS!$H$7+Title_RESULTS!$C$17),0,(SUM(B25:F25)))</f>
        <v>6475.198020081554</v>
      </c>
      <c r="H25" s="5">
        <f>IF(A25&gt;=(Title_RESULTS!$H$7+Title_RESULTS!$C$17),0,(+'Sheet3(F_21)'!$J25+'Sheet4(F_22)'!$H25))</f>
        <v>12305.160403883461</v>
      </c>
      <c r="I25" s="5">
        <f>IF(A25&gt;=(Title_RESULTS!$H$7+Title_RESULTS!$C$17),0,(+'Sheet4(F_22)'!$D25+'Sheet4(F_22)'!$G25))</f>
        <v>318.49017369491816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12623.650577578379</v>
      </c>
      <c r="M25" s="23">
        <f>IF(A25&gt;=(Title_RESULTS!$H$7+Title_RESULTS!$C$17),0,(+L25-G25))</f>
        <v>6148.452557496825</v>
      </c>
      <c r="N25" s="24">
        <f>(IF(A24&gt;=(Title_RESULTS!$H$7+Title_RESULTS!$C$17),0,(+$M25/((1+Title_RESULTS!$C$37)^('Sheet9(F_25)'!$A25-Title_RESULTS!$H$7))+N24)))</f>
        <v>-3116.5194440387636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6539.950000282371</v>
      </c>
      <c r="F26">
        <f>IF(A26&gt;=(Title_RESULTS!$H$7+Title_RESULTS!$C$17),0,(+'f-11B'!$R25))</f>
        <v>0</v>
      </c>
      <c r="G26" s="5">
        <f>IF(A26&gt;=(Title_RESULTS!$H$7+Title_RESULTS!$C$17),0,(SUM(B26:F26)))</f>
        <v>6539.950000282371</v>
      </c>
      <c r="H26" s="5">
        <f>IF(A26&gt;=(Title_RESULTS!$H$7+Title_RESULTS!$C$17),0,(+'Sheet3(F_21)'!$J26+'Sheet4(F_22)'!$H26))</f>
        <v>13694.325575818519</v>
      </c>
      <c r="I26" s="5">
        <f>IF(A26&gt;=(Title_RESULTS!$H$7+Title_RESULTS!$C$17),0,(+'Sheet4(F_22)'!$D26+'Sheet4(F_22)'!$G26))</f>
        <v>326.13393786359615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14020.459513682115</v>
      </c>
      <c r="M26" s="23">
        <f>IF(A26&gt;=(Title_RESULTS!$H$7+Title_RESULTS!$C$17),0,(+L26-G26))</f>
        <v>7480.509513399745</v>
      </c>
      <c r="N26" s="24">
        <f>(IF(A25&gt;=(Title_RESULTS!$H$7+Title_RESULTS!$C$17),0,(+$M26/((1+Title_RESULTS!$C$37)^('Sheet9(F_25)'!$A26-Title_RESULTS!$H$7))+N25)))</f>
        <v>657.8773481730336</v>
      </c>
    </row>
    <row r="27" ht="12.75">
      <c r="E27" s="5"/>
    </row>
    <row r="28" spans="1:13" ht="12.75">
      <c r="A28" t="s">
        <v>87</v>
      </c>
      <c r="B28" s="5">
        <f aca="true" t="shared" si="1" ref="B28:M28">SUM(B16:B27)</f>
        <v>0</v>
      </c>
      <c r="C28" s="5">
        <f t="shared" si="1"/>
        <v>384.072</v>
      </c>
      <c r="D28" s="5">
        <f t="shared" si="1"/>
        <v>25997.224738357232</v>
      </c>
      <c r="E28" s="5">
        <f t="shared" si="1"/>
        <v>59551.57450176551</v>
      </c>
      <c r="F28" s="5">
        <f t="shared" si="1"/>
        <v>0</v>
      </c>
      <c r="G28" s="5">
        <f t="shared" si="1"/>
        <v>85932.87124012275</v>
      </c>
      <c r="H28" s="5">
        <f t="shared" si="1"/>
        <v>96272.84203881837</v>
      </c>
      <c r="I28" s="5">
        <f t="shared" si="1"/>
        <v>2938.0106418016626</v>
      </c>
      <c r="J28" s="5">
        <f t="shared" si="1"/>
        <v>0</v>
      </c>
      <c r="K28" s="9">
        <f t="shared" si="1"/>
        <v>0</v>
      </c>
      <c r="L28" s="5">
        <f t="shared" si="1"/>
        <v>99210.85268062004</v>
      </c>
      <c r="M28" s="5">
        <f t="shared" si="1"/>
        <v>13277.981440497297</v>
      </c>
    </row>
    <row r="30" spans="1:13" ht="12.75">
      <c r="A30" t="s">
        <v>118</v>
      </c>
      <c r="B30" s="5">
        <f>NPV(Title_RESULTS!$C$37,'Sheet9(F_25)'!B17:B27)+'Sheet9(F_25)'!B16</f>
        <v>0</v>
      </c>
      <c r="C30" s="5">
        <f>NPV(Title_RESULTS!$C$37,'Sheet9(F_25)'!C17:C27)+'Sheet9(F_25)'!C16</f>
        <v>358.8491576370552</v>
      </c>
      <c r="D30" s="5">
        <f>NPV(Title_RESULTS!$C$37,'Sheet9(F_25)'!D17:D27)+'Sheet9(F_25)'!D16</f>
        <v>24316.203676861398</v>
      </c>
      <c r="E30" s="5">
        <f>NPV(Title_RESULTS!$C$37,'Sheet9(F_25)'!E17:E27)+'Sheet9(F_25)'!E16</f>
        <v>40851.46730297945</v>
      </c>
      <c r="F30" s="5">
        <f>NPV(Title_RESULTS!$C$37,'Sheet9(F_25)'!F17:F27)+'Sheet9(F_25)'!F16</f>
        <v>0</v>
      </c>
      <c r="G30" s="5">
        <f>NPV(Title_RESULTS!$C$37,'Sheet9(F_25)'!G17:G27)+'Sheet9(F_25)'!G16</f>
        <v>65526.5201374779</v>
      </c>
      <c r="H30" s="5">
        <f>NPV(Title_RESULTS!$C$37,'Sheet9(F_25)'!H17:H27)+'Sheet9(F_25)'!H16</f>
        <v>64155.67787279575</v>
      </c>
      <c r="I30" s="5">
        <f>NPV(Title_RESULTS!$C$37,'Sheet9(F_25)'!I17:I27)+'Sheet9(F_25)'!I16</f>
        <v>2028.7196128551802</v>
      </c>
      <c r="J30" s="5">
        <f>NPV(Title_RESULTS!$C$37,'Sheet9(F_25)'!J17:J27)+'Sheet9(F_25)'!J16</f>
        <v>0</v>
      </c>
      <c r="K30" s="9">
        <f>NPV(Title_RESULTS!$C$37,'Sheet9(F_25)'!K17:K27)+'Sheet9(F_25)'!K16</f>
        <v>0</v>
      </c>
      <c r="L30" s="5">
        <f>NPV(Title_RESULTS!$C$37,'Sheet9(F_25)'!L17:L27)+'Sheet9(F_25)'!L16</f>
        <v>66184.39748565093</v>
      </c>
      <c r="M30" s="5">
        <f>NPV(Title_RESULTS!$C$37,'Sheet9(F_25)'!M17:M27)+'Sheet9(F_25)'!M16</f>
        <v>657.8773481730277</v>
      </c>
    </row>
    <row r="32" spans="1:10" ht="12.75">
      <c r="A32" t="s">
        <v>175</v>
      </c>
      <c r="D32">
        <f>+Title_RESULTS!C37</f>
        <v>0.0708</v>
      </c>
      <c r="F32" t="s">
        <v>183</v>
      </c>
      <c r="J32" s="10">
        <f>+L30/G30</f>
        <v>1.0100398639633659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3347.515349363507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195.27024640000002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966.6152448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19.29705556490645</v>
      </c>
      <c r="P24" s="48">
        <f aca="true" t="shared" si="4" ref="P24:P61">N24*$L$5</f>
        <v>95.52314514205094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19.760184898464203</v>
      </c>
      <c r="P25" s="48">
        <f t="shared" si="4"/>
        <v>97.81570062546015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460.58685385217836</v>
      </c>
      <c r="E26" s="11">
        <f>IF(B26=Title_RESULTS!$H$8,$F$16,+E25*(1+$F$7))</f>
        <v>0.09882230355451863</v>
      </c>
      <c r="F26" s="9">
        <f t="shared" si="1"/>
        <v>330.80917800821095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26.867362522300773</v>
      </c>
      <c r="L26" s="5">
        <f t="shared" si="3"/>
        <v>132.99723168487847</v>
      </c>
      <c r="N26" s="11">
        <f>IF(+B26=Title_RESULTS!$H$9,'Value of Defferal'!$O$16,+'Value of Defferal'!N25*(1+'Value of Defferal'!$F$7))</f>
        <v>0.10362269577198292</v>
      </c>
      <c r="O26" s="5">
        <f t="shared" si="7"/>
        <v>20.234429336027347</v>
      </c>
      <c r="P26" s="48">
        <f t="shared" si="4"/>
        <v>100.1632774404712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446.98577743178976</v>
      </c>
      <c r="E27" s="11">
        <f>IF(B27=Title_RESULTS!$H$8,$F$16,+E26*(1+$F$7))</f>
        <v>0.10119403883982707</v>
      </c>
      <c r="F27" s="9">
        <f t="shared" si="1"/>
        <v>338.74859828040803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26.073972420469126</v>
      </c>
      <c r="L27" s="5">
        <f t="shared" si="3"/>
        <v>129.06983884524976</v>
      </c>
      <c r="N27" s="11">
        <f>IF(+B27=Title_RESULTS!$H$9,'Value of Defferal'!$O$16,+'Value of Defferal'!N26*(1+'Value of Defferal'!$F$7))</f>
        <v>0.10610964047051051</v>
      </c>
      <c r="O27" s="5">
        <f t="shared" si="7"/>
        <v>20.720055640092003</v>
      </c>
      <c r="P27" s="48">
        <f t="shared" si="4"/>
        <v>102.5671960990425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431.9702882575598</v>
      </c>
      <c r="E28" s="11">
        <f>IF(B28=Title_RESULTS!$H$8,$F$16,+E27*(1+$F$7))</f>
        <v>0.10362269577198292</v>
      </c>
      <c r="F28" s="9">
        <f t="shared" si="1"/>
        <v>346.87856463913784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25.198075534312675</v>
      </c>
      <c r="L28" s="5">
        <f t="shared" si="3"/>
        <v>124.73402579313044</v>
      </c>
      <c r="N28" s="11">
        <f>IF(+B28=Title_RESULTS!$H$9,'Value of Defferal'!$O$16,+'Value of Defferal'!N27*(1+'Value of Defferal'!$F$7))</f>
        <v>0.10865627184180277</v>
      </c>
      <c r="O28" s="5">
        <f t="shared" si="7"/>
        <v>21.21733697545421</v>
      </c>
      <c r="P28" s="48">
        <f t="shared" si="4"/>
        <v>105.02880880541953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417.67395824408584</v>
      </c>
      <c r="E29" s="11">
        <f>IF(B29=Title_RESULTS!$H$8,$F$16,+E28*(1+$F$7))</f>
        <v>0.10610964047051051</v>
      </c>
      <c r="F29" s="9">
        <f t="shared" si="1"/>
        <v>355.2036501904771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24.364129280749545</v>
      </c>
      <c r="L29" s="5">
        <f t="shared" si="3"/>
        <v>120.60587428567185</v>
      </c>
      <c r="N29" s="11">
        <f>IF(+B29=Title_RESULTS!$H$9,'Value of Defferal'!$O$16,+'Value of Defferal'!N28*(1+'Value of Defferal'!$F$7))</f>
        <v>0.11126402236600604</v>
      </c>
      <c r="O29" s="5">
        <f t="shared" si="7"/>
        <v>21.72655306286511</v>
      </c>
      <c r="P29" s="48">
        <f t="shared" si="4"/>
        <v>107.5495002167496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404.02467226222825</v>
      </c>
      <c r="E30" s="11">
        <f>IF(B30=Title_RESULTS!$H$8,$F$16,+E29*(1+$F$7))</f>
        <v>0.10865627184180277</v>
      </c>
      <c r="F30" s="9">
        <f t="shared" si="1"/>
        <v>363.72853779504857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23.567926975846543</v>
      </c>
      <c r="L30" s="5">
        <f t="shared" si="3"/>
        <v>116.66456064443429</v>
      </c>
      <c r="N30" s="11">
        <f>IF(+B30=Title_RESULTS!$H$9,'Value of Defferal'!$O$16,+'Value of Defferal'!N29*(1+'Value of Defferal'!$F$7))</f>
        <v>0.11393435890279018</v>
      </c>
      <c r="O30" s="5">
        <f t="shared" si="7"/>
        <v>22.247990336373874</v>
      </c>
      <c r="P30" s="48">
        <f t="shared" si="4"/>
        <v>110.13068822195159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390.9582837054043</v>
      </c>
      <c r="E31" s="11">
        <f>IF(B31=Title_RESULTS!$H$8,$F$16,+E30*(1+$F$7))</f>
        <v>0.11126402236600604</v>
      </c>
      <c r="F31" s="9">
        <f t="shared" si="1"/>
        <v>372.45802270212977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22.80572676262443</v>
      </c>
      <c r="L31" s="5">
        <f t="shared" si="3"/>
        <v>112.89156214992171</v>
      </c>
      <c r="N31" s="11">
        <f>IF(+B31=Title_RESULTS!$H$9,'Value of Defferal'!$O$16,+'Value of Defferal'!N30*(1+'Value of Defferal'!$F$7))</f>
        <v>0.11666878351645714</v>
      </c>
      <c r="O31" s="5">
        <f t="shared" si="7"/>
        <v>22.781942104446845</v>
      </c>
      <c r="P31" s="48">
        <f t="shared" si="4"/>
        <v>112.77382473927842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378.29868822510775</v>
      </c>
      <c r="E32" s="11">
        <f>IF(B32=Title_RESULTS!$H$8,$F$16,+E31*(1+$F$7))</f>
        <v>0.11393435890279018</v>
      </c>
      <c r="F32" s="9">
        <f t="shared" si="1"/>
        <v>381.39701524698086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22.067255965401092</v>
      </c>
      <c r="L32" s="5">
        <f t="shared" si="3"/>
        <v>109.23602760948037</v>
      </c>
      <c r="N32" s="11">
        <f>IF(+B32=Title_RESULTS!$H$9,'Value of Defferal'!$O$16,+'Value of Defferal'!N31*(1+'Value of Defferal'!$F$7))</f>
        <v>0.11946883432085212</v>
      </c>
      <c r="O32" s="5">
        <f t="shared" si="7"/>
        <v>23.32870871495357</v>
      </c>
      <c r="P32" s="48">
        <f t="shared" si="4"/>
        <v>115.48039653302112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365.7693780886158</v>
      </c>
      <c r="E33" s="11">
        <f>IF(B33=Title_RESULTS!$H$8,$F$16,+E32*(1+$F$7))</f>
        <v>0.11666878351645714</v>
      </c>
      <c r="F33" s="9">
        <f t="shared" si="1"/>
        <v>390.55054361290837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21.336385088874717</v>
      </c>
      <c r="L33" s="5">
        <f t="shared" si="3"/>
        <v>105.61811374776707</v>
      </c>
      <c r="N33" s="11">
        <f>IF(+B33=Title_RESULTS!$H$9,'Value of Defferal'!$O$16,+'Value of Defferal'!N32*(1+'Value of Defferal'!$F$7))</f>
        <v>0.12233608634455258</v>
      </c>
      <c r="O33" s="5">
        <f t="shared" si="7"/>
        <v>23.888597724112458</v>
      </c>
      <c r="P33" s="48">
        <f t="shared" si="4"/>
        <v>118.25192604981363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353.24006795212375</v>
      </c>
      <c r="E34" s="11">
        <f>IF(B34=Title_RESULTS!$H$8,$F$16,+E33*(1+$F$7))</f>
        <v>0.11946883432085212</v>
      </c>
      <c r="F34" s="9">
        <f t="shared" si="1"/>
        <v>399.9237566596182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20.60551421234834</v>
      </c>
      <c r="L34" s="5">
        <f t="shared" si="3"/>
        <v>102.00019988605375</v>
      </c>
      <c r="N34" s="11">
        <f>IF(+B34=Title_RESULTS!$H$9,'Value of Defferal'!$O$16,+'Value of Defferal'!N33*(1+'Value of Defferal'!$F$7))</f>
        <v>0.12527215241682185</v>
      </c>
      <c r="O34" s="5">
        <f t="shared" si="7"/>
        <v>24.46192406949116</v>
      </c>
      <c r="P34" s="48">
        <f t="shared" si="4"/>
        <v>121.08997227500917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340.7107578156318</v>
      </c>
      <c r="E35" s="11">
        <f>IF(B35=Title_RESULTS!$H$8,$F$16,+E34*(1+$F$7))</f>
        <v>0.12233608634455258</v>
      </c>
      <c r="F35" s="9">
        <f t="shared" si="1"/>
        <v>409.5219268194491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19.87464333582196</v>
      </c>
      <c r="L35" s="5">
        <f t="shared" si="3"/>
        <v>98.38228602434043</v>
      </c>
      <c r="N35" s="11">
        <f>IF(+B35=Title_RESULTS!$H$9,'Value of Defferal'!$O$16,+'Value of Defferal'!N34*(1+'Value of Defferal'!$F$7))</f>
        <v>0.12827868407482557</v>
      </c>
      <c r="O35" s="5">
        <f t="shared" si="7"/>
        <v>25.049010247158947</v>
      </c>
      <c r="P35" s="48">
        <f t="shared" si="4"/>
        <v>123.99613160960938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328.1814476791398</v>
      </c>
      <c r="E36" s="11">
        <f>IF(B36=Title_RESULTS!$H$8,$F$16,+E35*(1+$F$7))</f>
        <v>0.12527215241682185</v>
      </c>
      <c r="F36" s="9">
        <f t="shared" si="1"/>
        <v>419.35045306311594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19.143772459295587</v>
      </c>
      <c r="L36" s="5">
        <f t="shared" si="3"/>
        <v>94.76437216262713</v>
      </c>
      <c r="N36" s="11">
        <f>IF(+B36=Title_RESULTS!$H$9,'Value of Defferal'!$O$16,+'Value of Defferal'!N35*(1+'Value of Defferal'!$F$7))</f>
        <v>0.1313573724926214</v>
      </c>
      <c r="O36" s="5">
        <f t="shared" si="7"/>
        <v>25.650186493090764</v>
      </c>
      <c r="P36" s="48">
        <f t="shared" si="4"/>
        <v>126.97203876824001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315.6521375426478</v>
      </c>
      <c r="E37" s="11">
        <f>IF(B37&gt;Title_RESULTS!$H$8-1+Title_RESULTS!$C$18,0,+E36*(1+$F$7))</f>
        <v>0.12827868407482557</v>
      </c>
      <c r="F37" s="9">
        <f t="shared" si="1"/>
        <v>429.41486393663064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18.412901582769205</v>
      </c>
      <c r="L37" s="5">
        <f t="shared" si="3"/>
        <v>91.14645830091379</v>
      </c>
      <c r="N37" s="11">
        <f>IF(+B37=Title_RESULTS!$H$9,'Value of Defferal'!$O$16,+'Value of Defferal'!N36*(1+'Value of Defferal'!$F$7))</f>
        <v>0.1345099494324443</v>
      </c>
      <c r="O37" s="5">
        <f t="shared" si="7"/>
        <v>26.26579096892494</v>
      </c>
      <c r="P37" s="48">
        <f t="shared" si="4"/>
        <v>130.01936769867777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303.12282740615575</v>
      </c>
      <c r="E38" s="11">
        <f>IF(B38&gt;Title_RESULTS!$H$8-1+Title_RESULTS!$C$18,0,+E37*(1+$F$7))</f>
        <v>0.1313573724926214</v>
      </c>
      <c r="F38" s="9">
        <f t="shared" si="1"/>
        <v>439.72082067110983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17.682030706242823</v>
      </c>
      <c r="L38" s="5">
        <f t="shared" si="3"/>
        <v>87.52854443920046</v>
      </c>
      <c r="N38" s="11">
        <f>IF(+B38=Title_RESULTS!$H$9,'Value of Defferal'!$O$16,+'Value of Defferal'!N37*(1+'Value of Defferal'!$F$7))</f>
        <v>0.13773818821882297</v>
      </c>
      <c r="O38" s="5">
        <f t="shared" si="7"/>
        <v>26.896169952179143</v>
      </c>
      <c r="P38" s="48">
        <f t="shared" si="4"/>
        <v>133.13983252344605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290.59351726966366</v>
      </c>
      <c r="E39" s="11">
        <f>IF(B39&gt;Title_RESULTS!$H$8-1+Title_RESULTS!$C$18,0,+E38*(1+$F$7))</f>
        <v>0.1345099494324443</v>
      </c>
      <c r="F39" s="9">
        <f t="shared" si="1"/>
        <v>450.2741203672164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16.951159829716442</v>
      </c>
      <c r="L39" s="5">
        <f t="shared" si="3"/>
        <v>83.91063057748713</v>
      </c>
      <c r="N39" s="11">
        <f>IF(+B39&gt;Title_RESULTS!$H$9+Title_RESULTS!$C$19-1,0,+'Value of Defferal'!N38*(1+'Value of Defferal'!$F$7))</f>
        <v>0.14104390473607473</v>
      </c>
      <c r="O39" s="5">
        <f t="shared" si="7"/>
        <v>27.54167803103144</v>
      </c>
      <c r="P39" s="48">
        <f t="shared" si="4"/>
        <v>136.33518850400876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278.06420713317175</v>
      </c>
      <c r="E40" s="11">
        <f>IF(B40&gt;Title_RESULTS!$H$8-1+Title_RESULTS!$C$18,0,+E39*(1+$F$7))</f>
        <v>0.13773818821882297</v>
      </c>
      <c r="F40" s="9">
        <f t="shared" si="1"/>
        <v>461.0806992560297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16.22028895319007</v>
      </c>
      <c r="L40" s="5">
        <f t="shared" si="3"/>
        <v>80.29271671577384</v>
      </c>
      <c r="N40" s="11">
        <f>IF(+B40&gt;Title_RESULTS!$H$9+Title_RESULTS!$C$19-1,0,+'Value of Defferal'!N39*(1+'Value of Defferal'!$F$7))</f>
        <v>0.14442895844974052</v>
      </c>
      <c r="O40" s="5">
        <f t="shared" si="7"/>
        <v>28.202678303776196</v>
      </c>
      <c r="P40" s="48">
        <f t="shared" si="4"/>
        <v>139.60723302810496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266.71144935219894</v>
      </c>
      <c r="E41" s="11">
        <f>IF(B41&gt;Title_RESULTS!$H$8-1+Title_RESULTS!$C$18,0,+E40*(1+$F$7))</f>
        <v>0.14104390473607473</v>
      </c>
      <c r="F41" s="9">
        <f t="shared" si="1"/>
        <v>472.1466360381744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15.558049776413304</v>
      </c>
      <c r="L41" s="5">
        <f t="shared" si="3"/>
        <v>77.01453944208436</v>
      </c>
      <c r="N41" s="11">
        <f>IF(+B41&gt;Title_RESULTS!$H$9+Title_RESULTS!$C$19-1,0,+'Value of Defferal'!N40*(1+'Value of Defferal'!$F$7))</f>
        <v>0.1478952534525343</v>
      </c>
      <c r="O41" s="5">
        <f t="shared" si="7"/>
        <v>28.879542583066826</v>
      </c>
      <c r="P41" s="48">
        <f t="shared" si="4"/>
        <v>142.95780662077948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257.71139785613684</v>
      </c>
      <c r="E42" s="11">
        <f>IF(B42&gt;Title_RESULTS!$H$8-1+Title_RESULTS!$C$18,0,+E41*(1+$F$7))</f>
        <v>0.14442895844974052</v>
      </c>
      <c r="F42" s="9">
        <f t="shared" si="1"/>
        <v>483.4781553030906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15.033050757788073</v>
      </c>
      <c r="L42" s="5">
        <f t="shared" si="3"/>
        <v>74.41572029649542</v>
      </c>
      <c r="N42" s="11">
        <f>IF(+B42&gt;Title_RESULTS!$H$9+Title_RESULTS!$C$19-1,0,+'Value of Defferal'!N41*(1+'Value of Defferal'!$F$7))</f>
        <v>0.1514447395353951</v>
      </c>
      <c r="O42" s="5">
        <f t="shared" si="7"/>
        <v>29.57265160506043</v>
      </c>
      <c r="P42" s="48">
        <f t="shared" si="4"/>
        <v>146.38879397967818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249.88750028946612</v>
      </c>
      <c r="E43" s="11">
        <f>IF(B43&gt;Title_RESULTS!$H$8-1+Title_RESULTS!$C$18,0,+E42*(1+$F$7))</f>
        <v>0.1478952534525343</v>
      </c>
      <c r="F43" s="9">
        <f t="shared" si="1"/>
        <v>495.08163103036475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14.57666019756476</v>
      </c>
      <c r="L43" s="5">
        <f t="shared" si="3"/>
        <v>72.15652269098318</v>
      </c>
      <c r="N43" s="11">
        <f>IF(+B43&gt;Title_RESULTS!$H$9+Title_RESULTS!$C$19-1,0,+'Value of Defferal'!N42*(1+'Value of Defferal'!$F$7))</f>
        <v>0.1550794132842446</v>
      </c>
      <c r="O43" s="5">
        <f t="shared" si="7"/>
        <v>30.282395243581878</v>
      </c>
      <c r="P43" s="48">
        <f t="shared" si="4"/>
        <v>149.90212503519047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242.06360272279545</v>
      </c>
      <c r="E44" s="11">
        <f>IF(B44&gt;Title_RESULTS!$H$8-1+Title_RESULTS!$C$18,0,+E43*(1+$F$7))</f>
        <v>0.1514447395353951</v>
      </c>
      <c r="F44" s="9">
        <f t="shared" si="1"/>
        <v>506.9635901750935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14.12026963734145</v>
      </c>
      <c r="L44" s="5">
        <f t="shared" si="3"/>
        <v>69.89732508547094</v>
      </c>
      <c r="N44" s="11">
        <f>IF(+B44&gt;Title_RESULTS!$H$9+Title_RESULTS!$C$19-1,0,+'Value of Defferal'!N43*(1+'Value of Defferal'!$F$7))</f>
        <v>0.15880131920306648</v>
      </c>
      <c r="O44" s="5">
        <f t="shared" si="7"/>
        <v>31.009172729427846</v>
      </c>
      <c r="P44" s="48">
        <f t="shared" si="4"/>
        <v>153.49977603603506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234.23970515612464</v>
      </c>
      <c r="E45" s="11">
        <f>IF(B45&gt;Title_RESULTS!$H$8-1+Title_RESULTS!$C$18,0,+E44*(1+$F$7))</f>
        <v>0.1550794132842446</v>
      </c>
      <c r="F45" s="9">
        <f t="shared" si="1"/>
        <v>519.1307163392958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13.66387907711813</v>
      </c>
      <c r="L45" s="5">
        <f t="shared" si="3"/>
        <v>67.63812747995867</v>
      </c>
      <c r="N45" s="11">
        <f>IF(+B45&gt;Title_RESULTS!$H$9+Title_RESULTS!$C$19-1,0,+'Value of Defferal'!N44*(1+'Value of Defferal'!$F$7))</f>
        <v>0.16261255086394008</v>
      </c>
      <c r="O45" s="5">
        <f t="shared" si="7"/>
        <v>31.753392874934114</v>
      </c>
      <c r="P45" s="48">
        <f t="shared" si="4"/>
        <v>157.1837706608999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226.41580758945392</v>
      </c>
      <c r="E46" s="11">
        <f>IF(B46&gt;Title_RESULTS!$H$8-1+Title_RESULTS!$C$18,0,+E45*(1+$F$7))</f>
        <v>0.15880131920306648</v>
      </c>
      <c r="F46" s="9">
        <f t="shared" si="1"/>
        <v>531.5898535314388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13.207488516894818</v>
      </c>
      <c r="L46" s="5">
        <f t="shared" si="3"/>
        <v>65.37892987444641</v>
      </c>
      <c r="N46" s="11">
        <f>IF(+B46&gt;Title_RESULTS!$H$9+Title_RESULTS!$C$19-1,0,+'Value of Defferal'!N45*(1+'Value of Defferal'!$F$7))</f>
        <v>0.16651525208467466</v>
      </c>
      <c r="O46" s="5">
        <f t="shared" si="7"/>
        <v>32.515474303932535</v>
      </c>
      <c r="P46" s="48">
        <f t="shared" si="4"/>
        <v>160.95618115676152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218.59191002278325</v>
      </c>
      <c r="E47" s="11">
        <f>IF(B47&gt;Title_RESULTS!$H$8-1+Title_RESULTS!$C$18,0,+E46*(1+$F$7))</f>
        <v>0.16261255086394008</v>
      </c>
      <c r="F47" s="9">
        <f t="shared" si="1"/>
        <v>544.3480100161935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12.751097956671508</v>
      </c>
      <c r="L47" s="5">
        <f t="shared" si="3"/>
        <v>63.11973226893418</v>
      </c>
      <c r="N47" s="11">
        <f>IF(+B47&gt;Title_RESULTS!$H$9+Title_RESULTS!$C$19-1,0,+'Value of Defferal'!N46*(1+'Value of Defferal'!$F$7))</f>
        <v>0.17051161813470686</v>
      </c>
      <c r="O47" s="5">
        <f t="shared" si="7"/>
        <v>33.29584568722692</v>
      </c>
      <c r="P47" s="48">
        <f t="shared" si="4"/>
        <v>164.8191295045238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210.76801245611256</v>
      </c>
      <c r="E48" s="11">
        <f>IF(B48&gt;Title_RESULTS!$H$8-1+Title_RESULTS!$C$18,0,+E47*(1+$F$7))</f>
        <v>0.16651525208467466</v>
      </c>
      <c r="F48" s="9">
        <f t="shared" si="1"/>
        <v>557.4123622565821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12.294707396448194</v>
      </c>
      <c r="L48" s="5">
        <f t="shared" si="3"/>
        <v>60.86053466342193</v>
      </c>
      <c r="N48" s="11">
        <f>IF(+B48&gt;Title_RESULTS!$H$9+Title_RESULTS!$C$19-1,0,+'Value of Defferal'!N47*(1+'Value of Defferal'!$F$7))</f>
        <v>0.17460389696993983</v>
      </c>
      <c r="O48" s="5">
        <f t="shared" si="7"/>
        <v>34.094945983720365</v>
      </c>
      <c r="P48" s="48">
        <f t="shared" si="4"/>
        <v>168.77478861263236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202.94411488944178</v>
      </c>
      <c r="E49" s="11">
        <f>IF(B49&gt;Title_RESULTS!$H$8-1+Title_RESULTS!$C$18,0,+E48*(1+$F$7))</f>
        <v>0.17051161813470686</v>
      </c>
      <c r="F49" s="9">
        <f t="shared" si="1"/>
        <v>570.7902589507402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11.838316836224877</v>
      </c>
      <c r="L49" s="5">
        <f t="shared" si="3"/>
        <v>58.60133705790966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195.12021732277105</v>
      </c>
      <c r="E50" s="11">
        <f>IF(B50&gt;Title_RESULTS!$H$8-1+Title_RESULTS!$C$18,0,+E49*(1+$F$7))</f>
        <v>0.17460389696993983</v>
      </c>
      <c r="F50" s="9">
        <f t="shared" si="1"/>
        <v>584.489225165558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11.381926276001565</v>
      </c>
      <c r="L50" s="5">
        <f t="shared" si="3"/>
        <v>56.34213945239741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187.29631975610036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10.925535715778253</v>
      </c>
      <c r="L51" s="5">
        <f t="shared" si="3"/>
        <v>54.08294184688517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7997.5829002788905</v>
      </c>
      <c r="F63" s="9">
        <f>SUM(F23:F61)</f>
        <v>11154.491190055003</v>
      </c>
      <c r="J63" t="s">
        <v>87</v>
      </c>
      <c r="K63" s="9">
        <f>SUM(K23:K61)</f>
        <v>466.5221277742083</v>
      </c>
      <c r="O63" s="9">
        <f>SUM(O23:O61)</f>
        <v>650.6737134342995</v>
      </c>
    </row>
    <row r="64" spans="3:15" ht="12.75">
      <c r="C64" t="s">
        <v>89</v>
      </c>
      <c r="D64" s="9">
        <f>NPV(+Title_RESULTS!$C$37,'Value of Defferal'!D24:D61)+'Value of Defferal'!D23</f>
        <v>3570.9691335297607</v>
      </c>
      <c r="F64" s="9">
        <f>NPV(+Title_RESULTS!$C$37,'Value of Defferal'!F24:F61)+'Value of Defferal'!F23</f>
        <v>4147.7479254932005</v>
      </c>
      <c r="J64" t="s">
        <v>89</v>
      </c>
      <c r="K64" s="9">
        <f>NPV(+Title_RESULTS!$C$37,'Value of Defferal'!K24:K61)+'Value of Defferal'!K23</f>
        <v>208.30495152882142</v>
      </c>
      <c r="O64" s="9">
        <f>NPV(+Title_RESULTS!$C$37,'Value of Defferal'!O24:O61)+'Value of Defferal'!O23</f>
        <v>277.423072327531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1.827094235283345</v>
      </c>
      <c r="C25" t="s">
        <v>372</v>
      </c>
    </row>
    <row r="26" spans="2:3" ht="18">
      <c r="B26" s="15">
        <f>+((Input!$C$6*'EUE_Line Losses'!C4)+(Input!$C$7*'EUE_Line Losses'!C3))/'EUE_Line Losses'!C22</f>
        <v>1.8212003829114634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0" sqref="C40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-6.88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3.82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83113.74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11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20824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8665.741579452411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Smart Thermostat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43599.320127314815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3.82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1.8212003829114634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87672.72151898735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83113.74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11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20824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8665.741579452411</v>
      </c>
      <c r="D39" s="13" t="s">
        <v>189</v>
      </c>
      <c r="G39" s="20" t="s">
        <v>346</v>
      </c>
      <c r="H39" s="79">
        <f>+'Sheet7(F_23)'!H32</f>
        <v>1.1015380290289833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+'Sheet8(F_24)'!K30</f>
        <v>55329.6115128359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+'Sheet9(F_25)'!J32</f>
        <v>1.0100398639633659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2019-05-14T11:41:01Z</dcterms:created>
  <dcterms:modified xsi:type="dcterms:W3CDTF">2019-05-14T11:41:06Z</dcterms:modified>
  <cp:category/>
  <cp:version/>
  <cp:contentType/>
  <cp:contentStatus/>
</cp:coreProperties>
</file>