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'Sheet2(F_12)'!$A$1:$K$43</definedName>
    <definedName name="_xlnm.Print_Area" localSheetId="11">'Sheet3(F_21)'!$A$1:$J$32</definedName>
    <definedName name="_xlnm.Print_Area" localSheetId="14">'Sheet4(F_22)'!$A$1:$J$32</definedName>
    <definedName name="_xlnm.Print_Area" localSheetId="12">'Sheet5(p_5)'!$A$1:$H$32</definedName>
    <definedName name="_xlnm.Print_Area" localSheetId="15">'Sheet6(p_6)'!$A$1:$R$32</definedName>
    <definedName name="_xlnm.Print_Area" localSheetId="16">'Sheet7(F_23)'!$A$1:$M$32</definedName>
    <definedName name="_xlnm.Print_Area" localSheetId="17">'Sheet8(F_24)'!$A$1:$M$32</definedName>
    <definedName name="_xlnm.Print_Area" localSheetId="18">'Sheet9(F_25)'!$A$1:$N$32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<sst xmlns="http://schemas.openxmlformats.org/spreadsheetml/2006/main" count="1258" uniqueCount="468">
  <si>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</si>
  <si>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</si>
  <si>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</si>
  <si>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</si>
  <si>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</si>
  <si>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</si>
  <si>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</si>
  <si>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</si>
  <si>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</si>
  <si>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</si>
  <si>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</si>
  <si>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</si>
  <si>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</si>
  <si>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</si>
  <si>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</si>
  <si>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</si>
  <si>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</si>
  <si>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</si>
  <si>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</si>
  <si>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</si>
  <si>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</si>
  <si>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</si>
  <si>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</si>
  <si>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</si>
  <si>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</si>
  <si>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</si>
  <si>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</si>
  <si>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</si>
  <si>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</si>
  <si>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</si>
  <si>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</si>
  <si>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</si>
  <si>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</si>
  <si>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</si>
  <si>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</si>
  <si>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</si>
  <si>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</si>
  <si>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</si>
  <si>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</si>
  <si>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</si>
  <si>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</si>
  <si>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</si>
  <si>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</si>
  <si>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</si>
  <si>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</si>
  <si>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</si>
  <si>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</si>
  <si>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</si>
  <si>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</si>
  <si>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</si>
  <si>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</si>
  <si>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</si>
  <si>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</si>
  <si>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</si>
  <si>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</si>
  <si>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</si>
  <si>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</si>
  <si>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</si>
  <si>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</si>
  <si>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</si>
  <si>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</si>
  <si>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</si>
  <si>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</si>
  <si>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</si>
  <si>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</si>
  <si>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</si>
  <si>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</si>
  <si>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</si>
  <si>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</si>
  <si>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</si>
  <si>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</si>
  <si>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</si>
  <si>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</si>
  <si>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</si>
  <si>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</si>
  <si>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</si>
  <si>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</si>
  <si>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</si>
  <si>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</si>
  <si>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</si>
  <si>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</si>
  <si>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</si>
  <si>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</si>
  <si>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</si>
  <si>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</si>
  <si>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</si>
  <si>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</si>
  <si>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</si>
  <si>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</si>
  <si>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</si>
  <si>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</si>
  <si>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</si>
  <si>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</si>
  <si>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</si>
  <si>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</si>
  <si>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</si>
  <si>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</si>
  <si>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</si>
  <si>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</si>
  <si>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</si>
  <si>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</si>
  <si>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</si>
  <si>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</si>
  <si>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</si>
  <si>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</si>
  <si>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</si>
  <si>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</si>
  <si>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</si>
  <si>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</si>
  <si>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</si>
  <si>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</si>
  <si>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</si>
  <si>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</si>
  <si>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</si>
  <si>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</si>
  <si>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</si>
  <si>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</si>
  <si>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</si>
  <si>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</si>
  <si>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</si>
  <si>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</si>
  <si>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</si>
  <si>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</si>
  <si>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</si>
  <si>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</si>
  <si>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</si>
  <si>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</si>
  <si>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</si>
  <si>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</si>
  <si>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</si>
  <si>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</si>
  <si>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</si>
  <si>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</si>
  <si>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</si>
  <si>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</si>
  <si>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</si>
  <si>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</si>
  <si>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</si>
  <si>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</si>
  <si>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</si>
  <si>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</si>
  <si>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</si>
  <si>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</si>
  <si>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</si>
  <si>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</si>
  <si>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</si>
  <si>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</si>
  <si>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</si>
  <si>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</si>
  <si>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</si>
  <si>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</si>
  <si>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</si>
  <si>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</si>
  <si>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</si>
  <si>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</si>
  <si>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</si>
  <si>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</si>
  <si>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</si>
  <si>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</si>
  <si>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</si>
  <si>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</si>
  <si>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</si>
  <si>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</si>
  <si>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</si>
  <si>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</si>
  <si>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</si>
  <si>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</si>
  <si>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</si>
  <si>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</si>
  <si>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</si>
  <si>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</si>
  <si>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</si>
  <si>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</si>
  <si>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</si>
  <si>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</si>
  <si>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</si>
  <si>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</si>
  <si>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</si>
  <si>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</si>
  <si>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</si>
  <si>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</si>
  <si>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</si>
  <si>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</si>
  <si>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</si>
  <si>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</si>
  <si>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</si>
  <si>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</si>
  <si>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</si>
  <si>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</si>
  <si>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</si>
  <si>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</si>
  <si>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</si>
  <si>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</si>
  <si>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</si>
  <si>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</si>
  <si>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</si>
  <si>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</si>
  <si>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</si>
  <si>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</si>
  <si>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</si>
  <si>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</si>
  <si>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</si>
  <si>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</si>
  <si>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</si>
  <si>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</si>
  <si>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</si>
  <si>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</si>
  <si>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</si>
  <si>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</si>
  <si>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</si>
  <si>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</si>
  <si>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</si>
  <si>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</si>
  <si>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</si>
  <si>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</si>
  <si>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</si>
  <si>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</si>
  <si>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</si>
  <si>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</si>
  <si>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</si>
  <si>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</si>
  <si>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</si>
  <si>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</si>
  <si>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</si>
  <si>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</si>
  <si>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</si>
  <si>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</si>
  <si>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</si>
  <si>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</si>
  <si>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</si>
  <si>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</si>
  <si>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</si>
  <si>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</si>
  <si>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</si>
  <si>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</si>
  <si>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</si>
  <si>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</si>
  <si>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</si>
  <si>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</si>
  <si>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</si>
  <si>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</si>
  <si>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</si>
  <si>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</si>
  <si>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</si>
  <si>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</si>
  <si>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</si>
  <si>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</si>
  <si>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</si>
  <si>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</si>
  <si>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</si>
  <si>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</si>
  <si>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</si>
  <si>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</si>
  <si>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</si>
  <si>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</si>
  <si>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</si>
  <si>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</si>
  <si>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</si>
  <si>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</si>
  <si>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</si>
  <si>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</si>
  <si>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</si>
  <si>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</si>
  <si>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</si>
  <si>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</si>
  <si>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</si>
  <si>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</si>
  <si>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</si>
  <si>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</si>
  <si>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</si>
  <si>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</si>
  <si>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</si>
  <si>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</si>
  <si>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</si>
  <si>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</si>
  <si>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</si>
  <si>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</si>
  <si>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</si>
  <si>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</si>
  <si>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</si>
  <si>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</si>
  <si>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</si>
  <si>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</si>
  <si>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</si>
  <si>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</si>
  <si>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</si>
  <si>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</si>
  <si>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</si>
  <si>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</si>
  <si>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</si>
  <si>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</si>
  <si>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</si>
  <si>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</si>
  <si>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</si>
  <si>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</si>
  <si>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</si>
  <si>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</si>
  <si>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</si>
  <si>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</si>
  <si>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</si>
  <si>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</si>
  <si>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</si>
  <si>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</si>
  <si>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</si>
  <si>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</si>
  <si>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</si>
  <si>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</si>
  <si>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</si>
  <si>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</si>
  <si>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</si>
  <si>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</si>
  <si>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</si>
  <si>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</si>
  <si>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</si>
  <si>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</si>
  <si>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</si>
  <si>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</si>
  <si>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</si>
  <si>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</si>
  <si>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</si>
  <si>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</si>
  <si>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</si>
  <si>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</si>
  <si>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</si>
  <si>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</si>
  <si>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</si>
  <si>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</si>
  <si>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</si>
  <si>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</si>
  <si>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</si>
  <si>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</si>
  <si>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</si>
  <si>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</si>
  <si>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</si>
  <si>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</si>
  <si>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</si>
  <si>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</si>
  <si>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</si>
  <si>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</si>
  <si>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</si>
  <si>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</si>
  <si>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</si>
  <si>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</si>
  <si>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</si>
  <si>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</si>
  <si>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</si>
  <si>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</si>
  <si>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</si>
  <si>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</si>
  <si>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</si>
  <si>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</si>
  <si>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</si>
  <si>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</si>
  <si>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</si>
  <si>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</si>
  <si>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</si>
  <si>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</si>
  <si>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</si>
  <si>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</si>
  <si>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</si>
  <si>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</si>
  <si>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</si>
  <si>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</si>
  <si>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</si>
  <si>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</si>
  <si>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</si>
  <si>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</si>
  <si>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</si>
  <si>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</si>
  <si>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</si>
  <si>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</si>
  <si>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</si>
  <si>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</si>
  <si>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</si>
  <si>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</si>
  <si>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</si>
  <si>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</si>
  <si>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</si>
  <si>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</si>
  <si>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</si>
  <si>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</si>
  <si>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</si>
  <si>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</si>
  <si>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</si>
  <si>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</si>
  <si>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</si>
  <si>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</si>
  <si>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</si>
  <si>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</si>
  <si>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</si>
  <si>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</si>
  <si>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</si>
  <si>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</si>
  <si>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</si>
  <si>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</si>
  <si>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</si>
  <si>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</si>
  <si>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</si>
  <si>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</si>
  <si>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</si>
  <si>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</si>
  <si>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</si>
  <si>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</si>
  <si>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</si>
  <si>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</si>
  <si>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</si>
  <si>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</si>
  <si>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</si>
  <si>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</si>
  <si>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</si>
  <si>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</si>
  <si>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</si>
  <si>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</si>
  <si>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</si>
  <si>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</si>
  <si>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</si>
  <si>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</si>
  <si>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</si>
  <si>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</si>
  <si>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</si>
  <si>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</si>
  <si>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</si>
  <si>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</si>
  <si>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</si>
  <si>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</si>
  <si>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</si>
  <si>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</si>
  <si>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</si>
  <si>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</si>
  <si>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</si>
  <si>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</si>
  <si>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</si>
  <si>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</si>
  <si>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</si>
  <si>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</si>
  <si>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</si>
  <si>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</si>
  <si>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</si>
  <si>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</si>
  <si>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</si>
  <si>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</si>
  <si>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</si>
  <si>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</si>
  <si>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</si>
  <si>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</si>
  <si>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</si>
  <si>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</si>
  <si>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</si>
  <si>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</si>
  <si>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</si>
  <si>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</si>
  <si>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</si>
  <si>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</si>
  <si>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</si>
  <si>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</si>
  <si>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</si>
  <si>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</si>
  <si>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</si>
  <si>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</si>
  <si>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</si>
  <si>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</si>
  <si>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</si>
  <si>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</si>
  <si>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</si>
  <si>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</si>
  <si>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</si>
  <si>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</si>
  <si>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Smart Thermostat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</si>
</sst>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43599.32045532407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29710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43599.32045532407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Smart Thermostat</v>
      </c>
      <c r="J2" t="s">
        <v>55</v>
      </c>
    </row>
    <row r="3" ht="12.75">
      <c r="J3" s="35">
        <f>+Title_RESULTS!I4</f>
        <v>43599.32045532407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29710</v>
      </c>
      <c r="H5" t="s">
        <v>59</v>
      </c>
    </row>
    <row r="6" spans="3:7" ht="12.75">
      <c r="C6" t="s">
        <v>61</v>
      </c>
      <c r="G6" s="36">
        <f>+'Value of Defferal'!E3</f>
        <v>18201.80838755304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6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1798.7446337159497</v>
      </c>
      <c r="D19" s="5">
        <f>IF((Title_RESULTS!$H$8-Title_RESULTS!$H$7)&lt;=('Sheet3(F_21)'!A19-Title_RESULTS!$H$7),((Title_RESULTS!$C$8*Partcipation!$C$26*8760*Title_RESULTS!$H$21/100000)),0)</f>
        <v>23683.826976157085</v>
      </c>
      <c r="E19" s="5">
        <f>IF($G19=0,0,((Title_RESULTS!$H$14*((1+Title_RESULTS!$H$15/100)^($A19-Title_RESULTS!$H$7))*'EUE_Line Losses'!$B$25*Partcipation!$C$26))/1000)</f>
        <v>186.5855556713896</v>
      </c>
      <c r="F19" s="5">
        <f>IF($G19=0,0,(Title_RESULTS!$H$19/100*((1+Title_RESULTS!$H$20/100)^($A19-Title_RESULTS!$H$7))*$D19*1000)/1000)</f>
        <v>53.403662711026556</v>
      </c>
      <c r="G19" s="5">
        <f>(+Title_RESULTS!$H$22/100*((1+Title_RESULTS!$H$23/100)^(+'Sheet4(F_22)'!A19-Title_RESULTS!$H$7)))*'Sheet3(F_21)'!D19</f>
        <v>1014.6835850347273</v>
      </c>
      <c r="H19" s="5">
        <f>IF($G19=0,0,(($D19))*(Partcipation!$G19/100))</f>
        <v>751.399626153333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2302.0178109797603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1841.9145049251324</v>
      </c>
      <c r="D20" s="5">
        <f>IF((Title_RESULTS!$H$8-Title_RESULTS!$H$7)&lt;=('Sheet3(F_21)'!A20-Title_RESULTS!$H$7),((Title_RESULTS!$C$8*Partcipation!$C$26*8760*Title_RESULTS!$H$21/100000)),0)</f>
        <v>23683.826976157085</v>
      </c>
      <c r="E20" s="5">
        <f>IF($G20=0,0,((Title_RESULTS!$H$14*((1+Title_RESULTS!$H$15/100)^($A20-Title_RESULTS!$H$7))*'EUE_Line Losses'!$B$25*Partcipation!$C$26))/1000)</f>
        <v>191.06360900750295</v>
      </c>
      <c r="F20" s="5">
        <f>IF($G20=0,0,(Title_RESULTS!$H$19/100*((1+Title_RESULTS!$H$20/100)^($A20-Title_RESULTS!$H$7))*$D20*1000)/1000)</f>
        <v>54.68535061609119</v>
      </c>
      <c r="G20" s="5">
        <f>(+Title_RESULTS!$H$22/100*((1+Title_RESULTS!$H$23/100)^(+'Sheet4(F_22)'!A20-Title_RESULTS!$H$7)))*'Sheet3(F_21)'!D20</f>
        <v>1060.750219795304</v>
      </c>
      <c r="H20" s="5">
        <f>IF($G20=0,0,(($D20))*(Partcipation!$G20/100))</f>
        <v>785.0130396382513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2363.400644705779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1886.1204530433356</v>
      </c>
      <c r="D21" s="5">
        <f>IF((Title_RESULTS!$H$8-Title_RESULTS!$H$7)&lt;=('Sheet3(F_21)'!A21-Title_RESULTS!$H$7),((Title_RESULTS!$C$8*Partcipation!$C$26*8760*Title_RESULTS!$H$21/100000)),0)</f>
        <v>23683.826976157085</v>
      </c>
      <c r="E21" s="5">
        <f>IF($G21=0,0,((Title_RESULTS!$H$14*((1+Title_RESULTS!$H$15/100)^($A21-Title_RESULTS!$H$7))*'EUE_Line Losses'!$B$25*Partcipation!$C$26))/1000)</f>
        <v>195.64913562368304</v>
      </c>
      <c r="F21" s="5">
        <f>IF($G21=0,0,(Title_RESULTS!$H$19/100*((1+Title_RESULTS!$H$20/100)^($A21-Title_RESULTS!$H$7))*$D21*1000)/1000)</f>
        <v>55.99779903087738</v>
      </c>
      <c r="G21" s="5">
        <f>(+Title_RESULTS!$H$22/100*((1+Title_RESULTS!$H$23/100)^(+'Sheet4(F_22)'!A21-Title_RESULTS!$H$7)))*'Sheet3(F_21)'!D21</f>
        <v>1108.908279774011</v>
      </c>
      <c r="H21" s="5">
        <f>IF($G21=0,0,(($D21))*(Partcipation!$G21/100))</f>
        <v>816.121782332352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2430.553885139555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1931.3873439163756</v>
      </c>
      <c r="D22" s="5">
        <f>IF((Title_RESULTS!$H$8-Title_RESULTS!$H$7)&lt;=('Sheet3(F_21)'!A22-Title_RESULTS!$H$7),((Title_RESULTS!$C$8*Partcipation!$C$26*8760*Title_RESULTS!$H$21/100000)),0)</f>
        <v>23683.826976157085</v>
      </c>
      <c r="E22" s="5">
        <f>IF($G22=0,0,((Title_RESULTS!$H$14*((1+Title_RESULTS!$H$15/100)^($A22-Title_RESULTS!$H$7))*'EUE_Line Losses'!$B$25*Partcipation!$C$26))/1000)</f>
        <v>200.3447148786514</v>
      </c>
      <c r="F22" s="5">
        <f>IF($G22=0,0,(Title_RESULTS!$H$19/100*((1+Title_RESULTS!$H$20/100)^($A22-Title_RESULTS!$H$7))*$D22*1000)/1000)</f>
        <v>57.341746207618435</v>
      </c>
      <c r="G22" s="5">
        <f>(+Title_RESULTS!$H$22/100*((1+Title_RESULTS!$H$23/100)^(+'Sheet4(F_22)'!A22-Title_RESULTS!$H$7)))*'Sheet3(F_21)'!D22</f>
        <v>1159.2527156757512</v>
      </c>
      <c r="H22" s="5">
        <f>IF($G22=0,0,(($D22))*(Partcipation!$G22/100))</f>
        <v>842.5644197895464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2505.7621008888505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1977.7406401703686</v>
      </c>
      <c r="D23" s="5">
        <f>IF((Title_RESULTS!$H$8-Title_RESULTS!$H$7)&lt;=('Sheet3(F_21)'!A23-Title_RESULTS!$H$7),((Title_RESULTS!$C$8*Partcipation!$C$26*8760*Title_RESULTS!$H$21/100000)),0)</f>
        <v>23683.826976157085</v>
      </c>
      <c r="E23" s="5">
        <f>IF($G23=0,0,((Title_RESULTS!$H$14*((1+Title_RESULTS!$H$15/100)^($A23-Title_RESULTS!$H$7))*'EUE_Line Losses'!$B$25*Partcipation!$C$26))/1000)</f>
        <v>205.15298803573907</v>
      </c>
      <c r="F23" s="5">
        <f>IF($G23=0,0,(Title_RESULTS!$H$19/100*((1+Title_RESULTS!$H$20/100)^($A23-Title_RESULTS!$H$7))*$D23*1000)/1000)</f>
        <v>58.71794811660128</v>
      </c>
      <c r="G23" s="5">
        <f>(+Title_RESULTS!$H$22/100*((1+Title_RESULTS!$H$23/100)^(+'Sheet4(F_22)'!A23-Title_RESULTS!$H$7)))*'Sheet3(F_21)'!D23</f>
        <v>1211.8827889674305</v>
      </c>
      <c r="H23" s="5">
        <f>IF($G23=0,0,(($D23))*(Partcipation!$G23/100))</f>
        <v>880.2773242505907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2573.2170410395483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2025.2064155344576</v>
      </c>
      <c r="D24" s="5">
        <f>IF((Title_RESULTS!$H$8-Title_RESULTS!$H$7)&lt;=('Sheet3(F_21)'!A24-Title_RESULTS!$H$7),((Title_RESULTS!$C$8*Partcipation!$C$26*8760*Title_RESULTS!$H$21/100000)),0)</f>
        <v>23683.826976157085</v>
      </c>
      <c r="E24" s="5">
        <f>IF($G24=0,0,((Title_RESULTS!$H$14*((1+Title_RESULTS!$H$15/100)^($A24-Title_RESULTS!$H$7))*'EUE_Line Losses'!$B$25*Partcipation!$C$26))/1000)</f>
        <v>210.07665974859674</v>
      </c>
      <c r="F24" s="5">
        <f>IF($G24=0,0,(Title_RESULTS!$H$19/100*((1+Title_RESULTS!$H$20/100)^($A24-Title_RESULTS!$H$7))*$D24*1000)/1000)</f>
        <v>60.12717887139971</v>
      </c>
      <c r="G24" s="5">
        <f>(+Title_RESULTS!$H$22/100*((1+Title_RESULTS!$H$23/100)^(+'Sheet4(F_22)'!A24-Title_RESULTS!$H$7)))*'Sheet3(F_21)'!D24</f>
        <v>1266.902267586552</v>
      </c>
      <c r="H24" s="5">
        <f>IF($G24=0,0,(($D24))*(Partcipation!$G24/100))</f>
        <v>947.4111375036972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2614.901384237309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2073.8113695072843</v>
      </c>
      <c r="D25" s="5">
        <f>IF((Title_RESULTS!$H$8-Title_RESULTS!$H$7)&lt;=('Sheet3(F_21)'!A25-Title_RESULTS!$H$7),((Title_RESULTS!$C$8*Partcipation!$C$26*8760*Title_RESULTS!$H$21/100000)),0)</f>
        <v>23683.826976157085</v>
      </c>
      <c r="E25" s="5">
        <f>IF($G25=0,0,((Title_RESULTS!$H$14*((1+Title_RESULTS!$H$15/100)^($A25-Title_RESULTS!$H$7))*'EUE_Line Losses'!$B$25*Partcipation!$C$26))/1000)</f>
        <v>215.1184995825631</v>
      </c>
      <c r="F25" s="5">
        <f>IF($G25=0,0,(Title_RESULTS!$H$19/100*((1+Title_RESULTS!$H$20/100)^($A25-Title_RESULTS!$H$7))*$D25*1000)/1000)</f>
        <v>61.57023116431329</v>
      </c>
      <c r="G25" s="5">
        <f>(+Title_RESULTS!$H$22/100*((1+Title_RESULTS!$H$23/100)^(+'Sheet4(F_22)'!A25-Title_RESULTS!$H$7)))*'Sheet3(F_21)'!D25</f>
        <v>1324.4196305349815</v>
      </c>
      <c r="H25" s="5">
        <f>IF($G25=0,0,(($D25))*(Partcipation!$G25/100))</f>
        <v>988.9888944516872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2685.930836337455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2123.582842375459</v>
      </c>
      <c r="D26" s="5">
        <f>IF((Title_RESULTS!$H$8-Title_RESULTS!$H$7)&lt;=('Sheet3(F_21)'!A26-Title_RESULTS!$H$7),((Title_RESULTS!$C$8*Partcipation!$C$26*8760*Title_RESULTS!$H$21/100000)),0)</f>
        <v>23683.826976157085</v>
      </c>
      <c r="E26" s="5">
        <f>IF($G26=0,0,((Title_RESULTS!$H$14*((1+Title_RESULTS!$H$15/100)^($A26-Title_RESULTS!$H$7))*'EUE_Line Losses'!$B$25*Partcipation!$C$26))/1000)</f>
        <v>220.2813435725446</v>
      </c>
      <c r="F26" s="5">
        <f>IF($G26=0,0,(Title_RESULTS!$H$19/100*((1+Title_RESULTS!$H$20/100)^($A26-Title_RESULTS!$H$7))*$D26*1000)/1000)</f>
        <v>63.04791671225682</v>
      </c>
      <c r="G26" s="5">
        <f>(+Title_RESULTS!$H$22/100*((1+Title_RESULTS!$H$23/100)^(+'Sheet4(F_22)'!A26-Title_RESULTS!$H$7)))*'Sheet3(F_21)'!D26</f>
        <v>1384.54828176127</v>
      </c>
      <c r="H26" s="5">
        <f>IF($G26=0,0,(($D26))*(Partcipation!$G26/100))</f>
        <v>1062.523093438067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2728.9372909834638</v>
      </c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87</v>
      </c>
      <c r="B28" s="9"/>
      <c r="C28" s="9">
        <f aca="true" t="shared" si="1" ref="C28:J28">SUM(C16:C27)</f>
        <v>15658.508203188363</v>
      </c>
      <c r="D28" s="9">
        <f t="shared" si="1"/>
        <v>189470.61580925668</v>
      </c>
      <c r="E28" s="9">
        <f t="shared" si="1"/>
        <v>1624.2725061206706</v>
      </c>
      <c r="F28" s="9">
        <f t="shared" si="1"/>
        <v>464.89183343018465</v>
      </c>
      <c r="G28" s="9">
        <f t="shared" si="1"/>
        <v>9531.347769130027</v>
      </c>
      <c r="H28" s="9">
        <f t="shared" si="1"/>
        <v>7074.299317557525</v>
      </c>
      <c r="I28" s="9">
        <f t="shared" si="1"/>
        <v>0</v>
      </c>
      <c r="J28" s="9">
        <f t="shared" si="1"/>
        <v>20204.72099431172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89</v>
      </c>
      <c r="C30" s="5">
        <f>NPV(Title_RESULTS!$C$37,C17:C27)+'Sheet3(F_21)'!C16</f>
        <v>10075.79519676988</v>
      </c>
      <c r="D30" s="5"/>
      <c r="E30" s="5">
        <f>NPV(Title_RESULTS!$C$37,E17:E27)+'Sheet3(F_21)'!E16</f>
        <v>1045.1721775183946</v>
      </c>
      <c r="F30" s="5">
        <f>NPV(Title_RESULTS!$C$37,F17:F27)+'Sheet3(F_21)'!F16</f>
        <v>299.1443911201972</v>
      </c>
      <c r="G30" s="5">
        <f>NPV(Title_RESULTS!$C$37,G17:G27)+'Sheet3(F_21)'!G16</f>
        <v>6087.819978092223</v>
      </c>
      <c r="H30" s="5">
        <f>NPV(Title_RESULTS!$C$37,H17:H27)+'Sheet3(F_21)'!H16</f>
        <v>4511.62059214208</v>
      </c>
      <c r="I30" s="5">
        <f>NPV(Title_RESULTS!$C$37,I17:I27)+'Sheet3(F_21)'!I16</f>
        <v>0</v>
      </c>
      <c r="J30" s="5">
        <f>NPV(Title_RESULTS!$C$37,J17:J27)+'Sheet3(F_21)'!J16</f>
        <v>12996.311151358615</v>
      </c>
    </row>
    <row r="32" ht="12.75">
      <c r="A32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Smart Thermostat</v>
      </c>
      <c r="F2" t="s">
        <v>55</v>
      </c>
    </row>
    <row r="3" spans="6:7" ht="12.75">
      <c r="F3" s="35">
        <f>+Title_RESULTS!I4</f>
        <v>43599.32045532407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49464.91033755275</v>
      </c>
      <c r="C16" s="5">
        <f>$B16*'Sheet2(F_12)'!$E16/100</f>
        <v>1434.8334144457208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1434.8334144457208</v>
      </c>
      <c r="G16" s="5">
        <f>+$F16*'Sheet2(F_12)'!$I16</f>
        <v>1434.8334144457208</v>
      </c>
    </row>
    <row r="17" spans="1:7" ht="12.75">
      <c r="A17">
        <f>+A16+1</f>
        <v>2021</v>
      </c>
      <c r="B17" s="5">
        <f>(+Partcipation!$C16+(Partcipation!$C17-Partcipation!$C16)/2)*Title_RESULTS!$C$10/1000</f>
        <v>148394.73101265825</v>
      </c>
      <c r="C17" s="5">
        <f>$B17*'Sheet2(F_12)'!$E17/100</f>
        <v>4269.488070283751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4269.488070283751</v>
      </c>
      <c r="G17" s="5">
        <f>+$F17*'Sheet2(F_12)'!$I17</f>
        <v>4269.488070283751</v>
      </c>
    </row>
    <row r="18" spans="1:7" ht="12.75">
      <c r="A18">
        <f>+A17+1</f>
        <v>2022</v>
      </c>
      <c r="B18" s="5">
        <f>(+Partcipation!$C17+(Partcipation!$C18-Partcipation!$C17)/2)*Title_RESULTS!$C$10/1000</f>
        <v>247324.55168776374</v>
      </c>
      <c r="C18" s="5">
        <f>$B18*'Sheet2(F_12)'!$E18/100</f>
        <v>7343.995759461561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7343.995759461561</v>
      </c>
      <c r="G18" s="5">
        <f>+$F18*'Sheet2(F_12)'!$I18</f>
        <v>7343.995759461561</v>
      </c>
    </row>
    <row r="19" spans="1:7" ht="12.75">
      <c r="A19">
        <f aca="true" t="shared" si="0" ref="A19:A26">+A18+1</f>
        <v>2023</v>
      </c>
      <c r="B19" s="5">
        <f>(+Partcipation!$C18+(Partcipation!$C19-Partcipation!$C18)/2)*Title_RESULTS!$C$10/1000</f>
        <v>296789.4620253165</v>
      </c>
      <c r="C19" s="5">
        <f>$B19*'Sheet2(F_12)'!$E19/100</f>
        <v>9174.329197800467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6">+C19-E19</f>
        <v>9174.329197800467</v>
      </c>
      <c r="G19" s="5">
        <f>+$F19*'Sheet2(F_12)'!$I19</f>
        <v>9174.329197800467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296789.4620253165</v>
      </c>
      <c r="C20" s="5">
        <f>$B20*'Sheet2(F_12)'!$E20/100</f>
        <v>9534.845755164504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9534.845755164504</v>
      </c>
      <c r="G20" s="5">
        <f>+$F20*'Sheet2(F_12)'!$I20</f>
        <v>9534.845755164504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296789.4620253165</v>
      </c>
      <c r="C21" s="5">
        <f>$B21*'Sheet2(F_12)'!$E21/100</f>
        <v>10237.553729453259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10237.553729453259</v>
      </c>
      <c r="G21" s="5">
        <f>+$F21*'Sheet2(F_12)'!$I21</f>
        <v>10237.553729453259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296789.4620253165</v>
      </c>
      <c r="C22" s="5">
        <f>$B22*'Sheet2(F_12)'!$E22/100</f>
        <v>10565.919421913233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10565.919421913233</v>
      </c>
      <c r="G22" s="5">
        <f>+$F22*'Sheet2(F_12)'!$I22</f>
        <v>10565.919421913233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296789.4620253165</v>
      </c>
      <c r="C23" s="5">
        <f>$B23*'Sheet2(F_12)'!$E23/100</f>
        <v>11226.242094843989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11226.242094843989</v>
      </c>
      <c r="G23" s="5">
        <f>+$F23*'Sheet2(F_12)'!$I23</f>
        <v>11226.242094843989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296789.4620253165</v>
      </c>
      <c r="C24" s="5">
        <f>$B24*'Sheet2(F_12)'!$E24/100</f>
        <v>12439.974449800367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12439.974449800367</v>
      </c>
      <c r="G24" s="5">
        <f>+$F24*'Sheet2(F_12)'!$I24</f>
        <v>12439.974449800367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296789.4620253165</v>
      </c>
      <c r="C25" s="5">
        <f>$B25*'Sheet2(F_12)'!$E25/100</f>
        <v>13327.744129168834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13327.744129168834</v>
      </c>
      <c r="G25" s="5">
        <f>+$F25*'Sheet2(F_12)'!$I25</f>
        <v>13327.744129168834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296789.4620253165</v>
      </c>
      <c r="C26" s="5">
        <f>$B26*'Sheet2(F_12)'!$E26/100</f>
        <v>14886.35183250126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14886.35183250126</v>
      </c>
      <c r="G26" s="5">
        <f>+$F26*'Sheet2(F_12)'!$I26</f>
        <v>14886.35183250126</v>
      </c>
    </row>
    <row r="27" spans="2:7" ht="12.75">
      <c r="B27" s="5"/>
      <c r="C27" s="5"/>
      <c r="D27" s="5"/>
      <c r="E27" s="5"/>
      <c r="F27" s="5"/>
      <c r="G27" s="5"/>
    </row>
    <row r="28" spans="1:7" ht="12.75">
      <c r="A28" t="s">
        <v>87</v>
      </c>
      <c r="B28" s="5">
        <f aca="true" t="shared" si="2" ref="B28:G28">SUM(B16:B27)</f>
        <v>2819499.8892405066</v>
      </c>
      <c r="C28" s="5">
        <f t="shared" si="2"/>
        <v>104441.27785483694</v>
      </c>
      <c r="D28" s="5">
        <f t="shared" si="2"/>
        <v>0</v>
      </c>
      <c r="E28" s="5">
        <f t="shared" si="2"/>
        <v>0</v>
      </c>
      <c r="F28" s="5">
        <f t="shared" si="2"/>
        <v>104441.27785483694</v>
      </c>
      <c r="G28" s="5">
        <f t="shared" si="2"/>
        <v>104441.27785483694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118</v>
      </c>
      <c r="B30" s="5"/>
      <c r="C30" s="5">
        <f>NPV(+Title_RESULTS!$C$37,C17:C27)+C16</f>
        <v>69696.19742369291</v>
      </c>
      <c r="D30" s="5"/>
      <c r="E30" s="5">
        <f>NPV(+Title_RESULTS!$C$37,E17:E27)+E16</f>
        <v>0</v>
      </c>
      <c r="F30" s="5">
        <f>NPV(+Title_RESULTS!$C$37,F17:F27)+F16</f>
        <v>69696.19742369291</v>
      </c>
      <c r="G30" s="5">
        <f>NPV(+Title_RESULTS!$C$37,G17:G27)+G16</f>
        <v>69696.19742369291</v>
      </c>
    </row>
    <row r="31" spans="6:7" ht="12.75">
      <c r="F31" s="9"/>
      <c r="G31" s="9"/>
    </row>
    <row r="32" ht="12.75">
      <c r="A32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Smart Thermostat</v>
      </c>
      <c r="J2" t="s">
        <v>42</v>
      </c>
    </row>
    <row r="3" spans="9:10" ht="12.75">
      <c r="I3" s="4"/>
      <c r="J3" s="35">
        <f>+Title_RESULTS!I4</f>
        <v>43599.32045532407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6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Smart Thermostat</v>
      </c>
      <c r="H2" t="s">
        <v>108</v>
      </c>
    </row>
    <row r="3" ht="12.75">
      <c r="H3" s="35">
        <f>+Title_RESULTS!I4</f>
        <v>43599.32045532407</v>
      </c>
    </row>
    <row r="5" spans="3:6" ht="12.75">
      <c r="C5" t="s">
        <v>60</v>
      </c>
      <c r="F5" s="38">
        <f>+'Value of Defferal'!L4</f>
        <v>1061.7640959999999</v>
      </c>
    </row>
    <row r="6" spans="3:6" ht="12.75">
      <c r="C6" t="s">
        <v>62</v>
      </c>
      <c r="F6" s="38">
        <f>+'Value of Defferal'!L5</f>
        <v>3284.4675072000005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1434.8334144457208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104.92597379820104</v>
      </c>
      <c r="C17" s="5">
        <f>IF(+Title_RESULTS!$H$9&lt;='Sheet4(F_22)'!$A17,(+Title_RESULTS!$H$16*((1+Title_RESULTS!$H$18/100)^('Sheet4(F_22)'!$A17-Title_RESULTS!$H$7))*Title_RESULTS!$C$8*Partcipation!$C$26/1000),0)</f>
        <v>84.57677747198292</v>
      </c>
      <c r="D17" s="5">
        <f>(+B17+C17)*+Partcipation!$H17</f>
        <v>189.50275127018398</v>
      </c>
      <c r="E17" s="5">
        <f>VLOOKUP(A17,'Value of Defferal'!$I24:$P$58,'Value of Defferal'!$K$13)</f>
        <v>324.5786450114715</v>
      </c>
      <c r="F17" s="5">
        <f>IF(+'Value of Defferal'!P24=0,0,Title_RESULTS!$H$17*Title_RESULTS!$C$7*Partcipation!$C$26*(1+Title_RESULTS!$H$18/100)^('Sheet4(F_22)'!A17-Title_RESULTS!$H$7))/1000</f>
        <v>452.17751039999996</v>
      </c>
      <c r="G17" s="5">
        <f>(+E17+F17)*Partcipation!$H17</f>
        <v>776.7561554114715</v>
      </c>
      <c r="H17" s="5">
        <f>+'Sheet5(p_5)'!$F17*'Sheet2(F_12)'!$I17</f>
        <v>4269.488070283751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107.44419716935786</v>
      </c>
      <c r="C18" s="5">
        <f>IF(+Title_RESULTS!$H$9&lt;='Sheet4(F_22)'!$A18,(+Title_RESULTS!$H$16*((1+Title_RESULTS!$H$18/100)^('Sheet4(F_22)'!$A18-Title_RESULTS!$H$7))*Title_RESULTS!$C$8*Partcipation!$C$26/1000),0)</f>
        <v>86.60662013131049</v>
      </c>
      <c r="D18" s="5">
        <f>(+B18+C18)*+Partcipation!$H18</f>
        <v>194.05081730066837</v>
      </c>
      <c r="E18" s="5">
        <f>VLOOKUP(A18,'Value of Defferal'!$I25:$P$58,'Value of Defferal'!$K$13)</f>
        <v>332.36853249174686</v>
      </c>
      <c r="F18" s="5">
        <f>IF(+'Value of Defferal'!P25=0,0,Title_RESULTS!$H$17*Title_RESULTS!$C$7*Partcipation!$C$26*(1+Title_RESULTS!$H$18/100)^('Sheet4(F_22)'!A18-Title_RESULTS!$H$7))/1000</f>
        <v>463.0297706496</v>
      </c>
      <c r="G18" s="5">
        <f>(+E18+F18)*Partcipation!$H18</f>
        <v>795.3983031413468</v>
      </c>
      <c r="H18" s="5">
        <f>+'Sheet5(p_5)'!$F18*'Sheet2(F_12)'!$I18</f>
        <v>7343.995759461561</v>
      </c>
      <c r="I18" s="5"/>
      <c r="J18" s="5"/>
    </row>
    <row r="19" spans="1:10" ht="12.75">
      <c r="A19">
        <f aca="true" t="shared" si="0" ref="A19:A26">+A18+1</f>
        <v>2023</v>
      </c>
      <c r="B19" s="5">
        <f>VLOOKUP(A19,'Value of Defferal'!$I26:$P$58,'Value of Defferal'!$K$9)</f>
        <v>110.02285790142246</v>
      </c>
      <c r="C19" s="5">
        <f>IF(+Title_RESULTS!$H$9&lt;='Sheet4(F_22)'!$A19,(+Title_RESULTS!$H$16*((1+Title_RESULTS!$H$18/100)^('Sheet4(F_22)'!$A19-Title_RESULTS!$H$7))*Title_RESULTS!$C$8*Partcipation!$C$26/1000),0)</f>
        <v>88.68517901446197</v>
      </c>
      <c r="D19" s="5">
        <f>(+B19+C19)*+Partcipation!$H19</f>
        <v>198.7080369158844</v>
      </c>
      <c r="E19" s="5">
        <f>VLOOKUP(A19,'Value of Defferal'!$I26:$P$58,'Value of Defferal'!$K$13)</f>
        <v>340.3453772715488</v>
      </c>
      <c r="F19" s="5">
        <f>IF(+'Value of Defferal'!P26=0,0,Title_RESULTS!$H$17*Title_RESULTS!$C$7*Partcipation!$C$26*(1+Title_RESULTS!$H$18/100)^('Sheet4(F_22)'!A19-Title_RESULTS!$H$7))/1000</f>
        <v>474.1424851451904</v>
      </c>
      <c r="G19" s="5">
        <f>(+E19+F19)*Partcipation!$H19</f>
        <v>814.4878624167392</v>
      </c>
      <c r="H19" s="5">
        <f>+'Sheet5(p_5)'!$F19*'Sheet2(F_12)'!$I19</f>
        <v>9174.329197800467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112.66340649105659</v>
      </c>
      <c r="C20" s="5">
        <f>IF(+Title_RESULTS!$H$9&lt;='Sheet4(F_22)'!$A20,(+Title_RESULTS!$H$16*((1+Title_RESULTS!$H$18/100)^('Sheet4(F_22)'!$A20-Title_RESULTS!$H$7))*Title_RESULTS!$C$8*Partcipation!$C$26/1000),0)</f>
        <v>90.81362331080904</v>
      </c>
      <c r="D20" s="5">
        <f>(+B20+C20)*+Partcipation!$H20</f>
        <v>203.47702980186563</v>
      </c>
      <c r="E20" s="5">
        <f>VLOOKUP(A20,'Value of Defferal'!$I27:$P$58,'Value of Defferal'!$K$13)</f>
        <v>348.51366632606596</v>
      </c>
      <c r="F20" s="5">
        <f>IF(+'Value of Defferal'!P27=0,0,Title_RESULTS!$H$17*Title_RESULTS!$C$7*Partcipation!$C$26*(1+Title_RESULTS!$H$18/100)^('Sheet4(F_22)'!A20-Title_RESULTS!$H$7))/1000</f>
        <v>485.521904788675</v>
      </c>
      <c r="G20" s="5">
        <f>(+E20+F20)*Partcipation!$H20</f>
        <v>834.035571114741</v>
      </c>
      <c r="H20" s="5">
        <f>+'Sheet5(p_5)'!$F20*'Sheet2(F_12)'!$I20</f>
        <v>9534.845755164504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115.36732824684195</v>
      </c>
      <c r="C21" s="5">
        <f>IF(+Title_RESULTS!$H$9&lt;='Sheet4(F_22)'!$A21,(+Title_RESULTS!$H$16*((1+Title_RESULTS!$H$18/100)^('Sheet4(F_22)'!$A21-Title_RESULTS!$H$7))*Title_RESULTS!$C$8*Partcipation!$C$26/1000),0)</f>
        <v>92.99315027026847</v>
      </c>
      <c r="D21" s="5">
        <f>(+B21+C21)*+Partcipation!$H21</f>
        <v>208.36047851711044</v>
      </c>
      <c r="E21" s="5">
        <f>VLOOKUP(A21,'Value of Defferal'!$I28:$P$58,'Value of Defferal'!$K$13)</f>
        <v>356.87799431789153</v>
      </c>
      <c r="F21" s="5">
        <f>IF(+'Value of Defferal'!P28=0,0,Title_RESULTS!$H$17*Title_RESULTS!$C$7*Partcipation!$C$26*(1+Title_RESULTS!$H$18/100)^('Sheet4(F_22)'!A21-Title_RESULTS!$H$7))/1000</f>
        <v>497.17443050360316</v>
      </c>
      <c r="G21" s="5">
        <f>(+E21+F21)*Partcipation!$H21</f>
        <v>854.0524248214947</v>
      </c>
      <c r="H21" s="5">
        <f>+'Sheet5(p_5)'!$F21*'Sheet2(F_12)'!$I21</f>
        <v>10237.553729453259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118.13614412476616</v>
      </c>
      <c r="C22" s="5">
        <f>IF(+Title_RESULTS!$H$9&lt;='Sheet4(F_22)'!$A22,(+Title_RESULTS!$H$16*((1+Title_RESULTS!$H$18/100)^('Sheet4(F_22)'!$A22-Title_RESULTS!$H$7))*Title_RESULTS!$C$8*Partcipation!$C$26/1000),0)</f>
        <v>95.22498587675487</v>
      </c>
      <c r="D22" s="5">
        <f>(+B22+C22)*+Partcipation!$H22</f>
        <v>213.36113000152102</v>
      </c>
      <c r="E22" s="5">
        <f>VLOOKUP(A22,'Value of Defferal'!$I29:$P$58,'Value of Defferal'!$K$13)</f>
        <v>365.4430661815209</v>
      </c>
      <c r="F22" s="5">
        <f>IF(+'Value of Defferal'!P29=0,0,Title_RESULTS!$H$17*Title_RESULTS!$C$7*Partcipation!$C$26*(1+Title_RESULTS!$H$18/100)^('Sheet4(F_22)'!A22-Title_RESULTS!$H$7))/1000</f>
        <v>509.1066168356896</v>
      </c>
      <c r="G22" s="5">
        <f>(+E22+F22)*Partcipation!$H22</f>
        <v>874.5496830172106</v>
      </c>
      <c r="H22" s="5">
        <f>+'Sheet5(p_5)'!$F22*'Sheet2(F_12)'!$I22</f>
        <v>10565.919421913233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120.97141158376054</v>
      </c>
      <c r="C23" s="5">
        <f>IF(+Title_RESULTS!$H$9&lt;='Sheet4(F_22)'!$A23,(+Title_RESULTS!$H$16*((1+Title_RESULTS!$H$18/100)^('Sheet4(F_22)'!$A23-Title_RESULTS!$H$7))*Title_RESULTS!$C$8*Partcipation!$C$26/1000),0)</f>
        <v>97.510385537797</v>
      </c>
      <c r="D23" s="5">
        <f>(+B23+C23)*+Partcipation!$H23</f>
        <v>218.48179712155755</v>
      </c>
      <c r="E23" s="5">
        <f>VLOOKUP(A23,'Value of Defferal'!$I30:$P$58,'Value of Defferal'!$K$13)</f>
        <v>374.21369976987745</v>
      </c>
      <c r="F23" s="5">
        <f>IF(+'Value of Defferal'!P30=0,0,Title_RESULTS!$H$17*Title_RESULTS!$C$7*Partcipation!$C$26*(1+Title_RESULTS!$H$18/100)^('Sheet4(F_22)'!A23-Title_RESULTS!$H$7))/1000</f>
        <v>521.3251756397462</v>
      </c>
      <c r="G23" s="5">
        <f>(+E23+F23)*Partcipation!$H23</f>
        <v>895.5388754096236</v>
      </c>
      <c r="H23" s="5">
        <f>+'Sheet5(p_5)'!$F23*'Sheet2(F_12)'!$I23</f>
        <v>11226.242094843989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123.87472546177081</v>
      </c>
      <c r="C24" s="5">
        <f>IF(+Title_RESULTS!$H$9&lt;='Sheet4(F_22)'!$A24,(+Title_RESULTS!$H$16*((1+Title_RESULTS!$H$18/100)^('Sheet4(F_22)'!$A24-Title_RESULTS!$H$7))*Title_RESULTS!$C$8*Partcipation!$C$26/1000),0)</f>
        <v>99.85063479070413</v>
      </c>
      <c r="D24" s="5">
        <f>(+B24+C24)*+Partcipation!$H24</f>
        <v>223.72536025247496</v>
      </c>
      <c r="E24" s="5">
        <f>VLOOKUP(A24,'Value of Defferal'!$I31:$P$58,'Value of Defferal'!$K$13)</f>
        <v>383.1948285643545</v>
      </c>
      <c r="F24" s="5">
        <f>IF(+'Value of Defferal'!P31=0,0,Title_RESULTS!$H$17*Title_RESULTS!$C$7*Partcipation!$C$26*(1+Title_RESULTS!$H$18/100)^('Sheet4(F_22)'!A24-Title_RESULTS!$H$7))/1000</f>
        <v>533.8369798551</v>
      </c>
      <c r="G24" s="5">
        <f>(+E24+F24)*Partcipation!$H24</f>
        <v>917.0318084194546</v>
      </c>
      <c r="H24" s="5">
        <f>+'Sheet5(p_5)'!$F24*'Sheet2(F_12)'!$I24</f>
        <v>12439.974449800367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126.8477188728533</v>
      </c>
      <c r="C25" s="5">
        <f>IF(+Title_RESULTS!$H$9&lt;='Sheet4(F_22)'!$A25,(+Title_RESULTS!$H$16*((1+Title_RESULTS!$H$18/100)^('Sheet4(F_22)'!$A25-Title_RESULTS!$H$7))*Title_RESULTS!$C$8*Partcipation!$C$26/1000),0)</f>
        <v>102.24705002568102</v>
      </c>
      <c r="D25" s="5">
        <f>(+B25+C25)*+Partcipation!$H25</f>
        <v>229.0947688985343</v>
      </c>
      <c r="E25" s="5">
        <f>VLOOKUP(A25,'Value of Defferal'!$I32:$P$58,'Value of Defferal'!$K$13)</f>
        <v>392.391504449899</v>
      </c>
      <c r="F25" s="5">
        <f>IF(+'Value of Defferal'!P32=0,0,Title_RESULTS!$H$17*Title_RESULTS!$C$7*Partcipation!$C$26*(1+Title_RESULTS!$H$18/100)^('Sheet4(F_22)'!A25-Title_RESULTS!$H$7))/1000</f>
        <v>546.6490673716224</v>
      </c>
      <c r="G25" s="5">
        <f>(+E25+F25)*Partcipation!$H25</f>
        <v>939.0405718215214</v>
      </c>
      <c r="H25" s="5">
        <f>+'Sheet5(p_5)'!$F25*'Sheet2(F_12)'!$I25</f>
        <v>13327.744129168834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129.8920641258018</v>
      </c>
      <c r="C26" s="5">
        <f>IF(+Title_RESULTS!$H$9&lt;='Sheet4(F_22)'!$A26,(+Title_RESULTS!$H$16*((1+Title_RESULTS!$H$18/100)^('Sheet4(F_22)'!$A26-Title_RESULTS!$H$7))*Title_RESULTS!$C$8*Partcipation!$C$26/1000),0)</f>
        <v>104.70097922629738</v>
      </c>
      <c r="D26" s="5">
        <f>(+B26+C26)*+Partcipation!$H26</f>
        <v>234.5930433520992</v>
      </c>
      <c r="E26" s="5">
        <f>VLOOKUP(A26,'Value of Defferal'!$I33:$P$58,'Value of Defferal'!$K$13)</f>
        <v>401.80890055669664</v>
      </c>
      <c r="F26" s="5">
        <f>IF(+'Value of Defferal'!P33=0,0,Title_RESULTS!$H$17*Title_RESULTS!$C$7*Partcipation!$C$26*(1+Title_RESULTS!$H$18/100)^('Sheet4(F_22)'!A26-Title_RESULTS!$H$7))/1000</f>
        <v>559.7686449885414</v>
      </c>
      <c r="G26" s="5">
        <f>(+E26+F26)*Partcipation!$H26</f>
        <v>961.5775455452381</v>
      </c>
      <c r="H26" s="5">
        <f>+'Sheet5(p_5)'!$F26*'Sheet2(F_12)'!$I26</f>
        <v>14886.35183250126</v>
      </c>
      <c r="I26" s="5"/>
      <c r="J26" s="5"/>
    </row>
    <row r="27" spans="2:10" ht="12.75"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t="s">
        <v>88</v>
      </c>
      <c r="B28" s="5">
        <f aca="true" t="shared" si="1" ref="B28:H28">SUM(B16:B27)</f>
        <v>1170.1458277758325</v>
      </c>
      <c r="C28" s="5">
        <f t="shared" si="1"/>
        <v>943.2093856560672</v>
      </c>
      <c r="D28" s="5">
        <f t="shared" si="1"/>
        <v>2113.3552134318998</v>
      </c>
      <c r="E28" s="5">
        <f t="shared" si="1"/>
        <v>3619.7362149410733</v>
      </c>
      <c r="F28" s="5">
        <f t="shared" si="1"/>
        <v>5042.732586177768</v>
      </c>
      <c r="G28" s="5">
        <f t="shared" si="1"/>
        <v>8662.468801118841</v>
      </c>
      <c r="H28" s="5">
        <f t="shared" si="1"/>
        <v>104441.27785483694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90</v>
      </c>
      <c r="B30" s="5">
        <f>NPV(Title_RESULTS!$C$37,'Sheet4(F_22)'!B17:B27)+'Sheet4(F_22)'!B16</f>
        <v>807.9949599004026</v>
      </c>
      <c r="C30" s="5">
        <f>NPV(Title_RESULTS!$C$37,'Sheet4(F_22)'!C17:C27)+'Sheet4(F_22)'!C16</f>
        <v>651.2935496163274</v>
      </c>
      <c r="D30" s="5">
        <f>NPV(Title_RESULTS!$C$37,'Sheet4(F_22)'!D17:D27)+'Sheet4(F_22)'!D16</f>
        <v>1459.2885095167303</v>
      </c>
      <c r="E30" s="5">
        <f>NPV(Title_RESULTS!$C$37,'Sheet4(F_22)'!E17:E27)+'Sheet4(F_22)'!E16</f>
        <v>2499.4565193643925</v>
      </c>
      <c r="F30" s="5">
        <f>NPV(Title_RESULTS!$C$37,'Sheet4(F_22)'!F17:F27)+'Sheet4(F_22)'!F16</f>
        <v>3482.046781726185</v>
      </c>
      <c r="G30" s="5">
        <f>NPV(Title_RESULTS!$C$37,'Sheet4(F_22)'!G17:G27)+'Sheet4(F_22)'!G16</f>
        <v>5981.503301090577</v>
      </c>
      <c r="H30" s="5">
        <f>NPV(Title_RESULTS!$C$37,'Sheet4(F_22)'!H17:H27)+'Sheet4(F_22)'!H16</f>
        <v>69696.19742369291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ht="12.75">
      <c r="A32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Smart Thermostat</v>
      </c>
      <c r="P2" t="s">
        <v>121</v>
      </c>
    </row>
    <row r="3" ht="12.75">
      <c r="P3" s="35">
        <f>+Title_RESULTS!I4</f>
        <v>43599.32045532407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9950.25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9950.25</v>
      </c>
      <c r="H16" s="5">
        <f>IF(Partcipation!$B17&lt;Partcipation!$B16,0,IF(Partcipation!$B16=0,0,(Partcipation!$B16-Partcipation!$B15)*(+Title_RESULTS!$C$29*(1+Title_RESULTS!$C$30/100)^(+'Sheet8(F_24)'!$A16-Title_RESULTS!$H$7))/1000))</f>
        <v>20878.8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20878.8</v>
      </c>
      <c r="K16" s="5">
        <f>(+Partcipation!$B15+(Partcipation!$B16-Partcipation!$B15)/2)*(+Title_RESULTS!$C$14)/1000</f>
        <v>46892.735</v>
      </c>
      <c r="L16" s="5">
        <f>($K16)*Partcipation!$E73*Title_RESULTS!$C$12/100</f>
        <v>1141.6564073912837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1638.2801823</v>
      </c>
      <c r="N16" s="5">
        <f>'Sheet2(F_12)'!$I16*('Sheet6(p_6)'!$L16+'Sheet6(p_6)'!$M16)</f>
        <v>2779.9365896912836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9950.25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9950.25</v>
      </c>
      <c r="H17" s="5">
        <f>IF(Partcipation!$B18&lt;Partcipation!$B17,0,IF(Partcipation!$B17=0,0,(Partcipation!$B17-Partcipation!$B16)*(+Title_RESULTS!$C$29*(1+Title_RESULTS!$C$30/100)^(+'Sheet8(F_24)'!$A17-Title_RESULTS!$H$7))/1000))</f>
        <v>21359.012399999996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21359.012399999996</v>
      </c>
      <c r="K17" s="5">
        <f>(+Partcipation!$B16+(Partcipation!$B17-Partcipation!$B16)/2)*(+Title_RESULTS!$C$14)/1000</f>
        <v>140678.205</v>
      </c>
      <c r="L17" s="5">
        <f>($K17)*Partcipation!$E74*Title_RESULTS!$C$12/100</f>
        <v>3587.975439363789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4963.988952369</v>
      </c>
      <c r="N17" s="5">
        <f>'Sheet2(F_12)'!$I17*('Sheet6(p_6)'!$L17+'Sheet6(p_6)'!$M17)</f>
        <v>8551.964391732788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9950.25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9950.25</v>
      </c>
      <c r="H18" s="5">
        <f>IF(Partcipation!$B19&lt;Partcipation!$B18,0,IF(Partcipation!$B18=0,0,(Partcipation!$B18-Partcipation!$B17)*(+Title_RESULTS!$C$29*(1+Title_RESULTS!$C$30/100)^(+'Sheet8(F_24)'!$A18-Title_RESULTS!$H$7))/1000))</f>
        <v>21850.269685199997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21850.269685199997</v>
      </c>
      <c r="K18" s="5">
        <f>(+Partcipation!$B17+(Partcipation!$B18-Partcipation!$B17)/2)*(+Title_RESULTS!$C$14)/1000</f>
        <v>234463.675</v>
      </c>
      <c r="L18" s="5">
        <f>($K18)*Partcipation!$E75*Title_RESULTS!$C$12/100</f>
        <v>6200.233178489236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8356.04806982115</v>
      </c>
      <c r="N18" s="5">
        <f>'Sheet2(F_12)'!$I18*('Sheet6(p_6)'!$L18+'Sheet6(p_6)'!$M18)</f>
        <v>14556.281248310386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6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6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6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6">SUM(H19:I19)</f>
        <v>0</v>
      </c>
      <c r="K19" s="5">
        <f>(+Partcipation!$B18+(Partcipation!$B19-Partcipation!$B18)/2)*(+Title_RESULTS!$C$14)/1000</f>
        <v>281356.41</v>
      </c>
      <c r="L19" s="5">
        <f>($K19)*Partcipation!$E76*Title_RESULTS!$C$12/100</f>
        <v>7379.288950165526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10127.530260623233</v>
      </c>
      <c r="N19" s="5">
        <f>'Sheet2(F_12)'!$I19*('Sheet6(p_6)'!$L19+'Sheet6(p_6)'!$M19)</f>
        <v>17506.81921078876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281356.41</v>
      </c>
      <c r="L20" s="5">
        <f>($K20)*Partcipation!$E77*Title_RESULTS!$C$12/100</f>
        <v>7797.840253172193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10228.805563229467</v>
      </c>
      <c r="N20" s="5">
        <f>'Sheet2(F_12)'!$I20*('Sheet6(p_6)'!$L20+'Sheet6(p_6)'!$M20)</f>
        <v>18026.64581640166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281356.41</v>
      </c>
      <c r="L21" s="5">
        <f>($K21)*Partcipation!$E78*Title_RESULTS!$C$12/100</f>
        <v>8245.425966653609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10331.09361886176</v>
      </c>
      <c r="N21" s="5">
        <f>'Sheet2(F_12)'!$I21*('Sheet6(p_6)'!$L21+'Sheet6(p_6)'!$M21)</f>
        <v>18576.51958551537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281356.41</v>
      </c>
      <c r="L22" s="5">
        <f>($K22)*Partcipation!$E79*Title_RESULTS!$C$12/100</f>
        <v>8618.23602885783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10434.40455505038</v>
      </c>
      <c r="N22" s="5">
        <f>'Sheet2(F_12)'!$I22*('Sheet6(p_6)'!$L22+'Sheet6(p_6)'!$M22)</f>
        <v>19052.640583908207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281356.41</v>
      </c>
      <c r="L23" s="5">
        <f>($K23)*Partcipation!$E80*Title_RESULTS!$C$12/100</f>
        <v>9125.68610805546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10538.74860060088</v>
      </c>
      <c r="N23" s="5">
        <f>'Sheet2(F_12)'!$I23*('Sheet6(p_6)'!$L23+'Sheet6(p_6)'!$M23)</f>
        <v>19664.434708656343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281356.41</v>
      </c>
      <c r="L24" s="5">
        <f>($K24)*Partcipation!$E81*Title_RESULTS!$C$12/100</f>
        <v>9989.843971050615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10644.136086606892</v>
      </c>
      <c r="N24" s="5">
        <f>'Sheet2(F_12)'!$I24*('Sheet6(p_6)'!$L24+'Sheet6(p_6)'!$M24)</f>
        <v>20633.980057657507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281356.41</v>
      </c>
      <c r="L25" s="5">
        <f>($K25)*Partcipation!$E82*Title_RESULTS!$C$12/100</f>
        <v>10498.804026868262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10750.577447472962</v>
      </c>
      <c r="N25" s="5">
        <f>'Sheet2(F_12)'!$I25*('Sheet6(p_6)'!$L25+'Sheet6(p_6)'!$M25)</f>
        <v>21249.381474341222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281356.41</v>
      </c>
      <c r="L26" s="5">
        <f>($K26)*Partcipation!$E83*Title_RESULTS!$C$12/100</f>
        <v>11438.992790910967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10858.08322194769</v>
      </c>
      <c r="N26" s="5">
        <f>'Sheet2(F_12)'!$I26*('Sheet6(p_6)'!$L26+'Sheet6(p_6)'!$M26)</f>
        <v>22297.076012858655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2:18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t="s">
        <v>87</v>
      </c>
      <c r="B28" s="5">
        <f aca="true" t="shared" si="4" ref="B28:R28">SUM(B16:B27)</f>
        <v>384.072</v>
      </c>
      <c r="C28" s="5">
        <f t="shared" si="4"/>
        <v>0</v>
      </c>
      <c r="D28" s="5">
        <f t="shared" si="4"/>
        <v>384.072</v>
      </c>
      <c r="E28" s="5">
        <f t="shared" si="4"/>
        <v>29850.75</v>
      </c>
      <c r="F28" s="5">
        <f t="shared" si="4"/>
        <v>0</v>
      </c>
      <c r="G28" s="5">
        <f t="shared" si="4"/>
        <v>29850.75</v>
      </c>
      <c r="H28" s="5">
        <f t="shared" si="4"/>
        <v>64088.08208519999</v>
      </c>
      <c r="I28" s="5">
        <f t="shared" si="4"/>
        <v>0</v>
      </c>
      <c r="J28" s="5">
        <f t="shared" si="4"/>
        <v>64088.08208519999</v>
      </c>
      <c r="K28" s="5">
        <f t="shared" si="4"/>
        <v>2672885.895</v>
      </c>
      <c r="L28" s="5">
        <f t="shared" si="4"/>
        <v>84023.98312097877</v>
      </c>
      <c r="M28" s="5">
        <f t="shared" si="4"/>
        <v>98871.69655888341</v>
      </c>
      <c r="N28" s="5">
        <f t="shared" si="4"/>
        <v>182895.67967986217</v>
      </c>
      <c r="O28" s="5">
        <f t="shared" si="4"/>
        <v>0</v>
      </c>
      <c r="P28" s="5">
        <f t="shared" si="4"/>
        <v>0</v>
      </c>
      <c r="Q28" s="5">
        <f t="shared" si="4"/>
        <v>0</v>
      </c>
      <c r="R28" s="5">
        <f t="shared" si="4"/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89</v>
      </c>
      <c r="B30" s="5">
        <f>NPV(Title_RESULTS!$C$37,'Sheet6(p_6)'!B17:B27)+'Sheet6(p_6)'!B16</f>
        <v>358.8491576370552</v>
      </c>
      <c r="C30" s="5">
        <f>NPV(Title_RESULTS!$C$37,'Sheet6(p_6)'!C17:C27)+'Sheet6(p_6)'!C16</f>
        <v>0</v>
      </c>
      <c r="D30" s="5">
        <f>NPV(Title_RESULTS!$C$37,'Sheet6(p_6)'!D17:D27)+'Sheet6(p_6)'!D16</f>
        <v>358.8491576370552</v>
      </c>
      <c r="E30" s="5">
        <f>NPV(Title_RESULTS!$C$37,'Sheet6(p_6)'!E17:E27)+'Sheet6(p_6)'!E16</f>
        <v>27920.553990369404</v>
      </c>
      <c r="F30" s="5">
        <f>NPV(Title_RESULTS!$C$37,'Sheet6(p_6)'!F17:F27)+'Sheet6(p_6)'!F16</f>
        <v>0</v>
      </c>
      <c r="G30" s="5">
        <f>NPV(Title_RESULTS!$C$37,'Sheet6(p_6)'!G17:G27)+'Sheet6(p_6)'!G16</f>
        <v>27920.553990369404</v>
      </c>
      <c r="H30" s="5">
        <f>NPV(Title_RESULTS!$C$37,'Sheet6(p_6)'!H17:H27)+'Sheet6(p_6)'!H16</f>
        <v>59881.94596490057</v>
      </c>
      <c r="I30" s="5">
        <f>NPV(Title_RESULTS!$C$37,'Sheet6(p_6)'!I17:I27)+'Sheet6(p_6)'!I16</f>
        <v>0</v>
      </c>
      <c r="J30" s="5">
        <f>NPV(Title_RESULTS!$C$37,'Sheet6(p_6)'!J17:J27)+'Sheet6(p_6)'!J16</f>
        <v>59881.94596490057</v>
      </c>
      <c r="K30" s="5"/>
      <c r="L30" s="5">
        <f>NPV(Title_RESULTS!$C$37,'Sheet6(p_6)'!L17:L27)+'Sheet6(p_6)'!L16</f>
        <v>56292.1258289792</v>
      </c>
      <c r="M30" s="5">
        <f>NPV(Title_RESULTS!$C$37,'Sheet6(p_6)'!M17:M27)+'Sheet6(p_6)'!M16</f>
        <v>67824.46833619129</v>
      </c>
      <c r="N30" s="5">
        <f>NPV(Title_RESULTS!$C$37,'Sheet6(p_6)'!N17:N27)+'Sheet6(p_6)'!N16</f>
        <v>124116.59416517049</v>
      </c>
      <c r="O30" s="5"/>
      <c r="P30" s="5">
        <f>NPV(Title_RESULTS!$C$37,'Sheet6(p_6)'!P17:P27)+'Sheet6(p_6)'!P16</f>
        <v>0</v>
      </c>
      <c r="Q30" s="5">
        <f>NPV(Title_RESULTS!$C$37,'Sheet6(p_6)'!Q17:Q27)+'Sheet6(p_6)'!Q16</f>
        <v>0</v>
      </c>
      <c r="R30" s="5">
        <f>NPV(Title_RESULTS!$C$37,'Sheet6(p_6)'!R17:R27)+'Sheet6(p_6)'!R16</f>
        <v>0</v>
      </c>
    </row>
    <row r="32" ht="12.75">
      <c r="A32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Smart Thermostat</v>
      </c>
      <c r="M2" t="s">
        <v>55</v>
      </c>
    </row>
    <row r="3" ht="12.75">
      <c r="M3" s="35">
        <f>+Title_RESULTS!I4</f>
        <v>43599.32045532407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20878.8</v>
      </c>
      <c r="E16" s="5">
        <f>IF(A16&gt;=(Title_RESULTS!$H$7+Title_RESULTS!$C$17),0,(+'f-11B'!$N15))</f>
        <v>0</v>
      </c>
      <c r="F16" s="5">
        <f>IF(A16&gt;=(Title_RESULTS!$H$7+Title_RESULTS!$C$17),0,(SUM(B16:E16)))</f>
        <v>21003.8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1434.8334144457208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1434.8334144457208</v>
      </c>
      <c r="L16" s="23">
        <f>IF(A16&gt;=(Title_RESULTS!$H$7+Title_RESULTS!$C$17),0,(+$K16-$F16))</f>
        <v>-19568.966585554277</v>
      </c>
      <c r="M16" s="23">
        <f>IF(A16&gt;=(Title_RESULTS!$H$7+Title_RESULTS!$C$17),0,(+$L16/(1+Title_RESULTS!$C$37)^('Sheet7(F_23)'!$A16-Title_RESULTS!$H$7)))</f>
        <v>-19568.966585554277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21359.012399999996</v>
      </c>
      <c r="E17" s="5">
        <f>IF(A17&gt;=(Title_RESULTS!$H$7+Title_RESULTS!$C$17),0,(+'f-11B'!$N16))</f>
        <v>0</v>
      </c>
      <c r="F17" s="5">
        <f>IF(A17&gt;=(Title_RESULTS!$H$7+Title_RESULTS!$C$17),0,(SUM(B17:E17)))</f>
        <v>21487.012399999996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966.2589066816554</v>
      </c>
      <c r="I17" s="5">
        <f>IF(A17&gt;=(Title_RESULTS!$H$7+Title_RESULTS!$C$17),0,(+'Sheet4(F_22)'!$H17))</f>
        <v>4269.488070283751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5235.746976965406</v>
      </c>
      <c r="L17" s="23">
        <f>IF(A17&gt;=(Title_RESULTS!$H$7+Title_RESULTS!$C$17),0,(+$K17-$F17))</f>
        <v>-16251.26542303459</v>
      </c>
      <c r="M17" s="23">
        <f>IF(A17&gt;=(Title_RESULTS!$H$7+Title_RESULTS!$C$17),0,(+M16+$L17/(1+Title_RESULTS!$C$37)^('Sheet7(F_23)'!$A17-Title_RESULTS!$H$7)))</f>
        <v>-34745.71800788766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21850.269685199997</v>
      </c>
      <c r="E18" s="5">
        <f>IF(A18&gt;=(Title_RESULTS!$H$7+Title_RESULTS!$C$17),0,(+'f-11B'!$N17))</f>
        <v>0</v>
      </c>
      <c r="F18" s="5">
        <f>IF(A18&gt;=(Title_RESULTS!$H$7+Title_RESULTS!$C$17),0,(SUM(B18:E18)))</f>
        <v>21981.341685199997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989.4491204420151</v>
      </c>
      <c r="I18" s="5">
        <f>IF(A18&gt;=(Title_RESULTS!$H$7+Title_RESULTS!$C$17),0,(+'Sheet4(F_22)'!$H18))</f>
        <v>7343.995759461561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8333.444879903576</v>
      </c>
      <c r="L18" s="23">
        <f>IF(A18&gt;=(Title_RESULTS!$H$7+Title_RESULTS!$C$17),0,(+$K18-$F18))</f>
        <v>-13647.896805296421</v>
      </c>
      <c r="M18" s="23">
        <f>IF(A18&gt;=(Title_RESULTS!$H$7+Title_RESULTS!$C$17),0,(+M17+$L18/(1+Title_RESULTS!$C$37)^('Sheet7(F_23)'!$A18-Title_RESULTS!$H$7)))</f>
        <v>-46648.51440937895</v>
      </c>
    </row>
    <row r="19" spans="1:13" ht="12.75">
      <c r="A19">
        <f aca="true" t="shared" si="0" ref="A19:A26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2302.0178109797603</v>
      </c>
      <c r="H19" s="5">
        <f>IF(A19&gt;=(Title_RESULTS!$H$7+Title_RESULTS!$C$17),0,(+'Sheet4(F_22)'!$D19+'Sheet4(F_22)'!$G19))</f>
        <v>1013.1958993326236</v>
      </c>
      <c r="I19" s="5">
        <f>IF(A19&gt;=(Title_RESULTS!$H$7+Title_RESULTS!$C$17),0,(+'Sheet4(F_22)'!$H19))</f>
        <v>9174.329197800467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12489.542908112851</v>
      </c>
      <c r="L19" s="23">
        <f>IF(A19&gt;=(Title_RESULTS!$H$7+Title_RESULTS!$C$17),0,(+$K19-$F19))</f>
        <v>12489.542908112851</v>
      </c>
      <c r="M19" s="23">
        <f>IF(A19&gt;=(Title_RESULTS!$H$7+Title_RESULTS!$C$17),0,(+M18+$L19/(1+Title_RESULTS!$C$37)^('Sheet7(F_23)'!$A19-Title_RESULTS!$H$7)))</f>
        <v>-36476.160607969854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2363.400644705779</v>
      </c>
      <c r="H20" s="5">
        <f>IF(A20&gt;=(Title_RESULTS!$H$7+Title_RESULTS!$C$17),0,(+'Sheet4(F_22)'!$D20+'Sheet4(F_22)'!$G20))</f>
        <v>1037.5126009166065</v>
      </c>
      <c r="I20" s="5">
        <f>IF(A20&gt;=(Title_RESULTS!$H$7+Title_RESULTS!$C$17),0,(+'Sheet4(F_22)'!$H20))</f>
        <v>9534.845755164504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12935.75900078689</v>
      </c>
      <c r="L20" s="23">
        <f>IF(A20&gt;=(Title_RESULTS!$H$7+Title_RESULTS!$C$17),0,(+$K20-$F20))</f>
        <v>12935.75900078689</v>
      </c>
      <c r="M20" s="23">
        <f>IF(A20&gt;=(Title_RESULTS!$H$7+Title_RESULTS!$C$17),0,(+M19+$L20/(1+Title_RESULTS!$C$37)^('Sheet7(F_23)'!$A20-Title_RESULTS!$H$7)))</f>
        <v>-26636.990574384166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2430.553885139555</v>
      </c>
      <c r="H21" s="5">
        <f>IF(A21&gt;=(Title_RESULTS!$H$7+Title_RESULTS!$C$17),0,(+'Sheet4(F_22)'!$D21+'Sheet4(F_22)'!$G21))</f>
        <v>1062.4129033386052</v>
      </c>
      <c r="I21" s="5">
        <f>IF(A21&gt;=(Title_RESULTS!$H$7+Title_RESULTS!$C$17),0,(+'Sheet4(F_22)'!$H21))</f>
        <v>10237.553729453259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13730.520517931418</v>
      </c>
      <c r="L21" s="23">
        <f>IF(A21&gt;=(Title_RESULTS!$H$7+Title_RESULTS!$C$17),0,(+$K21-$F21))</f>
        <v>13730.520517931418</v>
      </c>
      <c r="M21" s="23">
        <f>IF(A21&gt;=(Title_RESULTS!$H$7+Title_RESULTS!$C$17),0,(+M20+$L21/(1+Title_RESULTS!$C$37)^('Sheet7(F_23)'!$A21-Title_RESULTS!$H$7)))</f>
        <v>-16883.834166766617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2505.7621008888505</v>
      </c>
      <c r="H22" s="5">
        <f>IF(A22&gt;=(Title_RESULTS!$H$7+Title_RESULTS!$C$17),0,(+'Sheet4(F_22)'!$D22+'Sheet4(F_22)'!$G22))</f>
        <v>1087.9108130187315</v>
      </c>
      <c r="I22" s="5">
        <f>IF(A22&gt;=(Title_RESULTS!$H$7+Title_RESULTS!$C$17),0,(+'Sheet4(F_22)'!$H22))</f>
        <v>10565.919421913233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14159.592335820815</v>
      </c>
      <c r="L22" s="23">
        <f>IF(A22&gt;=(Title_RESULTS!$H$7+Title_RESULTS!$C$17),0,(+$K22-$F22))</f>
        <v>14159.592335820815</v>
      </c>
      <c r="M22" s="23">
        <f>IF(A22&gt;=(Title_RESULTS!$H$7+Title_RESULTS!$C$17),0,(+M21+$L22/(1+Title_RESULTS!$C$37)^('Sheet7(F_23)'!$A22-Title_RESULTS!$H$7)))</f>
        <v>-7490.915218508389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2573.2170410395483</v>
      </c>
      <c r="H23" s="5">
        <f>IF(A23&gt;=(Title_RESULTS!$H$7+Title_RESULTS!$C$17),0,(+'Sheet4(F_22)'!$D23+'Sheet4(F_22)'!$G23))</f>
        <v>1114.0206725311812</v>
      </c>
      <c r="I23" s="5">
        <f>IF(A23&gt;=(Title_RESULTS!$H$7+Title_RESULTS!$C$17),0,(+'Sheet4(F_22)'!$H23))</f>
        <v>11226.242094843989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14913.479808414719</v>
      </c>
      <c r="L23" s="23">
        <f>IF(A23&gt;=(Title_RESULTS!$H$7+Title_RESULTS!$C$17),0,(+$K23-$F23))</f>
        <v>14913.479808414719</v>
      </c>
      <c r="M23" s="23">
        <f>IF(A23&gt;=(Title_RESULTS!$H$7+Title_RESULTS!$C$17),0,(+M22+$L23/(1+Title_RESULTS!$C$37)^('Sheet7(F_23)'!$A23-Title_RESULTS!$H$7)))</f>
        <v>1747.9887496253014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2614.901384237309</v>
      </c>
      <c r="H24" s="5">
        <f>IF(A24&gt;=(Title_RESULTS!$H$7+Title_RESULTS!$C$17),0,(+'Sheet4(F_22)'!$D24+'Sheet4(F_22)'!$G24))</f>
        <v>1140.7571686719295</v>
      </c>
      <c r="I24" s="5">
        <f>IF(A24&gt;=(Title_RESULTS!$H$7+Title_RESULTS!$C$17),0,(+'Sheet4(F_22)'!$H24))</f>
        <v>12439.974449800367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16195.633002709605</v>
      </c>
      <c r="L24" s="23">
        <f>IF(A24&gt;=(Title_RESULTS!$H$7+Title_RESULTS!$C$17),0,(+$K24-$F24))</f>
        <v>16195.633002709605</v>
      </c>
      <c r="M24" s="23">
        <f>IF(A24&gt;=(Title_RESULTS!$H$7+Title_RESULTS!$C$17),0,(+M23+$L24/(1+Title_RESULTS!$C$37)^('Sheet7(F_23)'!$A24-Title_RESULTS!$H$7)))</f>
        <v>11117.803980684415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2685.930836337455</v>
      </c>
      <c r="H25" s="5">
        <f>IF(A25&gt;=(Title_RESULTS!$H$7+Title_RESULTS!$C$17),0,(+'Sheet4(F_22)'!$D25+'Sheet4(F_22)'!$G25))</f>
        <v>1168.1353407200559</v>
      </c>
      <c r="I25" s="5">
        <f>IF(A25&gt;=(Title_RESULTS!$H$7+Title_RESULTS!$C$17),0,(+'Sheet4(F_22)'!$H25))</f>
        <v>13327.744129168834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17181.810306226344</v>
      </c>
      <c r="L25" s="23">
        <f>IF(A25&gt;=(Title_RESULTS!$H$7+Title_RESULTS!$C$17),0,(+$K25-$F25))</f>
        <v>17181.810306226344</v>
      </c>
      <c r="M25" s="23">
        <f>IF(A25&gt;=(Title_RESULTS!$H$7+Title_RESULTS!$C$17),0,(+M24+$L25/(1+Title_RESULTS!$C$37)^('Sheet7(F_23)'!$A25-Title_RESULTS!$H$7)))</f>
        <v>20400.917414987143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2728.9372909834638</v>
      </c>
      <c r="H26" s="5">
        <f>IF(A26&gt;=(Title_RESULTS!$H$7+Title_RESULTS!$C$17),0,(+'Sheet4(F_22)'!$D26+'Sheet4(F_22)'!$G26))</f>
        <v>1196.1705888973372</v>
      </c>
      <c r="I26" s="5">
        <f>IF(A26&gt;=(Title_RESULTS!$H$7+Title_RESULTS!$C$17),0,(+'Sheet4(F_22)'!$H26))</f>
        <v>14886.35183250126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18811.45971238206</v>
      </c>
      <c r="L26" s="23">
        <f>IF(A26&gt;=(Title_RESULTS!$H$7+Title_RESULTS!$C$17),0,(+$K26-$F26))</f>
        <v>18811.45971238206</v>
      </c>
      <c r="M26" s="23">
        <f>IF(A26&gt;=(Title_RESULTS!$H$7+Title_RESULTS!$C$17),0,(+M25+$L26/(1+Title_RESULTS!$C$37)^('Sheet7(F_23)'!$A26-Title_RESULTS!$H$7)))</f>
        <v>29892.50526312121</v>
      </c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L28">SUM(B16:B27)</f>
        <v>0</v>
      </c>
      <c r="C28" s="5">
        <f t="shared" si="1"/>
        <v>384.072</v>
      </c>
      <c r="D28" s="5">
        <f t="shared" si="1"/>
        <v>64088.08208519999</v>
      </c>
      <c r="E28" s="5">
        <f t="shared" si="1"/>
        <v>0</v>
      </c>
      <c r="F28" s="5">
        <f t="shared" si="1"/>
        <v>64472.15408519999</v>
      </c>
      <c r="G28" s="5">
        <f t="shared" si="1"/>
        <v>20204.72099431172</v>
      </c>
      <c r="H28" s="5">
        <f t="shared" si="1"/>
        <v>10775.82401455074</v>
      </c>
      <c r="I28" s="5">
        <f t="shared" si="1"/>
        <v>104441.27785483694</v>
      </c>
      <c r="J28" s="5">
        <f t="shared" si="1"/>
        <v>0</v>
      </c>
      <c r="K28" s="5">
        <f t="shared" si="1"/>
        <v>135421.8228636994</v>
      </c>
      <c r="L28" s="5">
        <f t="shared" si="1"/>
        <v>70949.66877849941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118</v>
      </c>
      <c r="B30" s="5">
        <f>NPV(Title_RESULTS!$C$37,'Sheet7(F_23)'!B17:B27)+'Sheet7(F_23)'!B16</f>
        <v>0</v>
      </c>
      <c r="C30" s="5">
        <f>NPV(Title_RESULTS!$C$37,'Sheet7(F_23)'!C17:C27)+'Sheet7(F_23)'!C16</f>
        <v>358.8491576370552</v>
      </c>
      <c r="D30" s="5">
        <f>NPV(Title_RESULTS!$C$37,'Sheet7(F_23)'!D17:D27)+'Sheet7(F_23)'!D16</f>
        <v>59881.94596490057</v>
      </c>
      <c r="E30" s="5">
        <f>NPV(Title_RESULTS!$C$37,'Sheet7(F_23)'!E17:E27)+'Sheet7(F_23)'!E16</f>
        <v>0</v>
      </c>
      <c r="F30" s="5">
        <f>NPV(Title_RESULTS!$C$37,'Sheet7(F_23)'!F17:F27)+'Sheet7(F_23)'!F16</f>
        <v>60240.79512253763</v>
      </c>
      <c r="G30" s="5">
        <f>NPV(Title_RESULTS!$C$37,'Sheet7(F_23)'!G17:G27)+'Sheet7(F_23)'!G16</f>
        <v>12996.311151358615</v>
      </c>
      <c r="H30" s="5">
        <f>NPV(Title_RESULTS!$C$37,'Sheet7(F_23)'!H17:H27)+'Sheet7(F_23)'!H16</f>
        <v>7440.791810607307</v>
      </c>
      <c r="I30" s="5">
        <f>NPV(Title_RESULTS!$C$37,'Sheet7(F_23)'!I17:I27)+'Sheet7(F_23)'!I16</f>
        <v>69696.19742369291</v>
      </c>
      <c r="J30" s="5">
        <f>NPV(Title_RESULTS!$C$37,'Sheet7(F_23)'!J17:J27)+'Sheet7(F_23)'!J16</f>
        <v>0</v>
      </c>
      <c r="K30" s="5">
        <f>NPV(Title_RESULTS!$C$37,'Sheet7(F_23)'!K17:K27)+'Sheet7(F_23)'!K16</f>
        <v>90133.30038565882</v>
      </c>
      <c r="L30" s="5">
        <f>NPV(Title_RESULTS!$C$37,'Sheet7(F_23)'!L17:L27)+'Sheet7(F_23)'!L16</f>
        <v>29892.505263121202</v>
      </c>
      <c r="M30" s="5"/>
    </row>
    <row r="32" spans="1:8" ht="12.75">
      <c r="A32" t="s">
        <v>162</v>
      </c>
      <c r="C32">
        <f>+Title_RESULTS!C37</f>
        <v>0.0708</v>
      </c>
      <c r="D32" t="s">
        <v>163</v>
      </c>
      <c r="H32" s="10">
        <f>+K30/F30</f>
        <v>1.4962169772546317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Smart Thermostat</v>
      </c>
      <c r="L2" t="s">
        <v>55</v>
      </c>
    </row>
    <row r="3" ht="12.75">
      <c r="L3" s="35">
        <f>+Title_RESULTS!I4</f>
        <v>43599.32045532407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2779.9365896912836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9950.25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12730.186589691284</v>
      </c>
      <c r="G16" s="5">
        <f>IF(A16&gt;=(Title_RESULTS!$H$7+Title_RESULTS!$C$17),0,(+'Sheet6(p_6)'!$H16))</f>
        <v>20878.8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20878.8</v>
      </c>
      <c r="K16" s="23">
        <f>IF(A16&gt;=(Title_RESULTS!$H$7+Title_RESULTS!$C$17),0,(+F16-J16))</f>
        <v>-8148.613410308715</v>
      </c>
      <c r="L16" s="23">
        <f>IF(A16&gt;=(Title_RESULTS!$H$7+Title_RESULTS!$C$17),0,(+$K16/((1+Title_RESULTS!$C$37)^('Sheet8(F_24)'!$A16-Title_RESULTS!$H$7))))</f>
        <v>-8148.613410308715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8551.964391732788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9950.25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18502.21439173279</v>
      </c>
      <c r="G17" s="5">
        <f>IF(A17&gt;=(Title_RESULTS!$H$7+Title_RESULTS!$C$17),0,(+'Sheet6(p_6)'!$H17))</f>
        <v>21359.012399999996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21359.012399999996</v>
      </c>
      <c r="K17" s="23">
        <f>IF(A17&gt;=(Title_RESULTS!$H$7+Title_RESULTS!$C$17),0,(+F17-J17))</f>
        <v>-2856.7980082672075</v>
      </c>
      <c r="L17" s="23">
        <f>IF(A16&gt;=(Title_RESULTS!$H$7+Title_RESULTS!$C$17),0,(+$K17/((1+Title_RESULTS!$C$37)^('Sheet8(F_24)'!$A17-Title_RESULTS!$H$7))+L16))</f>
        <v>-10816.523391880632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14556.281248310386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9950.25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24506.531248310384</v>
      </c>
      <c r="G18" s="5">
        <f>IF(A18&gt;=(Title_RESULTS!$H$7+Title_RESULTS!$C$17),0,(+'Sheet6(p_6)'!$H18))</f>
        <v>21850.269685199997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21850.269685199997</v>
      </c>
      <c r="K18" s="23">
        <f>IF(A18&gt;=(Title_RESULTS!$H$7+Title_RESULTS!$C$17),0,(+F18-J18))</f>
        <v>2656.261563110387</v>
      </c>
      <c r="L18" s="23">
        <f>IF(A17&gt;=(Title_RESULTS!$H$7+Title_RESULTS!$C$17),0,(+$K18/((1+Title_RESULTS!$C$37)^('Sheet8(F_24)'!$A18-Title_RESULTS!$H$7))+L17))</f>
        <v>-8499.907064408097</v>
      </c>
      <c r="M18" s="5"/>
    </row>
    <row r="19" spans="1:13" ht="12.75">
      <c r="A19">
        <f aca="true" t="shared" si="0" ref="A19:A26">+A18+1</f>
        <v>2023</v>
      </c>
      <c r="B19" s="5">
        <f>IF(A19&gt;=(Title_RESULTS!$H$7+Title_RESULTS!$C$17),0,(+'Sheet6(p_6)'!N19-'Sheet6(p_6)'!R19))</f>
        <v>17506.81921078876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17506.81921078876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17506.81921078876</v>
      </c>
      <c r="L19" s="23">
        <f>IF(A18&gt;=(Title_RESULTS!$H$7+Title_RESULTS!$C$17),0,(+$K19/((1+Title_RESULTS!$C$37)^('Sheet8(F_24)'!$A19-Title_RESULTS!$H$7))+L18))</f>
        <v>5758.866075621667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18026.64581640166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18026.64581640166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18026.64581640166</v>
      </c>
      <c r="L20" s="23">
        <f>IF(A19&gt;=(Title_RESULTS!$H$7+Title_RESULTS!$C$17),0,(+$K20/((1+Title_RESULTS!$C$37)^('Sheet8(F_24)'!$A20-Title_RESULTS!$H$7))+L19))</f>
        <v>19470.25582182926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18576.51958551537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18576.51958551537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18576.51958551537</v>
      </c>
      <c r="L21" s="23">
        <f>IF(A20&gt;=(Title_RESULTS!$H$7+Title_RESULTS!$C$17),0,(+$K21/((1+Title_RESULTS!$C$37)^('Sheet8(F_24)'!$A21-Title_RESULTS!$H$7))+L20))</f>
        <v>32665.65513608613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19052.640583908207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19052.640583908207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19052.640583908207</v>
      </c>
      <c r="L22" s="23">
        <f>IF(A21&gt;=(Title_RESULTS!$H$7+Title_RESULTS!$C$17),0,(+$K22/((1+Title_RESULTS!$C$37)^('Sheet8(F_24)'!$A22-Title_RESULTS!$H$7))+L21))</f>
        <v>45304.430639686885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19664.434708656343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19664.434708656343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19664.434708656343</v>
      </c>
      <c r="L23" s="23">
        <f>IF(A22&gt;=(Title_RESULTS!$H$7+Title_RESULTS!$C$17),0,(+$K23/((1+Title_RESULTS!$C$37)^('Sheet8(F_24)'!$A23-Title_RESULTS!$H$7))+L22))</f>
        <v>57486.552196481556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20633.980057657507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20633.980057657507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20633.980057657507</v>
      </c>
      <c r="L24" s="23">
        <f>IF(A23&gt;=(Title_RESULTS!$H$7+Title_RESULTS!$C$17),0,(+$K24/((1+Title_RESULTS!$C$37)^('Sheet8(F_24)'!$A24-Title_RESULTS!$H$7))+L23))</f>
        <v>69424.12700996759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21249.381474341222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21249.381474341222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21249.381474341222</v>
      </c>
      <c r="L25" s="23">
        <f>IF(A24&gt;=(Title_RESULTS!$H$7+Title_RESULTS!$C$17),0,(+$K25/((1+Title_RESULTS!$C$37)^('Sheet8(F_24)'!$A25-Title_RESULTS!$H$7))+L24))</f>
        <v>80904.89737812823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22297.076012858655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22297.076012858655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22297.076012858655</v>
      </c>
      <c r="L26" s="23">
        <f>IF(A25&gt;=(Title_RESULTS!$H$7+Title_RESULTS!$C$17),0,(+$K26/((1+Title_RESULTS!$C$37)^('Sheet8(F_24)'!$A26-Title_RESULTS!$H$7))+L25))</f>
        <v>92155.20219063933</v>
      </c>
      <c r="M26" s="5"/>
    </row>
    <row r="27" spans="2:13" ht="12.7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t="s">
        <v>87</v>
      </c>
      <c r="B28" s="5">
        <f aca="true" t="shared" si="1" ref="B28:K28">SUM(B16:B27)</f>
        <v>182895.67967986217</v>
      </c>
      <c r="C28" s="5">
        <f t="shared" si="1"/>
        <v>0</v>
      </c>
      <c r="D28" s="5">
        <f t="shared" si="1"/>
        <v>29850.75</v>
      </c>
      <c r="E28" s="5">
        <f t="shared" si="1"/>
        <v>0</v>
      </c>
      <c r="F28" s="5">
        <f t="shared" si="1"/>
        <v>212746.42967986217</v>
      </c>
      <c r="G28" s="5">
        <f t="shared" si="1"/>
        <v>64088.08208519999</v>
      </c>
      <c r="H28" s="5">
        <f t="shared" si="1"/>
        <v>0</v>
      </c>
      <c r="I28" s="5">
        <f t="shared" si="1"/>
        <v>0</v>
      </c>
      <c r="J28" s="5">
        <f t="shared" si="1"/>
        <v>64088.08208519999</v>
      </c>
      <c r="K28" s="5">
        <f t="shared" si="1"/>
        <v>148658.3475946622</v>
      </c>
      <c r="L28" s="5"/>
      <c r="M28" s="5"/>
    </row>
    <row r="29" ht="12.75">
      <c r="M29" s="5"/>
    </row>
    <row r="30" spans="1:13" ht="12.75">
      <c r="A30" t="s">
        <v>118</v>
      </c>
      <c r="B30" s="5">
        <f>NPV(Title_RESULTS!$C$37,'Sheet8(F_24)'!B17:B27)+'Sheet8(F_24)'!B16</f>
        <v>124116.59416517049</v>
      </c>
      <c r="C30" s="5">
        <f>NPV(Title_RESULTS!$C$37,'Sheet8(F_24)'!C17:C27)+'Sheet8(F_24)'!C16</f>
        <v>0</v>
      </c>
      <c r="D30" s="5">
        <f>NPV(Title_RESULTS!$C$37,'Sheet8(F_24)'!D17:D27)+'Sheet8(F_24)'!D16</f>
        <v>27920.553990369404</v>
      </c>
      <c r="E30" s="5">
        <f>NPV(Title_RESULTS!$C$37,'Sheet8(F_24)'!E17:E27)+'Sheet8(F_24)'!E16</f>
        <v>0</v>
      </c>
      <c r="F30" s="5">
        <f>NPV(Title_RESULTS!$C$37,'Sheet8(F_24)'!F17:F27)+'Sheet8(F_24)'!F16</f>
        <v>152037.1481555399</v>
      </c>
      <c r="G30" s="5">
        <f>NPV(Title_RESULTS!$C$37,'Sheet8(F_24)'!G17:G27)+'Sheet8(F_24)'!G16</f>
        <v>59881.94596490057</v>
      </c>
      <c r="H30" s="5">
        <f>NPV(Title_RESULTS!$C$37,'Sheet8(F_24)'!H17:H27)+'Sheet8(F_24)'!H16</f>
        <v>0</v>
      </c>
      <c r="I30" s="5">
        <f>NPV(Title_RESULTS!$C$37,'Sheet8(F_24)'!I17:I27)+'Sheet8(F_24)'!I16</f>
        <v>0</v>
      </c>
      <c r="J30" s="5">
        <f>NPV(Title_RESULTS!$C$37,'Sheet8(F_24)'!J17:J27)+'Sheet8(F_24)'!J16</f>
        <v>59881.94596490057</v>
      </c>
      <c r="K30" s="5">
        <f>NPV(Title_RESULTS!$C$37,'Sheet8(F_24)'!K17:K27)+'Sheet8(F_24)'!K16</f>
        <v>92155.20219063933</v>
      </c>
      <c r="L30" s="5"/>
      <c r="M30" s="5"/>
    </row>
    <row r="31" spans="2:12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1" ht="12.75">
      <c r="A32" t="s">
        <v>174</v>
      </c>
      <c r="D32">
        <f>+Title_RESULTS!H8</f>
        <v>2023</v>
      </c>
      <c r="F32">
        <f>+F30/J30</f>
        <v>2.538948020237277</v>
      </c>
      <c r="K32" s="10"/>
    </row>
    <row r="33" spans="1:10" ht="12.75">
      <c r="A33" t="s">
        <v>175</v>
      </c>
      <c r="D33">
        <f>+Title_RESULTS!C37</f>
        <v>0.0708</v>
      </c>
      <c r="J33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Smart Thermostat</v>
      </c>
      <c r="N2" t="s">
        <v>55</v>
      </c>
    </row>
    <row r="3" ht="12.75">
      <c r="N3" s="35">
        <f>+Title_RESULTS!I4</f>
        <v>43599.32045532407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9950.25</v>
      </c>
      <c r="E16" s="5">
        <f>+'Sheet6(p_6)'!M16</f>
        <v>1638.2801823</v>
      </c>
      <c r="F16">
        <f>IF(A16&gt;=(Title_RESULTS!$H$7+Title_RESULTS!$C$17),0,(+'f-11B'!$R15))</f>
        <v>0</v>
      </c>
      <c r="G16" s="5">
        <f>IF(A16&gt;=(Title_RESULTS!$H$7+Title_RESULTS!$C$17),0,(SUM(B16:F16)))</f>
        <v>11713.5301823</v>
      </c>
      <c r="H16" s="5">
        <f>IF(A16&gt;=(Title_RESULTS!$H$7+Title_RESULTS!$C$17),0,(+'Sheet3(F_21)'!$J16+'Sheet4(F_22)'!$H16))</f>
        <v>1434.8334144457208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1434.8334144457208</v>
      </c>
      <c r="M16" s="23">
        <f>IF(A16&gt;=(Title_RESULTS!$H$7+Title_RESULTS!$C$17),0,(+L16-G16))</f>
        <v>-10278.69676785428</v>
      </c>
      <c r="N16" s="24">
        <f>IF(A16&gt;=(Title_RESULTS!$H$7+Title_RESULTS!$C$17),0,(+$M16/((1+Title_RESULTS!$C$37)^('Sheet9(F_25)'!$A16-Title_RESULTS!$H$7))))</f>
        <v>-10278.69676785428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9950.25</v>
      </c>
      <c r="E17" s="5">
        <f>+'Sheet6(p_6)'!M17</f>
        <v>4963.988952369</v>
      </c>
      <c r="F17">
        <f>IF(A17&gt;=(Title_RESULTS!$H$7+Title_RESULTS!$C$17),0,(+'f-11B'!$R16))</f>
        <v>0</v>
      </c>
      <c r="G17" s="5">
        <f>IF(A17&gt;=(Title_RESULTS!$H$7+Title_RESULTS!$C$17),0,(SUM(B17:F17)))</f>
        <v>15042.238952369</v>
      </c>
      <c r="H17" s="5">
        <f>IF(A17&gt;=(Title_RESULTS!$H$7+Title_RESULTS!$C$17),0,(+'Sheet3(F_21)'!$J17+'Sheet4(F_22)'!$H17))</f>
        <v>4269.488070283751</v>
      </c>
      <c r="I17" s="5">
        <f>IF(A17&gt;=(Title_RESULTS!$H$7+Title_RESULTS!$C$17),0,(+'Sheet4(F_22)'!$D17+'Sheet4(F_22)'!$G17))</f>
        <v>966.2589066816554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5235.746976965406</v>
      </c>
      <c r="M17" s="23">
        <f>IF(A17&gt;=(Title_RESULTS!$H$7+Title_RESULTS!$C$17),0,(+L17-G17))</f>
        <v>-9806.491975403595</v>
      </c>
      <c r="N17" s="24">
        <f>(IF(A16&gt;=(Title_RESULTS!$H$7+Title_RESULTS!$C$17),0,(+$M17/((1+Title_RESULTS!$C$37)^('Sheet9(F_25)'!$A17-Title_RESULTS!$H$7))+N16)))</f>
        <v>-19436.79536273997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9950.25</v>
      </c>
      <c r="E18" s="5">
        <f>+'Sheet6(p_6)'!M18</f>
        <v>8356.04806982115</v>
      </c>
      <c r="F18">
        <f>IF(A18&gt;=(Title_RESULTS!$H$7+Title_RESULTS!$C$17),0,(+'f-11B'!$R17))</f>
        <v>0</v>
      </c>
      <c r="G18" s="5">
        <f>IF(A18&gt;=(Title_RESULTS!$H$7+Title_RESULTS!$C$17),0,(SUM(B18:F18)))</f>
        <v>18437.37006982115</v>
      </c>
      <c r="H18" s="5">
        <f>IF(A18&gt;=(Title_RESULTS!$H$7+Title_RESULTS!$C$17),0,(+'Sheet3(F_21)'!$J18+'Sheet4(F_22)'!$H18))</f>
        <v>7343.995759461561</v>
      </c>
      <c r="I18" s="5">
        <f>IF(A18&gt;=(Title_RESULTS!$H$7+Title_RESULTS!$C$17),0,(+'Sheet4(F_22)'!$D18+'Sheet4(F_22)'!$G18))</f>
        <v>989.4491204420151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8333.444879903576</v>
      </c>
      <c r="M18" s="23">
        <f>IF(A18&gt;=(Title_RESULTS!$H$7+Title_RESULTS!$C$17),0,(+L18-G18))</f>
        <v>-10103.925189917574</v>
      </c>
      <c r="N18" s="24">
        <f>(IF(A17&gt;=(Title_RESULTS!$H$7+Title_RESULTS!$C$17),0,(+$M18/((1+Title_RESULTS!$C$37)^('Sheet9(F_25)'!$A18-Title_RESULTS!$H$7))+N17)))</f>
        <v>-28248.77321597345</v>
      </c>
    </row>
    <row r="19" spans="1:14" ht="12.75">
      <c r="A19">
        <f aca="true" t="shared" si="0" ref="A19:A26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10127.530260623233</v>
      </c>
      <c r="F19">
        <f>IF(A19&gt;=(Title_RESULTS!$H$7+Title_RESULTS!$C$17),0,(+'f-11B'!$R18))</f>
        <v>0</v>
      </c>
      <c r="G19" s="5">
        <f>IF(A19&gt;=(Title_RESULTS!$H$7+Title_RESULTS!$C$17),0,(SUM(B19:F19)))</f>
        <v>10127.530260623233</v>
      </c>
      <c r="H19" s="5">
        <f>IF(A19&gt;=(Title_RESULTS!$H$7+Title_RESULTS!$C$17),0,(+'Sheet3(F_21)'!$J19+'Sheet4(F_22)'!$H19))</f>
        <v>11476.347008780227</v>
      </c>
      <c r="I19" s="5">
        <f>IF(A19&gt;=(Title_RESULTS!$H$7+Title_RESULTS!$C$17),0,(+'Sheet4(F_22)'!$D19+'Sheet4(F_22)'!$G19))</f>
        <v>1013.1958993326236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12489.542908112851</v>
      </c>
      <c r="M19" s="23">
        <f>IF(A19&gt;=(Title_RESULTS!$H$7+Title_RESULTS!$C$17),0,(+L19-G19))</f>
        <v>2362.0126474896188</v>
      </c>
      <c r="N19" s="24">
        <f>(IF(A18&gt;=(Title_RESULTS!$H$7+Title_RESULTS!$C$17),0,(+$M19/((1+Title_RESULTS!$C$37)^('Sheet9(F_25)'!$A19-Title_RESULTS!$H$7))+N18)))</f>
        <v>-26324.985571346362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10228.805563229467</v>
      </c>
      <c r="F20">
        <f>IF(A20&gt;=(Title_RESULTS!$H$7+Title_RESULTS!$C$17),0,(+'f-11B'!$R19))</f>
        <v>0</v>
      </c>
      <c r="G20" s="5">
        <f>IF(A20&gt;=(Title_RESULTS!$H$7+Title_RESULTS!$C$17),0,(SUM(B20:F20)))</f>
        <v>10228.805563229467</v>
      </c>
      <c r="H20" s="5">
        <f>IF(A20&gt;=(Title_RESULTS!$H$7+Title_RESULTS!$C$17),0,(+'Sheet3(F_21)'!$J20+'Sheet4(F_22)'!$H20))</f>
        <v>11898.246399870284</v>
      </c>
      <c r="I20" s="5">
        <f>IF(A20&gt;=(Title_RESULTS!$H$7+Title_RESULTS!$C$17),0,(+'Sheet4(F_22)'!$D20+'Sheet4(F_22)'!$G20))</f>
        <v>1037.5126009166065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12935.759000786891</v>
      </c>
      <c r="M20" s="23">
        <f>IF(A20&gt;=(Title_RESULTS!$H$7+Title_RESULTS!$C$17),0,(+L20-G20))</f>
        <v>2706.953437557424</v>
      </c>
      <c r="N20" s="24">
        <f>(IF(A19&gt;=(Title_RESULTS!$H$7+Title_RESULTS!$C$17),0,(+$M20/((1+Title_RESULTS!$C$37)^('Sheet9(F_25)'!$A20-Title_RESULTS!$H$7))+N19)))</f>
        <v>-24266.028293036943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10331.09361886176</v>
      </c>
      <c r="F21">
        <f>IF(A21&gt;=(Title_RESULTS!$H$7+Title_RESULTS!$C$17),0,(+'f-11B'!$R20))</f>
        <v>0</v>
      </c>
      <c r="G21" s="5">
        <f>IF(A21&gt;=(Title_RESULTS!$H$7+Title_RESULTS!$C$17),0,(SUM(B21:F21)))</f>
        <v>10331.09361886176</v>
      </c>
      <c r="H21" s="5">
        <f>IF(A21&gt;=(Title_RESULTS!$H$7+Title_RESULTS!$C$17),0,(+'Sheet3(F_21)'!$J21+'Sheet4(F_22)'!$H21))</f>
        <v>12668.107614592813</v>
      </c>
      <c r="I21" s="5">
        <f>IF(A21&gt;=(Title_RESULTS!$H$7+Title_RESULTS!$C$17),0,(+'Sheet4(F_22)'!$D21+'Sheet4(F_22)'!$G21))</f>
        <v>1062.4129033386052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13730.520517931418</v>
      </c>
      <c r="M21" s="23">
        <f>IF(A21&gt;=(Title_RESULTS!$H$7+Title_RESULTS!$C$17),0,(+L21-G21))</f>
        <v>3399.4268990696582</v>
      </c>
      <c r="N21" s="24">
        <f>(IF(A20&gt;=(Title_RESULTS!$H$7+Title_RESULTS!$C$17),0,(+$M21/((1+Title_RESULTS!$C$37)^('Sheet9(F_25)'!$A21-Title_RESULTS!$H$7))+N20)))</f>
        <v>-21851.32433483014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10434.40455505038</v>
      </c>
      <c r="F22">
        <f>IF(A22&gt;=(Title_RESULTS!$H$7+Title_RESULTS!$C$17),0,(+'f-11B'!$R21))</f>
        <v>0</v>
      </c>
      <c r="G22" s="5">
        <f>IF(A22&gt;=(Title_RESULTS!$H$7+Title_RESULTS!$C$17),0,(SUM(B22:F22)))</f>
        <v>10434.40455505038</v>
      </c>
      <c r="H22" s="5">
        <f>IF(A22&gt;=(Title_RESULTS!$H$7+Title_RESULTS!$C$17),0,(+'Sheet3(F_21)'!$J22+'Sheet4(F_22)'!$H22))</f>
        <v>13071.681522802084</v>
      </c>
      <c r="I22" s="5">
        <f>IF(A22&gt;=(Title_RESULTS!$H$7+Title_RESULTS!$C$17),0,(+'Sheet4(F_22)'!$D22+'Sheet4(F_22)'!$G22))</f>
        <v>1087.9108130187315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14159.592335820817</v>
      </c>
      <c r="M22" s="23">
        <f>IF(A22&gt;=(Title_RESULTS!$H$7+Title_RESULTS!$C$17),0,(+L22-G22))</f>
        <v>3725.187780770437</v>
      </c>
      <c r="N22" s="24">
        <f>(IF(A21&gt;=(Title_RESULTS!$H$7+Title_RESULTS!$C$17),0,(+$M22/((1+Title_RESULTS!$C$37)^('Sheet9(F_25)'!$A22-Title_RESULTS!$H$7))+N21)))</f>
        <v>-19380.180670382946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10538.74860060088</v>
      </c>
      <c r="F23">
        <f>IF(A23&gt;=(Title_RESULTS!$H$7+Title_RESULTS!$C$17),0,(+'f-11B'!$R22))</f>
        <v>0</v>
      </c>
      <c r="G23" s="5">
        <f>IF(A23&gt;=(Title_RESULTS!$H$7+Title_RESULTS!$C$17),0,(SUM(B23:F23)))</f>
        <v>10538.74860060088</v>
      </c>
      <c r="H23" s="5">
        <f>IF(A23&gt;=(Title_RESULTS!$H$7+Title_RESULTS!$C$17),0,(+'Sheet3(F_21)'!$J23+'Sheet4(F_22)'!$H23))</f>
        <v>13799.459135883537</v>
      </c>
      <c r="I23" s="5">
        <f>IF(A23&gt;=(Title_RESULTS!$H$7+Title_RESULTS!$C$17),0,(+'Sheet4(F_22)'!$D23+'Sheet4(F_22)'!$G23))</f>
        <v>1114.0206725311812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14913.479808414719</v>
      </c>
      <c r="M23" s="23">
        <f>IF(A23&gt;=(Title_RESULTS!$H$7+Title_RESULTS!$C$17),0,(+L23-G23))</f>
        <v>4374.731207813838</v>
      </c>
      <c r="N23" s="24">
        <f>(IF(A22&gt;=(Title_RESULTS!$H$7+Title_RESULTS!$C$17),0,(+$M23/((1+Title_RESULTS!$C$37)^('Sheet9(F_25)'!$A23-Title_RESULTS!$H$7))+N22)))</f>
        <v>-16670.03374058428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10644.136086606892</v>
      </c>
      <c r="F24">
        <f>IF(A24&gt;=(Title_RESULTS!$H$7+Title_RESULTS!$C$17),0,(+'f-11B'!$R23))</f>
        <v>0</v>
      </c>
      <c r="G24" s="5">
        <f>IF(A24&gt;=(Title_RESULTS!$H$7+Title_RESULTS!$C$17),0,(SUM(B24:F24)))</f>
        <v>10644.136086606892</v>
      </c>
      <c r="H24" s="5">
        <f>IF(A24&gt;=(Title_RESULTS!$H$7+Title_RESULTS!$C$17),0,(+'Sheet3(F_21)'!$J24+'Sheet4(F_22)'!$H24))</f>
        <v>15054.875834037677</v>
      </c>
      <c r="I24" s="5">
        <f>IF(A24&gt;=(Title_RESULTS!$H$7+Title_RESULTS!$C$17),0,(+'Sheet4(F_22)'!$D24+'Sheet4(F_22)'!$G24))</f>
        <v>1140.7571686719295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16195.633002709606</v>
      </c>
      <c r="M24" s="23">
        <f>IF(A24&gt;=(Title_RESULTS!$H$7+Title_RESULTS!$C$17),0,(+L24-G24))</f>
        <v>5551.496916102715</v>
      </c>
      <c r="N24" s="24">
        <f>(IF(A23&gt;=(Title_RESULTS!$H$7+Title_RESULTS!$C$17),0,(+$M24/((1+Title_RESULTS!$C$37)^('Sheet9(F_25)'!$A24-Title_RESULTS!$H$7))+N23)))</f>
        <v>-13458.272869553533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10750.577447472962</v>
      </c>
      <c r="F25">
        <f>IF(A25&gt;=(Title_RESULTS!$H$7+Title_RESULTS!$C$17),0,(+'f-11B'!$R24))</f>
        <v>0</v>
      </c>
      <c r="G25" s="5">
        <f>IF(A25&gt;=(Title_RESULTS!$H$7+Title_RESULTS!$C$17),0,(SUM(B25:F25)))</f>
        <v>10750.577447472962</v>
      </c>
      <c r="H25" s="5">
        <f>IF(A25&gt;=(Title_RESULTS!$H$7+Title_RESULTS!$C$17),0,(+'Sheet3(F_21)'!$J25+'Sheet4(F_22)'!$H25))</f>
        <v>16013.674965506289</v>
      </c>
      <c r="I25" s="5">
        <f>IF(A25&gt;=(Title_RESULTS!$H$7+Title_RESULTS!$C$17),0,(+'Sheet4(F_22)'!$D25+'Sheet4(F_22)'!$G25))</f>
        <v>1168.1353407200559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17181.810306226344</v>
      </c>
      <c r="M25" s="23">
        <f>IF(A25&gt;=(Title_RESULTS!$H$7+Title_RESULTS!$C$17),0,(+L25-G25))</f>
        <v>6431.232858753381</v>
      </c>
      <c r="N25" s="24">
        <f>(IF(A24&gt;=(Title_RESULTS!$H$7+Title_RESULTS!$C$17),0,(+$M25/((1+Title_RESULTS!$C$37)^('Sheet9(F_25)'!$A25-Title_RESULTS!$H$7))+N24)))</f>
        <v>-9983.559606738154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10858.08322194769</v>
      </c>
      <c r="F26">
        <f>IF(A26&gt;=(Title_RESULTS!$H$7+Title_RESULTS!$C$17),0,(+'f-11B'!$R25))</f>
        <v>0</v>
      </c>
      <c r="G26" s="5">
        <f>IF(A26&gt;=(Title_RESULTS!$H$7+Title_RESULTS!$C$17),0,(SUM(B26:F26)))</f>
        <v>10858.08322194769</v>
      </c>
      <c r="H26" s="5">
        <f>IF(A26&gt;=(Title_RESULTS!$H$7+Title_RESULTS!$C$17),0,(+'Sheet3(F_21)'!$J26+'Sheet4(F_22)'!$H26))</f>
        <v>17615.289123484723</v>
      </c>
      <c r="I26" s="5">
        <f>IF(A26&gt;=(Title_RESULTS!$H$7+Title_RESULTS!$C$17),0,(+'Sheet4(F_22)'!$D26+'Sheet4(F_22)'!$G26))</f>
        <v>1196.1705888973372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18811.45971238206</v>
      </c>
      <c r="M26" s="23">
        <f>IF(A26&gt;=(Title_RESULTS!$H$7+Title_RESULTS!$C$17),0,(+L26-G26))</f>
        <v>7953.37649043437</v>
      </c>
      <c r="N26" s="24">
        <f>(IF(A25&gt;=(Title_RESULTS!$H$7+Title_RESULTS!$C$17),0,(+$M26/((1+Title_RESULTS!$C$37)^('Sheet9(F_25)'!$A26-Title_RESULTS!$H$7))+N25)))</f>
        <v>-5970.571098538921</v>
      </c>
    </row>
    <row r="27" ht="12.75">
      <c r="E27" s="5"/>
    </row>
    <row r="28" spans="1:13" ht="12.75">
      <c r="A28" t="s">
        <v>87</v>
      </c>
      <c r="B28" s="5">
        <f aca="true" t="shared" si="1" ref="B28:M28">SUM(B16:B27)</f>
        <v>0</v>
      </c>
      <c r="C28" s="5">
        <f t="shared" si="1"/>
        <v>384.072</v>
      </c>
      <c r="D28" s="5">
        <f t="shared" si="1"/>
        <v>29850.75</v>
      </c>
      <c r="E28" s="5">
        <f t="shared" si="1"/>
        <v>98871.69655888341</v>
      </c>
      <c r="F28" s="5">
        <f t="shared" si="1"/>
        <v>0</v>
      </c>
      <c r="G28" s="5">
        <f t="shared" si="1"/>
        <v>129106.51855888343</v>
      </c>
      <c r="H28" s="5">
        <f t="shared" si="1"/>
        <v>124645.99884914866</v>
      </c>
      <c r="I28" s="5">
        <f t="shared" si="1"/>
        <v>10775.82401455074</v>
      </c>
      <c r="J28" s="5">
        <f t="shared" si="1"/>
        <v>0</v>
      </c>
      <c r="K28" s="9">
        <f t="shared" si="1"/>
        <v>0</v>
      </c>
      <c r="L28" s="5">
        <f t="shared" si="1"/>
        <v>135421.8228636994</v>
      </c>
      <c r="M28" s="5">
        <f t="shared" si="1"/>
        <v>6315.3043048159925</v>
      </c>
    </row>
    <row r="30" spans="1:13" ht="12.75">
      <c r="A30" t="s">
        <v>118</v>
      </c>
      <c r="B30" s="5">
        <f>NPV(Title_RESULTS!$C$37,'Sheet9(F_25)'!B17:B27)+'Sheet9(F_25)'!B16</f>
        <v>0</v>
      </c>
      <c r="C30" s="5">
        <f>NPV(Title_RESULTS!$C$37,'Sheet9(F_25)'!C17:C27)+'Sheet9(F_25)'!C16</f>
        <v>358.8491576370552</v>
      </c>
      <c r="D30" s="5">
        <f>NPV(Title_RESULTS!$C$37,'Sheet9(F_25)'!D17:D27)+'Sheet9(F_25)'!D16</f>
        <v>27920.553990369404</v>
      </c>
      <c r="E30" s="5">
        <f>NPV(Title_RESULTS!$C$37,'Sheet9(F_25)'!E17:E27)+'Sheet9(F_25)'!E16</f>
        <v>67824.46833619129</v>
      </c>
      <c r="F30" s="5">
        <f>NPV(Title_RESULTS!$C$37,'Sheet9(F_25)'!F17:F27)+'Sheet9(F_25)'!F16</f>
        <v>0</v>
      </c>
      <c r="G30" s="5">
        <f>NPV(Title_RESULTS!$C$37,'Sheet9(F_25)'!G17:G27)+'Sheet9(F_25)'!G16</f>
        <v>96103.87148419776</v>
      </c>
      <c r="H30" s="5">
        <f>NPV(Title_RESULTS!$C$37,'Sheet9(F_25)'!H17:H27)+'Sheet9(F_25)'!H16</f>
        <v>82692.50857505153</v>
      </c>
      <c r="I30" s="5">
        <f>NPV(Title_RESULTS!$C$37,'Sheet9(F_25)'!I17:I27)+'Sheet9(F_25)'!I16</f>
        <v>7440.791810607307</v>
      </c>
      <c r="J30" s="5">
        <f>NPV(Title_RESULTS!$C$37,'Sheet9(F_25)'!J17:J27)+'Sheet9(F_25)'!J16</f>
        <v>0</v>
      </c>
      <c r="K30" s="9">
        <f>NPV(Title_RESULTS!$C$37,'Sheet9(F_25)'!K17:K27)+'Sheet9(F_25)'!K16</f>
        <v>0</v>
      </c>
      <c r="L30" s="5">
        <f>NPV(Title_RESULTS!$C$37,'Sheet9(F_25)'!L17:L27)+'Sheet9(F_25)'!L16</f>
        <v>90133.30038565882</v>
      </c>
      <c r="M30" s="5">
        <f>NPV(Title_RESULTS!$C$37,'Sheet9(F_25)'!M17:M27)+'Sheet9(F_25)'!M16</f>
        <v>-5970.571098538922</v>
      </c>
    </row>
    <row r="32" spans="1:10" ht="12.75">
      <c r="A32" t="s">
        <v>175</v>
      </c>
      <c r="D32">
        <f>+Title_RESULTS!C37</f>
        <v>0.0708</v>
      </c>
      <c r="F32" t="s">
        <v>183</v>
      </c>
      <c r="J32" s="10">
        <f>+L30/G30</f>
        <v>0.9378737713025361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18201.80838755304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1061.7640959999999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3284.4675072000005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104.92597379820104</v>
      </c>
      <c r="P24" s="48">
        <f aca="true" t="shared" si="4" ref="P24:P61">N24*$L$5</f>
        <v>324.5786450114715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107.44419716935786</v>
      </c>
      <c r="P25" s="48">
        <f t="shared" si="4"/>
        <v>332.36853249174686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2504.398870415121</v>
      </c>
      <c r="E26" s="11">
        <f>IF(B26=Title_RESULTS!$H$8,$F$16,+E25*(1+$F$7))</f>
        <v>0.09882230355451863</v>
      </c>
      <c r="F26" s="9">
        <f t="shared" si="1"/>
        <v>1798.7446337159497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146.0888251349846</v>
      </c>
      <c r="L26" s="5">
        <f t="shared" si="3"/>
        <v>451.91205949469185</v>
      </c>
      <c r="N26" s="11">
        <f>IF(+B26=Title_RESULTS!$H$9,'Value of Defferal'!$O$16,+'Value of Defferal'!N25*(1+'Value of Defferal'!$F$7))</f>
        <v>0.10362269577198292</v>
      </c>
      <c r="O26" s="5">
        <f t="shared" si="7"/>
        <v>110.02285790142246</v>
      </c>
      <c r="P26" s="48">
        <f t="shared" si="4"/>
        <v>340.3453772715488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2430.4442619872757</v>
      </c>
      <c r="E27" s="11">
        <f>IF(B27=Title_RESULTS!$H$8,$F$16,+E26*(1+$F$7))</f>
        <v>0.10119403883982707</v>
      </c>
      <c r="F27" s="9">
        <f t="shared" si="1"/>
        <v>1841.9145049251324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141.77483905785826</v>
      </c>
      <c r="L27" s="5">
        <f t="shared" si="3"/>
        <v>438.5671487464246</v>
      </c>
      <c r="N27" s="11">
        <f>IF(+B27=Title_RESULTS!$H$9,'Value of Defferal'!$O$16,+'Value of Defferal'!N26*(1+'Value of Defferal'!$F$7))</f>
        <v>0.10610964047051051</v>
      </c>
      <c r="O27" s="5">
        <f t="shared" si="7"/>
        <v>112.66340649105659</v>
      </c>
      <c r="P27" s="48">
        <f t="shared" si="4"/>
        <v>348.51366632606596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2348.7989136405754</v>
      </c>
      <c r="E28" s="11">
        <f>IF(B28=Title_RESULTS!$H$8,$F$16,+E27*(1+$F$7))</f>
        <v>0.10362269577198292</v>
      </c>
      <c r="F28" s="9">
        <f t="shared" si="1"/>
        <v>1886.1204530433356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137.012229891001</v>
      </c>
      <c r="L28" s="5">
        <f t="shared" si="3"/>
        <v>423.8344646059773</v>
      </c>
      <c r="N28" s="11">
        <f>IF(+B28=Title_RESULTS!$H$9,'Value of Defferal'!$O$16,+'Value of Defferal'!N27*(1+'Value of Defferal'!$F$7))</f>
        <v>0.10865627184180277</v>
      </c>
      <c r="O28" s="5">
        <f t="shared" si="7"/>
        <v>115.36732824684195</v>
      </c>
      <c r="P28" s="48">
        <f t="shared" si="4"/>
        <v>356.87799431789153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2271.063927421631</v>
      </c>
      <c r="E29" s="11">
        <f>IF(B29=Title_RESULTS!$H$8,$F$16,+E28*(1+$F$7))</f>
        <v>0.10610964047051051</v>
      </c>
      <c r="F29" s="9">
        <f t="shared" si="1"/>
        <v>1931.3873439163756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132.47772345004918</v>
      </c>
      <c r="L29" s="5">
        <f t="shared" si="3"/>
        <v>409.8073948240892</v>
      </c>
      <c r="N29" s="11">
        <f>IF(+B29=Title_RESULTS!$H$9,'Value of Defferal'!$O$16,+'Value of Defferal'!N28*(1+'Value of Defferal'!$F$7))</f>
        <v>0.11126402236600604</v>
      </c>
      <c r="O29" s="5">
        <f t="shared" si="7"/>
        <v>118.13614412476616</v>
      </c>
      <c r="P29" s="48">
        <f t="shared" si="4"/>
        <v>365.4430661815209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2196.8471839148615</v>
      </c>
      <c r="E30" s="11">
        <f>IF(B30=Title_RESULTS!$H$8,$F$16,+E29*(1+$F$7))</f>
        <v>0.10865627184180277</v>
      </c>
      <c r="F30" s="9">
        <f t="shared" si="1"/>
        <v>1977.7406401703686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128.1484462760616</v>
      </c>
      <c r="L30" s="5">
        <f t="shared" si="3"/>
        <v>396.41518250386315</v>
      </c>
      <c r="N30" s="11">
        <f>IF(+B30=Title_RESULTS!$H$9,'Value of Defferal'!$O$16,+'Value of Defferal'!N29*(1+'Value of Defferal'!$F$7))</f>
        <v>0.11393435890279018</v>
      </c>
      <c r="O30" s="5">
        <f t="shared" si="7"/>
        <v>120.97141158376054</v>
      </c>
      <c r="P30" s="48">
        <f t="shared" si="4"/>
        <v>374.21369976987745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2125.799891816904</v>
      </c>
      <c r="E31" s="11">
        <f>IF(B31=Title_RESULTS!$H$8,$F$16,+E30*(1+$F$7))</f>
        <v>0.11126402236600604</v>
      </c>
      <c r="F31" s="9">
        <f t="shared" si="1"/>
        <v>2025.2064155344576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124.00405236412368</v>
      </c>
      <c r="L31" s="5">
        <f t="shared" si="3"/>
        <v>383.59488919004815</v>
      </c>
      <c r="N31" s="11">
        <f>IF(+B31=Title_RESULTS!$H$9,'Value of Defferal'!$O$16,+'Value of Defferal'!N30*(1+'Value of Defferal'!$F$7))</f>
        <v>0.11666878351645714</v>
      </c>
      <c r="O31" s="5">
        <f t="shared" si="7"/>
        <v>123.87472546177081</v>
      </c>
      <c r="P31" s="48">
        <f t="shared" si="4"/>
        <v>383.1948285643545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2056.964499847722</v>
      </c>
      <c r="E32" s="11">
        <f>IF(B32=Title_RESULTS!$H$8,$F$16,+E31*(1+$F$7))</f>
        <v>0.11393435890279018</v>
      </c>
      <c r="F32" s="9">
        <f t="shared" si="1"/>
        <v>2073.8113695072843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119.9886849802464</v>
      </c>
      <c r="L32" s="5">
        <f t="shared" si="3"/>
        <v>371.17372732226585</v>
      </c>
      <c r="N32" s="11">
        <f>IF(+B32=Title_RESULTS!$H$9,'Value of Defferal'!$O$16,+'Value of Defferal'!N31*(1+'Value of Defferal'!$F$7))</f>
        <v>0.11946883432085212</v>
      </c>
      <c r="O32" s="5">
        <f t="shared" si="7"/>
        <v>126.8477188728533</v>
      </c>
      <c r="P32" s="48">
        <f t="shared" si="4"/>
        <v>392.391504449899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1988.8375225133193</v>
      </c>
      <c r="E33" s="11">
        <f>IF(B33=Title_RESULTS!$H$8,$F$16,+E32*(1+$F$7))</f>
        <v>0.11666878351645714</v>
      </c>
      <c r="F33" s="9">
        <f t="shared" si="1"/>
        <v>2123.582842375459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116.01464146970493</v>
      </c>
      <c r="L33" s="5">
        <f t="shared" si="3"/>
        <v>358.88039697539705</v>
      </c>
      <c r="N33" s="11">
        <f>IF(+B33=Title_RESULTS!$H$9,'Value of Defferal'!$O$16,+'Value of Defferal'!N32*(1+'Value of Defferal'!$F$7))</f>
        <v>0.12233608634455258</v>
      </c>
      <c r="O33" s="5">
        <f t="shared" si="7"/>
        <v>129.8920641258018</v>
      </c>
      <c r="P33" s="48">
        <f t="shared" si="4"/>
        <v>401.80890055669664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1920.7105451789162</v>
      </c>
      <c r="E34" s="11">
        <f>IF(B34=Title_RESULTS!$H$8,$F$16,+E33*(1+$F$7))</f>
        <v>0.11946883432085212</v>
      </c>
      <c r="F34" s="9">
        <f t="shared" si="1"/>
        <v>2174.5488305924705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112.04059795916343</v>
      </c>
      <c r="L34" s="5">
        <f t="shared" si="3"/>
        <v>346.5870666285282</v>
      </c>
      <c r="N34" s="11">
        <f>IF(+B34=Title_RESULTS!$H$9,'Value of Defferal'!$O$16,+'Value of Defferal'!N33*(1+'Value of Defferal'!$F$7))</f>
        <v>0.12527215241682185</v>
      </c>
      <c r="O34" s="5">
        <f t="shared" si="7"/>
        <v>133.00947366482106</v>
      </c>
      <c r="P34" s="48">
        <f t="shared" si="4"/>
        <v>411.4523141700574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1852.5835678445133</v>
      </c>
      <c r="E35" s="11">
        <f>IF(B35=Title_RESULTS!$H$8,$F$16,+E34*(1+$F$7))</f>
        <v>0.12233608634455258</v>
      </c>
      <c r="F35" s="9">
        <f t="shared" si="1"/>
        <v>2226.73800252669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108.06655444862194</v>
      </c>
      <c r="L35" s="5">
        <f t="shared" si="3"/>
        <v>334.2937362816594</v>
      </c>
      <c r="N35" s="11">
        <f>IF(+B35=Title_RESULTS!$H$9,'Value of Defferal'!$O$16,+'Value of Defferal'!N34*(1+'Value of Defferal'!$F$7))</f>
        <v>0.12827868407482557</v>
      </c>
      <c r="O35" s="5">
        <f t="shared" si="7"/>
        <v>136.20170103277675</v>
      </c>
      <c r="P35" s="48">
        <f t="shared" si="4"/>
        <v>421.3271697101387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1784.4565905101108</v>
      </c>
      <c r="E36" s="11">
        <f>IF(B36=Title_RESULTS!$H$8,$F$16,+E35*(1+$F$7))</f>
        <v>0.12527215241682185</v>
      </c>
      <c r="F36" s="9">
        <f t="shared" si="1"/>
        <v>2280.1797145873306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104.09251093808048</v>
      </c>
      <c r="L36" s="5">
        <f t="shared" si="3"/>
        <v>322.0004059347906</v>
      </c>
      <c r="N36" s="11">
        <f>IF(+B36=Title_RESULTS!$H$9,'Value of Defferal'!$O$16,+'Value of Defferal'!N35*(1+'Value of Defferal'!$F$7))</f>
        <v>0.1313573724926214</v>
      </c>
      <c r="O36" s="5">
        <f t="shared" si="7"/>
        <v>139.4705418575634</v>
      </c>
      <c r="P36" s="48">
        <f t="shared" si="4"/>
        <v>431.43902178318206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1716.3296131757077</v>
      </c>
      <c r="E37" s="11">
        <f>IF(B37&gt;Title_RESULTS!$H$8-1+Title_RESULTS!$C$18,0,+E36*(1+$F$7))</f>
        <v>0.12827868407482557</v>
      </c>
      <c r="F37" s="9">
        <f t="shared" si="1"/>
        <v>2334.9040277374265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100.11846742753897</v>
      </c>
      <c r="L37" s="5">
        <f t="shared" si="3"/>
        <v>309.70707558792174</v>
      </c>
      <c r="N37" s="11">
        <f>IF(+B37=Title_RESULTS!$H$9,'Value of Defferal'!$O$16,+'Value of Defferal'!N36*(1+'Value of Defferal'!$F$7))</f>
        <v>0.1345099494324443</v>
      </c>
      <c r="O37" s="5">
        <f t="shared" si="7"/>
        <v>142.8178348621449</v>
      </c>
      <c r="P37" s="48">
        <f t="shared" si="4"/>
        <v>441.7935583059784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1648.2026358413045</v>
      </c>
      <c r="E38" s="11">
        <f>IF(B38&gt;Title_RESULTS!$H$8-1+Title_RESULTS!$C$18,0,+E37*(1+$F$7))</f>
        <v>0.1313573724926214</v>
      </c>
      <c r="F38" s="9">
        <f t="shared" si="1"/>
        <v>2390.9417244031247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96.14442391699747</v>
      </c>
      <c r="L38" s="5">
        <f t="shared" si="3"/>
        <v>297.4137452410529</v>
      </c>
      <c r="N38" s="11">
        <f>IF(+B38=Title_RESULTS!$H$9,'Value of Defferal'!$O$16,+'Value of Defferal'!N37*(1+'Value of Defferal'!$F$7))</f>
        <v>0.13773818821882297</v>
      </c>
      <c r="O38" s="5">
        <f t="shared" si="7"/>
        <v>146.2454628988364</v>
      </c>
      <c r="P38" s="48">
        <f t="shared" si="4"/>
        <v>452.396603705322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1580.0756585069014</v>
      </c>
      <c r="E39" s="11">
        <f>IF(B39&gt;Title_RESULTS!$H$8-1+Title_RESULTS!$C$18,0,+E38*(1+$F$7))</f>
        <v>0.1345099494324443</v>
      </c>
      <c r="F39" s="9">
        <f t="shared" si="1"/>
        <v>2448.3243257888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92.17038040645598</v>
      </c>
      <c r="L39" s="5">
        <f t="shared" si="3"/>
        <v>285.120414894184</v>
      </c>
      <c r="N39" s="11">
        <f>IF(+B39&gt;Title_RESULTS!$H$9+Title_RESULTS!$C$19-1,0,+'Value of Defferal'!N38*(1+'Value of Defferal'!$F$7))</f>
        <v>0.14104390473607473</v>
      </c>
      <c r="O39" s="5">
        <f t="shared" si="7"/>
        <v>149.7553540084085</v>
      </c>
      <c r="P39" s="48">
        <f t="shared" si="4"/>
        <v>463.2541221942497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1511.948681172499</v>
      </c>
      <c r="E40" s="11">
        <f>IF(B40&gt;Title_RESULTS!$H$8-1+Title_RESULTS!$C$18,0,+E39*(1+$F$7))</f>
        <v>0.13773818821882297</v>
      </c>
      <c r="F40" s="9">
        <f t="shared" si="1"/>
        <v>2507.084109607731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88.19633689591451</v>
      </c>
      <c r="L40" s="5">
        <f t="shared" si="3"/>
        <v>272.8270845473153</v>
      </c>
      <c r="N40" s="11">
        <f>IF(+B40&gt;Title_RESULTS!$H$9+Title_RESULTS!$C$19-1,0,+'Value of Defferal'!N39*(1+'Value of Defferal'!$F$7))</f>
        <v>0.14442895844974052</v>
      </c>
      <c r="O40" s="5">
        <f t="shared" si="7"/>
        <v>153.34948250461028</v>
      </c>
      <c r="P40" s="48">
        <f t="shared" si="4"/>
        <v>474.3722211269117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1450.2190996072165</v>
      </c>
      <c r="E41" s="11">
        <f>IF(B41&gt;Title_RESULTS!$H$8-1+Title_RESULTS!$C$18,0,+E40*(1+$F$7))</f>
        <v>0.14104390473607473</v>
      </c>
      <c r="F41" s="9">
        <f t="shared" si="1"/>
        <v>2567.2541282383168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84.59547197240835</v>
      </c>
      <c r="L41" s="5">
        <f t="shared" si="3"/>
        <v>261.68814710949084</v>
      </c>
      <c r="N41" s="11">
        <f>IF(+B41&gt;Title_RESULTS!$H$9+Title_RESULTS!$C$19-1,0,+'Value of Defferal'!N40*(1+'Value of Defferal'!$F$7))</f>
        <v>0.1478952534525343</v>
      </c>
      <c r="O41" s="5">
        <f t="shared" si="7"/>
        <v>157.02987008472093</v>
      </c>
      <c r="P41" s="48">
        <f t="shared" si="4"/>
        <v>485.75715443395757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1401.2821431745656</v>
      </c>
      <c r="E42" s="11">
        <f>IF(B42&gt;Title_RESULTS!$H$8-1+Title_RESULTS!$C$18,0,+E41*(1+$F$7))</f>
        <v>0.14442895844974052</v>
      </c>
      <c r="F42" s="9">
        <f t="shared" si="1"/>
        <v>2628.868227316036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81.74083785027152</v>
      </c>
      <c r="L42" s="5">
        <f t="shared" si="3"/>
        <v>252.85760456767295</v>
      </c>
      <c r="N42" s="11">
        <f>IF(+B42&gt;Title_RESULTS!$H$9+Title_RESULTS!$C$19-1,0,+'Value of Defferal'!N41*(1+'Value of Defferal'!$F$7))</f>
        <v>0.1514447395353951</v>
      </c>
      <c r="O42" s="5">
        <f t="shared" si="7"/>
        <v>160.79858696675424</v>
      </c>
      <c r="P42" s="48">
        <f t="shared" si="4"/>
        <v>497.41532614037254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1358.7404161054244</v>
      </c>
      <c r="E43" s="11">
        <f>IF(B43&gt;Title_RESULTS!$H$8-1+Title_RESULTS!$C$18,0,+E42*(1+$F$7))</f>
        <v>0.1478952534525343</v>
      </c>
      <c r="F43" s="9">
        <f t="shared" si="1"/>
        <v>2691.9610647716213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79.25925594246868</v>
      </c>
      <c r="L43" s="5">
        <f t="shared" si="3"/>
        <v>245.1810640128172</v>
      </c>
      <c r="N43" s="11">
        <f>IF(+B43&gt;Title_RESULTS!$H$9+Title_RESULTS!$C$19-1,0,+'Value of Defferal'!N42*(1+'Value of Defferal'!$F$7))</f>
        <v>0.1550794132842446</v>
      </c>
      <c r="O43" s="5">
        <f t="shared" si="7"/>
        <v>164.65775305395633</v>
      </c>
      <c r="P43" s="48">
        <f t="shared" si="4"/>
        <v>509.3532939677415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1316.1986890362837</v>
      </c>
      <c r="E44" s="11">
        <f>IF(B44&gt;Title_RESULTS!$H$8-1+Title_RESULTS!$C$18,0,+E43*(1+$F$7))</f>
        <v>0.1514447395353951</v>
      </c>
      <c r="F44" s="9">
        <f t="shared" si="1"/>
        <v>2756.56813032614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76.77767403466588</v>
      </c>
      <c r="L44" s="5">
        <f t="shared" si="3"/>
        <v>237.50452345796148</v>
      </c>
      <c r="N44" s="11">
        <f>IF(+B44&gt;Title_RESULTS!$H$9+Title_RESULTS!$C$19-1,0,+'Value of Defferal'!N43*(1+'Value of Defferal'!$F$7))</f>
        <v>0.15880131920306648</v>
      </c>
      <c r="O44" s="5">
        <f t="shared" si="7"/>
        <v>168.6095391272513</v>
      </c>
      <c r="P44" s="48">
        <f t="shared" si="4"/>
        <v>521.5777730229673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1273.656961967142</v>
      </c>
      <c r="E45" s="11">
        <f>IF(B45&gt;Title_RESULTS!$H$8-1+Title_RESULTS!$C$18,0,+E44*(1+$F$7))</f>
        <v>0.1550794132842446</v>
      </c>
      <c r="F45" s="9">
        <f t="shared" si="1"/>
        <v>2822.7257654539676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74.29609212686303</v>
      </c>
      <c r="L45" s="5">
        <f t="shared" si="3"/>
        <v>229.82798290310564</v>
      </c>
      <c r="N45" s="11">
        <f>IF(+B45&gt;Title_RESULTS!$H$9+Title_RESULTS!$C$19-1,0,+'Value of Defferal'!N44*(1+'Value of Defferal'!$F$7))</f>
        <v>0.16261255086394008</v>
      </c>
      <c r="O45" s="5">
        <f t="shared" si="7"/>
        <v>172.65616806630533</v>
      </c>
      <c r="P45" s="48">
        <f t="shared" si="4"/>
        <v>534.0956395755186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1231.1152348980008</v>
      </c>
      <c r="E46" s="11">
        <f>IF(B46&gt;Title_RESULTS!$H$8-1+Title_RESULTS!$C$18,0,+E45*(1+$F$7))</f>
        <v>0.15880131920306648</v>
      </c>
      <c r="F46" s="9">
        <f t="shared" si="1"/>
        <v>2890.4711838248627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71.81451021906021</v>
      </c>
      <c r="L46" s="5">
        <f t="shared" si="3"/>
        <v>222.15144234824987</v>
      </c>
      <c r="N46" s="11">
        <f>IF(+B46&gt;Title_RESULTS!$H$9+Title_RESULTS!$C$19-1,0,+'Value of Defferal'!N45*(1+'Value of Defferal'!$F$7))</f>
        <v>0.16651525208467466</v>
      </c>
      <c r="O46" s="5">
        <f t="shared" si="7"/>
        <v>176.79991609989668</v>
      </c>
      <c r="P46" s="48">
        <f t="shared" si="4"/>
        <v>546.9139349253311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1188.57350782886</v>
      </c>
      <c r="E47" s="11">
        <f>IF(B47&gt;Title_RESULTS!$H$8-1+Title_RESULTS!$C$18,0,+E46*(1+$F$7))</f>
        <v>0.16261255086394008</v>
      </c>
      <c r="F47" s="9">
        <f t="shared" si="1"/>
        <v>2959.84249223666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69.33292831125739</v>
      </c>
      <c r="L47" s="5">
        <f t="shared" si="3"/>
        <v>214.47490179339417</v>
      </c>
      <c r="N47" s="11">
        <f>IF(+B47&gt;Title_RESULTS!$H$9+Title_RESULTS!$C$19-1,0,+'Value of Defferal'!N46*(1+'Value of Defferal'!$F$7))</f>
        <v>0.17051161813470686</v>
      </c>
      <c r="O47" s="5">
        <f t="shared" si="7"/>
        <v>181.04311408629422</v>
      </c>
      <c r="P47" s="48">
        <f t="shared" si="4"/>
        <v>560.0398693635391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1146.031780759719</v>
      </c>
      <c r="E48" s="11">
        <f>IF(B48&gt;Title_RESULTS!$H$8-1+Title_RESULTS!$C$18,0,+E47*(1+$F$7))</f>
        <v>0.16651525208467466</v>
      </c>
      <c r="F48" s="9">
        <f t="shared" si="1"/>
        <v>3030.87871205034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66.85134640345457</v>
      </c>
      <c r="L48" s="5">
        <f t="shared" si="3"/>
        <v>206.7983612385384</v>
      </c>
      <c r="N48" s="11">
        <f>IF(+B48&gt;Title_RESULTS!$H$9+Title_RESULTS!$C$19-1,0,+'Value of Defferal'!N47*(1+'Value of Defferal'!$F$7))</f>
        <v>0.17460389696993983</v>
      </c>
      <c r="O48" s="5">
        <f t="shared" si="7"/>
        <v>185.3881488243653</v>
      </c>
      <c r="P48" s="48">
        <f t="shared" si="4"/>
        <v>573.4808262282639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1103.4900536905775</v>
      </c>
      <c r="E49" s="11">
        <f>IF(B49&gt;Title_RESULTS!$H$8-1+Title_RESULTS!$C$18,0,+E48*(1+$F$7))</f>
        <v>0.17051161813470686</v>
      </c>
      <c r="F49" s="9">
        <f t="shared" si="1"/>
        <v>3103.619801139548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64.36976449565172</v>
      </c>
      <c r="L49" s="5">
        <f t="shared" si="3"/>
        <v>199.12182068368259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1060.9483266214365</v>
      </c>
      <c r="E50" s="11">
        <f>IF(B50&gt;Title_RESULTS!$H$8-1+Title_RESULTS!$C$18,0,+E49*(1+$F$7))</f>
        <v>0.17460389696993983</v>
      </c>
      <c r="F50" s="9">
        <f t="shared" si="1"/>
        <v>3178.1066763668973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61.8881825878489</v>
      </c>
      <c r="L50" s="5">
        <f t="shared" si="3"/>
        <v>191.44528012882682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1018.4065995522955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59.40660068004608</v>
      </c>
      <c r="L51" s="5">
        <f t="shared" si="3"/>
        <v>183.7687395739711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43486.125177028895</v>
      </c>
      <c r="F63" s="9">
        <f>SUM(F23:F61)</f>
        <v>60651.52512015632</v>
      </c>
      <c r="J63" t="s">
        <v>87</v>
      </c>
      <c r="K63" s="9">
        <f>SUM(K23:K61)</f>
        <v>2536.671379240799</v>
      </c>
      <c r="O63" s="9">
        <f>SUM(O23:O61)</f>
        <v>3537.978774914538</v>
      </c>
    </row>
    <row r="64" spans="3:15" ht="12.75">
      <c r="C64" t="s">
        <v>89</v>
      </c>
      <c r="D64" s="9">
        <f>NPV(+Title_RESULTS!$C$37,'Value of Defferal'!D24:D61)+'Value of Defferal'!D23</f>
        <v>19416.817891136383</v>
      </c>
      <c r="F64" s="9">
        <f>NPV(+Title_RESULTS!$C$37,'Value of Defferal'!F24:F61)+'Value of Defferal'!F23</f>
        <v>22552.999792533505</v>
      </c>
      <c r="J64" t="s">
        <v>89</v>
      </c>
      <c r="K64" s="9">
        <f>NPV(+Title_RESULTS!$C$37,'Value of Defferal'!K24:K61)+'Value of Defferal'!K23</f>
        <v>1132.6391123574817</v>
      </c>
      <c r="O64" s="9">
        <f>NPV(+Title_RESULTS!$C$37,'Value of Defferal'!O24:O61)+'Value of Defferal'!O23</f>
        <v>1508.4625693358241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9.935468272952445</v>
      </c>
      <c r="C25" t="s">
        <v>372</v>
      </c>
    </row>
    <row r="26" spans="2:3" ht="18">
      <c r="B26" s="15">
        <f>+((Input!$C$6*'EUE_Line Losses'!C4)+(Input!$C$7*'EUE_Line Losses'!C3))/'EUE_Line Losses'!C22</f>
        <v>9.90341837529776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7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12.98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7.85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93785.47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11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20878.8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9950.25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4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Smart Thermostat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43599.32045532407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12.98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9.90341837529776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98929.8206751055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93785.47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11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20878.8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9950.25</v>
      </c>
      <c r="D39" s="13" t="s">
        <v>189</v>
      </c>
      <c r="G39" s="20" t="s">
        <v>346</v>
      </c>
      <c r="H39" s="79">
        <f>+'Sheet7(F_23)'!H32</f>
        <v>1.4962169772546317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+'Sheet8(F_24)'!K30</f>
        <v>92155.20219063933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+'Sheet9(F_25)'!J32</f>
        <v>0.9378737713025361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2019-05-14T11:41:28Z</dcterms:created>
  <dcterms:modified xsi:type="dcterms:W3CDTF">2019-05-14T11:41:30Z</dcterms:modified>
  <cp:category/>
  <cp:version/>
  <cp:contentType/>
  <cp:contentStatus/>
</cp:coreProperties>
</file>